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10" ContentType="application/binary"/>
  <Override PartName="/xl/commentsmeta11" ContentType="application/binary"/>
  <Override PartName="/xl/commentsmeta2" ContentType="application/binary"/>
  <Override PartName="/xl/commentsmeta13" ContentType="application/binary"/>
  <Override PartName="/xl/commentsmeta1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480" windowWidth="20730" windowHeight="11760" firstSheet="31" activeTab="31"/>
  </bookViews>
  <sheets>
    <sheet name="HƯỚNG DẪN SỬ DỤNG KHNH" sheetId="45" r:id="rId1"/>
    <sheet name="Đánh giá tình hình thực hiện KH" sheetId="2" r:id="rId2"/>
    <sheet name="Triển khai KHNH 23SP" sheetId="44" r:id="rId3"/>
    <sheet name="QĐ phê duyệt KHNH2023" sheetId="46" r:id="rId4"/>
    <sheet name="Bieu 1-Tong hop quy mo (SP)" sheetId="3" r:id="rId5"/>
    <sheet name="Bieu 1b - Quy mo Sau dai hoc" sheetId="4" r:id="rId6"/>
    <sheet name="Bieu 1c- Quy mo VLVH - TX (SP)" sheetId="6" r:id="rId7"/>
    <sheet name="Bieu 1a - Quy mo Chinh quy (SP)" sheetId="5" r:id="rId8"/>
    <sheet name="Bieu 2 tong hop (SP)" sheetId="7" state="hidden" r:id="rId9"/>
    <sheet name="Bieu 2 mẫu" sheetId="11" state="hidden" r:id="rId10"/>
    <sheet name="B2 SP" sheetId="12" r:id="rId11"/>
    <sheet name="B2 TOÁN  M" sheetId="14" state="hidden" r:id="rId12"/>
    <sheet name="B2 LÝ" sheetId="15" state="hidden" r:id="rId13"/>
    <sheet name="B2 Hoá M" sheetId="16" state="hidden" r:id="rId14"/>
    <sheet name="B2 TIN M" sheetId="17" state="hidden" r:id="rId15"/>
    <sheet name="B2 VĂN M" sheetId="18" state="hidden" r:id="rId16"/>
    <sheet name="B2 Sử M" sheetId="19" state="hidden" r:id="rId17"/>
    <sheet name="B2 SINH" sheetId="20" state="hidden" r:id="rId18"/>
    <sheet name="B2 ĐỊA LÝ" sheetId="21" state="hidden" r:id="rId19"/>
    <sheet name="B2 GDCT M" sheetId="22" state="hidden" r:id="rId20"/>
    <sheet name="B2 GDTH M" sheetId="25" state="hidden" r:id="rId21"/>
    <sheet name="B2 GDMN" sheetId="26" state="hidden" r:id="rId22"/>
    <sheet name="B2 TLGD M" sheetId="27" state="hidden" r:id="rId23"/>
    <sheet name="Bieu 2b DT THPT THSP" sheetId="28" state="hidden" r:id="rId24"/>
    <sheet name="phụ lục làm B2" sheetId="29" state="hidden" r:id="rId25"/>
    <sheet name="phụ lục miễn giảm giờ chuẩn B3" sheetId="30" state="hidden" r:id="rId26"/>
    <sheet name="Bieu 4a-KP thuc hanh thi nghiem" sheetId="31" r:id="rId27"/>
    <sheet name="Phụ lục dự toán B4" sheetId="32" state="hidden" r:id="rId28"/>
    <sheet name="B3 tổng hợp giờ chuẩn từng khoa" sheetId="13" r:id="rId29"/>
    <sheet name="Bieu5-Nhu cau mua sam sua chua" sheetId="33" r:id="rId30"/>
    <sheet name="Bieu 6 Ke hoach can bo" sheetId="34" r:id="rId31"/>
    <sheet name="7a-KH NCKH" sheetId="36" r:id="rId32"/>
    <sheet name="7b Kế hoạch công bố " sheetId="37" r:id="rId33"/>
    <sheet name="Bieu 8a Bien soan GT" sheetId="38" r:id="rId34"/>
    <sheet name="Bieu 8b ĐBCL" sheetId="39" r:id="rId35"/>
    <sheet name="Bieu 9 Ke hoach boi duong" sheetId="40" r:id="rId36"/>
    <sheet name="Biểu 10 Ke hoạch chi" sheetId="41" r:id="rId37"/>
    <sheet name="Thong tin can bo" sheetId="35" r:id="rId38"/>
    <sheet name="Tính thừa giờ" sheetId="42" state="hidden" r:id="rId39"/>
    <sheet name="Bieu so lieu ThuNhap 2021" sheetId="43" state="hidden" r:id="rId40"/>
  </sheets>
  <definedNames>
    <definedName name="_xlnm._FilterDatabase" localSheetId="10" hidden="1">'B2 SP'!$A$13:$R$14</definedName>
    <definedName name="_xlnm._FilterDatabase" localSheetId="39" hidden="1">'Bieu so lieu ThuNhap 2021'!$A$7:$K$73</definedName>
    <definedName name="_xlnm._FilterDatabase" localSheetId="29" hidden="1">'Bieu5-Nhu cau mua sam sua chua'!$A$6:$J$52</definedName>
    <definedName name="_xlnm._FilterDatabase" localSheetId="37" hidden="1">'Thong tin can bo'!$A$4:$AA$1015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7" roundtripDataSignature="AMtx7mhBemGo0sZAQsMGtSEfC6jBZG9bUQ=="/>
    </ext>
  </extLst>
</workbook>
</file>

<file path=xl/calcChain.xml><?xml version="1.0" encoding="utf-8"?>
<calcChain xmlns="http://schemas.openxmlformats.org/spreadsheetml/2006/main">
  <c r="M45" i="12" l="1"/>
  <c r="C5" i="44"/>
  <c r="C65" i="44"/>
  <c r="C64" i="44"/>
  <c r="C63" i="44"/>
  <c r="C62" i="44"/>
  <c r="C61" i="44"/>
  <c r="C60" i="44"/>
  <c r="C59" i="44"/>
  <c r="C58" i="44"/>
  <c r="C28" i="44"/>
  <c r="C27" i="44"/>
  <c r="C26" i="44"/>
  <c r="C25" i="44"/>
  <c r="C24" i="44"/>
  <c r="C23" i="44"/>
  <c r="C22" i="44"/>
  <c r="C21" i="44"/>
  <c r="C20" i="44"/>
  <c r="C19" i="44"/>
  <c r="C18" i="44"/>
  <c r="C17" i="44"/>
  <c r="C16" i="44"/>
  <c r="C15" i="44"/>
  <c r="C14" i="44"/>
  <c r="C13" i="44"/>
  <c r="C12" i="44"/>
  <c r="C11" i="44"/>
  <c r="C10" i="44"/>
  <c r="C9" i="44"/>
  <c r="C8" i="44"/>
  <c r="C6" i="44"/>
  <c r="J72" i="43"/>
  <c r="J71" i="43"/>
  <c r="J70" i="43"/>
  <c r="J69" i="43"/>
  <c r="J68" i="43"/>
  <c r="J67" i="43"/>
  <c r="J66" i="43"/>
  <c r="J65" i="43"/>
  <c r="J64" i="43"/>
  <c r="J63" i="43"/>
  <c r="J62" i="43"/>
  <c r="J61" i="43"/>
  <c r="J60" i="43"/>
  <c r="J59" i="43"/>
  <c r="J58" i="43"/>
  <c r="J57" i="43"/>
  <c r="J56" i="43"/>
  <c r="J55" i="43"/>
  <c r="J54" i="43"/>
  <c r="J53" i="43"/>
  <c r="J52" i="43"/>
  <c r="J5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I21" i="43"/>
  <c r="I73" i="43"/>
  <c r="H21" i="43"/>
  <c r="H73" i="43"/>
  <c r="G21" i="43"/>
  <c r="G73" i="43"/>
  <c r="F21" i="43"/>
  <c r="F73" i="43"/>
  <c r="E21" i="43"/>
  <c r="E73" i="43"/>
  <c r="D21" i="43"/>
  <c r="D73" i="43"/>
  <c r="C21" i="43"/>
  <c r="C73" i="43"/>
  <c r="J20" i="43"/>
  <c r="J19" i="43"/>
  <c r="J18" i="43"/>
  <c r="J17" i="43"/>
  <c r="J16" i="43"/>
  <c r="J15" i="43"/>
  <c r="J14" i="43"/>
  <c r="J13" i="43"/>
  <c r="J12" i="43"/>
  <c r="J11" i="43"/>
  <c r="J10" i="43"/>
  <c r="C56" i="41"/>
  <c r="C55" i="41"/>
  <c r="C44" i="41"/>
  <c r="C39" i="41"/>
  <c r="C36" i="41"/>
  <c r="C22" i="41"/>
  <c r="C21" i="41"/>
  <c r="C19" i="41"/>
  <c r="C17" i="41"/>
  <c r="C13" i="41"/>
  <c r="C9" i="41"/>
  <c r="F22" i="40"/>
  <c r="F21" i="40"/>
  <c r="F20" i="40"/>
  <c r="F19" i="40"/>
  <c r="F18" i="40"/>
  <c r="F16" i="40"/>
  <c r="F15" i="40"/>
  <c r="F14" i="40"/>
  <c r="F13" i="40"/>
  <c r="F12" i="40"/>
  <c r="F11" i="40"/>
  <c r="F10" i="40"/>
  <c r="F9" i="40"/>
  <c r="C50" i="41"/>
  <c r="C49" i="41"/>
  <c r="E19" i="39"/>
  <c r="E11" i="39"/>
  <c r="K27" i="38"/>
  <c r="K26" i="38"/>
  <c r="K22" i="38"/>
  <c r="K24" i="38"/>
  <c r="K20" i="38"/>
  <c r="K19" i="38"/>
  <c r="K18" i="38"/>
  <c r="K17" i="38"/>
  <c r="K16" i="38"/>
  <c r="K15" i="38"/>
  <c r="K14" i="38"/>
  <c r="K13" i="38"/>
  <c r="K12" i="38"/>
  <c r="K11" i="38"/>
  <c r="K10" i="38"/>
  <c r="K9" i="38"/>
  <c r="K8" i="38"/>
  <c r="F7" i="38"/>
  <c r="C72" i="37"/>
  <c r="C59" i="37"/>
  <c r="C46" i="37"/>
  <c r="C33" i="37"/>
  <c r="C20" i="37"/>
  <c r="C7" i="37"/>
  <c r="D134" i="36"/>
  <c r="G133" i="36"/>
  <c r="F133" i="36"/>
  <c r="E133" i="36"/>
  <c r="D133" i="36"/>
  <c r="D128" i="36"/>
  <c r="D127" i="36"/>
  <c r="D126" i="36"/>
  <c r="D125" i="36"/>
  <c r="D124" i="36"/>
  <c r="D123" i="36"/>
  <c r="D122" i="36"/>
  <c r="D121" i="36"/>
  <c r="D120" i="36"/>
  <c r="D119" i="36"/>
  <c r="D118" i="36"/>
  <c r="D117" i="36"/>
  <c r="D116" i="36"/>
  <c r="D115" i="36"/>
  <c r="D114" i="36"/>
  <c r="D113" i="36"/>
  <c r="D112" i="36"/>
  <c r="D111" i="36"/>
  <c r="D110" i="36"/>
  <c r="D109" i="36"/>
  <c r="D108" i="36"/>
  <c r="D107" i="36"/>
  <c r="D106" i="36"/>
  <c r="D105" i="36"/>
  <c r="D104" i="36"/>
  <c r="D103" i="36"/>
  <c r="D102" i="36"/>
  <c r="D101" i="36"/>
  <c r="D100" i="36"/>
  <c r="D99" i="36"/>
  <c r="D98" i="36"/>
  <c r="D97" i="36"/>
  <c r="G95" i="36"/>
  <c r="F95" i="36"/>
  <c r="E95" i="36"/>
  <c r="D95" i="36"/>
  <c r="G93" i="36"/>
  <c r="F93" i="36"/>
  <c r="E93" i="36"/>
  <c r="D93" i="36"/>
  <c r="D92" i="36"/>
  <c r="D91" i="36"/>
  <c r="D90" i="36"/>
  <c r="D89" i="36"/>
  <c r="D88" i="36"/>
  <c r="D87" i="36"/>
  <c r="D86" i="36"/>
  <c r="D85" i="36"/>
  <c r="G84" i="36"/>
  <c r="F84" i="36"/>
  <c r="E84" i="36"/>
  <c r="D84" i="36"/>
  <c r="D83" i="36"/>
  <c r="D82" i="36"/>
  <c r="D81" i="36"/>
  <c r="D80" i="36"/>
  <c r="D79" i="36"/>
  <c r="D78" i="36"/>
  <c r="D77" i="36"/>
  <c r="D76" i="36"/>
  <c r="D75" i="36"/>
  <c r="D74" i="36"/>
  <c r="D73" i="36"/>
  <c r="D72" i="36"/>
  <c r="G71" i="36"/>
  <c r="F71" i="36"/>
  <c r="E71" i="36"/>
  <c r="D71" i="36"/>
  <c r="G69" i="36"/>
  <c r="F69" i="36"/>
  <c r="E69" i="36"/>
  <c r="D69" i="36"/>
  <c r="D68" i="36"/>
  <c r="D67" i="36"/>
  <c r="D66" i="36"/>
  <c r="D64" i="36"/>
  <c r="D63" i="36"/>
  <c r="D62" i="36"/>
  <c r="D61" i="36"/>
  <c r="D60" i="36"/>
  <c r="D59" i="36"/>
  <c r="D58" i="36"/>
  <c r="D57" i="36"/>
  <c r="D56" i="36"/>
  <c r="D55" i="36"/>
  <c r="D54" i="36"/>
  <c r="D53" i="36"/>
  <c r="D52" i="36"/>
  <c r="D51" i="36"/>
  <c r="D50" i="36"/>
  <c r="D49" i="36"/>
  <c r="D48" i="36"/>
  <c r="D47" i="36"/>
  <c r="D46" i="36"/>
  <c r="D45" i="36"/>
  <c r="D44" i="36"/>
  <c r="D43" i="36"/>
  <c r="D42" i="36"/>
  <c r="D41" i="36"/>
  <c r="D40" i="36"/>
  <c r="D39" i="36"/>
  <c r="D38" i="36"/>
  <c r="D37" i="36"/>
  <c r="D36" i="36"/>
  <c r="G35" i="36"/>
  <c r="F35" i="36"/>
  <c r="E35" i="36"/>
  <c r="D35" i="36"/>
  <c r="D34" i="36"/>
  <c r="D33" i="36"/>
  <c r="G32" i="36"/>
  <c r="G31" i="36"/>
  <c r="F32" i="36"/>
  <c r="E32" i="36"/>
  <c r="D32" i="36"/>
  <c r="F31" i="36"/>
  <c r="D30" i="36"/>
  <c r="D29" i="36"/>
  <c r="D28" i="36"/>
  <c r="G27" i="36"/>
  <c r="F27" i="36"/>
  <c r="E27" i="36"/>
  <c r="D27" i="36"/>
  <c r="D26" i="36"/>
  <c r="D24" i="36"/>
  <c r="D23" i="36"/>
  <c r="D22" i="36"/>
  <c r="D21" i="36"/>
  <c r="D20" i="36"/>
  <c r="D18" i="36"/>
  <c r="D17" i="36"/>
  <c r="D16" i="36"/>
  <c r="D15" i="36"/>
  <c r="D14" i="36"/>
  <c r="D13" i="36"/>
  <c r="D12" i="36"/>
  <c r="G11" i="36"/>
  <c r="F11" i="36"/>
  <c r="E11" i="36"/>
  <c r="D11" i="36"/>
  <c r="D10" i="36"/>
  <c r="G9" i="36"/>
  <c r="F9" i="36"/>
  <c r="F8" i="36"/>
  <c r="F135" i="36"/>
  <c r="E9" i="36"/>
  <c r="E8" i="36"/>
  <c r="G8" i="36"/>
  <c r="G135" i="36"/>
  <c r="AA1014" i="35"/>
  <c r="F1014" i="35"/>
  <c r="A1014" i="35"/>
  <c r="AA1013" i="35"/>
  <c r="F1013" i="35"/>
  <c r="A1013" i="35"/>
  <c r="AA1012" i="35"/>
  <c r="F1012" i="35"/>
  <c r="A1012" i="35"/>
  <c r="AA1011" i="35"/>
  <c r="F1011" i="35"/>
  <c r="A1011" i="35"/>
  <c r="AA1010" i="35"/>
  <c r="F1010" i="35"/>
  <c r="A1010" i="35"/>
  <c r="AA1009" i="35"/>
  <c r="F1009" i="35"/>
  <c r="A1009" i="35"/>
  <c r="AA1008" i="35"/>
  <c r="F1008" i="35"/>
  <c r="A1008" i="35"/>
  <c r="AA1007" i="35"/>
  <c r="F1007" i="35"/>
  <c r="A1007" i="35"/>
  <c r="AA1006" i="35"/>
  <c r="F1006" i="35"/>
  <c r="A1006" i="35"/>
  <c r="AA1005" i="35"/>
  <c r="F1005" i="35"/>
  <c r="A1005" i="35"/>
  <c r="AA1004" i="35"/>
  <c r="F1004" i="35"/>
  <c r="A1004" i="35"/>
  <c r="AA1003" i="35"/>
  <c r="F1003" i="35"/>
  <c r="A1003" i="35"/>
  <c r="AA1002" i="35"/>
  <c r="F1002" i="35"/>
  <c r="A1002" i="35"/>
  <c r="AA1001" i="35"/>
  <c r="F1001" i="35"/>
  <c r="A1001" i="35"/>
  <c r="AA1000" i="35"/>
  <c r="F1000" i="35"/>
  <c r="A1000" i="35"/>
  <c r="AA999" i="35"/>
  <c r="F999" i="35"/>
  <c r="A999" i="35"/>
  <c r="AA998" i="35"/>
  <c r="F998" i="35"/>
  <c r="A998" i="35"/>
  <c r="AA997" i="35"/>
  <c r="F997" i="35"/>
  <c r="A997" i="35"/>
  <c r="AA996" i="35"/>
  <c r="F996" i="35"/>
  <c r="A996" i="35"/>
  <c r="AA995" i="35"/>
  <c r="F995" i="35"/>
  <c r="A995" i="35"/>
  <c r="AA994" i="35"/>
  <c r="F994" i="35"/>
  <c r="A994" i="35"/>
  <c r="AA993" i="35"/>
  <c r="F993" i="35"/>
  <c r="A993" i="35"/>
  <c r="AA992" i="35"/>
  <c r="F992" i="35"/>
  <c r="A992" i="35"/>
  <c r="AA991" i="35"/>
  <c r="F991" i="35"/>
  <c r="A991" i="35"/>
  <c r="AA990" i="35"/>
  <c r="F990" i="35"/>
  <c r="A990" i="35"/>
  <c r="AA989" i="35"/>
  <c r="F989" i="35"/>
  <c r="A989" i="35"/>
  <c r="AA988" i="35"/>
  <c r="F988" i="35"/>
  <c r="A988" i="35"/>
  <c r="AA987" i="35"/>
  <c r="F987" i="35"/>
  <c r="A987" i="35"/>
  <c r="AA986" i="35"/>
  <c r="F986" i="35"/>
  <c r="A986" i="35"/>
  <c r="AA985" i="35"/>
  <c r="F985" i="35"/>
  <c r="A985" i="35"/>
  <c r="AA984" i="35"/>
  <c r="F984" i="35"/>
  <c r="A984" i="35"/>
  <c r="AA983" i="35"/>
  <c r="F983" i="35"/>
  <c r="A983" i="35"/>
  <c r="AA982" i="35"/>
  <c r="F982" i="35"/>
  <c r="A982" i="35"/>
  <c r="AA981" i="35"/>
  <c r="F981" i="35"/>
  <c r="A981" i="35"/>
  <c r="AA980" i="35"/>
  <c r="F980" i="35"/>
  <c r="A980" i="35"/>
  <c r="AA979" i="35"/>
  <c r="F979" i="35"/>
  <c r="A979" i="35"/>
  <c r="AA978" i="35"/>
  <c r="F978" i="35"/>
  <c r="A978" i="35"/>
  <c r="AA977" i="35"/>
  <c r="F977" i="35"/>
  <c r="A977" i="35"/>
  <c r="F976" i="35"/>
  <c r="A976" i="35"/>
  <c r="AA975" i="35"/>
  <c r="F975" i="35"/>
  <c r="A975" i="35"/>
  <c r="F974" i="35"/>
  <c r="A974" i="35"/>
  <c r="AA973" i="35"/>
  <c r="F973" i="35"/>
  <c r="A973" i="35"/>
  <c r="AA972" i="35"/>
  <c r="F972" i="35"/>
  <c r="A972" i="35"/>
  <c r="AA971" i="35"/>
  <c r="F971" i="35"/>
  <c r="A971" i="35"/>
  <c r="AC970" i="35"/>
  <c r="AA970" i="35"/>
  <c r="F970" i="35"/>
  <c r="A970" i="35"/>
  <c r="AA969" i="35"/>
  <c r="F969" i="35"/>
  <c r="A969" i="35"/>
  <c r="AC968" i="35"/>
  <c r="AA968" i="35"/>
  <c r="F968" i="35"/>
  <c r="A968" i="35"/>
  <c r="AA967" i="35"/>
  <c r="F967" i="35"/>
  <c r="A967" i="35"/>
  <c r="AA966" i="35"/>
  <c r="F966" i="35"/>
  <c r="A966" i="35"/>
  <c r="AA965" i="35"/>
  <c r="F965" i="35"/>
  <c r="A965" i="35"/>
  <c r="AA964" i="35"/>
  <c r="F964" i="35"/>
  <c r="A964" i="35"/>
  <c r="AC963" i="35"/>
  <c r="AA963" i="35"/>
  <c r="F963" i="35"/>
  <c r="A963" i="35"/>
  <c r="AA962" i="35"/>
  <c r="F962" i="35"/>
  <c r="A962" i="35"/>
  <c r="AC961" i="35"/>
  <c r="AA961" i="35"/>
  <c r="F961" i="35"/>
  <c r="A961" i="35"/>
  <c r="AA960" i="35"/>
  <c r="F960" i="35"/>
  <c r="A960" i="35"/>
  <c r="AA959" i="35"/>
  <c r="F959" i="35"/>
  <c r="A959" i="35"/>
  <c r="AA958" i="35"/>
  <c r="F958" i="35"/>
  <c r="A958" i="35"/>
  <c r="AA957" i="35"/>
  <c r="F957" i="35"/>
  <c r="A957" i="35"/>
  <c r="AC956" i="35"/>
  <c r="AA956" i="35"/>
  <c r="F956" i="35"/>
  <c r="A956" i="35"/>
  <c r="AA955" i="35"/>
  <c r="F955" i="35"/>
  <c r="A955" i="35"/>
  <c r="AA954" i="35"/>
  <c r="F954" i="35"/>
  <c r="A954" i="35"/>
  <c r="AC953" i="35"/>
  <c r="AA953" i="35"/>
  <c r="F953" i="35"/>
  <c r="A953" i="35"/>
  <c r="AC952" i="35"/>
  <c r="AA952" i="35"/>
  <c r="F952" i="35"/>
  <c r="A952" i="35"/>
  <c r="AA951" i="35"/>
  <c r="F951" i="35"/>
  <c r="A951" i="35"/>
  <c r="AC950" i="35"/>
  <c r="AA950" i="35"/>
  <c r="F950" i="35"/>
  <c r="A950" i="35"/>
  <c r="AA949" i="35"/>
  <c r="F949" i="35"/>
  <c r="A949" i="35"/>
  <c r="AA948" i="35"/>
  <c r="F948" i="35"/>
  <c r="A948" i="35"/>
  <c r="AC947" i="35"/>
  <c r="AA947" i="35"/>
  <c r="F947" i="35"/>
  <c r="A947" i="35"/>
  <c r="AA946" i="35"/>
  <c r="F946" i="35"/>
  <c r="A946" i="35"/>
  <c r="AA945" i="35"/>
  <c r="F945" i="35"/>
  <c r="A945" i="35"/>
  <c r="AA944" i="35"/>
  <c r="F944" i="35"/>
  <c r="A944" i="35"/>
  <c r="AA943" i="35"/>
  <c r="F943" i="35"/>
  <c r="A943" i="35"/>
  <c r="AC942" i="35"/>
  <c r="AA942" i="35"/>
  <c r="F942" i="35"/>
  <c r="A942" i="35"/>
  <c r="AC941" i="35"/>
  <c r="AA941" i="35"/>
  <c r="F941" i="35"/>
  <c r="A941" i="35"/>
  <c r="AC940" i="35"/>
  <c r="AA940" i="35"/>
  <c r="F940" i="35"/>
  <c r="A940" i="35"/>
  <c r="AA939" i="35"/>
  <c r="F939" i="35"/>
  <c r="A939" i="35"/>
  <c r="AA938" i="35"/>
  <c r="F938" i="35"/>
  <c r="A938" i="35"/>
  <c r="F937" i="35"/>
  <c r="A937" i="35"/>
  <c r="AA936" i="35"/>
  <c r="F936" i="35"/>
  <c r="A936" i="35"/>
  <c r="AA935" i="35"/>
  <c r="F935" i="35"/>
  <c r="A935" i="35"/>
  <c r="AA934" i="35"/>
  <c r="F934" i="35"/>
  <c r="A934" i="35"/>
  <c r="AA933" i="35"/>
  <c r="F933" i="35"/>
  <c r="A933" i="35"/>
  <c r="AA932" i="35"/>
  <c r="F932" i="35"/>
  <c r="A932" i="35"/>
  <c r="AA931" i="35"/>
  <c r="F931" i="35"/>
  <c r="A931" i="35"/>
  <c r="AA930" i="35"/>
  <c r="F930" i="35"/>
  <c r="A930" i="35"/>
  <c r="AA929" i="35"/>
  <c r="F929" i="35"/>
  <c r="A929" i="35"/>
  <c r="AA928" i="35"/>
  <c r="F928" i="35"/>
  <c r="A928" i="35"/>
  <c r="AA927" i="35"/>
  <c r="F927" i="35"/>
  <c r="A927" i="35"/>
  <c r="AA926" i="35"/>
  <c r="F926" i="35"/>
  <c r="A926" i="35"/>
  <c r="AA925" i="35"/>
  <c r="F925" i="35"/>
  <c r="A925" i="35"/>
  <c r="AA924" i="35"/>
  <c r="F924" i="35"/>
  <c r="A924" i="35"/>
  <c r="AA923" i="35"/>
  <c r="F923" i="35"/>
  <c r="A923" i="35"/>
  <c r="AA922" i="35"/>
  <c r="F922" i="35"/>
  <c r="A922" i="35"/>
  <c r="AA921" i="35"/>
  <c r="F921" i="35"/>
  <c r="A921" i="35"/>
  <c r="AA920" i="35"/>
  <c r="F920" i="35"/>
  <c r="A920" i="35"/>
  <c r="AA919" i="35"/>
  <c r="F919" i="35"/>
  <c r="A919" i="35"/>
  <c r="AA918" i="35"/>
  <c r="F918" i="35"/>
  <c r="A918" i="35"/>
  <c r="AA917" i="35"/>
  <c r="F917" i="35"/>
  <c r="A917" i="35"/>
  <c r="AA916" i="35"/>
  <c r="F916" i="35"/>
  <c r="A916" i="35"/>
  <c r="AA915" i="35"/>
  <c r="F915" i="35"/>
  <c r="A915" i="35"/>
  <c r="AA914" i="35"/>
  <c r="F914" i="35"/>
  <c r="A914" i="35"/>
  <c r="AA913" i="35"/>
  <c r="F913" i="35"/>
  <c r="A913" i="35"/>
  <c r="AA912" i="35"/>
  <c r="F912" i="35"/>
  <c r="A912" i="35"/>
  <c r="AA911" i="35"/>
  <c r="F911" i="35"/>
  <c r="A911" i="35"/>
  <c r="AA910" i="35"/>
  <c r="F910" i="35"/>
  <c r="A910" i="35"/>
  <c r="AA909" i="35"/>
  <c r="F909" i="35"/>
  <c r="A909" i="35"/>
  <c r="AA908" i="35"/>
  <c r="F908" i="35"/>
  <c r="A908" i="35"/>
  <c r="AA907" i="35"/>
  <c r="F907" i="35"/>
  <c r="A907" i="35"/>
  <c r="AA906" i="35"/>
  <c r="F906" i="35"/>
  <c r="A906" i="35"/>
  <c r="AA905" i="35"/>
  <c r="F905" i="35"/>
  <c r="A905" i="35"/>
  <c r="AA904" i="35"/>
  <c r="F904" i="35"/>
  <c r="A904" i="35"/>
  <c r="AA903" i="35"/>
  <c r="F903" i="35"/>
  <c r="A903" i="35"/>
  <c r="AA902" i="35"/>
  <c r="F902" i="35"/>
  <c r="A902" i="35"/>
  <c r="AA901" i="35"/>
  <c r="F901" i="35"/>
  <c r="A901" i="35"/>
  <c r="AA900" i="35"/>
  <c r="F900" i="35"/>
  <c r="A900" i="35"/>
  <c r="AA899" i="35"/>
  <c r="F899" i="35"/>
  <c r="A899" i="35"/>
  <c r="AA898" i="35"/>
  <c r="F898" i="35"/>
  <c r="A898" i="35"/>
  <c r="AA897" i="35"/>
  <c r="F897" i="35"/>
  <c r="A897" i="35"/>
  <c r="AA896" i="35"/>
  <c r="F896" i="35"/>
  <c r="A896" i="35"/>
  <c r="AA895" i="35"/>
  <c r="F895" i="35"/>
  <c r="A895" i="35"/>
  <c r="AA894" i="35"/>
  <c r="F894" i="35"/>
  <c r="A894" i="35"/>
  <c r="AA893" i="35"/>
  <c r="F893" i="35"/>
  <c r="A893" i="35"/>
  <c r="AA892" i="35"/>
  <c r="F892" i="35"/>
  <c r="A892" i="35"/>
  <c r="AA891" i="35"/>
  <c r="F891" i="35"/>
  <c r="A891" i="35"/>
  <c r="AA890" i="35"/>
  <c r="F890" i="35"/>
  <c r="A890" i="35"/>
  <c r="F889" i="35"/>
  <c r="A889" i="35"/>
  <c r="AA888" i="35"/>
  <c r="F888" i="35"/>
  <c r="A888" i="35"/>
  <c r="AA887" i="35"/>
  <c r="F887" i="35"/>
  <c r="A887" i="35"/>
  <c r="AA886" i="35"/>
  <c r="F886" i="35"/>
  <c r="A886" i="35"/>
  <c r="AA885" i="35"/>
  <c r="F885" i="35"/>
  <c r="A885" i="35"/>
  <c r="AA884" i="35"/>
  <c r="F884" i="35"/>
  <c r="A884" i="35"/>
  <c r="AA883" i="35"/>
  <c r="F883" i="35"/>
  <c r="A883" i="35"/>
  <c r="AA882" i="35"/>
  <c r="F882" i="35"/>
  <c r="A882" i="35"/>
  <c r="AA881" i="35"/>
  <c r="F881" i="35"/>
  <c r="A881" i="35"/>
  <c r="AA880" i="35"/>
  <c r="F880" i="35"/>
  <c r="A880" i="35"/>
  <c r="AA879" i="35"/>
  <c r="F879" i="35"/>
  <c r="A879" i="35"/>
  <c r="AA878" i="35"/>
  <c r="F878" i="35"/>
  <c r="A878" i="35"/>
  <c r="F877" i="35"/>
  <c r="A877" i="35"/>
  <c r="AA876" i="35"/>
  <c r="F876" i="35"/>
  <c r="A876" i="35"/>
  <c r="AA875" i="35"/>
  <c r="F875" i="35"/>
  <c r="A875" i="35"/>
  <c r="AA874" i="35"/>
  <c r="F874" i="35"/>
  <c r="A874" i="35"/>
  <c r="AA873" i="35"/>
  <c r="F873" i="35"/>
  <c r="A873" i="35"/>
  <c r="AA872" i="35"/>
  <c r="F872" i="35"/>
  <c r="A872" i="35"/>
  <c r="AA871" i="35"/>
  <c r="F871" i="35"/>
  <c r="A871" i="35"/>
  <c r="AA870" i="35"/>
  <c r="F870" i="35"/>
  <c r="A870" i="35"/>
  <c r="AA869" i="35"/>
  <c r="F869" i="35"/>
  <c r="A869" i="35"/>
  <c r="AA868" i="35"/>
  <c r="F868" i="35"/>
  <c r="A868" i="35"/>
  <c r="AA867" i="35"/>
  <c r="F867" i="35"/>
  <c r="A867" i="35"/>
  <c r="AA866" i="35"/>
  <c r="F866" i="35"/>
  <c r="A866" i="35"/>
  <c r="AA865" i="35"/>
  <c r="F865" i="35"/>
  <c r="A865" i="35"/>
  <c r="AA864" i="35"/>
  <c r="A864" i="35"/>
  <c r="AA863" i="35"/>
  <c r="F863" i="35"/>
  <c r="A863" i="35"/>
  <c r="AA862" i="35"/>
  <c r="F862" i="35"/>
  <c r="A862" i="35"/>
  <c r="AA861" i="35"/>
  <c r="F861" i="35"/>
  <c r="A861" i="35"/>
  <c r="AA860" i="35"/>
  <c r="F860" i="35"/>
  <c r="A860" i="35"/>
  <c r="AA859" i="35"/>
  <c r="F859" i="35"/>
  <c r="A859" i="35"/>
  <c r="AA858" i="35"/>
  <c r="F858" i="35"/>
  <c r="A858" i="35"/>
  <c r="AA857" i="35"/>
  <c r="F857" i="35"/>
  <c r="A857" i="35"/>
  <c r="AA856" i="35"/>
  <c r="F856" i="35"/>
  <c r="A856" i="35"/>
  <c r="AA855" i="35"/>
  <c r="F855" i="35"/>
  <c r="A855" i="35"/>
  <c r="F854" i="35"/>
  <c r="A854" i="35"/>
  <c r="AA853" i="35"/>
  <c r="F853" i="35"/>
  <c r="A853" i="35"/>
  <c r="AA852" i="35"/>
  <c r="F852" i="35"/>
  <c r="A852" i="35"/>
  <c r="AA851" i="35"/>
  <c r="F851" i="35"/>
  <c r="A851" i="35"/>
  <c r="F850" i="35"/>
  <c r="A850" i="35"/>
  <c r="AA849" i="35"/>
  <c r="F849" i="35"/>
  <c r="A849" i="35"/>
  <c r="AA848" i="35"/>
  <c r="F848" i="35"/>
  <c r="A848" i="35"/>
  <c r="F847" i="35"/>
  <c r="A847" i="35"/>
  <c r="AA846" i="35"/>
  <c r="F846" i="35"/>
  <c r="A846" i="35"/>
  <c r="AA845" i="35"/>
  <c r="F845" i="35"/>
  <c r="A845" i="35"/>
  <c r="AA844" i="35"/>
  <c r="F844" i="35"/>
  <c r="A844" i="35"/>
  <c r="AA843" i="35"/>
  <c r="F843" i="35"/>
  <c r="A843" i="35"/>
  <c r="AA842" i="35"/>
  <c r="F842" i="35"/>
  <c r="A842" i="35"/>
  <c r="AA841" i="35"/>
  <c r="F841" i="35"/>
  <c r="A841" i="35"/>
  <c r="AA840" i="35"/>
  <c r="F840" i="35"/>
  <c r="A840" i="35"/>
  <c r="AA839" i="35"/>
  <c r="F839" i="35"/>
  <c r="A839" i="35"/>
  <c r="AA838" i="35"/>
  <c r="F838" i="35"/>
  <c r="A838" i="35"/>
  <c r="AA837" i="35"/>
  <c r="F837" i="35"/>
  <c r="A837" i="35"/>
  <c r="F836" i="35"/>
  <c r="A836" i="35"/>
  <c r="AA835" i="35"/>
  <c r="F835" i="35"/>
  <c r="A835" i="35"/>
  <c r="AA834" i="35"/>
  <c r="F834" i="35"/>
  <c r="A834" i="35"/>
  <c r="AA833" i="35"/>
  <c r="F833" i="35"/>
  <c r="A833" i="35"/>
  <c r="AA832" i="35"/>
  <c r="F832" i="35"/>
  <c r="A832" i="35"/>
  <c r="AA831" i="35"/>
  <c r="F831" i="35"/>
  <c r="A831" i="35"/>
  <c r="AA830" i="35"/>
  <c r="F830" i="35"/>
  <c r="A830" i="35"/>
  <c r="AA829" i="35"/>
  <c r="F829" i="35"/>
  <c r="A829" i="35"/>
  <c r="AA828" i="35"/>
  <c r="F828" i="35"/>
  <c r="A828" i="35"/>
  <c r="AA827" i="35"/>
  <c r="F827" i="35"/>
  <c r="A827" i="35"/>
  <c r="AA826" i="35"/>
  <c r="F826" i="35"/>
  <c r="A826" i="35"/>
  <c r="AA825" i="35"/>
  <c r="F825" i="35"/>
  <c r="A825" i="35"/>
  <c r="AA824" i="35"/>
  <c r="F824" i="35"/>
  <c r="A824" i="35"/>
  <c r="AA823" i="35"/>
  <c r="F823" i="35"/>
  <c r="A823" i="35"/>
  <c r="AA822" i="35"/>
  <c r="F822" i="35"/>
  <c r="A822" i="35"/>
  <c r="AA821" i="35"/>
  <c r="F821" i="35"/>
  <c r="A821" i="35"/>
  <c r="AA820" i="35"/>
  <c r="F820" i="35"/>
  <c r="A820" i="35"/>
  <c r="AA819" i="35"/>
  <c r="F819" i="35"/>
  <c r="A819" i="35"/>
  <c r="AA818" i="35"/>
  <c r="F818" i="35"/>
  <c r="A818" i="35"/>
  <c r="AA817" i="35"/>
  <c r="F817" i="35"/>
  <c r="A817" i="35"/>
  <c r="F816" i="35"/>
  <c r="A816" i="35"/>
  <c r="AA815" i="35"/>
  <c r="F815" i="35"/>
  <c r="A815" i="35"/>
  <c r="AA814" i="35"/>
  <c r="F814" i="35"/>
  <c r="A814" i="35"/>
  <c r="AA813" i="35"/>
  <c r="F813" i="35"/>
  <c r="A813" i="35"/>
  <c r="AA812" i="35"/>
  <c r="F812" i="35"/>
  <c r="A812" i="35"/>
  <c r="F811" i="35"/>
  <c r="A811" i="35"/>
  <c r="AA810" i="35"/>
  <c r="F810" i="35"/>
  <c r="A810" i="35"/>
  <c r="AA809" i="35"/>
  <c r="F809" i="35"/>
  <c r="A809" i="35"/>
  <c r="AA808" i="35"/>
  <c r="F808" i="35"/>
  <c r="A808" i="35"/>
  <c r="AA807" i="35"/>
  <c r="F807" i="35"/>
  <c r="A807" i="35"/>
  <c r="AA806" i="35"/>
  <c r="F806" i="35"/>
  <c r="A806" i="35"/>
  <c r="AA805" i="35"/>
  <c r="A805" i="35"/>
  <c r="AA804" i="35"/>
  <c r="F804" i="35"/>
  <c r="A804" i="35"/>
  <c r="AA803" i="35"/>
  <c r="F803" i="35"/>
  <c r="A803" i="35"/>
  <c r="AA802" i="35"/>
  <c r="F802" i="35"/>
  <c r="A802" i="35"/>
  <c r="F801" i="35"/>
  <c r="A801" i="35"/>
  <c r="AA800" i="35"/>
  <c r="F800" i="35"/>
  <c r="A800" i="35"/>
  <c r="F799" i="35"/>
  <c r="A799" i="35"/>
  <c r="F798" i="35"/>
  <c r="A798" i="35"/>
  <c r="F797" i="35"/>
  <c r="A797" i="35"/>
  <c r="AA796" i="35"/>
  <c r="F796" i="35"/>
  <c r="A796" i="35"/>
  <c r="AA795" i="35"/>
  <c r="F795" i="35"/>
  <c r="A795" i="35"/>
  <c r="AA794" i="35"/>
  <c r="F794" i="35"/>
  <c r="A794" i="35"/>
  <c r="AA793" i="35"/>
  <c r="F793" i="35"/>
  <c r="A793" i="35"/>
  <c r="AA792" i="35"/>
  <c r="F792" i="35"/>
  <c r="A792" i="35"/>
  <c r="AA791" i="35"/>
  <c r="F791" i="35"/>
  <c r="A791" i="35"/>
  <c r="AA790" i="35"/>
  <c r="F790" i="35"/>
  <c r="A790" i="35"/>
  <c r="AA789" i="35"/>
  <c r="F789" i="35"/>
  <c r="A789" i="35"/>
  <c r="AA788" i="35"/>
  <c r="F788" i="35"/>
  <c r="A788" i="35"/>
  <c r="AA787" i="35"/>
  <c r="F787" i="35"/>
  <c r="A787" i="35"/>
  <c r="AA786" i="35"/>
  <c r="F786" i="35"/>
  <c r="A786" i="35"/>
  <c r="AA785" i="35"/>
  <c r="F785" i="35"/>
  <c r="A785" i="35"/>
  <c r="AA784" i="35"/>
  <c r="F784" i="35"/>
  <c r="A784" i="35"/>
  <c r="AA783" i="35"/>
  <c r="F783" i="35"/>
  <c r="A783" i="35"/>
  <c r="AA782" i="35"/>
  <c r="F782" i="35"/>
  <c r="A782" i="35"/>
  <c r="AA781" i="35"/>
  <c r="F781" i="35"/>
  <c r="A781" i="35"/>
  <c r="AA780" i="35"/>
  <c r="F780" i="35"/>
  <c r="A780" i="35"/>
  <c r="AA779" i="35"/>
  <c r="F779" i="35"/>
  <c r="A779" i="35"/>
  <c r="AA778" i="35"/>
  <c r="F778" i="35"/>
  <c r="A778" i="35"/>
  <c r="AA777" i="35"/>
  <c r="F777" i="35"/>
  <c r="A777" i="35"/>
  <c r="AA776" i="35"/>
  <c r="F776" i="35"/>
  <c r="A776" i="35"/>
  <c r="AA775" i="35"/>
  <c r="F775" i="35"/>
  <c r="A775" i="35"/>
  <c r="AA774" i="35"/>
  <c r="A774" i="35"/>
  <c r="AA773" i="35"/>
  <c r="F773" i="35"/>
  <c r="A773" i="35"/>
  <c r="AA772" i="35"/>
  <c r="F772" i="35"/>
  <c r="A772" i="35"/>
  <c r="AA771" i="35"/>
  <c r="F771" i="35"/>
  <c r="A771" i="35"/>
  <c r="AA770" i="35"/>
  <c r="F770" i="35"/>
  <c r="A770" i="35"/>
  <c r="AA769" i="35"/>
  <c r="F769" i="35"/>
  <c r="A769" i="35"/>
  <c r="AA768" i="35"/>
  <c r="F768" i="35"/>
  <c r="A768" i="35"/>
  <c r="AA767" i="35"/>
  <c r="A767" i="35"/>
  <c r="AA766" i="35"/>
  <c r="F766" i="35"/>
  <c r="A766" i="35"/>
  <c r="AA765" i="35"/>
  <c r="F765" i="35"/>
  <c r="A765" i="35"/>
  <c r="AA764" i="35"/>
  <c r="F764" i="35"/>
  <c r="A764" i="35"/>
  <c r="AA763" i="35"/>
  <c r="F763" i="35"/>
  <c r="A763" i="35"/>
  <c r="AA762" i="35"/>
  <c r="A762" i="35"/>
  <c r="AA761" i="35"/>
  <c r="F761" i="35"/>
  <c r="A761" i="35"/>
  <c r="AA760" i="35"/>
  <c r="F760" i="35"/>
  <c r="A760" i="35"/>
  <c r="AA759" i="35"/>
  <c r="F759" i="35"/>
  <c r="A759" i="35"/>
  <c r="AA758" i="35"/>
  <c r="F758" i="35"/>
  <c r="A758" i="35"/>
  <c r="AA757" i="35"/>
  <c r="F757" i="35"/>
  <c r="A757" i="35"/>
  <c r="AA756" i="35"/>
  <c r="F756" i="35"/>
  <c r="A756" i="35"/>
  <c r="AA755" i="35"/>
  <c r="F755" i="35"/>
  <c r="A755" i="35"/>
  <c r="AA754" i="35"/>
  <c r="F754" i="35"/>
  <c r="A754" i="35"/>
  <c r="AA753" i="35"/>
  <c r="F753" i="35"/>
  <c r="A753" i="35"/>
  <c r="AA752" i="35"/>
  <c r="F752" i="35"/>
  <c r="A752" i="35"/>
  <c r="AA751" i="35"/>
  <c r="F751" i="35"/>
  <c r="A751" i="35"/>
  <c r="AA750" i="35"/>
  <c r="F750" i="35"/>
  <c r="A750" i="35"/>
  <c r="AA749" i="35"/>
  <c r="F749" i="35"/>
  <c r="A749" i="35"/>
  <c r="AA748" i="35"/>
  <c r="A748" i="35"/>
  <c r="AA747" i="35"/>
  <c r="F747" i="35"/>
  <c r="A747" i="35"/>
  <c r="AA746" i="35"/>
  <c r="F746" i="35"/>
  <c r="A746" i="35"/>
  <c r="AA745" i="35"/>
  <c r="F745" i="35"/>
  <c r="A745" i="35"/>
  <c r="AA744" i="35"/>
  <c r="F744" i="35"/>
  <c r="A744" i="35"/>
  <c r="AA743" i="35"/>
  <c r="F743" i="35"/>
  <c r="A743" i="35"/>
  <c r="AA742" i="35"/>
  <c r="F742" i="35"/>
  <c r="A742" i="35"/>
  <c r="AA741" i="35"/>
  <c r="F741" i="35"/>
  <c r="A741" i="35"/>
  <c r="AA740" i="35"/>
  <c r="F740" i="35"/>
  <c r="A740" i="35"/>
  <c r="AA739" i="35"/>
  <c r="F739" i="35"/>
  <c r="A739" i="35"/>
  <c r="AA738" i="35"/>
  <c r="F738" i="35"/>
  <c r="A738" i="35"/>
  <c r="AA737" i="35"/>
  <c r="F737" i="35"/>
  <c r="A737" i="35"/>
  <c r="AA736" i="35"/>
  <c r="F736" i="35"/>
  <c r="A736" i="35"/>
  <c r="AA735" i="35"/>
  <c r="F735" i="35"/>
  <c r="A735" i="35"/>
  <c r="AA734" i="35"/>
  <c r="A734" i="35"/>
  <c r="AA733" i="35"/>
  <c r="F733" i="35"/>
  <c r="A733" i="35"/>
  <c r="AA732" i="35"/>
  <c r="F732" i="35"/>
  <c r="A732" i="35"/>
  <c r="AA731" i="35"/>
  <c r="F731" i="35"/>
  <c r="A731" i="35"/>
  <c r="AA730" i="35"/>
  <c r="F730" i="35"/>
  <c r="A730" i="35"/>
  <c r="AA729" i="35"/>
  <c r="F729" i="35"/>
  <c r="A729" i="35"/>
  <c r="AA728" i="35"/>
  <c r="F728" i="35"/>
  <c r="A728" i="35"/>
  <c r="AA727" i="35"/>
  <c r="F727" i="35"/>
  <c r="A727" i="35"/>
  <c r="AA726" i="35"/>
  <c r="F726" i="35"/>
  <c r="A726" i="35"/>
  <c r="AA725" i="35"/>
  <c r="F725" i="35"/>
  <c r="A725" i="35"/>
  <c r="A724" i="35"/>
  <c r="AA723" i="35"/>
  <c r="F723" i="35"/>
  <c r="A723" i="35"/>
  <c r="AA722" i="35"/>
  <c r="F722" i="35"/>
  <c r="A722" i="35"/>
  <c r="AA721" i="35"/>
  <c r="F721" i="35"/>
  <c r="A721" i="35"/>
  <c r="AA720" i="35"/>
  <c r="F720" i="35"/>
  <c r="A720" i="35"/>
  <c r="AA719" i="35"/>
  <c r="F719" i="35"/>
  <c r="A719" i="35"/>
  <c r="AA718" i="35"/>
  <c r="F718" i="35"/>
  <c r="A718" i="35"/>
  <c r="AA717" i="35"/>
  <c r="F717" i="35"/>
  <c r="A717" i="35"/>
  <c r="AC716" i="35"/>
  <c r="AA716" i="35"/>
  <c r="F716" i="35"/>
  <c r="A716" i="35"/>
  <c r="AC715" i="35"/>
  <c r="AA715" i="35"/>
  <c r="F715" i="35"/>
  <c r="A715" i="35"/>
  <c r="AA714" i="35"/>
  <c r="F714" i="35"/>
  <c r="A714" i="35"/>
  <c r="AA713" i="35"/>
  <c r="F713" i="35"/>
  <c r="A713" i="35"/>
  <c r="AA712" i="35"/>
  <c r="F712" i="35"/>
  <c r="A712" i="35"/>
  <c r="AA711" i="35"/>
  <c r="F711" i="35"/>
  <c r="A711" i="35"/>
  <c r="AA710" i="35"/>
  <c r="F710" i="35"/>
  <c r="A710" i="35"/>
  <c r="AA709" i="35"/>
  <c r="F709" i="35"/>
  <c r="A709" i="35"/>
  <c r="AC708" i="35"/>
  <c r="AA708" i="35"/>
  <c r="F708" i="35"/>
  <c r="A708" i="35"/>
  <c r="AA707" i="35"/>
  <c r="F707" i="35"/>
  <c r="A707" i="35"/>
  <c r="AA706" i="35"/>
  <c r="F706" i="35"/>
  <c r="A706" i="35"/>
  <c r="AA705" i="35"/>
  <c r="F705" i="35"/>
  <c r="A705" i="35"/>
  <c r="AA704" i="35"/>
  <c r="F704" i="35"/>
  <c r="A704" i="35"/>
  <c r="AC703" i="35"/>
  <c r="AA703" i="35"/>
  <c r="F703" i="35"/>
  <c r="A703" i="35"/>
  <c r="AA702" i="35"/>
  <c r="F702" i="35"/>
  <c r="A702" i="35"/>
  <c r="AA701" i="35"/>
  <c r="F701" i="35"/>
  <c r="A701" i="35"/>
  <c r="AA700" i="35"/>
  <c r="F700" i="35"/>
  <c r="A700" i="35"/>
  <c r="AA699" i="35"/>
  <c r="F699" i="35"/>
  <c r="A699" i="35"/>
  <c r="AA698" i="35"/>
  <c r="F698" i="35"/>
  <c r="A698" i="35"/>
  <c r="AA697" i="35"/>
  <c r="F697" i="35"/>
  <c r="A697" i="35"/>
  <c r="AA696" i="35"/>
  <c r="F696" i="35"/>
  <c r="A696" i="35"/>
  <c r="AA695" i="35"/>
  <c r="F695" i="35"/>
  <c r="A695" i="35"/>
  <c r="AA694" i="35"/>
  <c r="F694" i="35"/>
  <c r="A694" i="35"/>
  <c r="AA693" i="35"/>
  <c r="F693" i="35"/>
  <c r="A693" i="35"/>
  <c r="AA692" i="35"/>
  <c r="F692" i="35"/>
  <c r="A692" i="35"/>
  <c r="AA691" i="35"/>
  <c r="F691" i="35"/>
  <c r="A691" i="35"/>
  <c r="AC690" i="35"/>
  <c r="AA690" i="35"/>
  <c r="F690" i="35"/>
  <c r="A690" i="35"/>
  <c r="AA689" i="35"/>
  <c r="F689" i="35"/>
  <c r="A689" i="35"/>
  <c r="AA688" i="35"/>
  <c r="F688" i="35"/>
  <c r="A688" i="35"/>
  <c r="AA687" i="35"/>
  <c r="F687" i="35"/>
  <c r="A687" i="35"/>
  <c r="AA686" i="35"/>
  <c r="F686" i="35"/>
  <c r="A686" i="35"/>
  <c r="AA685" i="35"/>
  <c r="F685" i="35"/>
  <c r="A685" i="35"/>
  <c r="AA684" i="35"/>
  <c r="F684" i="35"/>
  <c r="A684" i="35"/>
  <c r="AA683" i="35"/>
  <c r="F683" i="35"/>
  <c r="A683" i="35"/>
  <c r="AA682" i="35"/>
  <c r="F682" i="35"/>
  <c r="A682" i="35"/>
  <c r="AC681" i="35"/>
  <c r="AA681" i="35"/>
  <c r="F681" i="35"/>
  <c r="A681" i="35"/>
  <c r="AA680" i="35"/>
  <c r="F680" i="35"/>
  <c r="A680" i="35"/>
  <c r="AA679" i="35"/>
  <c r="F679" i="35"/>
  <c r="A679" i="35"/>
  <c r="AA678" i="35"/>
  <c r="F678" i="35"/>
  <c r="A678" i="35"/>
  <c r="AA677" i="35"/>
  <c r="F677" i="35"/>
  <c r="A677" i="35"/>
  <c r="AA676" i="35"/>
  <c r="F676" i="35"/>
  <c r="A676" i="35"/>
  <c r="AC675" i="35"/>
  <c r="AA675" i="35"/>
  <c r="F675" i="35"/>
  <c r="A675" i="35"/>
  <c r="AA674" i="35"/>
  <c r="F674" i="35"/>
  <c r="A674" i="35"/>
  <c r="AA673" i="35"/>
  <c r="F673" i="35"/>
  <c r="A673" i="35"/>
  <c r="AA672" i="35"/>
  <c r="F672" i="35"/>
  <c r="A672" i="35"/>
  <c r="F671" i="35"/>
  <c r="A671" i="35"/>
  <c r="AA670" i="35"/>
  <c r="F670" i="35"/>
  <c r="A670" i="35"/>
  <c r="AA669" i="35"/>
  <c r="F669" i="35"/>
  <c r="A669" i="35"/>
  <c r="AC668" i="35"/>
  <c r="AA668" i="35"/>
  <c r="F668" i="35"/>
  <c r="A668" i="35"/>
  <c r="AA667" i="35"/>
  <c r="F667" i="35"/>
  <c r="A667" i="35"/>
  <c r="AA666" i="35"/>
  <c r="F666" i="35"/>
  <c r="A666" i="35"/>
  <c r="AA665" i="35"/>
  <c r="F665" i="35"/>
  <c r="A665" i="35"/>
  <c r="AA664" i="35"/>
  <c r="F664" i="35"/>
  <c r="A664" i="35"/>
  <c r="AA663" i="35"/>
  <c r="F663" i="35"/>
  <c r="A663" i="35"/>
  <c r="AA662" i="35"/>
  <c r="F662" i="35"/>
  <c r="A662" i="35"/>
  <c r="AC661" i="35"/>
  <c r="AA661" i="35"/>
  <c r="F661" i="35"/>
  <c r="A661" i="35"/>
  <c r="AA660" i="35"/>
  <c r="F660" i="35"/>
  <c r="A660" i="35"/>
  <c r="AC659" i="35"/>
  <c r="AA659" i="35"/>
  <c r="F659" i="35"/>
  <c r="A659" i="35"/>
  <c r="AA658" i="35"/>
  <c r="F658" i="35"/>
  <c r="A658" i="35"/>
  <c r="AA657" i="35"/>
  <c r="F657" i="35"/>
  <c r="A657" i="35"/>
  <c r="AA656" i="35"/>
  <c r="F656" i="35"/>
  <c r="A656" i="35"/>
  <c r="F655" i="35"/>
  <c r="A655" i="35"/>
  <c r="AA654" i="35"/>
  <c r="F654" i="35"/>
  <c r="A654" i="35"/>
  <c r="AA653" i="35"/>
  <c r="F653" i="35"/>
  <c r="A653" i="35"/>
  <c r="AA652" i="35"/>
  <c r="F652" i="35"/>
  <c r="A652" i="35"/>
  <c r="AA651" i="35"/>
  <c r="F651" i="35"/>
  <c r="A651" i="35"/>
  <c r="AA650" i="35"/>
  <c r="F650" i="35"/>
  <c r="A650" i="35"/>
  <c r="AA649" i="35"/>
  <c r="F649" i="35"/>
  <c r="A649" i="35"/>
  <c r="AA648" i="35"/>
  <c r="F648" i="35"/>
  <c r="A648" i="35"/>
  <c r="AC647" i="35"/>
  <c r="AA647" i="35"/>
  <c r="F647" i="35"/>
  <c r="A647" i="35"/>
  <c r="AC646" i="35"/>
  <c r="AA646" i="35"/>
  <c r="F646" i="35"/>
  <c r="A646" i="35"/>
  <c r="AA645" i="35"/>
  <c r="F645" i="35"/>
  <c r="A645" i="35"/>
  <c r="AA644" i="35"/>
  <c r="F644" i="35"/>
  <c r="A644" i="35"/>
  <c r="AA643" i="35"/>
  <c r="F643" i="35"/>
  <c r="A643" i="35"/>
  <c r="AC642" i="35"/>
  <c r="AA642" i="35"/>
  <c r="F642" i="35"/>
  <c r="A642" i="35"/>
  <c r="AA641" i="35"/>
  <c r="F641" i="35"/>
  <c r="A641" i="35"/>
  <c r="AA640" i="35"/>
  <c r="F640" i="35"/>
  <c r="A640" i="35"/>
  <c r="F639" i="35"/>
  <c r="A639" i="35"/>
  <c r="AA638" i="35"/>
  <c r="F638" i="35"/>
  <c r="A638" i="35"/>
  <c r="AA637" i="35"/>
  <c r="F637" i="35"/>
  <c r="A637" i="35"/>
  <c r="AA636" i="35"/>
  <c r="F636" i="35"/>
  <c r="A636" i="35"/>
  <c r="AC635" i="35"/>
  <c r="AA635" i="35"/>
  <c r="F635" i="35"/>
  <c r="A635" i="35"/>
  <c r="AA634" i="35"/>
  <c r="F634" i="35"/>
  <c r="A634" i="35"/>
  <c r="AA633" i="35"/>
  <c r="F633" i="35"/>
  <c r="A633" i="35"/>
  <c r="AA632" i="35"/>
  <c r="F632" i="35"/>
  <c r="A632" i="35"/>
  <c r="AA631" i="35"/>
  <c r="F631" i="35"/>
  <c r="A631" i="35"/>
  <c r="AA630" i="35"/>
  <c r="F630" i="35"/>
  <c r="A630" i="35"/>
  <c r="AC629" i="35"/>
  <c r="AA629" i="35"/>
  <c r="F629" i="35"/>
  <c r="A629" i="35"/>
  <c r="AA628" i="35"/>
  <c r="F628" i="35"/>
  <c r="A628" i="35"/>
  <c r="AA627" i="35"/>
  <c r="F627" i="35"/>
  <c r="A627" i="35"/>
  <c r="AA626" i="35"/>
  <c r="F626" i="35"/>
  <c r="A626" i="35"/>
  <c r="AA625" i="35"/>
  <c r="F625" i="35"/>
  <c r="A625" i="35"/>
  <c r="AA624" i="35"/>
  <c r="F624" i="35"/>
  <c r="A624" i="35"/>
  <c r="AA623" i="35"/>
  <c r="F623" i="35"/>
  <c r="A623" i="35"/>
  <c r="AC622" i="35"/>
  <c r="AA622" i="35"/>
  <c r="F622" i="35"/>
  <c r="A622" i="35"/>
  <c r="AC621" i="35"/>
  <c r="AA621" i="35"/>
  <c r="F621" i="35"/>
  <c r="A621" i="35"/>
  <c r="AA620" i="35"/>
  <c r="F620" i="35"/>
  <c r="A620" i="35"/>
  <c r="AC619" i="35"/>
  <c r="AA619" i="35"/>
  <c r="F619" i="35"/>
  <c r="A619" i="35"/>
  <c r="AA618" i="35"/>
  <c r="F618" i="35"/>
  <c r="A618" i="35"/>
  <c r="AA617" i="35"/>
  <c r="F617" i="35"/>
  <c r="A617" i="35"/>
  <c r="AA616" i="35"/>
  <c r="F616" i="35"/>
  <c r="A616" i="35"/>
  <c r="AA615" i="35"/>
  <c r="F615" i="35"/>
  <c r="A615" i="35"/>
  <c r="AC614" i="35"/>
  <c r="AA614" i="35"/>
  <c r="F614" i="35"/>
  <c r="A614" i="35"/>
  <c r="AC613" i="35"/>
  <c r="AA613" i="35"/>
  <c r="F613" i="35"/>
  <c r="A613" i="35"/>
  <c r="AA612" i="35"/>
  <c r="F612" i="35"/>
  <c r="A612" i="35"/>
  <c r="AA611" i="35"/>
  <c r="F611" i="35"/>
  <c r="A611" i="35"/>
  <c r="AA610" i="35"/>
  <c r="F610" i="35"/>
  <c r="A610" i="35"/>
  <c r="AA609" i="35"/>
  <c r="F609" i="35"/>
  <c r="A609" i="35"/>
  <c r="AA608" i="35"/>
  <c r="F608" i="35"/>
  <c r="A608" i="35"/>
  <c r="AA607" i="35"/>
  <c r="F607" i="35"/>
  <c r="A607" i="35"/>
  <c r="AA606" i="35"/>
  <c r="F606" i="35"/>
  <c r="A606" i="35"/>
  <c r="F605" i="35"/>
  <c r="A605" i="35"/>
  <c r="F604" i="35"/>
  <c r="A604" i="35"/>
  <c r="AA603" i="35"/>
  <c r="F603" i="35"/>
  <c r="A603" i="35"/>
  <c r="AA602" i="35"/>
  <c r="F602" i="35"/>
  <c r="A602" i="35"/>
  <c r="AC601" i="35"/>
  <c r="AA601" i="35"/>
  <c r="F601" i="35"/>
  <c r="A601" i="35"/>
  <c r="AA600" i="35"/>
  <c r="F600" i="35"/>
  <c r="A600" i="35"/>
  <c r="AA599" i="35"/>
  <c r="F599" i="35"/>
  <c r="A599" i="35"/>
  <c r="AA598" i="35"/>
  <c r="F598" i="35"/>
  <c r="A598" i="35"/>
  <c r="AA597" i="35"/>
  <c r="F597" i="35"/>
  <c r="A597" i="35"/>
  <c r="F596" i="35"/>
  <c r="A596" i="35"/>
  <c r="AA595" i="35"/>
  <c r="F595" i="35"/>
  <c r="A595" i="35"/>
  <c r="AA594" i="35"/>
  <c r="F594" i="35"/>
  <c r="A594" i="35"/>
  <c r="AA593" i="35"/>
  <c r="F593" i="35"/>
  <c r="A593" i="35"/>
  <c r="AA592" i="35"/>
  <c r="F592" i="35"/>
  <c r="A592" i="35"/>
  <c r="AA591" i="35"/>
  <c r="F591" i="35"/>
  <c r="A591" i="35"/>
  <c r="AA590" i="35"/>
  <c r="F590" i="35"/>
  <c r="A590" i="35"/>
  <c r="AA589" i="35"/>
  <c r="F589" i="35"/>
  <c r="A589" i="35"/>
  <c r="AC588" i="35"/>
  <c r="AA588" i="35"/>
  <c r="F588" i="35"/>
  <c r="A588" i="35"/>
  <c r="AC587" i="35"/>
  <c r="AA587" i="35"/>
  <c r="F587" i="35"/>
  <c r="A587" i="35"/>
  <c r="AC586" i="35"/>
  <c r="AA586" i="35"/>
  <c r="F586" i="35"/>
  <c r="A586" i="35"/>
  <c r="AA585" i="35"/>
  <c r="F585" i="35"/>
  <c r="A585" i="35"/>
  <c r="AA584" i="35"/>
  <c r="F584" i="35"/>
  <c r="A584" i="35"/>
  <c r="AC583" i="35"/>
  <c r="AA583" i="35"/>
  <c r="F583" i="35"/>
  <c r="A583" i="35"/>
  <c r="AA582" i="35"/>
  <c r="F582" i="35"/>
  <c r="A582" i="35"/>
  <c r="AA581" i="35"/>
  <c r="F581" i="35"/>
  <c r="A581" i="35"/>
  <c r="AA580" i="35"/>
  <c r="F580" i="35"/>
  <c r="A580" i="35"/>
  <c r="AC579" i="35"/>
  <c r="AA579" i="35"/>
  <c r="F579" i="35"/>
  <c r="A579" i="35"/>
  <c r="AA578" i="35"/>
  <c r="F578" i="35"/>
  <c r="A578" i="35"/>
  <c r="AA577" i="35"/>
  <c r="F577" i="35"/>
  <c r="A577" i="35"/>
  <c r="AA576" i="35"/>
  <c r="F576" i="35"/>
  <c r="A576" i="35"/>
  <c r="AC575" i="35"/>
  <c r="AA575" i="35"/>
  <c r="F575" i="35"/>
  <c r="A575" i="35"/>
  <c r="AA574" i="35"/>
  <c r="F574" i="35"/>
  <c r="A574" i="35"/>
  <c r="AA573" i="35"/>
  <c r="F573" i="35"/>
  <c r="A573" i="35"/>
  <c r="AA572" i="35"/>
  <c r="F572" i="35"/>
  <c r="A572" i="35"/>
  <c r="AA571" i="35"/>
  <c r="F571" i="35"/>
  <c r="A571" i="35"/>
  <c r="AA570" i="35"/>
  <c r="F570" i="35"/>
  <c r="A570" i="35"/>
  <c r="AA569" i="35"/>
  <c r="F569" i="35"/>
  <c r="A569" i="35"/>
  <c r="AC568" i="35"/>
  <c r="AA568" i="35"/>
  <c r="F568" i="35"/>
  <c r="A568" i="35"/>
  <c r="AA567" i="35"/>
  <c r="F567" i="35"/>
  <c r="A567" i="35"/>
  <c r="AA566" i="35"/>
  <c r="F566" i="35"/>
  <c r="A566" i="35"/>
  <c r="AA565" i="35"/>
  <c r="F565" i="35"/>
  <c r="A565" i="35"/>
  <c r="AC564" i="35"/>
  <c r="AA564" i="35"/>
  <c r="F564" i="35"/>
  <c r="A564" i="35"/>
  <c r="AA563" i="35"/>
  <c r="F563" i="35"/>
  <c r="A563" i="35"/>
  <c r="AA562" i="35"/>
  <c r="F562" i="35"/>
  <c r="A562" i="35"/>
  <c r="AA561" i="35"/>
  <c r="F561" i="35"/>
  <c r="A561" i="35"/>
  <c r="AA560" i="35"/>
  <c r="F560" i="35"/>
  <c r="A560" i="35"/>
  <c r="AC559" i="35"/>
  <c r="AA559" i="35"/>
  <c r="F559" i="35"/>
  <c r="A559" i="35"/>
  <c r="AC558" i="35"/>
  <c r="AA558" i="35"/>
  <c r="F558" i="35"/>
  <c r="A558" i="35"/>
  <c r="AA557" i="35"/>
  <c r="F557" i="35"/>
  <c r="A557" i="35"/>
  <c r="AC556" i="35"/>
  <c r="AA556" i="35"/>
  <c r="F556" i="35"/>
  <c r="A556" i="35"/>
  <c r="AA555" i="35"/>
  <c r="F555" i="35"/>
  <c r="A555" i="35"/>
  <c r="AA554" i="35"/>
  <c r="F554" i="35"/>
  <c r="A554" i="35"/>
  <c r="AA553" i="35"/>
  <c r="F553" i="35"/>
  <c r="A553" i="35"/>
  <c r="AA552" i="35"/>
  <c r="F552" i="35"/>
  <c r="A552" i="35"/>
  <c r="AA551" i="35"/>
  <c r="F551" i="35"/>
  <c r="A551" i="35"/>
  <c r="AA550" i="35"/>
  <c r="F550" i="35"/>
  <c r="A550" i="35"/>
  <c r="AA549" i="35"/>
  <c r="F549" i="35"/>
  <c r="A549" i="35"/>
  <c r="AA548" i="35"/>
  <c r="F548" i="35"/>
  <c r="A548" i="35"/>
  <c r="AA547" i="35"/>
  <c r="F547" i="35"/>
  <c r="A547" i="35"/>
  <c r="AA546" i="35"/>
  <c r="F546" i="35"/>
  <c r="A546" i="35"/>
  <c r="AA545" i="35"/>
  <c r="F545" i="35"/>
  <c r="A545" i="35"/>
  <c r="AA544" i="35"/>
  <c r="F544" i="35"/>
  <c r="A544" i="35"/>
  <c r="AA543" i="35"/>
  <c r="F543" i="35"/>
  <c r="A543" i="35"/>
  <c r="AA542" i="35"/>
  <c r="F542" i="35"/>
  <c r="A542" i="35"/>
  <c r="AA541" i="35"/>
  <c r="F541" i="35"/>
  <c r="A541" i="35"/>
  <c r="AA540" i="35"/>
  <c r="F540" i="35"/>
  <c r="A540" i="35"/>
  <c r="AA539" i="35"/>
  <c r="F539" i="35"/>
  <c r="A539" i="35"/>
  <c r="AA538" i="35"/>
  <c r="F538" i="35"/>
  <c r="A538" i="35"/>
  <c r="AA537" i="35"/>
  <c r="F537" i="35"/>
  <c r="A537" i="35"/>
  <c r="AA536" i="35"/>
  <c r="F536" i="35"/>
  <c r="A536" i="35"/>
  <c r="AA535" i="35"/>
  <c r="F535" i="35"/>
  <c r="A535" i="35"/>
  <c r="AA534" i="35"/>
  <c r="F534" i="35"/>
  <c r="A534" i="35"/>
  <c r="AA533" i="35"/>
  <c r="F533" i="35"/>
  <c r="A533" i="35"/>
  <c r="AA532" i="35"/>
  <c r="F532" i="35"/>
  <c r="A532" i="35"/>
  <c r="AA531" i="35"/>
  <c r="F531" i="35"/>
  <c r="A531" i="35"/>
  <c r="AA530" i="35"/>
  <c r="F530" i="35"/>
  <c r="A530" i="35"/>
  <c r="AA529" i="35"/>
  <c r="F529" i="35"/>
  <c r="A529" i="35"/>
  <c r="AA528" i="35"/>
  <c r="F528" i="35"/>
  <c r="A528" i="35"/>
  <c r="AA527" i="35"/>
  <c r="F527" i="35"/>
  <c r="A527" i="35"/>
  <c r="AA526" i="35"/>
  <c r="F526" i="35"/>
  <c r="A526" i="35"/>
  <c r="AA525" i="35"/>
  <c r="F525" i="35"/>
  <c r="A525" i="35"/>
  <c r="AA524" i="35"/>
  <c r="F524" i="35"/>
  <c r="A524" i="35"/>
  <c r="AA523" i="35"/>
  <c r="F523" i="35"/>
  <c r="A523" i="35"/>
  <c r="AA522" i="35"/>
  <c r="F522" i="35"/>
  <c r="A522" i="35"/>
  <c r="AA521" i="35"/>
  <c r="F521" i="35"/>
  <c r="A521" i="35"/>
  <c r="AA520" i="35"/>
  <c r="F520" i="35"/>
  <c r="A520" i="35"/>
  <c r="AA519" i="35"/>
  <c r="F519" i="35"/>
  <c r="A519" i="35"/>
  <c r="AA518" i="35"/>
  <c r="F518" i="35"/>
  <c r="A518" i="35"/>
  <c r="AA517" i="35"/>
  <c r="F517" i="35"/>
  <c r="A517" i="35"/>
  <c r="AA516" i="35"/>
  <c r="F516" i="35"/>
  <c r="A516" i="35"/>
  <c r="AA515" i="35"/>
  <c r="F515" i="35"/>
  <c r="A515" i="35"/>
  <c r="AA514" i="35"/>
  <c r="F514" i="35"/>
  <c r="A514" i="35"/>
  <c r="AA513" i="35"/>
  <c r="F513" i="35"/>
  <c r="A513" i="35"/>
  <c r="AA512" i="35"/>
  <c r="F512" i="35"/>
  <c r="A512" i="35"/>
  <c r="AA511" i="35"/>
  <c r="F511" i="35"/>
  <c r="A511" i="35"/>
  <c r="AA510" i="35"/>
  <c r="F510" i="35"/>
  <c r="A510" i="35"/>
  <c r="AA509" i="35"/>
  <c r="F509" i="35"/>
  <c r="A509" i="35"/>
  <c r="AA508" i="35"/>
  <c r="F508" i="35"/>
  <c r="A508" i="35"/>
  <c r="AA507" i="35"/>
  <c r="F507" i="35"/>
  <c r="A507" i="35"/>
  <c r="AA506" i="35"/>
  <c r="F506" i="35"/>
  <c r="A506" i="35"/>
  <c r="AA505" i="35"/>
  <c r="F505" i="35"/>
  <c r="A505" i="35"/>
  <c r="AA504" i="35"/>
  <c r="F504" i="35"/>
  <c r="A504" i="35"/>
  <c r="AA503" i="35"/>
  <c r="F503" i="35"/>
  <c r="A503" i="35"/>
  <c r="AC502" i="35"/>
  <c r="AA502" i="35"/>
  <c r="F502" i="35"/>
  <c r="A502" i="35"/>
  <c r="AA501" i="35"/>
  <c r="F501" i="35"/>
  <c r="A501" i="35"/>
  <c r="AA500" i="35"/>
  <c r="F500" i="35"/>
  <c r="A500" i="35"/>
  <c r="AA499" i="35"/>
  <c r="F499" i="35"/>
  <c r="A499" i="35"/>
  <c r="AA498" i="35"/>
  <c r="F498" i="35"/>
  <c r="A498" i="35"/>
  <c r="AA497" i="35"/>
  <c r="F497" i="35"/>
  <c r="A497" i="35"/>
  <c r="AA496" i="35"/>
  <c r="F496" i="35"/>
  <c r="A496" i="35"/>
  <c r="AA495" i="35"/>
  <c r="F495" i="35"/>
  <c r="A495" i="35"/>
  <c r="AC494" i="35"/>
  <c r="AA494" i="35"/>
  <c r="F494" i="35"/>
  <c r="A494" i="35"/>
  <c r="AA493" i="35"/>
  <c r="F493" i="35"/>
  <c r="A493" i="35"/>
  <c r="AA492" i="35"/>
  <c r="F492" i="35"/>
  <c r="A492" i="35"/>
  <c r="AC491" i="35"/>
  <c r="AA491" i="35"/>
  <c r="F491" i="35"/>
  <c r="A491" i="35"/>
  <c r="AC490" i="35"/>
  <c r="AA490" i="35"/>
  <c r="F490" i="35"/>
  <c r="A490" i="35"/>
  <c r="AA489" i="35"/>
  <c r="F489" i="35"/>
  <c r="A489" i="35"/>
  <c r="AA488" i="35"/>
  <c r="F488" i="35"/>
  <c r="A488" i="35"/>
  <c r="AC487" i="35"/>
  <c r="AA487" i="35"/>
  <c r="F487" i="35"/>
  <c r="A487" i="35"/>
  <c r="F486" i="35"/>
  <c r="A486" i="35"/>
  <c r="AA485" i="35"/>
  <c r="F485" i="35"/>
  <c r="A485" i="35"/>
  <c r="AA484" i="35"/>
  <c r="F484" i="35"/>
  <c r="A484" i="35"/>
  <c r="AA483" i="35"/>
  <c r="F483" i="35"/>
  <c r="A483" i="35"/>
  <c r="AC482" i="35"/>
  <c r="AA482" i="35"/>
  <c r="F482" i="35"/>
  <c r="A482" i="35"/>
  <c r="AA481" i="35"/>
  <c r="F481" i="35"/>
  <c r="A481" i="35"/>
  <c r="AA480" i="35"/>
  <c r="F480" i="35"/>
  <c r="A480" i="35"/>
  <c r="AA479" i="35"/>
  <c r="F479" i="35"/>
  <c r="A479" i="35"/>
  <c r="AA478" i="35"/>
  <c r="F478" i="35"/>
  <c r="A478" i="35"/>
  <c r="AA477" i="35"/>
  <c r="F477" i="35"/>
  <c r="A477" i="35"/>
  <c r="AC476" i="35"/>
  <c r="AA476" i="35"/>
  <c r="F476" i="35"/>
  <c r="A476" i="35"/>
  <c r="AA475" i="35"/>
  <c r="F475" i="35"/>
  <c r="A475" i="35"/>
  <c r="AA474" i="35"/>
  <c r="F474" i="35"/>
  <c r="A474" i="35"/>
  <c r="AA473" i="35"/>
  <c r="F473" i="35"/>
  <c r="A473" i="35"/>
  <c r="AA472" i="35"/>
  <c r="F472" i="35"/>
  <c r="A472" i="35"/>
  <c r="AA471" i="35"/>
  <c r="F471" i="35"/>
  <c r="A471" i="35"/>
  <c r="AC470" i="35"/>
  <c r="AA470" i="35"/>
  <c r="F470" i="35"/>
  <c r="A470" i="35"/>
  <c r="AA469" i="35"/>
  <c r="F469" i="35"/>
  <c r="A469" i="35"/>
  <c r="AA468" i="35"/>
  <c r="F468" i="35"/>
  <c r="A468" i="35"/>
  <c r="AA467" i="35"/>
  <c r="F467" i="35"/>
  <c r="A467" i="35"/>
  <c r="AC466" i="35"/>
  <c r="AA466" i="35"/>
  <c r="F466" i="35"/>
  <c r="A466" i="35"/>
  <c r="AA465" i="35"/>
  <c r="F465" i="35"/>
  <c r="A465" i="35"/>
  <c r="AC464" i="35"/>
  <c r="AA464" i="35"/>
  <c r="F464" i="35"/>
  <c r="A464" i="35"/>
  <c r="AA463" i="35"/>
  <c r="F463" i="35"/>
  <c r="A463" i="35"/>
  <c r="AA462" i="35"/>
  <c r="F462" i="35"/>
  <c r="A462" i="35"/>
  <c r="AA461" i="35"/>
  <c r="F461" i="35"/>
  <c r="A461" i="35"/>
  <c r="AA460" i="35"/>
  <c r="F460" i="35"/>
  <c r="A460" i="35"/>
  <c r="AA459" i="35"/>
  <c r="F459" i="35"/>
  <c r="A459" i="35"/>
  <c r="AA458" i="35"/>
  <c r="F458" i="35"/>
  <c r="A458" i="35"/>
  <c r="AC457" i="35"/>
  <c r="AA457" i="35"/>
  <c r="F457" i="35"/>
  <c r="A457" i="35"/>
  <c r="AA456" i="35"/>
  <c r="F456" i="35"/>
  <c r="A456" i="35"/>
  <c r="AA455" i="35"/>
  <c r="F455" i="35"/>
  <c r="A455" i="35"/>
  <c r="AA454" i="35"/>
  <c r="F454" i="35"/>
  <c r="A454" i="35"/>
  <c r="AA453" i="35"/>
  <c r="F453" i="35"/>
  <c r="A453" i="35"/>
  <c r="AA452" i="35"/>
  <c r="F452" i="35"/>
  <c r="A452" i="35"/>
  <c r="AA451" i="35"/>
  <c r="F451" i="35"/>
  <c r="A451" i="35"/>
  <c r="AA450" i="35"/>
  <c r="F450" i="35"/>
  <c r="A450" i="35"/>
  <c r="AA449" i="35"/>
  <c r="F449" i="35"/>
  <c r="A449" i="35"/>
  <c r="AA448" i="35"/>
  <c r="F448" i="35"/>
  <c r="A448" i="35"/>
  <c r="AA447" i="35"/>
  <c r="F447" i="35"/>
  <c r="A447" i="35"/>
  <c r="AC446" i="35"/>
  <c r="AA446" i="35"/>
  <c r="F446" i="35"/>
  <c r="A446" i="35"/>
  <c r="AC445" i="35"/>
  <c r="AA445" i="35"/>
  <c r="F445" i="35"/>
  <c r="A445" i="35"/>
  <c r="AA444" i="35"/>
  <c r="F444" i="35"/>
  <c r="A444" i="35"/>
  <c r="AA443" i="35"/>
  <c r="F443" i="35"/>
  <c r="A443" i="35"/>
  <c r="AA442" i="35"/>
  <c r="F442" i="35"/>
  <c r="A442" i="35"/>
  <c r="AA441" i="35"/>
  <c r="F441" i="35"/>
  <c r="A441" i="35"/>
  <c r="AA440" i="35"/>
  <c r="F440" i="35"/>
  <c r="A440" i="35"/>
  <c r="AA439" i="35"/>
  <c r="F439" i="35"/>
  <c r="A439" i="35"/>
  <c r="AA438" i="35"/>
  <c r="F438" i="35"/>
  <c r="A438" i="35"/>
  <c r="AA437" i="35"/>
  <c r="F437" i="35"/>
  <c r="A437" i="35"/>
  <c r="AC436" i="35"/>
  <c r="AA436" i="35"/>
  <c r="F436" i="35"/>
  <c r="A436" i="35"/>
  <c r="AA435" i="35"/>
  <c r="F435" i="35"/>
  <c r="A435" i="35"/>
  <c r="AA434" i="35"/>
  <c r="F434" i="35"/>
  <c r="A434" i="35"/>
  <c r="AA433" i="35"/>
  <c r="F433" i="35"/>
  <c r="A433" i="35"/>
  <c r="AC432" i="35"/>
  <c r="AA432" i="35"/>
  <c r="F432" i="35"/>
  <c r="A432" i="35"/>
  <c r="AC431" i="35"/>
  <c r="AA431" i="35"/>
  <c r="F431" i="35"/>
  <c r="A431" i="35"/>
  <c r="AA430" i="35"/>
  <c r="F430" i="35"/>
  <c r="A430" i="35"/>
  <c r="AA429" i="35"/>
  <c r="F429" i="35"/>
  <c r="A429" i="35"/>
  <c r="AA428" i="35"/>
  <c r="F428" i="35"/>
  <c r="A428" i="35"/>
  <c r="AA427" i="35"/>
  <c r="F427" i="35"/>
  <c r="A427" i="35"/>
  <c r="AA426" i="35"/>
  <c r="F426" i="35"/>
  <c r="A426" i="35"/>
  <c r="AA425" i="35"/>
  <c r="F425" i="35"/>
  <c r="A425" i="35"/>
  <c r="AA424" i="35"/>
  <c r="F424" i="35"/>
  <c r="A424" i="35"/>
  <c r="AA423" i="35"/>
  <c r="F423" i="35"/>
  <c r="A423" i="35"/>
  <c r="AA422" i="35"/>
  <c r="F422" i="35"/>
  <c r="A422" i="35"/>
  <c r="AA421" i="35"/>
  <c r="F421" i="35"/>
  <c r="A421" i="35"/>
  <c r="AC420" i="35"/>
  <c r="AA420" i="35"/>
  <c r="F420" i="35"/>
  <c r="A420" i="35"/>
  <c r="AA419" i="35"/>
  <c r="F419" i="35"/>
  <c r="A419" i="35"/>
  <c r="AA418" i="35"/>
  <c r="F418" i="35"/>
  <c r="A418" i="35"/>
  <c r="AA417" i="35"/>
  <c r="F417" i="35"/>
  <c r="A417" i="35"/>
  <c r="AA416" i="35"/>
  <c r="F416" i="35"/>
  <c r="A416" i="35"/>
  <c r="AA415" i="35"/>
  <c r="F415" i="35"/>
  <c r="A415" i="35"/>
  <c r="AA414" i="35"/>
  <c r="F414" i="35"/>
  <c r="A414" i="35"/>
  <c r="AA413" i="35"/>
  <c r="F413" i="35"/>
  <c r="A413" i="35"/>
  <c r="AA412" i="35"/>
  <c r="F412" i="35"/>
  <c r="A412" i="35"/>
  <c r="AA411" i="35"/>
  <c r="F411" i="35"/>
  <c r="A411" i="35"/>
  <c r="AA410" i="35"/>
  <c r="F410" i="35"/>
  <c r="A410" i="35"/>
  <c r="AA409" i="35"/>
  <c r="F409" i="35"/>
  <c r="A409" i="35"/>
  <c r="AA408" i="35"/>
  <c r="F408" i="35"/>
  <c r="A408" i="35"/>
  <c r="AA407" i="35"/>
  <c r="F407" i="35"/>
  <c r="A407" i="35"/>
  <c r="AC406" i="35"/>
  <c r="AA406" i="35"/>
  <c r="F406" i="35"/>
  <c r="A406" i="35"/>
  <c r="AA405" i="35"/>
  <c r="F405" i="35"/>
  <c r="A405" i="35"/>
  <c r="AA404" i="35"/>
  <c r="F404" i="35"/>
  <c r="A404" i="35"/>
  <c r="AC403" i="35"/>
  <c r="AA403" i="35"/>
  <c r="F403" i="35"/>
  <c r="A403" i="35"/>
  <c r="AA402" i="35"/>
  <c r="F402" i="35"/>
  <c r="A402" i="35"/>
  <c r="AA401" i="35"/>
  <c r="F401" i="35"/>
  <c r="A401" i="35"/>
  <c r="AA400" i="35"/>
  <c r="F400" i="35"/>
  <c r="A400" i="35"/>
  <c r="AC399" i="35"/>
  <c r="AA399" i="35"/>
  <c r="F399" i="35"/>
  <c r="A399" i="35"/>
  <c r="AA398" i="35"/>
  <c r="F398" i="35"/>
  <c r="A398" i="35"/>
  <c r="AC397" i="35"/>
  <c r="AA397" i="35"/>
  <c r="F397" i="35"/>
  <c r="A397" i="35"/>
  <c r="AC396" i="35"/>
  <c r="AA396" i="35"/>
  <c r="F396" i="35"/>
  <c r="A396" i="35"/>
  <c r="AA395" i="35"/>
  <c r="F395" i="35"/>
  <c r="A395" i="35"/>
  <c r="AA394" i="35"/>
  <c r="F394" i="35"/>
  <c r="A394" i="35"/>
  <c r="AA393" i="35"/>
  <c r="F393" i="35"/>
  <c r="A393" i="35"/>
  <c r="AA392" i="35"/>
  <c r="F392" i="35"/>
  <c r="A392" i="35"/>
  <c r="AA391" i="35"/>
  <c r="F391" i="35"/>
  <c r="A391" i="35"/>
  <c r="AA390" i="35"/>
  <c r="F390" i="35"/>
  <c r="A390" i="35"/>
  <c r="AA389" i="35"/>
  <c r="F389" i="35"/>
  <c r="A389" i="35"/>
  <c r="AA388" i="35"/>
  <c r="F388" i="35"/>
  <c r="A388" i="35"/>
  <c r="AC387" i="35"/>
  <c r="AA387" i="35"/>
  <c r="F387" i="35"/>
  <c r="A387" i="35"/>
  <c r="AA386" i="35"/>
  <c r="F386" i="35"/>
  <c r="A386" i="35"/>
  <c r="F385" i="35"/>
  <c r="A385" i="35"/>
  <c r="AA384" i="35"/>
  <c r="F384" i="35"/>
  <c r="A384" i="35"/>
  <c r="AA383" i="35"/>
  <c r="F383" i="35"/>
  <c r="A383" i="35"/>
  <c r="AA382" i="35"/>
  <c r="F382" i="35"/>
  <c r="A382" i="35"/>
  <c r="AA381" i="35"/>
  <c r="F381" i="35"/>
  <c r="A381" i="35"/>
  <c r="AA380" i="35"/>
  <c r="F380" i="35"/>
  <c r="A380" i="35"/>
  <c r="AA379" i="35"/>
  <c r="F379" i="35"/>
  <c r="A379" i="35"/>
  <c r="AA378" i="35"/>
  <c r="F378" i="35"/>
  <c r="A378" i="35"/>
  <c r="AA377" i="35"/>
  <c r="F377" i="35"/>
  <c r="A377" i="35"/>
  <c r="AA376" i="35"/>
  <c r="F376" i="35"/>
  <c r="A376" i="35"/>
  <c r="AA375" i="35"/>
  <c r="F375" i="35"/>
  <c r="A375" i="35"/>
  <c r="AA374" i="35"/>
  <c r="F374" i="35"/>
  <c r="A374" i="35"/>
  <c r="AA373" i="35"/>
  <c r="F373" i="35"/>
  <c r="A373" i="35"/>
  <c r="AA372" i="35"/>
  <c r="F372" i="35"/>
  <c r="A372" i="35"/>
  <c r="AA371" i="35"/>
  <c r="F371" i="35"/>
  <c r="A371" i="35"/>
  <c r="AA370" i="35"/>
  <c r="F370" i="35"/>
  <c r="A370" i="35"/>
  <c r="AA369" i="35"/>
  <c r="F369" i="35"/>
  <c r="A369" i="35"/>
  <c r="AA368" i="35"/>
  <c r="F368" i="35"/>
  <c r="A368" i="35"/>
  <c r="AA367" i="35"/>
  <c r="F367" i="35"/>
  <c r="A367" i="35"/>
  <c r="AA366" i="35"/>
  <c r="A366" i="35"/>
  <c r="AA365" i="35"/>
  <c r="F365" i="35"/>
  <c r="A365" i="35"/>
  <c r="AA364" i="35"/>
  <c r="F364" i="35"/>
  <c r="A364" i="35"/>
  <c r="AA363" i="35"/>
  <c r="F363" i="35"/>
  <c r="A363" i="35"/>
  <c r="AA362" i="35"/>
  <c r="F362" i="35"/>
  <c r="A362" i="35"/>
  <c r="AA361" i="35"/>
  <c r="F361" i="35"/>
  <c r="A361" i="35"/>
  <c r="AA360" i="35"/>
  <c r="F360" i="35"/>
  <c r="A360" i="35"/>
  <c r="AA359" i="35"/>
  <c r="F359" i="35"/>
  <c r="A359" i="35"/>
  <c r="AA358" i="35"/>
  <c r="F358" i="35"/>
  <c r="A358" i="35"/>
  <c r="AA357" i="35"/>
  <c r="F357" i="35"/>
  <c r="A357" i="35"/>
  <c r="AA356" i="35"/>
  <c r="F356" i="35"/>
  <c r="A356" i="35"/>
  <c r="AA355" i="35"/>
  <c r="F355" i="35"/>
  <c r="A355" i="35"/>
  <c r="AA354" i="35"/>
  <c r="F354" i="35"/>
  <c r="A354" i="35"/>
  <c r="AA353" i="35"/>
  <c r="F353" i="35"/>
  <c r="A353" i="35"/>
  <c r="AA352" i="35"/>
  <c r="F352" i="35"/>
  <c r="A352" i="35"/>
  <c r="AA351" i="35"/>
  <c r="F351" i="35"/>
  <c r="A351" i="35"/>
  <c r="AA350" i="35"/>
  <c r="F350" i="35"/>
  <c r="A350" i="35"/>
  <c r="AA349" i="35"/>
  <c r="F349" i="35"/>
  <c r="A349" i="35"/>
  <c r="AA348" i="35"/>
  <c r="F348" i="35"/>
  <c r="A348" i="35"/>
  <c r="AA347" i="35"/>
  <c r="F347" i="35"/>
  <c r="A347" i="35"/>
  <c r="AA346" i="35"/>
  <c r="F346" i="35"/>
  <c r="A346" i="35"/>
  <c r="AA345" i="35"/>
  <c r="F345" i="35"/>
  <c r="A345" i="35"/>
  <c r="AA344" i="35"/>
  <c r="F344" i="35"/>
  <c r="A344" i="35"/>
  <c r="AA343" i="35"/>
  <c r="F343" i="35"/>
  <c r="A343" i="35"/>
  <c r="AA342" i="35"/>
  <c r="F342" i="35"/>
  <c r="A342" i="35"/>
  <c r="AA341" i="35"/>
  <c r="F341" i="35"/>
  <c r="A341" i="35"/>
  <c r="AA340" i="35"/>
  <c r="F340" i="35"/>
  <c r="A340" i="35"/>
  <c r="AA339" i="35"/>
  <c r="F339" i="35"/>
  <c r="A339" i="35"/>
  <c r="AA338" i="35"/>
  <c r="F338" i="35"/>
  <c r="A338" i="35"/>
  <c r="AA337" i="35"/>
  <c r="F337" i="35"/>
  <c r="A337" i="35"/>
  <c r="AA336" i="35"/>
  <c r="F336" i="35"/>
  <c r="A336" i="35"/>
  <c r="AA335" i="35"/>
  <c r="F335" i="35"/>
  <c r="A335" i="35"/>
  <c r="AA334" i="35"/>
  <c r="F334" i="35"/>
  <c r="A334" i="35"/>
  <c r="AA333" i="35"/>
  <c r="F333" i="35"/>
  <c r="A333" i="35"/>
  <c r="AA332" i="35"/>
  <c r="F332" i="35"/>
  <c r="A332" i="35"/>
  <c r="AA331" i="35"/>
  <c r="F331" i="35"/>
  <c r="A331" i="35"/>
  <c r="AA330" i="35"/>
  <c r="F330" i="35"/>
  <c r="A330" i="35"/>
  <c r="AA329" i="35"/>
  <c r="F329" i="35"/>
  <c r="A329" i="35"/>
  <c r="AA328" i="35"/>
  <c r="F328" i="35"/>
  <c r="A328" i="35"/>
  <c r="AA327" i="35"/>
  <c r="F327" i="35"/>
  <c r="A327" i="35"/>
  <c r="AA326" i="35"/>
  <c r="F326" i="35"/>
  <c r="A326" i="35"/>
  <c r="AA325" i="35"/>
  <c r="F325" i="35"/>
  <c r="A325" i="35"/>
  <c r="AA324" i="35"/>
  <c r="F324" i="35"/>
  <c r="A324" i="35"/>
  <c r="AA323" i="35"/>
  <c r="F323" i="35"/>
  <c r="A323" i="35"/>
  <c r="AA322" i="35"/>
  <c r="F322" i="35"/>
  <c r="A322" i="35"/>
  <c r="AA321" i="35"/>
  <c r="F321" i="35"/>
  <c r="A321" i="35"/>
  <c r="AA320" i="35"/>
  <c r="F320" i="35"/>
  <c r="A320" i="35"/>
  <c r="AA319" i="35"/>
  <c r="F319" i="35"/>
  <c r="A319" i="35"/>
  <c r="AA318" i="35"/>
  <c r="F318" i="35"/>
  <c r="A318" i="35"/>
  <c r="AA317" i="35"/>
  <c r="F317" i="35"/>
  <c r="A317" i="35"/>
  <c r="AA316" i="35"/>
  <c r="F316" i="35"/>
  <c r="A316" i="35"/>
  <c r="AA315" i="35"/>
  <c r="F315" i="35"/>
  <c r="A315" i="35"/>
  <c r="AA314" i="35"/>
  <c r="F314" i="35"/>
  <c r="A314" i="35"/>
  <c r="AA313" i="35"/>
  <c r="F313" i="35"/>
  <c r="A313" i="35"/>
  <c r="AA312" i="35"/>
  <c r="F312" i="35"/>
  <c r="A312" i="35"/>
  <c r="F311" i="35"/>
  <c r="A311" i="35"/>
  <c r="AA310" i="35"/>
  <c r="F310" i="35"/>
  <c r="A310" i="35"/>
  <c r="AA309" i="35"/>
  <c r="F309" i="35"/>
  <c r="A309" i="35"/>
  <c r="AA308" i="35"/>
  <c r="F308" i="35"/>
  <c r="A308" i="35"/>
  <c r="AA307" i="35"/>
  <c r="F307" i="35"/>
  <c r="A307" i="35"/>
  <c r="AA306" i="35"/>
  <c r="F306" i="35"/>
  <c r="A306" i="35"/>
  <c r="AA305" i="35"/>
  <c r="F305" i="35"/>
  <c r="A305" i="35"/>
  <c r="AA304" i="35"/>
  <c r="F304" i="35"/>
  <c r="A304" i="35"/>
  <c r="AA303" i="35"/>
  <c r="F303" i="35"/>
  <c r="A303" i="35"/>
  <c r="AA302" i="35"/>
  <c r="F302" i="35"/>
  <c r="A302" i="35"/>
  <c r="F301" i="35"/>
  <c r="A301" i="35"/>
  <c r="AA300" i="35"/>
  <c r="F300" i="35"/>
  <c r="A300" i="35"/>
  <c r="AA299" i="35"/>
  <c r="F299" i="35"/>
  <c r="A299" i="35"/>
  <c r="AA298" i="35"/>
  <c r="F298" i="35"/>
  <c r="A298" i="35"/>
  <c r="AA297" i="35"/>
  <c r="F297" i="35"/>
  <c r="A297" i="35"/>
  <c r="AA296" i="35"/>
  <c r="F296" i="35"/>
  <c r="A296" i="35"/>
  <c r="AA295" i="35"/>
  <c r="F295" i="35"/>
  <c r="A295" i="35"/>
  <c r="AA294" i="35"/>
  <c r="F294" i="35"/>
  <c r="A294" i="35"/>
  <c r="A293" i="35"/>
  <c r="AA292" i="35"/>
  <c r="F292" i="35"/>
  <c r="A292" i="35"/>
  <c r="AA291" i="35"/>
  <c r="F291" i="35"/>
  <c r="A291" i="35"/>
  <c r="A290" i="35"/>
  <c r="AA289" i="35"/>
  <c r="F289" i="35"/>
  <c r="A289" i="35"/>
  <c r="AA288" i="35"/>
  <c r="F288" i="35"/>
  <c r="A288" i="35"/>
  <c r="AA287" i="35"/>
  <c r="F287" i="35"/>
  <c r="A287" i="35"/>
  <c r="AA286" i="35"/>
  <c r="F286" i="35"/>
  <c r="A286" i="35"/>
  <c r="AA285" i="35"/>
  <c r="F285" i="35"/>
  <c r="A285" i="35"/>
  <c r="AA284" i="35"/>
  <c r="F284" i="35"/>
  <c r="A284" i="35"/>
  <c r="AA283" i="35"/>
  <c r="F283" i="35"/>
  <c r="A283" i="35"/>
  <c r="F282" i="35"/>
  <c r="A282" i="35"/>
  <c r="AA281" i="35"/>
  <c r="F281" i="35"/>
  <c r="A281" i="35"/>
  <c r="AA280" i="35"/>
  <c r="F280" i="35"/>
  <c r="A280" i="35"/>
  <c r="AA279" i="35"/>
  <c r="F279" i="35"/>
  <c r="A279" i="35"/>
  <c r="AA278" i="35"/>
  <c r="F278" i="35"/>
  <c r="A278" i="35"/>
  <c r="AA277" i="35"/>
  <c r="F277" i="35"/>
  <c r="A277" i="35"/>
  <c r="AA276" i="35"/>
  <c r="F276" i="35"/>
  <c r="A276" i="35"/>
  <c r="F275" i="35"/>
  <c r="A275" i="35"/>
  <c r="AA274" i="35"/>
  <c r="F274" i="35"/>
  <c r="A274" i="35"/>
  <c r="AA273" i="35"/>
  <c r="F273" i="35"/>
  <c r="A273" i="35"/>
  <c r="AA272" i="35"/>
  <c r="F272" i="35"/>
  <c r="A272" i="35"/>
  <c r="AA271" i="35"/>
  <c r="F271" i="35"/>
  <c r="A271" i="35"/>
  <c r="AA270" i="35"/>
  <c r="F270" i="35"/>
  <c r="A270" i="35"/>
  <c r="AA269" i="35"/>
  <c r="F269" i="35"/>
  <c r="A269" i="35"/>
  <c r="AA268" i="35"/>
  <c r="F268" i="35"/>
  <c r="A268" i="35"/>
  <c r="AA267" i="35"/>
  <c r="F267" i="35"/>
  <c r="A267" i="35"/>
  <c r="AA266" i="35"/>
  <c r="F266" i="35"/>
  <c r="A266" i="35"/>
  <c r="AA265" i="35"/>
  <c r="F265" i="35"/>
  <c r="A265" i="35"/>
  <c r="AA264" i="35"/>
  <c r="F264" i="35"/>
  <c r="A264" i="35"/>
  <c r="AA263" i="35"/>
  <c r="F263" i="35"/>
  <c r="A263" i="35"/>
  <c r="AA262" i="35"/>
  <c r="F262" i="35"/>
  <c r="A262" i="35"/>
  <c r="AA261" i="35"/>
  <c r="F261" i="35"/>
  <c r="A261" i="35"/>
  <c r="AA260" i="35"/>
  <c r="F260" i="35"/>
  <c r="A260" i="35"/>
  <c r="AA259" i="35"/>
  <c r="F259" i="35"/>
  <c r="A259" i="35"/>
  <c r="AA258" i="35"/>
  <c r="F258" i="35"/>
  <c r="A258" i="35"/>
  <c r="AA257" i="35"/>
  <c r="F257" i="35"/>
  <c r="A257" i="35"/>
  <c r="AA256" i="35"/>
  <c r="F256" i="35"/>
  <c r="A256" i="35"/>
  <c r="AA255" i="35"/>
  <c r="F255" i="35"/>
  <c r="A255" i="35"/>
  <c r="AA254" i="35"/>
  <c r="F254" i="35"/>
  <c r="A254" i="35"/>
  <c r="AA253" i="35"/>
  <c r="F253" i="35"/>
  <c r="A253" i="35"/>
  <c r="AA252" i="35"/>
  <c r="F252" i="35"/>
  <c r="A252" i="35"/>
  <c r="F251" i="35"/>
  <c r="A251" i="35"/>
  <c r="AA250" i="35"/>
  <c r="F250" i="35"/>
  <c r="A250" i="35"/>
  <c r="AA249" i="35"/>
  <c r="F249" i="35"/>
  <c r="A249" i="35"/>
  <c r="AA248" i="35"/>
  <c r="F248" i="35"/>
  <c r="A248" i="35"/>
  <c r="AA247" i="35"/>
  <c r="F247" i="35"/>
  <c r="A247" i="35"/>
  <c r="AA246" i="35"/>
  <c r="F246" i="35"/>
  <c r="A246" i="35"/>
  <c r="AA245" i="35"/>
  <c r="F245" i="35"/>
  <c r="A245" i="35"/>
  <c r="AA244" i="35"/>
  <c r="F244" i="35"/>
  <c r="A244" i="35"/>
  <c r="AA243" i="35"/>
  <c r="F243" i="35"/>
  <c r="A243" i="35"/>
  <c r="AA242" i="35"/>
  <c r="F242" i="35"/>
  <c r="A242" i="35"/>
  <c r="AA241" i="35"/>
  <c r="F241" i="35"/>
  <c r="A241" i="35"/>
  <c r="AA240" i="35"/>
  <c r="F240" i="35"/>
  <c r="A240" i="35"/>
  <c r="AA239" i="35"/>
  <c r="F239" i="35"/>
  <c r="A239" i="35"/>
  <c r="AA238" i="35"/>
  <c r="F238" i="35"/>
  <c r="A238" i="35"/>
  <c r="AA237" i="35"/>
  <c r="F237" i="35"/>
  <c r="A237" i="35"/>
  <c r="AA236" i="35"/>
  <c r="F236" i="35"/>
  <c r="A236" i="35"/>
  <c r="AA235" i="35"/>
  <c r="F235" i="35"/>
  <c r="A235" i="35"/>
  <c r="AA234" i="35"/>
  <c r="F234" i="35"/>
  <c r="A234" i="35"/>
  <c r="AA233" i="35"/>
  <c r="F233" i="35"/>
  <c r="A233" i="35"/>
  <c r="AA232" i="35"/>
  <c r="F232" i="35"/>
  <c r="A232" i="35"/>
  <c r="AA231" i="35"/>
  <c r="F231" i="35"/>
  <c r="A231" i="35"/>
  <c r="AA230" i="35"/>
  <c r="F230" i="35"/>
  <c r="A230" i="35"/>
  <c r="AA229" i="35"/>
  <c r="F229" i="35"/>
  <c r="A229" i="35"/>
  <c r="AA228" i="35"/>
  <c r="F228" i="35"/>
  <c r="A228" i="35"/>
  <c r="AA227" i="35"/>
  <c r="F227" i="35"/>
  <c r="A227" i="35"/>
  <c r="AA226" i="35"/>
  <c r="F226" i="35"/>
  <c r="A226" i="35"/>
  <c r="AA225" i="35"/>
  <c r="F225" i="35"/>
  <c r="A225" i="35"/>
  <c r="AA224" i="35"/>
  <c r="F224" i="35"/>
  <c r="A224" i="35"/>
  <c r="AA223" i="35"/>
  <c r="F223" i="35"/>
  <c r="A223" i="35"/>
  <c r="AA222" i="35"/>
  <c r="F222" i="35"/>
  <c r="A222" i="35"/>
  <c r="AA221" i="35"/>
  <c r="F221" i="35"/>
  <c r="A221" i="35"/>
  <c r="AA220" i="35"/>
  <c r="F220" i="35"/>
  <c r="A220" i="35"/>
  <c r="AA219" i="35"/>
  <c r="F219" i="35"/>
  <c r="A219" i="35"/>
  <c r="AA218" i="35"/>
  <c r="F218" i="35"/>
  <c r="A218" i="35"/>
  <c r="AA217" i="35"/>
  <c r="F217" i="35"/>
  <c r="A217" i="35"/>
  <c r="AA216" i="35"/>
  <c r="F216" i="35"/>
  <c r="A216" i="35"/>
  <c r="AA215" i="35"/>
  <c r="F215" i="35"/>
  <c r="A215" i="35"/>
  <c r="AA214" i="35"/>
  <c r="F214" i="35"/>
  <c r="A214" i="35"/>
  <c r="AA213" i="35"/>
  <c r="F213" i="35"/>
  <c r="A213" i="35"/>
  <c r="AA212" i="35"/>
  <c r="F212" i="35"/>
  <c r="A212" i="35"/>
  <c r="AA211" i="35"/>
  <c r="F211" i="35"/>
  <c r="A211" i="35"/>
  <c r="AA210" i="35"/>
  <c r="F210" i="35"/>
  <c r="A210" i="35"/>
  <c r="AA209" i="35"/>
  <c r="F209" i="35"/>
  <c r="A209" i="35"/>
  <c r="AA208" i="35"/>
  <c r="F208" i="35"/>
  <c r="A208" i="35"/>
  <c r="AA207" i="35"/>
  <c r="F207" i="35"/>
  <c r="A207" i="35"/>
  <c r="AA206" i="35"/>
  <c r="F206" i="35"/>
  <c r="A206" i="35"/>
  <c r="AA205" i="35"/>
  <c r="F205" i="35"/>
  <c r="A205" i="35"/>
  <c r="AA204" i="35"/>
  <c r="F204" i="35"/>
  <c r="A204" i="35"/>
  <c r="AA203" i="35"/>
  <c r="F203" i="35"/>
  <c r="A203" i="35"/>
  <c r="AA202" i="35"/>
  <c r="F202" i="35"/>
  <c r="A202" i="35"/>
  <c r="F201" i="35"/>
  <c r="A201" i="35"/>
  <c r="AA200" i="35"/>
  <c r="F200" i="35"/>
  <c r="A200" i="35"/>
  <c r="AA199" i="35"/>
  <c r="F199" i="35"/>
  <c r="A199" i="35"/>
  <c r="AA198" i="35"/>
  <c r="F198" i="35"/>
  <c r="A198" i="35"/>
  <c r="AA197" i="35"/>
  <c r="F197" i="35"/>
  <c r="A197" i="35"/>
  <c r="AA196" i="35"/>
  <c r="F196" i="35"/>
  <c r="A196" i="35"/>
  <c r="AA195" i="35"/>
  <c r="F195" i="35"/>
  <c r="A195" i="35"/>
  <c r="AA194" i="35"/>
  <c r="F194" i="35"/>
  <c r="A194" i="35"/>
  <c r="AA193" i="35"/>
  <c r="F193" i="35"/>
  <c r="A193" i="35"/>
  <c r="AA192" i="35"/>
  <c r="F192" i="35"/>
  <c r="A192" i="35"/>
  <c r="AA191" i="35"/>
  <c r="F191" i="35"/>
  <c r="A191" i="35"/>
  <c r="AA190" i="35"/>
  <c r="F190" i="35"/>
  <c r="A190" i="35"/>
  <c r="AA189" i="35"/>
  <c r="F189" i="35"/>
  <c r="A189" i="35"/>
  <c r="AA188" i="35"/>
  <c r="F188" i="35"/>
  <c r="A188" i="35"/>
  <c r="AA187" i="35"/>
  <c r="F187" i="35"/>
  <c r="A187" i="35"/>
  <c r="AA186" i="35"/>
  <c r="F186" i="35"/>
  <c r="A186" i="35"/>
  <c r="AA185" i="35"/>
  <c r="F185" i="35"/>
  <c r="A185" i="35"/>
  <c r="AA184" i="35"/>
  <c r="A184" i="35"/>
  <c r="AA183" i="35"/>
  <c r="F183" i="35"/>
  <c r="A183" i="35"/>
  <c r="AA182" i="35"/>
  <c r="F182" i="35"/>
  <c r="A182" i="35"/>
  <c r="AA181" i="35"/>
  <c r="F181" i="35"/>
  <c r="A181" i="35"/>
  <c r="AA180" i="35"/>
  <c r="F180" i="35"/>
  <c r="A180" i="35"/>
  <c r="AA179" i="35"/>
  <c r="F179" i="35"/>
  <c r="A179" i="35"/>
  <c r="AA178" i="35"/>
  <c r="F178" i="35"/>
  <c r="A178" i="35"/>
  <c r="AA177" i="35"/>
  <c r="F177" i="35"/>
  <c r="A177" i="35"/>
  <c r="AA176" i="35"/>
  <c r="F176" i="35"/>
  <c r="A176" i="35"/>
  <c r="AA175" i="35"/>
  <c r="F175" i="35"/>
  <c r="A175" i="35"/>
  <c r="AA174" i="35"/>
  <c r="F174" i="35"/>
  <c r="A174" i="35"/>
  <c r="AA173" i="35"/>
  <c r="F173" i="35"/>
  <c r="A173" i="35"/>
  <c r="AA172" i="35"/>
  <c r="F172" i="35"/>
  <c r="A172" i="35"/>
  <c r="AA171" i="35"/>
  <c r="F171" i="35"/>
  <c r="A171" i="35"/>
  <c r="AA170" i="35"/>
  <c r="F170" i="35"/>
  <c r="A170" i="35"/>
  <c r="F169" i="35"/>
  <c r="A169" i="35"/>
  <c r="AA168" i="35"/>
  <c r="F168" i="35"/>
  <c r="A168" i="35"/>
  <c r="AA167" i="35"/>
  <c r="F167" i="35"/>
  <c r="A167" i="35"/>
  <c r="AA166" i="35"/>
  <c r="F166" i="35"/>
  <c r="A166" i="35"/>
  <c r="AA165" i="35"/>
  <c r="F165" i="35"/>
  <c r="A165" i="35"/>
  <c r="AA164" i="35"/>
  <c r="F164" i="35"/>
  <c r="A164" i="35"/>
  <c r="AA163" i="35"/>
  <c r="F163" i="35"/>
  <c r="A163" i="35"/>
  <c r="AA162" i="35"/>
  <c r="F162" i="35"/>
  <c r="A162" i="35"/>
  <c r="AA161" i="35"/>
  <c r="F161" i="35"/>
  <c r="A161" i="35"/>
  <c r="AA160" i="35"/>
  <c r="F160" i="35"/>
  <c r="A160" i="35"/>
  <c r="AA159" i="35"/>
  <c r="F159" i="35"/>
  <c r="A159" i="35"/>
  <c r="AA158" i="35"/>
  <c r="F158" i="35"/>
  <c r="A158" i="35"/>
  <c r="AA157" i="35"/>
  <c r="F157" i="35"/>
  <c r="A157" i="35"/>
  <c r="AA156" i="35"/>
  <c r="F156" i="35"/>
  <c r="A156" i="35"/>
  <c r="AA155" i="35"/>
  <c r="F155" i="35"/>
  <c r="A155" i="35"/>
  <c r="AA154" i="35"/>
  <c r="F154" i="35"/>
  <c r="A154" i="35"/>
  <c r="AA153" i="35"/>
  <c r="F153" i="35"/>
  <c r="A153" i="35"/>
  <c r="AA152" i="35"/>
  <c r="F152" i="35"/>
  <c r="A152" i="35"/>
  <c r="AA151" i="35"/>
  <c r="F151" i="35"/>
  <c r="A151" i="35"/>
  <c r="AA150" i="35"/>
  <c r="F150" i="35"/>
  <c r="A150" i="35"/>
  <c r="AA149" i="35"/>
  <c r="F149" i="35"/>
  <c r="A149" i="35"/>
  <c r="AA148" i="35"/>
  <c r="F148" i="35"/>
  <c r="A148" i="35"/>
  <c r="AA147" i="35"/>
  <c r="F147" i="35"/>
  <c r="A147" i="35"/>
  <c r="AA146" i="35"/>
  <c r="F146" i="35"/>
  <c r="A146" i="35"/>
  <c r="AA145" i="35"/>
  <c r="F145" i="35"/>
  <c r="A145" i="35"/>
  <c r="AA144" i="35"/>
  <c r="F144" i="35"/>
  <c r="A144" i="35"/>
  <c r="AA143" i="35"/>
  <c r="F143" i="35"/>
  <c r="A143" i="35"/>
  <c r="AA142" i="35"/>
  <c r="F142" i="35"/>
  <c r="A142" i="35"/>
  <c r="AA141" i="35"/>
  <c r="F141" i="35"/>
  <c r="A141" i="35"/>
  <c r="AA140" i="35"/>
  <c r="F140" i="35"/>
  <c r="A140" i="35"/>
  <c r="AA139" i="35"/>
  <c r="F139" i="35"/>
  <c r="A139" i="35"/>
  <c r="AA138" i="35"/>
  <c r="F138" i="35"/>
  <c r="A138" i="35"/>
  <c r="AA137" i="35"/>
  <c r="F137" i="35"/>
  <c r="A137" i="35"/>
  <c r="AA136" i="35"/>
  <c r="F136" i="35"/>
  <c r="A136" i="35"/>
  <c r="AA135" i="35"/>
  <c r="F135" i="35"/>
  <c r="A135" i="35"/>
  <c r="AA134" i="35"/>
  <c r="F134" i="35"/>
  <c r="A134" i="35"/>
  <c r="AA133" i="35"/>
  <c r="F133" i="35"/>
  <c r="A133" i="35"/>
  <c r="AA132" i="35"/>
  <c r="F132" i="35"/>
  <c r="A132" i="35"/>
  <c r="AA131" i="35"/>
  <c r="F131" i="35"/>
  <c r="A131" i="35"/>
  <c r="AA130" i="35"/>
  <c r="F130" i="35"/>
  <c r="A130" i="35"/>
  <c r="AA129" i="35"/>
  <c r="F129" i="35"/>
  <c r="A129" i="35"/>
  <c r="AA128" i="35"/>
  <c r="F128" i="35"/>
  <c r="A128" i="35"/>
  <c r="AA127" i="35"/>
  <c r="F127" i="35"/>
  <c r="A127" i="35"/>
  <c r="AA126" i="35"/>
  <c r="F126" i="35"/>
  <c r="A126" i="35"/>
  <c r="AA125" i="35"/>
  <c r="F125" i="35"/>
  <c r="A125" i="35"/>
  <c r="AA124" i="35"/>
  <c r="F124" i="35"/>
  <c r="A124" i="35"/>
  <c r="AA123" i="35"/>
  <c r="F123" i="35"/>
  <c r="A123" i="35"/>
  <c r="AA122" i="35"/>
  <c r="F122" i="35"/>
  <c r="A122" i="35"/>
  <c r="AA121" i="35"/>
  <c r="F121" i="35"/>
  <c r="A121" i="35"/>
  <c r="AA120" i="35"/>
  <c r="F120" i="35"/>
  <c r="A120" i="35"/>
  <c r="AA119" i="35"/>
  <c r="F119" i="35"/>
  <c r="A119" i="35"/>
  <c r="AA118" i="35"/>
  <c r="F118" i="35"/>
  <c r="A118" i="35"/>
  <c r="AA117" i="35"/>
  <c r="F117" i="35"/>
  <c r="A117" i="35"/>
  <c r="AA116" i="35"/>
  <c r="F116" i="35"/>
  <c r="A116" i="35"/>
  <c r="AA115" i="35"/>
  <c r="F115" i="35"/>
  <c r="A115" i="35"/>
  <c r="AA114" i="35"/>
  <c r="F114" i="35"/>
  <c r="A114" i="35"/>
  <c r="AA113" i="35"/>
  <c r="F113" i="35"/>
  <c r="A113" i="35"/>
  <c r="AA112" i="35"/>
  <c r="F112" i="35"/>
  <c r="A112" i="35"/>
  <c r="AA111" i="35"/>
  <c r="F111" i="35"/>
  <c r="A111" i="35"/>
  <c r="AA110" i="35"/>
  <c r="F110" i="35"/>
  <c r="A110" i="35"/>
  <c r="AA109" i="35"/>
  <c r="F109" i="35"/>
  <c r="A109" i="35"/>
  <c r="AA108" i="35"/>
  <c r="F108" i="35"/>
  <c r="A108" i="35"/>
  <c r="AA107" i="35"/>
  <c r="F107" i="35"/>
  <c r="A107" i="35"/>
  <c r="AA106" i="35"/>
  <c r="F106" i="35"/>
  <c r="A106" i="35"/>
  <c r="AA105" i="35"/>
  <c r="F105" i="35"/>
  <c r="A105" i="35"/>
  <c r="AA104" i="35"/>
  <c r="F104" i="35"/>
  <c r="A104" i="35"/>
  <c r="AA103" i="35"/>
  <c r="F103" i="35"/>
  <c r="A103" i="35"/>
  <c r="AA102" i="35"/>
  <c r="F102" i="35"/>
  <c r="A102" i="35"/>
  <c r="AA101" i="35"/>
  <c r="F101" i="35"/>
  <c r="A101" i="35"/>
  <c r="AA100" i="35"/>
  <c r="F100" i="35"/>
  <c r="A100" i="35"/>
  <c r="AA99" i="35"/>
  <c r="F99" i="35"/>
  <c r="A99" i="35"/>
  <c r="AA98" i="35"/>
  <c r="F98" i="35"/>
  <c r="A98" i="35"/>
  <c r="AA97" i="35"/>
  <c r="F97" i="35"/>
  <c r="A97" i="35"/>
  <c r="AA96" i="35"/>
  <c r="F96" i="35"/>
  <c r="A96" i="35"/>
  <c r="AA95" i="35"/>
  <c r="F95" i="35"/>
  <c r="A95" i="35"/>
  <c r="AA94" i="35"/>
  <c r="F94" i="35"/>
  <c r="A94" i="35"/>
  <c r="AA93" i="35"/>
  <c r="F93" i="35"/>
  <c r="A93" i="35"/>
  <c r="AA92" i="35"/>
  <c r="F92" i="35"/>
  <c r="A92" i="35"/>
  <c r="AA91" i="35"/>
  <c r="F91" i="35"/>
  <c r="A91" i="35"/>
  <c r="AA90" i="35"/>
  <c r="F90" i="35"/>
  <c r="A90" i="35"/>
  <c r="AA89" i="35"/>
  <c r="F89" i="35"/>
  <c r="A89" i="35"/>
  <c r="AA88" i="35"/>
  <c r="F88" i="35"/>
  <c r="A88" i="35"/>
  <c r="F87" i="35"/>
  <c r="A87" i="35"/>
  <c r="AA86" i="35"/>
  <c r="F86" i="35"/>
  <c r="A86" i="35"/>
  <c r="AA85" i="35"/>
  <c r="F85" i="35"/>
  <c r="A85" i="35"/>
  <c r="AA84" i="35"/>
  <c r="F84" i="35"/>
  <c r="A84" i="35"/>
  <c r="AA83" i="35"/>
  <c r="F83" i="35"/>
  <c r="A83" i="35"/>
  <c r="AA82" i="35"/>
  <c r="F82" i="35"/>
  <c r="A82" i="35"/>
  <c r="AA81" i="35"/>
  <c r="F81" i="35"/>
  <c r="A81" i="35"/>
  <c r="AA80" i="35"/>
  <c r="F80" i="35"/>
  <c r="A80" i="35"/>
  <c r="AA79" i="35"/>
  <c r="F79" i="35"/>
  <c r="A79" i="35"/>
  <c r="AA78" i="35"/>
  <c r="F78" i="35"/>
  <c r="A78" i="35"/>
  <c r="AA77" i="35"/>
  <c r="F77" i="35"/>
  <c r="A77" i="35"/>
  <c r="AA76" i="35"/>
  <c r="F76" i="35"/>
  <c r="A76" i="35"/>
  <c r="AA75" i="35"/>
  <c r="F75" i="35"/>
  <c r="A75" i="35"/>
  <c r="AA74" i="35"/>
  <c r="F74" i="35"/>
  <c r="A74" i="35"/>
  <c r="AA73" i="35"/>
  <c r="F73" i="35"/>
  <c r="A73" i="35"/>
  <c r="AA72" i="35"/>
  <c r="F72" i="35"/>
  <c r="A72" i="35"/>
  <c r="AA71" i="35"/>
  <c r="F71" i="35"/>
  <c r="A71" i="35"/>
  <c r="AA70" i="35"/>
  <c r="F70" i="35"/>
  <c r="A70" i="35"/>
  <c r="AA69" i="35"/>
  <c r="F69" i="35"/>
  <c r="A69" i="35"/>
  <c r="AA68" i="35"/>
  <c r="F68" i="35"/>
  <c r="A68" i="35"/>
  <c r="AA67" i="35"/>
  <c r="F67" i="35"/>
  <c r="A67" i="35"/>
  <c r="AA66" i="35"/>
  <c r="F66" i="35"/>
  <c r="A66" i="35"/>
  <c r="AA65" i="35"/>
  <c r="F65" i="35"/>
  <c r="A65" i="35"/>
  <c r="AA64" i="35"/>
  <c r="F64" i="35"/>
  <c r="A64" i="35"/>
  <c r="AA63" i="35"/>
  <c r="F63" i="35"/>
  <c r="A63" i="35"/>
  <c r="AA62" i="35"/>
  <c r="F62" i="35"/>
  <c r="A62" i="35"/>
  <c r="AA61" i="35"/>
  <c r="F61" i="35"/>
  <c r="A61" i="35"/>
  <c r="AA60" i="35"/>
  <c r="F60" i="35"/>
  <c r="A60" i="35"/>
  <c r="AA59" i="35"/>
  <c r="F59" i="35"/>
  <c r="A59" i="35"/>
  <c r="AA58" i="35"/>
  <c r="F58" i="35"/>
  <c r="A58" i="35"/>
  <c r="AA57" i="35"/>
  <c r="F57" i="35"/>
  <c r="A57" i="35"/>
  <c r="AA56" i="35"/>
  <c r="F56" i="35"/>
  <c r="A56" i="35"/>
  <c r="AA55" i="35"/>
  <c r="F55" i="35"/>
  <c r="A55" i="35"/>
  <c r="AA54" i="35"/>
  <c r="F54" i="35"/>
  <c r="A54" i="35"/>
  <c r="AA53" i="35"/>
  <c r="F53" i="35"/>
  <c r="A53" i="35"/>
  <c r="AA52" i="35"/>
  <c r="F52" i="35"/>
  <c r="A52" i="35"/>
  <c r="AA51" i="35"/>
  <c r="F51" i="35"/>
  <c r="A51" i="35"/>
  <c r="AA50" i="35"/>
  <c r="F50" i="35"/>
  <c r="A50" i="35"/>
  <c r="AA49" i="35"/>
  <c r="F49" i="35"/>
  <c r="A49" i="35"/>
  <c r="AA48" i="35"/>
  <c r="F48" i="35"/>
  <c r="A48" i="35"/>
  <c r="AA47" i="35"/>
  <c r="F47" i="35"/>
  <c r="A47" i="35"/>
  <c r="AA46" i="35"/>
  <c r="F46" i="35"/>
  <c r="A46" i="35"/>
  <c r="AA45" i="35"/>
  <c r="F45" i="35"/>
  <c r="A45" i="35"/>
  <c r="AA44" i="35"/>
  <c r="F44" i="35"/>
  <c r="A44" i="35"/>
  <c r="AA43" i="35"/>
  <c r="F43" i="35"/>
  <c r="A43" i="35"/>
  <c r="AA42" i="35"/>
  <c r="F42" i="35"/>
  <c r="A42" i="35"/>
  <c r="AA41" i="35"/>
  <c r="F41" i="35"/>
  <c r="A41" i="35"/>
  <c r="AA40" i="35"/>
  <c r="F40" i="35"/>
  <c r="A40" i="35"/>
  <c r="AA39" i="35"/>
  <c r="F39" i="35"/>
  <c r="A39" i="35"/>
  <c r="AA38" i="35"/>
  <c r="F38" i="35"/>
  <c r="A38" i="35"/>
  <c r="AA37" i="35"/>
  <c r="F37" i="35"/>
  <c r="A37" i="35"/>
  <c r="AA36" i="35"/>
  <c r="F36" i="35"/>
  <c r="A36" i="35"/>
  <c r="AA35" i="35"/>
  <c r="F35" i="35"/>
  <c r="A35" i="35"/>
  <c r="AA34" i="35"/>
  <c r="F34" i="35"/>
  <c r="A34" i="35"/>
  <c r="AA33" i="35"/>
  <c r="F33" i="35"/>
  <c r="A33" i="35"/>
  <c r="AA32" i="35"/>
  <c r="F32" i="35"/>
  <c r="A32" i="35"/>
  <c r="AA31" i="35"/>
  <c r="F31" i="35"/>
  <c r="A31" i="35"/>
  <c r="AA30" i="35"/>
  <c r="F30" i="35"/>
  <c r="A30" i="35"/>
  <c r="AA29" i="35"/>
  <c r="F29" i="35"/>
  <c r="A29" i="35"/>
  <c r="AA28" i="35"/>
  <c r="F28" i="35"/>
  <c r="A28" i="35"/>
  <c r="AA27" i="35"/>
  <c r="F27" i="35"/>
  <c r="A27" i="35"/>
  <c r="AA26" i="35"/>
  <c r="F26" i="35"/>
  <c r="A26" i="35"/>
  <c r="AA25" i="35"/>
  <c r="F25" i="35"/>
  <c r="A25" i="35"/>
  <c r="AA24" i="35"/>
  <c r="F24" i="35"/>
  <c r="A24" i="35"/>
  <c r="AA23" i="35"/>
  <c r="F23" i="35"/>
  <c r="A23" i="35"/>
  <c r="AA22" i="35"/>
  <c r="F22" i="35"/>
  <c r="A22" i="35"/>
  <c r="AA21" i="35"/>
  <c r="F21" i="35"/>
  <c r="A21" i="35"/>
  <c r="AA20" i="35"/>
  <c r="F20" i="35"/>
  <c r="A20" i="35"/>
  <c r="AA19" i="35"/>
  <c r="F19" i="35"/>
  <c r="A19" i="35"/>
  <c r="AA18" i="35"/>
  <c r="F18" i="35"/>
  <c r="A18" i="35"/>
  <c r="AA17" i="35"/>
  <c r="F17" i="35"/>
  <c r="A17" i="35"/>
  <c r="AA16" i="35"/>
  <c r="F16" i="35"/>
  <c r="A16" i="35"/>
  <c r="AA15" i="35"/>
  <c r="F15" i="35"/>
  <c r="A15" i="35"/>
  <c r="AA14" i="35"/>
  <c r="F14" i="35"/>
  <c r="A14" i="35"/>
  <c r="AA13" i="35"/>
  <c r="F13" i="35"/>
  <c r="A13" i="35"/>
  <c r="AA12" i="35"/>
  <c r="F12" i="35"/>
  <c r="A12" i="35"/>
  <c r="AA11" i="35"/>
  <c r="F11" i="35"/>
  <c r="A11" i="35"/>
  <c r="AA10" i="35"/>
  <c r="F10" i="35"/>
  <c r="A10" i="35"/>
  <c r="AA9" i="35"/>
  <c r="F9" i="35"/>
  <c r="A9" i="35"/>
  <c r="AA8" i="35"/>
  <c r="F8" i="35"/>
  <c r="A8" i="35"/>
  <c r="AA7" i="35"/>
  <c r="F7" i="35"/>
  <c r="A7" i="35"/>
  <c r="AA6" i="35"/>
  <c r="F6" i="35"/>
  <c r="A6" i="35"/>
  <c r="C239" i="34"/>
  <c r="C238" i="34"/>
  <c r="C237" i="34"/>
  <c r="C236" i="34"/>
  <c r="C235" i="34"/>
  <c r="C240" i="34"/>
  <c r="C24" i="41"/>
  <c r="F40" i="34"/>
  <c r="E40" i="34"/>
  <c r="D40" i="34"/>
  <c r="C40" i="34"/>
  <c r="H35" i="34"/>
  <c r="F35" i="34"/>
  <c r="E35" i="34"/>
  <c r="D35" i="34"/>
  <c r="C35" i="34"/>
  <c r="H32" i="34"/>
  <c r="F32" i="34"/>
  <c r="E32" i="34"/>
  <c r="D32" i="34"/>
  <c r="C32" i="34"/>
  <c r="H29" i="34"/>
  <c r="F29" i="34"/>
  <c r="E29" i="34"/>
  <c r="D29" i="34"/>
  <c r="C29" i="34"/>
  <c r="H27" i="34"/>
  <c r="F27" i="34"/>
  <c r="E27" i="34"/>
  <c r="D27" i="34"/>
  <c r="C27" i="34"/>
  <c r="H24" i="34"/>
  <c r="F24" i="34"/>
  <c r="E24" i="34"/>
  <c r="D24" i="34"/>
  <c r="C24" i="34"/>
  <c r="H22" i="34"/>
  <c r="F22" i="34"/>
  <c r="E22" i="34"/>
  <c r="D22" i="34"/>
  <c r="C22" i="34"/>
  <c r="H20" i="34"/>
  <c r="F20" i="34"/>
  <c r="E20" i="34"/>
  <c r="D20" i="34"/>
  <c r="C20" i="34"/>
  <c r="H18" i="34"/>
  <c r="F18" i="34"/>
  <c r="E18" i="34"/>
  <c r="D18" i="34"/>
  <c r="C18" i="34"/>
  <c r="H16" i="34"/>
  <c r="F16" i="34"/>
  <c r="E16" i="34"/>
  <c r="C16" i="34"/>
  <c r="H14" i="34"/>
  <c r="F14" i="34"/>
  <c r="E14" i="34"/>
  <c r="C14" i="34"/>
  <c r="H11" i="34"/>
  <c r="F11" i="34"/>
  <c r="E11" i="34"/>
  <c r="C11" i="34"/>
  <c r="H9" i="34"/>
  <c r="G9" i="34"/>
  <c r="F9" i="34"/>
  <c r="F42" i="34"/>
  <c r="E9" i="34"/>
  <c r="D9" i="34"/>
  <c r="C9" i="34"/>
  <c r="H51" i="33"/>
  <c r="H50" i="33"/>
  <c r="H48" i="33"/>
  <c r="H47" i="33"/>
  <c r="H46" i="33"/>
  <c r="C31" i="41"/>
  <c r="G46" i="33"/>
  <c r="F46" i="33"/>
  <c r="H41" i="33"/>
  <c r="H40" i="33"/>
  <c r="H39" i="33"/>
  <c r="G37" i="33"/>
  <c r="H35" i="33"/>
  <c r="H34" i="33"/>
  <c r="H32" i="33"/>
  <c r="H29" i="33"/>
  <c r="H28" i="33"/>
  <c r="H27" i="33"/>
  <c r="H26" i="33"/>
  <c r="H25" i="33"/>
  <c r="H24" i="33"/>
  <c r="H23" i="33"/>
  <c r="H22" i="33"/>
  <c r="H21" i="33"/>
  <c r="H20" i="33"/>
  <c r="H19" i="33"/>
  <c r="H18" i="33"/>
  <c r="H17" i="33"/>
  <c r="I15" i="33"/>
  <c r="H13" i="33"/>
  <c r="H12" i="33"/>
  <c r="H11" i="33"/>
  <c r="H10" i="33"/>
  <c r="H9" i="33"/>
  <c r="J876" i="32"/>
  <c r="J839" i="32"/>
  <c r="H811" i="32"/>
  <c r="H810" i="32"/>
  <c r="H809" i="32"/>
  <c r="H808" i="32"/>
  <c r="H807" i="32"/>
  <c r="H806" i="32"/>
  <c r="H803" i="32"/>
  <c r="H802" i="32"/>
  <c r="H801" i="32"/>
  <c r="H798" i="32"/>
  <c r="H797" i="32"/>
  <c r="H796" i="32"/>
  <c r="H794" i="32"/>
  <c r="H793" i="32"/>
  <c r="H792" i="32"/>
  <c r="G781" i="32"/>
  <c r="G780" i="32"/>
  <c r="G779" i="32"/>
  <c r="G782" i="32"/>
  <c r="I110" i="31"/>
  <c r="J110" i="31"/>
  <c r="G772" i="32"/>
  <c r="G771" i="32"/>
  <c r="G773" i="32"/>
  <c r="I109" i="31"/>
  <c r="J109" i="31"/>
  <c r="H757" i="32"/>
  <c r="H752" i="32"/>
  <c r="H751" i="32"/>
  <c r="H743" i="32"/>
  <c r="H740" i="32"/>
  <c r="G716" i="32"/>
  <c r="G712" i="32"/>
  <c r="G709" i="32"/>
  <c r="G708" i="32"/>
  <c r="G698" i="32"/>
  <c r="G697" i="32"/>
  <c r="G696" i="32"/>
  <c r="G695" i="32"/>
  <c r="G694" i="32"/>
  <c r="G693" i="32"/>
  <c r="G692" i="32"/>
  <c r="G691" i="32"/>
  <c r="G690" i="32"/>
  <c r="G689" i="32"/>
  <c r="G688" i="32"/>
  <c r="G687" i="32"/>
  <c r="G686" i="32"/>
  <c r="G685" i="32"/>
  <c r="G684" i="32"/>
  <c r="G682" i="32"/>
  <c r="G681" i="32"/>
  <c r="G680" i="32"/>
  <c r="G679" i="32"/>
  <c r="G678" i="32"/>
  <c r="G677" i="32"/>
  <c r="G676" i="32"/>
  <c r="G674" i="32"/>
  <c r="G673" i="32"/>
  <c r="G672" i="32"/>
  <c r="G669" i="32"/>
  <c r="G668" i="32"/>
  <c r="G667" i="32"/>
  <c r="G666" i="32"/>
  <c r="G665" i="32"/>
  <c r="G664" i="32"/>
  <c r="G663" i="32"/>
  <c r="G662" i="32"/>
  <c r="G653" i="32"/>
  <c r="G652" i="32"/>
  <c r="G651" i="32"/>
  <c r="G650" i="32"/>
  <c r="G649" i="32"/>
  <c r="G648" i="32"/>
  <c r="G647" i="32"/>
  <c r="G646" i="32"/>
  <c r="G645" i="32"/>
  <c r="G643" i="32"/>
  <c r="G642" i="32"/>
  <c r="G641" i="32"/>
  <c r="G639" i="32"/>
  <c r="G638" i="32"/>
  <c r="G637" i="32"/>
  <c r="G635" i="32"/>
  <c r="G634" i="32"/>
  <c r="G633" i="32"/>
  <c r="G632" i="32"/>
  <c r="G631" i="32"/>
  <c r="G630" i="32"/>
  <c r="G629" i="32"/>
  <c r="G628" i="32"/>
  <c r="G627" i="32"/>
  <c r="G625" i="32"/>
  <c r="G624" i="32"/>
  <c r="G623" i="32"/>
  <c r="G622" i="32"/>
  <c r="G620" i="32"/>
  <c r="G619" i="32"/>
  <c r="G618" i="32"/>
  <c r="G617" i="32"/>
  <c r="G616" i="32"/>
  <c r="G615" i="32"/>
  <c r="G614" i="32"/>
  <c r="G613" i="32"/>
  <c r="I589" i="32"/>
  <c r="I588" i="32"/>
  <c r="I584" i="32"/>
  <c r="I583" i="32"/>
  <c r="I582" i="32"/>
  <c r="I581" i="32"/>
  <c r="I580" i="32"/>
  <c r="I570" i="32"/>
  <c r="I566" i="32"/>
  <c r="I565" i="32"/>
  <c r="M557" i="32"/>
  <c r="L557" i="32"/>
  <c r="K557" i="32"/>
  <c r="J557" i="32"/>
  <c r="I557" i="32"/>
  <c r="H557" i="32"/>
  <c r="G557" i="32"/>
  <c r="N556" i="32"/>
  <c r="N555" i="32"/>
  <c r="N554" i="32"/>
  <c r="N553" i="32"/>
  <c r="N552" i="32"/>
  <c r="N551" i="32"/>
  <c r="N550" i="32"/>
  <c r="N549" i="32"/>
  <c r="N548" i="32"/>
  <c r="N547" i="32"/>
  <c r="N546" i="32"/>
  <c r="N545" i="32"/>
  <c r="N544" i="32"/>
  <c r="N543" i="32"/>
  <c r="N542" i="32"/>
  <c r="N541" i="32"/>
  <c r="N540" i="32"/>
  <c r="N539" i="32"/>
  <c r="N538" i="32"/>
  <c r="N537" i="32"/>
  <c r="N536" i="32"/>
  <c r="N535" i="32"/>
  <c r="N534" i="32"/>
  <c r="N533" i="32"/>
  <c r="N532" i="32"/>
  <c r="N531" i="32"/>
  <c r="N530" i="32"/>
  <c r="N529" i="32"/>
  <c r="N528" i="32"/>
  <c r="N527" i="32"/>
  <c r="I514" i="32"/>
  <c r="I513" i="32"/>
  <c r="I512" i="32"/>
  <c r="I511" i="32"/>
  <c r="I510" i="32"/>
  <c r="I509" i="32"/>
  <c r="I508" i="32"/>
  <c r="I507" i="32"/>
  <c r="J506" i="32"/>
  <c r="I504" i="32"/>
  <c r="I503" i="32"/>
  <c r="I502" i="32"/>
  <c r="I501" i="32"/>
  <c r="I500" i="32"/>
  <c r="I499" i="32"/>
  <c r="I498" i="32"/>
  <c r="I497" i="32"/>
  <c r="J496" i="32"/>
  <c r="I494" i="32"/>
  <c r="I493" i="32"/>
  <c r="I492" i="32"/>
  <c r="I491" i="32"/>
  <c r="I490" i="32"/>
  <c r="I489" i="32"/>
  <c r="I488" i="32"/>
  <c r="I487" i="32"/>
  <c r="I484" i="32"/>
  <c r="I483" i="32"/>
  <c r="I482" i="32"/>
  <c r="I481" i="32"/>
  <c r="I480" i="32"/>
  <c r="I479" i="32"/>
  <c r="I478" i="32"/>
  <c r="I477" i="32"/>
  <c r="I475" i="32"/>
  <c r="I474" i="32"/>
  <c r="I473" i="32"/>
  <c r="I472" i="32"/>
  <c r="I471" i="32"/>
  <c r="I470" i="32"/>
  <c r="I469" i="32"/>
  <c r="I468" i="32"/>
  <c r="I466" i="32"/>
  <c r="I465" i="32"/>
  <c r="I464" i="32"/>
  <c r="I463" i="32"/>
  <c r="I462" i="32"/>
  <c r="I461" i="32"/>
  <c r="I460" i="32"/>
  <c r="I459" i="32"/>
  <c r="I457" i="32"/>
  <c r="I456" i="32"/>
  <c r="I455" i="32"/>
  <c r="I454" i="32"/>
  <c r="I453" i="32"/>
  <c r="I452" i="32"/>
  <c r="I451" i="32"/>
  <c r="I450" i="32"/>
  <c r="I448" i="32"/>
  <c r="I447" i="32"/>
  <c r="I446" i="32"/>
  <c r="I445" i="32"/>
  <c r="I444" i="32"/>
  <c r="I443" i="32"/>
  <c r="I442" i="32"/>
  <c r="I441" i="32"/>
  <c r="I439" i="32"/>
  <c r="I438" i="32"/>
  <c r="I437" i="32"/>
  <c r="I436" i="32"/>
  <c r="I435" i="32"/>
  <c r="I434" i="32"/>
  <c r="I433" i="32"/>
  <c r="I432" i="32"/>
  <c r="J431" i="32"/>
  <c r="I430" i="32"/>
  <c r="I429" i="32"/>
  <c r="I428" i="32"/>
  <c r="I427" i="32"/>
  <c r="I426" i="32"/>
  <c r="I425" i="32"/>
  <c r="I424" i="32"/>
  <c r="I423" i="32"/>
  <c r="J422" i="32"/>
  <c r="I421" i="32"/>
  <c r="I420" i="32"/>
  <c r="I419" i="32"/>
  <c r="I418" i="32"/>
  <c r="I417" i="32"/>
  <c r="I416" i="32"/>
  <c r="I415" i="32"/>
  <c r="I414" i="32"/>
  <c r="I412" i="32"/>
  <c r="I411" i="32"/>
  <c r="I410" i="32"/>
  <c r="I409" i="32"/>
  <c r="I408" i="32"/>
  <c r="I407" i="32"/>
  <c r="I406" i="32"/>
  <c r="I405" i="32"/>
  <c r="I401" i="32"/>
  <c r="I398" i="32"/>
  <c r="I397" i="32"/>
  <c r="I396" i="32"/>
  <c r="I395" i="32"/>
  <c r="I394" i="32"/>
  <c r="I393" i="32"/>
  <c r="I392" i="32"/>
  <c r="I391" i="32"/>
  <c r="I390" i="32"/>
  <c r="I389" i="32"/>
  <c r="I388" i="32"/>
  <c r="I387" i="32"/>
  <c r="I386" i="32"/>
  <c r="I385" i="32"/>
  <c r="I384" i="32"/>
  <c r="I383" i="32"/>
  <c r="I382" i="32"/>
  <c r="I381" i="32"/>
  <c r="I376" i="32"/>
  <c r="I364" i="32"/>
  <c r="I363" i="32"/>
  <c r="I362" i="32"/>
  <c r="I361" i="32"/>
  <c r="I360" i="32"/>
  <c r="I359" i="32"/>
  <c r="I358" i="32"/>
  <c r="I357" i="32"/>
  <c r="I354" i="32"/>
  <c r="I353" i="32"/>
  <c r="I352" i="32"/>
  <c r="I351" i="32"/>
  <c r="I350" i="32"/>
  <c r="I349" i="32"/>
  <c r="I348" i="32"/>
  <c r="I347" i="32"/>
  <c r="I344" i="32"/>
  <c r="I343" i="32"/>
  <c r="I342" i="32"/>
  <c r="I341" i="32"/>
  <c r="I340" i="32"/>
  <c r="I339" i="32"/>
  <c r="I338" i="32"/>
  <c r="I337" i="32"/>
  <c r="I335" i="32"/>
  <c r="I334" i="32"/>
  <c r="I333" i="32"/>
  <c r="I332" i="32"/>
  <c r="I331" i="32"/>
  <c r="I330" i="32"/>
  <c r="I329" i="32"/>
  <c r="I328" i="32"/>
  <c r="I326" i="32"/>
  <c r="I325" i="32"/>
  <c r="I324" i="32"/>
  <c r="I323" i="32"/>
  <c r="I322" i="32"/>
  <c r="I321" i="32"/>
  <c r="I320" i="32"/>
  <c r="I319" i="32"/>
  <c r="I317" i="32"/>
  <c r="I316" i="32"/>
  <c r="I315" i="32"/>
  <c r="I314" i="32"/>
  <c r="I313" i="32"/>
  <c r="I312" i="32"/>
  <c r="I311" i="32"/>
  <c r="I310" i="32"/>
  <c r="I308" i="32"/>
  <c r="I307" i="32"/>
  <c r="I306" i="32"/>
  <c r="I305" i="32"/>
  <c r="I304" i="32"/>
  <c r="I303" i="32"/>
  <c r="I302" i="32"/>
  <c r="I301" i="32"/>
  <c r="I299" i="32"/>
  <c r="I298" i="32"/>
  <c r="I297" i="32"/>
  <c r="I296" i="32"/>
  <c r="I295" i="32"/>
  <c r="I294" i="32"/>
  <c r="I293" i="32"/>
  <c r="I292" i="32"/>
  <c r="J291" i="32"/>
  <c r="I290" i="32"/>
  <c r="I289" i="32"/>
  <c r="I288" i="32"/>
  <c r="I287" i="32"/>
  <c r="I286" i="32"/>
  <c r="I285" i="32"/>
  <c r="I284" i="32"/>
  <c r="I283" i="32"/>
  <c r="I281" i="32"/>
  <c r="I280" i="32"/>
  <c r="I279" i="32"/>
  <c r="I278" i="32"/>
  <c r="I277" i="32"/>
  <c r="I276" i="32"/>
  <c r="I275" i="32"/>
  <c r="I274" i="32"/>
  <c r="J273" i="32"/>
  <c r="I272" i="32"/>
  <c r="I271" i="32"/>
  <c r="I270" i="32"/>
  <c r="I269" i="32"/>
  <c r="I268" i="32"/>
  <c r="I267" i="32"/>
  <c r="I266" i="32"/>
  <c r="I265" i="32"/>
  <c r="I261" i="32"/>
  <c r="I257" i="32"/>
  <c r="I256" i="32"/>
  <c r="I255" i="32"/>
  <c r="I254" i="32"/>
  <c r="I253" i="32"/>
  <c r="I252" i="32"/>
  <c r="I251" i="32"/>
  <c r="I250" i="32"/>
  <c r="I249" i="32"/>
  <c r="I248" i="32"/>
  <c r="I247" i="32"/>
  <c r="I246" i="32"/>
  <c r="I245" i="32"/>
  <c r="I244" i="32"/>
  <c r="I243" i="32"/>
  <c r="I242" i="32"/>
  <c r="I241" i="32"/>
  <c r="I236" i="32"/>
  <c r="I223" i="32"/>
  <c r="I222" i="32"/>
  <c r="I221" i="32"/>
  <c r="I220" i="32"/>
  <c r="I219" i="32"/>
  <c r="I218" i="32"/>
  <c r="I217" i="32"/>
  <c r="I216" i="32"/>
  <c r="I213" i="32"/>
  <c r="I212" i="32"/>
  <c r="I211" i="32"/>
  <c r="I210" i="32"/>
  <c r="I209" i="32"/>
  <c r="I208" i="32"/>
  <c r="I207" i="32"/>
  <c r="I206" i="32"/>
  <c r="I203" i="32"/>
  <c r="I202" i="32"/>
  <c r="I201" i="32"/>
  <c r="I200" i="32"/>
  <c r="I199" i="32"/>
  <c r="I198" i="32"/>
  <c r="I197" i="32"/>
  <c r="I196" i="32"/>
  <c r="I194" i="32"/>
  <c r="I193" i="32"/>
  <c r="I192" i="32"/>
  <c r="I191" i="32"/>
  <c r="I190" i="32"/>
  <c r="I189" i="32"/>
  <c r="I188" i="32"/>
  <c r="I187" i="32"/>
  <c r="I185" i="32"/>
  <c r="I184" i="32"/>
  <c r="I183" i="32"/>
  <c r="I182" i="32"/>
  <c r="I181" i="32"/>
  <c r="I180" i="32"/>
  <c r="I179" i="32"/>
  <c r="I178" i="32"/>
  <c r="J177" i="32"/>
  <c r="I176" i="32"/>
  <c r="I175" i="32"/>
  <c r="I174" i="32"/>
  <c r="I173" i="32"/>
  <c r="I172" i="32"/>
  <c r="I171" i="32"/>
  <c r="I170" i="32"/>
  <c r="I169" i="32"/>
  <c r="I167" i="32"/>
  <c r="I166" i="32"/>
  <c r="I165" i="32"/>
  <c r="I164" i="32"/>
  <c r="I163" i="32"/>
  <c r="I162" i="32"/>
  <c r="I161" i="32"/>
  <c r="I160" i="32"/>
  <c r="I158" i="32"/>
  <c r="I157" i="32"/>
  <c r="I156" i="32"/>
  <c r="I155" i="32"/>
  <c r="I154" i="32"/>
  <c r="I153" i="32"/>
  <c r="I152" i="32"/>
  <c r="I151" i="32"/>
  <c r="J150" i="32"/>
  <c r="I149" i="32"/>
  <c r="I148" i="32"/>
  <c r="I147" i="32"/>
  <c r="I146" i="32"/>
  <c r="I145" i="32"/>
  <c r="I144" i="32"/>
  <c r="I143" i="32"/>
  <c r="I142" i="32"/>
  <c r="I140" i="32"/>
  <c r="I139" i="32"/>
  <c r="I138" i="32"/>
  <c r="I137" i="32"/>
  <c r="I136" i="32"/>
  <c r="I135" i="32"/>
  <c r="I134" i="32"/>
  <c r="I133" i="32"/>
  <c r="J132" i="32"/>
  <c r="I131" i="32"/>
  <c r="I130" i="32"/>
  <c r="I129" i="32"/>
  <c r="I128" i="32"/>
  <c r="I127" i="32"/>
  <c r="I126" i="32"/>
  <c r="I125" i="32"/>
  <c r="I124" i="32"/>
  <c r="J123" i="32"/>
  <c r="I120" i="32"/>
  <c r="I116" i="32"/>
  <c r="I115" i="32"/>
  <c r="I114" i="32"/>
  <c r="I113" i="32"/>
  <c r="I112" i="32"/>
  <c r="I111" i="32"/>
  <c r="I110" i="32"/>
  <c r="I109" i="32"/>
  <c r="I108" i="32"/>
  <c r="I107" i="32"/>
  <c r="I106" i="32"/>
  <c r="I105" i="32"/>
  <c r="I104" i="32"/>
  <c r="I103" i="32"/>
  <c r="I102" i="32"/>
  <c r="I101" i="32"/>
  <c r="I100" i="32"/>
  <c r="I95" i="32"/>
  <c r="G84" i="32"/>
  <c r="G83" i="32"/>
  <c r="G82" i="32"/>
  <c r="G81" i="32"/>
  <c r="G80" i="32"/>
  <c r="G79" i="32"/>
  <c r="G78" i="32"/>
  <c r="G76" i="32"/>
  <c r="G74" i="32"/>
  <c r="G64" i="32"/>
  <c r="G63" i="32"/>
  <c r="G62" i="32"/>
  <c r="G60" i="32"/>
  <c r="G59" i="32"/>
  <c r="G56" i="32"/>
  <c r="G55" i="32"/>
  <c r="G53" i="32"/>
  <c r="G51" i="32"/>
  <c r="G50" i="32"/>
  <c r="G48" i="32"/>
  <c r="G47" i="32"/>
  <c r="G46" i="32"/>
  <c r="G45" i="32"/>
  <c r="G44" i="32"/>
  <c r="G43" i="32"/>
  <c r="G42" i="32"/>
  <c r="G40" i="32"/>
  <c r="G39" i="32"/>
  <c r="G65" i="32"/>
  <c r="I85" i="31"/>
  <c r="G31" i="32"/>
  <c r="G30" i="32"/>
  <c r="G29" i="32"/>
  <c r="G27" i="32"/>
  <c r="G26" i="32"/>
  <c r="G23" i="32"/>
  <c r="G22" i="32"/>
  <c r="G20" i="32"/>
  <c r="G18" i="32"/>
  <c r="G17" i="32"/>
  <c r="G16" i="32"/>
  <c r="G15" i="32"/>
  <c r="G14" i="32"/>
  <c r="G12" i="32"/>
  <c r="G7" i="32"/>
  <c r="G5" i="32"/>
  <c r="H115" i="31"/>
  <c r="G115" i="31"/>
  <c r="J113" i="31"/>
  <c r="F104" i="31"/>
  <c r="F96" i="31"/>
  <c r="I97" i="31"/>
  <c r="J97" i="31"/>
  <c r="J95" i="31"/>
  <c r="J94" i="31"/>
  <c r="J93" i="31"/>
  <c r="J92" i="31"/>
  <c r="I91" i="31"/>
  <c r="J91" i="31"/>
  <c r="J90" i="31"/>
  <c r="J89" i="31"/>
  <c r="J88" i="31"/>
  <c r="J87" i="31"/>
  <c r="J86" i="31"/>
  <c r="I83" i="31"/>
  <c r="F83"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I8" i="31"/>
  <c r="F8" i="31"/>
  <c r="I34" i="28"/>
  <c r="J34" i="28"/>
  <c r="L33" i="28"/>
  <c r="K33" i="28"/>
  <c r="J33" i="28"/>
  <c r="I33" i="28"/>
  <c r="H33" i="28"/>
  <c r="G33" i="28"/>
  <c r="F33" i="28"/>
  <c r="I30" i="28"/>
  <c r="L29" i="28"/>
  <c r="K29" i="28"/>
  <c r="K28" i="28"/>
  <c r="H29" i="28"/>
  <c r="G29" i="28"/>
  <c r="G28" i="28"/>
  <c r="F29" i="28"/>
  <c r="L28" i="28"/>
  <c r="H28" i="28"/>
  <c r="I16" i="28"/>
  <c r="L15" i="28"/>
  <c r="K15" i="28"/>
  <c r="H15" i="28"/>
  <c r="G15" i="28"/>
  <c r="F15" i="28"/>
  <c r="I12" i="28"/>
  <c r="J12" i="28"/>
  <c r="J11" i="28"/>
  <c r="L11" i="28"/>
  <c r="L10" i="28"/>
  <c r="K11" i="28"/>
  <c r="K10" i="28"/>
  <c r="I11" i="28"/>
  <c r="H11" i="28"/>
  <c r="G11" i="28"/>
  <c r="F11" i="28"/>
  <c r="F10" i="28"/>
  <c r="H10" i="28"/>
  <c r="G10" i="28"/>
  <c r="I85" i="27"/>
  <c r="J85" i="27"/>
  <c r="H85" i="27"/>
  <c r="G85" i="27"/>
  <c r="F85" i="27"/>
  <c r="E85" i="27"/>
  <c r="D85" i="27"/>
  <c r="C85" i="27"/>
  <c r="I84" i="27"/>
  <c r="J84" i="27"/>
  <c r="H84" i="27"/>
  <c r="G84" i="27"/>
  <c r="F84" i="27"/>
  <c r="E84" i="27"/>
  <c r="D84" i="27"/>
  <c r="C84" i="27"/>
  <c r="I83" i="27"/>
  <c r="J83" i="27"/>
  <c r="H83" i="27"/>
  <c r="G83" i="27"/>
  <c r="F83" i="27"/>
  <c r="E83" i="27"/>
  <c r="D83" i="27"/>
  <c r="C83" i="27"/>
  <c r="I82" i="27"/>
  <c r="J82" i="27"/>
  <c r="H82" i="27"/>
  <c r="I81" i="27"/>
  <c r="J81" i="27"/>
  <c r="H81" i="27"/>
  <c r="I80" i="27"/>
  <c r="J80" i="27"/>
  <c r="H80" i="27"/>
  <c r="I79" i="27"/>
  <c r="J79" i="27"/>
  <c r="H79" i="27"/>
  <c r="I78" i="27"/>
  <c r="H78" i="27"/>
  <c r="H77" i="27"/>
  <c r="H76" i="27"/>
  <c r="G77" i="27"/>
  <c r="G76" i="27"/>
  <c r="F77" i="27"/>
  <c r="F76" i="27"/>
  <c r="E77" i="27"/>
  <c r="D77" i="27"/>
  <c r="C77" i="27"/>
  <c r="C76" i="27"/>
  <c r="E76" i="27"/>
  <c r="D76" i="27"/>
  <c r="I75" i="27"/>
  <c r="H75" i="27"/>
  <c r="I74" i="27"/>
  <c r="J74" i="27"/>
  <c r="J75" i="27"/>
  <c r="H74" i="27"/>
  <c r="G74" i="27"/>
  <c r="G47" i="27"/>
  <c r="G46" i="27"/>
  <c r="G45" i="27"/>
  <c r="F74" i="27"/>
  <c r="E74" i="27"/>
  <c r="D74" i="27"/>
  <c r="C74" i="27"/>
  <c r="I73" i="27"/>
  <c r="J73" i="27"/>
  <c r="H73" i="27"/>
  <c r="F73" i="27"/>
  <c r="I72" i="27"/>
  <c r="J72" i="27"/>
  <c r="H72" i="27"/>
  <c r="F72" i="27"/>
  <c r="I71" i="27"/>
  <c r="J71" i="27"/>
  <c r="H71" i="27"/>
  <c r="I70" i="27"/>
  <c r="J70" i="27"/>
  <c r="H70" i="27"/>
  <c r="F70" i="27"/>
  <c r="I69" i="27"/>
  <c r="J69" i="27"/>
  <c r="H69" i="27"/>
  <c r="I68" i="27"/>
  <c r="J68" i="27"/>
  <c r="H68" i="27"/>
  <c r="F68" i="27"/>
  <c r="I67" i="27"/>
  <c r="J67" i="27"/>
  <c r="H67" i="27"/>
  <c r="F67" i="27"/>
  <c r="I66" i="27"/>
  <c r="J66" i="27"/>
  <c r="H66" i="27"/>
  <c r="F66" i="27"/>
  <c r="I65" i="27"/>
  <c r="J65" i="27"/>
  <c r="H65" i="27"/>
  <c r="F65" i="27"/>
  <c r="I64" i="27"/>
  <c r="J64" i="27"/>
  <c r="H64" i="27"/>
  <c r="F64" i="27"/>
  <c r="I63" i="27"/>
  <c r="J63" i="27"/>
  <c r="H63" i="27"/>
  <c r="F63" i="27"/>
  <c r="I62" i="27"/>
  <c r="J62" i="27"/>
  <c r="H62" i="27"/>
  <c r="F62" i="27"/>
  <c r="I61" i="27"/>
  <c r="J61" i="27"/>
  <c r="H61" i="27"/>
  <c r="F61" i="27"/>
  <c r="I60" i="27"/>
  <c r="J60" i="27"/>
  <c r="H60" i="27"/>
  <c r="F60" i="27"/>
  <c r="I59" i="27"/>
  <c r="J59" i="27"/>
  <c r="H59" i="27"/>
  <c r="F59" i="27"/>
  <c r="I58" i="27"/>
  <c r="J58" i="27"/>
  <c r="H58" i="27"/>
  <c r="I57" i="27"/>
  <c r="J57" i="27"/>
  <c r="H57" i="27"/>
  <c r="F57" i="27"/>
  <c r="I56" i="27"/>
  <c r="J56" i="27"/>
  <c r="H56" i="27"/>
  <c r="F56" i="27"/>
  <c r="I55" i="27"/>
  <c r="J55" i="27"/>
  <c r="H55" i="27"/>
  <c r="F55" i="27"/>
  <c r="I54" i="27"/>
  <c r="J54" i="27"/>
  <c r="H54" i="27"/>
  <c r="F54" i="27"/>
  <c r="I53" i="27"/>
  <c r="J53" i="27"/>
  <c r="H53" i="27"/>
  <c r="F53" i="27"/>
  <c r="I52" i="27"/>
  <c r="J52" i="27"/>
  <c r="H52" i="27"/>
  <c r="F52" i="27"/>
  <c r="I51" i="27"/>
  <c r="J51" i="27"/>
  <c r="H51" i="27"/>
  <c r="F51" i="27"/>
  <c r="I50" i="27"/>
  <c r="J50" i="27"/>
  <c r="H50" i="27"/>
  <c r="F50" i="27"/>
  <c r="I49" i="27"/>
  <c r="J49" i="27"/>
  <c r="H49" i="27"/>
  <c r="F49" i="27"/>
  <c r="I48" i="27"/>
  <c r="H48" i="27"/>
  <c r="F48" i="27"/>
  <c r="L47" i="27"/>
  <c r="K47" i="27"/>
  <c r="H47" i="27"/>
  <c r="H46" i="27"/>
  <c r="H45" i="27"/>
  <c r="E47" i="27"/>
  <c r="E46" i="27"/>
  <c r="E45" i="27"/>
  <c r="C47" i="27"/>
  <c r="C46" i="27"/>
  <c r="C45" i="27"/>
  <c r="I44" i="27"/>
  <c r="J44" i="27"/>
  <c r="H44" i="27"/>
  <c r="I43" i="27"/>
  <c r="J43" i="27"/>
  <c r="H43" i="27"/>
  <c r="I42" i="27"/>
  <c r="J42" i="27"/>
  <c r="H42" i="27"/>
  <c r="I41" i="27"/>
  <c r="J41" i="27"/>
  <c r="H41" i="27"/>
  <c r="I40" i="27"/>
  <c r="J40" i="27"/>
  <c r="H40" i="27"/>
  <c r="I39" i="27"/>
  <c r="J39" i="27"/>
  <c r="H39" i="27"/>
  <c r="I38" i="27"/>
  <c r="J38" i="27"/>
  <c r="H38" i="27"/>
  <c r="I37" i="27"/>
  <c r="J37" i="27"/>
  <c r="H37" i="27"/>
  <c r="I36" i="27"/>
  <c r="J36" i="27"/>
  <c r="H36" i="27"/>
  <c r="I35" i="27"/>
  <c r="J35" i="27"/>
  <c r="H35" i="27"/>
  <c r="I34" i="27"/>
  <c r="J34" i="27"/>
  <c r="H34" i="27"/>
  <c r="I33" i="27"/>
  <c r="J33" i="27"/>
  <c r="H33" i="27"/>
  <c r="I32" i="27"/>
  <c r="J32" i="27"/>
  <c r="H32" i="27"/>
  <c r="I31" i="27"/>
  <c r="J31" i="27"/>
  <c r="H31" i="27"/>
  <c r="I30" i="27"/>
  <c r="J30" i="27"/>
  <c r="H30" i="27"/>
  <c r="I29" i="27"/>
  <c r="J29" i="27"/>
  <c r="H29" i="27"/>
  <c r="G28" i="27"/>
  <c r="F28" i="27"/>
  <c r="E28" i="27"/>
  <c r="D28" i="27"/>
  <c r="C28" i="27"/>
  <c r="I27" i="27"/>
  <c r="J27" i="27"/>
  <c r="H27" i="27"/>
  <c r="I26" i="27"/>
  <c r="J26" i="27"/>
  <c r="H26" i="27"/>
  <c r="I25" i="27"/>
  <c r="J25" i="27"/>
  <c r="H25" i="27"/>
  <c r="J24" i="27"/>
  <c r="H24" i="27"/>
  <c r="I23" i="27"/>
  <c r="J23" i="27"/>
  <c r="H23" i="27"/>
  <c r="I22" i="27"/>
  <c r="J22" i="27"/>
  <c r="H22" i="27"/>
  <c r="I21" i="27"/>
  <c r="J21" i="27"/>
  <c r="H21" i="27"/>
  <c r="I20" i="27"/>
  <c r="J20" i="27"/>
  <c r="H20" i="27"/>
  <c r="I19" i="27"/>
  <c r="J19" i="27"/>
  <c r="H19" i="27"/>
  <c r="I18" i="27"/>
  <c r="J18" i="27"/>
  <c r="H18" i="27"/>
  <c r="I17" i="27"/>
  <c r="J17" i="27"/>
  <c r="H17" i="27"/>
  <c r="I16" i="27"/>
  <c r="J16" i="27"/>
  <c r="H16" i="27"/>
  <c r="I15" i="27"/>
  <c r="J15" i="27"/>
  <c r="H15" i="27"/>
  <c r="I14" i="27"/>
  <c r="H14" i="27"/>
  <c r="G13" i="27"/>
  <c r="F13" i="27"/>
  <c r="F12" i="27"/>
  <c r="E13" i="27"/>
  <c r="E12" i="27"/>
  <c r="E11" i="27"/>
  <c r="E10" i="27"/>
  <c r="D13" i="27"/>
  <c r="C13" i="27"/>
  <c r="C12" i="27"/>
  <c r="G12" i="27"/>
  <c r="D12" i="27"/>
  <c r="C11" i="27"/>
  <c r="C10" i="27"/>
  <c r="I101" i="26"/>
  <c r="J88" i="26"/>
  <c r="I88" i="26"/>
  <c r="H88" i="26"/>
  <c r="G88" i="26"/>
  <c r="F88" i="26"/>
  <c r="E88" i="26"/>
  <c r="D88" i="26"/>
  <c r="C88" i="26"/>
  <c r="J67" i="26"/>
  <c r="I67" i="26"/>
  <c r="H67" i="26"/>
  <c r="G67" i="26"/>
  <c r="G66" i="26"/>
  <c r="F67" i="26"/>
  <c r="E67" i="26"/>
  <c r="D67" i="26"/>
  <c r="C67" i="26"/>
  <c r="C66" i="26"/>
  <c r="F66" i="26"/>
  <c r="E66" i="26"/>
  <c r="D66" i="26"/>
  <c r="J65" i="26"/>
  <c r="I65" i="26"/>
  <c r="H65" i="26"/>
  <c r="I64" i="26"/>
  <c r="H64" i="26"/>
  <c r="H63" i="26"/>
  <c r="L63" i="26"/>
  <c r="K63" i="26"/>
  <c r="J63" i="26"/>
  <c r="I63" i="26"/>
  <c r="G63" i="26"/>
  <c r="F63" i="26"/>
  <c r="E63" i="26"/>
  <c r="D63" i="26"/>
  <c r="I62" i="26"/>
  <c r="L62" i="26"/>
  <c r="L52" i="26"/>
  <c r="H62" i="26"/>
  <c r="I61" i="26"/>
  <c r="J61" i="26"/>
  <c r="H61" i="26"/>
  <c r="I60" i="26"/>
  <c r="J60" i="26"/>
  <c r="H60" i="26"/>
  <c r="I59" i="26"/>
  <c r="J59" i="26"/>
  <c r="H59" i="26"/>
  <c r="I58" i="26"/>
  <c r="J58" i="26"/>
  <c r="H58" i="26"/>
  <c r="I57" i="26"/>
  <c r="J57" i="26"/>
  <c r="H57" i="26"/>
  <c r="I56" i="26"/>
  <c r="J56" i="26"/>
  <c r="H56" i="26"/>
  <c r="I55" i="26"/>
  <c r="J55" i="26"/>
  <c r="H55" i="26"/>
  <c r="I54" i="26"/>
  <c r="H54" i="26"/>
  <c r="H52" i="26"/>
  <c r="I53" i="26"/>
  <c r="J53" i="26"/>
  <c r="H53" i="26"/>
  <c r="K52" i="26"/>
  <c r="C52" i="26"/>
  <c r="I51" i="26"/>
  <c r="H51" i="26"/>
  <c r="I50" i="26"/>
  <c r="K50" i="26"/>
  <c r="H50" i="26"/>
  <c r="I49" i="26"/>
  <c r="K49" i="26"/>
  <c r="H49" i="26"/>
  <c r="I48" i="26"/>
  <c r="J48" i="26"/>
  <c r="H48" i="26"/>
  <c r="I47" i="26"/>
  <c r="J47" i="26"/>
  <c r="H47" i="26"/>
  <c r="I46" i="26"/>
  <c r="J46" i="26"/>
  <c r="H46" i="26"/>
  <c r="I45" i="26"/>
  <c r="J45" i="26"/>
  <c r="H45" i="26"/>
  <c r="I44" i="26"/>
  <c r="J44" i="26"/>
  <c r="H44" i="26"/>
  <c r="I43" i="26"/>
  <c r="J43" i="26"/>
  <c r="H43" i="26"/>
  <c r="I42" i="26"/>
  <c r="J42" i="26"/>
  <c r="H42" i="26"/>
  <c r="I41" i="26"/>
  <c r="H41" i="26"/>
  <c r="I40" i="26"/>
  <c r="J40" i="26"/>
  <c r="H40" i="26"/>
  <c r="I39" i="26"/>
  <c r="J39" i="26"/>
  <c r="H39" i="26"/>
  <c r="I38" i="26"/>
  <c r="J38" i="26"/>
  <c r="H38" i="26"/>
  <c r="I37" i="26"/>
  <c r="J37" i="26"/>
  <c r="H37" i="26"/>
  <c r="I36" i="26"/>
  <c r="J36" i="26"/>
  <c r="H36" i="26"/>
  <c r="I35" i="26"/>
  <c r="H35" i="26"/>
  <c r="K35" i="26"/>
  <c r="I34" i="26"/>
  <c r="J34" i="26"/>
  <c r="H34" i="26"/>
  <c r="I33" i="26"/>
  <c r="J33" i="26"/>
  <c r="H33" i="26"/>
  <c r="I32" i="26"/>
  <c r="J32" i="26"/>
  <c r="H32" i="26"/>
  <c r="I31" i="26"/>
  <c r="H31" i="26"/>
  <c r="J30" i="26"/>
  <c r="I30" i="26"/>
  <c r="H30" i="26"/>
  <c r="G29" i="26"/>
  <c r="F29" i="26"/>
  <c r="E29" i="26"/>
  <c r="D29" i="26"/>
  <c r="C29" i="26"/>
  <c r="J28" i="26"/>
  <c r="I28" i="26"/>
  <c r="H28" i="26"/>
  <c r="I27" i="26"/>
  <c r="J27" i="26"/>
  <c r="H27" i="26"/>
  <c r="I26" i="26"/>
  <c r="J26" i="26"/>
  <c r="H26" i="26"/>
  <c r="I25" i="26"/>
  <c r="J25" i="26"/>
  <c r="H25" i="26"/>
  <c r="I24" i="26"/>
  <c r="J24" i="26"/>
  <c r="H24" i="26"/>
  <c r="I23" i="26"/>
  <c r="J23" i="26"/>
  <c r="H23" i="26"/>
  <c r="I22" i="26"/>
  <c r="J22" i="26"/>
  <c r="H22" i="26"/>
  <c r="I21" i="26"/>
  <c r="J21" i="26"/>
  <c r="H21" i="26"/>
  <c r="I20" i="26"/>
  <c r="J20" i="26"/>
  <c r="H20" i="26"/>
  <c r="I19" i="26"/>
  <c r="J19" i="26"/>
  <c r="H19" i="26"/>
  <c r="I18" i="26"/>
  <c r="J18" i="26"/>
  <c r="H18" i="26"/>
  <c r="I17" i="26"/>
  <c r="J17" i="26"/>
  <c r="H17" i="26"/>
  <c r="I16" i="26"/>
  <c r="J16" i="26"/>
  <c r="H16" i="26"/>
  <c r="I15" i="26"/>
  <c r="J15" i="26"/>
  <c r="H15" i="26"/>
  <c r="G13" i="26"/>
  <c r="F13" i="26"/>
  <c r="E13" i="26"/>
  <c r="D13" i="26"/>
  <c r="C13" i="26"/>
  <c r="L106" i="25"/>
  <c r="K106" i="25"/>
  <c r="J106" i="25"/>
  <c r="I106" i="25"/>
  <c r="H106" i="25"/>
  <c r="G106" i="25"/>
  <c r="F106" i="25"/>
  <c r="E106" i="25"/>
  <c r="D106" i="25"/>
  <c r="C106" i="25"/>
  <c r="L104" i="25"/>
  <c r="K104" i="25"/>
  <c r="J104" i="25"/>
  <c r="I104" i="25"/>
  <c r="I86" i="25"/>
  <c r="J86" i="25"/>
  <c r="J85" i="25"/>
  <c r="L85" i="25"/>
  <c r="K85" i="25"/>
  <c r="I85" i="25"/>
  <c r="H85" i="25"/>
  <c r="G85" i="25"/>
  <c r="F85" i="25"/>
  <c r="E85" i="25"/>
  <c r="D85" i="25"/>
  <c r="C85" i="25"/>
  <c r="I84" i="25"/>
  <c r="J84" i="25"/>
  <c r="H84" i="25"/>
  <c r="I83" i="25"/>
  <c r="J83" i="25"/>
  <c r="H83" i="25"/>
  <c r="I82" i="25"/>
  <c r="J82" i="25"/>
  <c r="H82" i="25"/>
  <c r="I81" i="25"/>
  <c r="J81" i="25"/>
  <c r="H81" i="25"/>
  <c r="I80" i="25"/>
  <c r="J80" i="25"/>
  <c r="H80" i="25"/>
  <c r="I79" i="25"/>
  <c r="J79" i="25"/>
  <c r="H79" i="25"/>
  <c r="I78" i="25"/>
  <c r="J78" i="25"/>
  <c r="H78" i="25"/>
  <c r="L77" i="25"/>
  <c r="K77" i="25"/>
  <c r="I77" i="25"/>
  <c r="G77" i="25"/>
  <c r="F77" i="25"/>
  <c r="E77" i="25"/>
  <c r="D77" i="25"/>
  <c r="C77" i="25"/>
  <c r="I75" i="25"/>
  <c r="I74" i="25"/>
  <c r="I73" i="25"/>
  <c r="I72" i="25"/>
  <c r="J72" i="25"/>
  <c r="H72" i="25"/>
  <c r="I71" i="25"/>
  <c r="J71" i="25"/>
  <c r="H71" i="25"/>
  <c r="I70" i="25"/>
  <c r="J70" i="25"/>
  <c r="H70" i="25"/>
  <c r="I69" i="25"/>
  <c r="J69" i="25"/>
  <c r="H69" i="25"/>
  <c r="I68" i="25"/>
  <c r="J68" i="25"/>
  <c r="H68" i="25"/>
  <c r="I67" i="25"/>
  <c r="J67" i="25"/>
  <c r="H67" i="25"/>
  <c r="I66" i="25"/>
  <c r="J66" i="25"/>
  <c r="H66" i="25"/>
  <c r="I65" i="25"/>
  <c r="J65" i="25"/>
  <c r="H65" i="25"/>
  <c r="I64" i="25"/>
  <c r="J64" i="25"/>
  <c r="H64" i="25"/>
  <c r="I63" i="25"/>
  <c r="J63" i="25"/>
  <c r="H63" i="25"/>
  <c r="I62" i="25"/>
  <c r="J62" i="25"/>
  <c r="H62" i="25"/>
  <c r="I61" i="25"/>
  <c r="J61" i="25"/>
  <c r="H61" i="25"/>
  <c r="I60" i="25"/>
  <c r="J60" i="25"/>
  <c r="H60" i="25"/>
  <c r="I59" i="25"/>
  <c r="J59" i="25"/>
  <c r="H59" i="25"/>
  <c r="I58" i="25"/>
  <c r="J58" i="25"/>
  <c r="H58" i="25"/>
  <c r="I57" i="25"/>
  <c r="J57" i="25"/>
  <c r="H57" i="25"/>
  <c r="I56" i="25"/>
  <c r="J56" i="25"/>
  <c r="H56" i="25"/>
  <c r="I55" i="25"/>
  <c r="J55" i="25"/>
  <c r="H55" i="25"/>
  <c r="I54" i="25"/>
  <c r="J54" i="25"/>
  <c r="H54" i="25"/>
  <c r="I53" i="25"/>
  <c r="J53" i="25"/>
  <c r="H53" i="25"/>
  <c r="I52" i="25"/>
  <c r="J52" i="25"/>
  <c r="H52" i="25"/>
  <c r="I51" i="25"/>
  <c r="J51" i="25"/>
  <c r="H51" i="25"/>
  <c r="I50" i="25"/>
  <c r="J50" i="25"/>
  <c r="H50" i="25"/>
  <c r="I49" i="25"/>
  <c r="J49" i="25"/>
  <c r="H49" i="25"/>
  <c r="I48" i="25"/>
  <c r="J48" i="25"/>
  <c r="H48" i="25"/>
  <c r="I47" i="25"/>
  <c r="J47" i="25"/>
  <c r="H47" i="25"/>
  <c r="I46" i="25"/>
  <c r="J46" i="25"/>
  <c r="H46" i="25"/>
  <c r="I45" i="25"/>
  <c r="J45" i="25"/>
  <c r="H45" i="25"/>
  <c r="I44" i="25"/>
  <c r="J44" i="25"/>
  <c r="H44" i="25"/>
  <c r="J43" i="25"/>
  <c r="H43" i="25"/>
  <c r="I42" i="25"/>
  <c r="J42" i="25"/>
  <c r="H42" i="25"/>
  <c r="I41" i="25"/>
  <c r="J41" i="25"/>
  <c r="H41" i="25"/>
  <c r="I40" i="25"/>
  <c r="J40" i="25"/>
  <c r="H40" i="25"/>
  <c r="I39" i="25"/>
  <c r="J39" i="25"/>
  <c r="H39" i="25"/>
  <c r="H38" i="25"/>
  <c r="G37" i="25"/>
  <c r="F37" i="25"/>
  <c r="E37" i="25"/>
  <c r="D37" i="25"/>
  <c r="C37" i="25"/>
  <c r="J36" i="25"/>
  <c r="J35" i="25"/>
  <c r="J34" i="25"/>
  <c r="J33" i="25"/>
  <c r="J32" i="25"/>
  <c r="J31" i="25"/>
  <c r="J30" i="25"/>
  <c r="J29" i="25"/>
  <c r="J28" i="25"/>
  <c r="J27" i="25"/>
  <c r="J26" i="25"/>
  <c r="J25" i="25"/>
  <c r="K24" i="25"/>
  <c r="J24" i="25"/>
  <c r="I24" i="25"/>
  <c r="H24" i="25"/>
  <c r="K23" i="25"/>
  <c r="I23" i="25"/>
  <c r="H23" i="25"/>
  <c r="I22" i="25"/>
  <c r="J22" i="25"/>
  <c r="H22" i="25"/>
  <c r="K21" i="25"/>
  <c r="J21" i="25"/>
  <c r="I21" i="25"/>
  <c r="H21" i="25"/>
  <c r="I20" i="25"/>
  <c r="J20" i="25"/>
  <c r="H20" i="25"/>
  <c r="I19" i="25"/>
  <c r="J19" i="25"/>
  <c r="H19" i="25"/>
  <c r="I18" i="25"/>
  <c r="J18" i="25"/>
  <c r="H18" i="25"/>
  <c r="I17" i="25"/>
  <c r="J17" i="25"/>
  <c r="H17" i="25"/>
  <c r="I16" i="25"/>
  <c r="J16" i="25"/>
  <c r="H16" i="25"/>
  <c r="I15" i="25"/>
  <c r="J15" i="25"/>
  <c r="H15" i="25"/>
  <c r="I14" i="25"/>
  <c r="J14" i="25"/>
  <c r="H14" i="25"/>
  <c r="K13" i="25"/>
  <c r="I13" i="25"/>
  <c r="H13" i="25"/>
  <c r="J12" i="25"/>
  <c r="H12" i="25"/>
  <c r="L11" i="25"/>
  <c r="G11" i="25"/>
  <c r="G10" i="25"/>
  <c r="F11" i="25"/>
  <c r="F10" i="25"/>
  <c r="E11" i="25"/>
  <c r="E10" i="25"/>
  <c r="D11" i="25"/>
  <c r="C11" i="25"/>
  <c r="L10" i="25"/>
  <c r="D10" i="25"/>
  <c r="C10" i="25"/>
  <c r="L68" i="22"/>
  <c r="K68" i="22"/>
  <c r="G68" i="22"/>
  <c r="I67" i="22"/>
  <c r="I66" i="22"/>
  <c r="I65" i="22"/>
  <c r="I64" i="22"/>
  <c r="H64" i="22"/>
  <c r="H63" i="22"/>
  <c r="H62" i="22"/>
  <c r="L63" i="22"/>
  <c r="L62" i="22"/>
  <c r="K63" i="22"/>
  <c r="J63" i="22"/>
  <c r="G63" i="22"/>
  <c r="G62" i="22"/>
  <c r="F63" i="22"/>
  <c r="E63" i="22"/>
  <c r="D63" i="22"/>
  <c r="D62" i="22"/>
  <c r="C63" i="22"/>
  <c r="C62" i="22"/>
  <c r="K62" i="22"/>
  <c r="J62" i="22"/>
  <c r="F62" i="22"/>
  <c r="E62" i="22"/>
  <c r="L57" i="22"/>
  <c r="K57" i="22"/>
  <c r="J57" i="22"/>
  <c r="I57" i="22"/>
  <c r="H57" i="22"/>
  <c r="G57" i="22"/>
  <c r="F57" i="22"/>
  <c r="E57" i="22"/>
  <c r="D57" i="22"/>
  <c r="C57" i="22"/>
  <c r="L52" i="22"/>
  <c r="K52" i="22"/>
  <c r="J52" i="22"/>
  <c r="I52" i="22"/>
  <c r="H52" i="22"/>
  <c r="H51" i="22"/>
  <c r="H50" i="22"/>
  <c r="G52" i="22"/>
  <c r="F52" i="22"/>
  <c r="E52" i="22"/>
  <c r="D52" i="22"/>
  <c r="C52" i="22"/>
  <c r="C51" i="22"/>
  <c r="K51" i="22"/>
  <c r="J51" i="22"/>
  <c r="I51" i="22"/>
  <c r="D51" i="22"/>
  <c r="D50" i="22"/>
  <c r="J50" i="22"/>
  <c r="I49" i="22"/>
  <c r="I48" i="22"/>
  <c r="L48" i="22"/>
  <c r="K48" i="22"/>
  <c r="J48" i="22"/>
  <c r="H48" i="22"/>
  <c r="G48" i="22"/>
  <c r="F48" i="22"/>
  <c r="E48" i="22"/>
  <c r="D48" i="22"/>
  <c r="C48" i="22"/>
  <c r="I46" i="22"/>
  <c r="J46" i="22"/>
  <c r="H46" i="22"/>
  <c r="I45" i="22"/>
  <c r="J45" i="22"/>
  <c r="H45" i="22"/>
  <c r="I44" i="22"/>
  <c r="J44" i="22"/>
  <c r="H44" i="22"/>
  <c r="I43" i="22"/>
  <c r="J43" i="22"/>
  <c r="H43" i="22"/>
  <c r="I42" i="22"/>
  <c r="J42" i="22"/>
  <c r="H42" i="22"/>
  <c r="I41" i="22"/>
  <c r="J41" i="22"/>
  <c r="H41" i="22"/>
  <c r="I40" i="22"/>
  <c r="H40" i="22"/>
  <c r="I39" i="22"/>
  <c r="J39" i="22"/>
  <c r="H39" i="22"/>
  <c r="I38" i="22"/>
  <c r="J38" i="22"/>
  <c r="H38" i="22"/>
  <c r="I37" i="22"/>
  <c r="J37" i="22"/>
  <c r="H37" i="22"/>
  <c r="H36" i="22"/>
  <c r="G36" i="22"/>
  <c r="F36" i="22"/>
  <c r="E36" i="22"/>
  <c r="D36" i="22"/>
  <c r="C36" i="22"/>
  <c r="I33" i="22"/>
  <c r="I32" i="22"/>
  <c r="I31" i="22"/>
  <c r="I30" i="22"/>
  <c r="I29" i="22"/>
  <c r="H29" i="22"/>
  <c r="I28" i="22"/>
  <c r="J28" i="22"/>
  <c r="G28" i="22"/>
  <c r="H28" i="22"/>
  <c r="I27" i="22"/>
  <c r="G27" i="22"/>
  <c r="H27" i="22"/>
  <c r="I26" i="22"/>
  <c r="J26" i="22"/>
  <c r="G26" i="22"/>
  <c r="H26" i="22"/>
  <c r="I25" i="22"/>
  <c r="J25" i="22"/>
  <c r="G25" i="22"/>
  <c r="I24" i="22"/>
  <c r="J24" i="22"/>
  <c r="G24" i="22"/>
  <c r="H24" i="22"/>
  <c r="L23" i="22"/>
  <c r="K23" i="22"/>
  <c r="I23" i="22"/>
  <c r="F23" i="22"/>
  <c r="E23" i="22"/>
  <c r="D23" i="22"/>
  <c r="C23" i="22"/>
  <c r="I22" i="22"/>
  <c r="H22" i="22"/>
  <c r="I21" i="22"/>
  <c r="I20" i="22"/>
  <c r="I19" i="22"/>
  <c r="H19" i="22"/>
  <c r="I18" i="22"/>
  <c r="G18" i="22"/>
  <c r="H18" i="22"/>
  <c r="I17" i="22"/>
  <c r="G17" i="22"/>
  <c r="H17" i="22"/>
  <c r="I16" i="22"/>
  <c r="G16" i="22"/>
  <c r="H16" i="22"/>
  <c r="I15" i="22"/>
  <c r="G15" i="22"/>
  <c r="H15" i="22"/>
  <c r="I14" i="22"/>
  <c r="G14" i="22"/>
  <c r="H14" i="22"/>
  <c r="I13" i="22"/>
  <c r="G13" i="22"/>
  <c r="L12" i="22"/>
  <c r="K12" i="22"/>
  <c r="J12" i="22"/>
  <c r="I12" i="22"/>
  <c r="F12" i="22"/>
  <c r="E12" i="22"/>
  <c r="D12" i="22"/>
  <c r="C12" i="22"/>
  <c r="C11" i="22"/>
  <c r="E11" i="22"/>
  <c r="L85" i="21"/>
  <c r="K85" i="21"/>
  <c r="J85" i="21"/>
  <c r="I85" i="21"/>
  <c r="H85" i="21"/>
  <c r="G85" i="21"/>
  <c r="F85" i="21"/>
  <c r="E85" i="21"/>
  <c r="D85" i="21"/>
  <c r="C85" i="21"/>
  <c r="I74" i="21"/>
  <c r="I73" i="21"/>
  <c r="I72" i="21"/>
  <c r="L72" i="21"/>
  <c r="K72" i="21"/>
  <c r="J72" i="21"/>
  <c r="I71" i="21"/>
  <c r="J71" i="21"/>
  <c r="I70" i="21"/>
  <c r="J70" i="21"/>
  <c r="I69" i="21"/>
  <c r="J69" i="21"/>
  <c r="I68" i="21"/>
  <c r="K68" i="21"/>
  <c r="K66" i="21"/>
  <c r="I67" i="21"/>
  <c r="J67" i="21"/>
  <c r="L66" i="21"/>
  <c r="H66" i="21"/>
  <c r="G66" i="21"/>
  <c r="F66" i="21"/>
  <c r="E66" i="21"/>
  <c r="D66" i="21"/>
  <c r="C66" i="21"/>
  <c r="I65" i="21"/>
  <c r="J65" i="21"/>
  <c r="I64" i="21"/>
  <c r="I63" i="21"/>
  <c r="J63" i="21"/>
  <c r="I62" i="21"/>
  <c r="K62" i="21"/>
  <c r="I61" i="21"/>
  <c r="J61" i="21"/>
  <c r="I60" i="21"/>
  <c r="J60" i="21"/>
  <c r="I59" i="21"/>
  <c r="J59" i="21"/>
  <c r="I58" i="21"/>
  <c r="J58" i="21"/>
  <c r="J57" i="21"/>
  <c r="K57" i="21"/>
  <c r="K91" i="21"/>
  <c r="H57" i="21"/>
  <c r="G57" i="21"/>
  <c r="F57" i="21"/>
  <c r="E57" i="21"/>
  <c r="E91" i="21"/>
  <c r="D57" i="21"/>
  <c r="C57" i="21"/>
  <c r="C91" i="21"/>
  <c r="I38" i="21"/>
  <c r="J38" i="21"/>
  <c r="H38" i="21"/>
  <c r="H37" i="21"/>
  <c r="I36" i="21"/>
  <c r="H36" i="21"/>
  <c r="I35" i="21"/>
  <c r="H35" i="21"/>
  <c r="I34" i="21"/>
  <c r="J34" i="21"/>
  <c r="H34" i="21"/>
  <c r="I33" i="21"/>
  <c r="H33" i="21"/>
  <c r="H32" i="21"/>
  <c r="I31" i="21"/>
  <c r="J31" i="21"/>
  <c r="H31" i="21"/>
  <c r="I30" i="21"/>
  <c r="J30" i="21"/>
  <c r="H30" i="21"/>
  <c r="I29" i="21"/>
  <c r="J29" i="21"/>
  <c r="H29" i="21"/>
  <c r="I28" i="21"/>
  <c r="J28" i="21"/>
  <c r="H28" i="21"/>
  <c r="I27" i="21"/>
  <c r="J27" i="21"/>
  <c r="H27" i="21"/>
  <c r="I26" i="21"/>
  <c r="J26" i="21"/>
  <c r="J25" i="21"/>
  <c r="H26" i="21"/>
  <c r="L25" i="21"/>
  <c r="K25" i="21"/>
  <c r="K90" i="21"/>
  <c r="G25" i="21"/>
  <c r="F25" i="21"/>
  <c r="E25" i="21"/>
  <c r="D25" i="21"/>
  <c r="C25" i="21"/>
  <c r="I24" i="21"/>
  <c r="H24" i="21"/>
  <c r="I23" i="21"/>
  <c r="H23" i="21"/>
  <c r="I22" i="21"/>
  <c r="J22" i="21"/>
  <c r="H22" i="21"/>
  <c r="I21" i="21"/>
  <c r="J21" i="21"/>
  <c r="H21" i="21"/>
  <c r="I20" i="21"/>
  <c r="J20" i="21"/>
  <c r="H20" i="21"/>
  <c r="I19" i="21"/>
  <c r="J19" i="21"/>
  <c r="H19" i="21"/>
  <c r="I18" i="21"/>
  <c r="H18" i="21"/>
  <c r="I17" i="21"/>
  <c r="J17" i="21"/>
  <c r="H17" i="21"/>
  <c r="I15" i="21"/>
  <c r="J15" i="21"/>
  <c r="H15" i="21"/>
  <c r="I14" i="21"/>
  <c r="J14" i="21"/>
  <c r="H14" i="21"/>
  <c r="L13" i="21"/>
  <c r="K13" i="21"/>
  <c r="J13" i="21"/>
  <c r="G13" i="21"/>
  <c r="F13" i="21"/>
  <c r="E13" i="21"/>
  <c r="E90" i="21"/>
  <c r="D13" i="21"/>
  <c r="D90" i="21"/>
  <c r="C13" i="21"/>
  <c r="C90" i="21"/>
  <c r="K72" i="20"/>
  <c r="J72" i="20"/>
  <c r="I72" i="20"/>
  <c r="J71" i="20"/>
  <c r="I71" i="20"/>
  <c r="J70" i="20"/>
  <c r="I70" i="20"/>
  <c r="K69" i="20"/>
  <c r="J69" i="20"/>
  <c r="J68" i="20"/>
  <c r="I69" i="20"/>
  <c r="I68" i="20"/>
  <c r="H68" i="20"/>
  <c r="G68" i="20"/>
  <c r="F68" i="20"/>
  <c r="E68" i="20"/>
  <c r="D68" i="20"/>
  <c r="C68" i="20"/>
  <c r="I67" i="20"/>
  <c r="K67" i="20"/>
  <c r="H67" i="20"/>
  <c r="I66" i="20"/>
  <c r="K66" i="20"/>
  <c r="H66" i="20"/>
  <c r="I65" i="20"/>
  <c r="K65" i="20"/>
  <c r="H65" i="20"/>
  <c r="I64" i="20"/>
  <c r="J64" i="20"/>
  <c r="H64" i="20"/>
  <c r="I63" i="20"/>
  <c r="J63" i="20"/>
  <c r="H63" i="20"/>
  <c r="I62" i="20"/>
  <c r="J62" i="20"/>
  <c r="H62" i="20"/>
  <c r="I61" i="20"/>
  <c r="K61" i="20"/>
  <c r="H61" i="20"/>
  <c r="I60" i="20"/>
  <c r="J60" i="20"/>
  <c r="H60" i="20"/>
  <c r="I59" i="20"/>
  <c r="J59" i="20"/>
  <c r="H59" i="20"/>
  <c r="I58" i="20"/>
  <c r="K58" i="20"/>
  <c r="H58" i="20"/>
  <c r="I57" i="20"/>
  <c r="J57" i="20"/>
  <c r="H57" i="20"/>
  <c r="I56" i="20"/>
  <c r="J56" i="20"/>
  <c r="H56" i="20"/>
  <c r="I55" i="20"/>
  <c r="J55" i="20"/>
  <c r="H55" i="20"/>
  <c r="I54" i="20"/>
  <c r="J54" i="20"/>
  <c r="H54" i="20"/>
  <c r="I53" i="20"/>
  <c r="J53" i="20"/>
  <c r="H53" i="20"/>
  <c r="I52" i="20"/>
  <c r="J52" i="20"/>
  <c r="H52" i="20"/>
  <c r="I51" i="20"/>
  <c r="J51" i="20"/>
  <c r="H51" i="20"/>
  <c r="I50" i="20"/>
  <c r="J50" i="20"/>
  <c r="H50" i="20"/>
  <c r="I49" i="20"/>
  <c r="J49" i="20"/>
  <c r="H49" i="20"/>
  <c r="I48" i="20"/>
  <c r="J48" i="20"/>
  <c r="H48" i="20"/>
  <c r="L47" i="20"/>
  <c r="G47" i="20"/>
  <c r="F47" i="20"/>
  <c r="E47" i="20"/>
  <c r="D47" i="20"/>
  <c r="C47" i="20"/>
  <c r="I46" i="20"/>
  <c r="H46" i="20"/>
  <c r="I45" i="20"/>
  <c r="J45" i="20"/>
  <c r="H45" i="20"/>
  <c r="I44" i="20"/>
  <c r="H44" i="20"/>
  <c r="I43" i="20"/>
  <c r="J43" i="20"/>
  <c r="H43" i="20"/>
  <c r="I42" i="20"/>
  <c r="H42" i="20"/>
  <c r="I41" i="20"/>
  <c r="H41" i="20"/>
  <c r="I40" i="20"/>
  <c r="J40" i="20"/>
  <c r="H40" i="20"/>
  <c r="I39" i="20"/>
  <c r="H39" i="20"/>
  <c r="L38" i="20"/>
  <c r="G38" i="20"/>
  <c r="F38" i="20"/>
  <c r="E38" i="20"/>
  <c r="D38" i="20"/>
  <c r="C38" i="20"/>
  <c r="L37" i="20"/>
  <c r="L36" i="20"/>
  <c r="G37" i="20"/>
  <c r="F37" i="20"/>
  <c r="D37" i="20"/>
  <c r="D36" i="20"/>
  <c r="G36" i="20"/>
  <c r="I28" i="20"/>
  <c r="J28" i="20"/>
  <c r="H28" i="20"/>
  <c r="I27" i="20"/>
  <c r="J27" i="20"/>
  <c r="H27" i="20"/>
  <c r="I26" i="20"/>
  <c r="J26" i="20"/>
  <c r="H26" i="20"/>
  <c r="I25" i="20"/>
  <c r="J25" i="20"/>
  <c r="H25" i="20"/>
  <c r="I24" i="20"/>
  <c r="J24" i="20"/>
  <c r="H24" i="20"/>
  <c r="I23" i="20"/>
  <c r="J23" i="20"/>
  <c r="H23" i="20"/>
  <c r="I22" i="20"/>
  <c r="H22" i="20"/>
  <c r="I21" i="20"/>
  <c r="J21" i="20"/>
  <c r="H21" i="20"/>
  <c r="L20" i="20"/>
  <c r="K20" i="20"/>
  <c r="H20" i="20"/>
  <c r="G20" i="20"/>
  <c r="F20" i="20"/>
  <c r="E20" i="20"/>
  <c r="D20" i="20"/>
  <c r="C20" i="20"/>
  <c r="I19" i="20"/>
  <c r="J19" i="20"/>
  <c r="H19" i="20"/>
  <c r="I18" i="20"/>
  <c r="J18" i="20"/>
  <c r="H18" i="20"/>
  <c r="I17" i="20"/>
  <c r="J17" i="20"/>
  <c r="H17" i="20"/>
  <c r="I16" i="20"/>
  <c r="H16" i="20"/>
  <c r="I15" i="20"/>
  <c r="J15" i="20"/>
  <c r="H15" i="20"/>
  <c r="L14" i="20"/>
  <c r="K14" i="20"/>
  <c r="G14" i="20"/>
  <c r="F14" i="20"/>
  <c r="E14" i="20"/>
  <c r="D14" i="20"/>
  <c r="D13" i="20"/>
  <c r="C14" i="20"/>
  <c r="L13" i="20"/>
  <c r="F13" i="20"/>
  <c r="L12" i="20"/>
  <c r="L11" i="20"/>
  <c r="L10" i="20"/>
  <c r="F12" i="20"/>
  <c r="D12" i="20"/>
  <c r="D11" i="20"/>
  <c r="D10" i="20"/>
  <c r="H110" i="19"/>
  <c r="I105" i="19"/>
  <c r="H105" i="19"/>
  <c r="I104" i="19"/>
  <c r="H104" i="19"/>
  <c r="I103" i="19"/>
  <c r="H103" i="19"/>
  <c r="I102" i="19"/>
  <c r="H102" i="19"/>
  <c r="I101" i="19"/>
  <c r="H101" i="19"/>
  <c r="I100" i="19"/>
  <c r="H100" i="19"/>
  <c r="I99" i="19"/>
  <c r="H99" i="19"/>
  <c r="I98" i="19"/>
  <c r="H98" i="19"/>
  <c r="I97" i="19"/>
  <c r="H97" i="19"/>
  <c r="I96" i="19"/>
  <c r="H96" i="19"/>
  <c r="I95" i="19"/>
  <c r="H95" i="19"/>
  <c r="I94" i="19"/>
  <c r="H94" i="19"/>
  <c r="I93" i="19"/>
  <c r="I79" i="19"/>
  <c r="H93" i="19"/>
  <c r="L87" i="19"/>
  <c r="K87" i="19"/>
  <c r="J87" i="19"/>
  <c r="I87" i="19"/>
  <c r="H87" i="19"/>
  <c r="G87" i="19"/>
  <c r="F87" i="19"/>
  <c r="E87" i="19"/>
  <c r="D87" i="19"/>
  <c r="C87" i="19"/>
  <c r="L81" i="19"/>
  <c r="K81" i="19"/>
  <c r="J81" i="19"/>
  <c r="I81" i="19"/>
  <c r="H81" i="19"/>
  <c r="G81" i="19"/>
  <c r="F81" i="19"/>
  <c r="E81" i="19"/>
  <c r="D81" i="19"/>
  <c r="C81" i="19"/>
  <c r="L80" i="19"/>
  <c r="L79" i="19"/>
  <c r="L78" i="19"/>
  <c r="L110" i="19"/>
  <c r="J79" i="19"/>
  <c r="H79" i="19"/>
  <c r="G79" i="19"/>
  <c r="F79" i="19"/>
  <c r="F78" i="19"/>
  <c r="F110" i="19"/>
  <c r="E79" i="19"/>
  <c r="K78" i="19"/>
  <c r="K110" i="19"/>
  <c r="J78" i="19"/>
  <c r="J110" i="19"/>
  <c r="G78" i="19"/>
  <c r="G110" i="19"/>
  <c r="E78" i="19"/>
  <c r="E110" i="19"/>
  <c r="D78" i="19"/>
  <c r="D110" i="19"/>
  <c r="C78" i="19"/>
  <c r="C110" i="19"/>
  <c r="H77" i="19"/>
  <c r="H76" i="19"/>
  <c r="L75" i="19"/>
  <c r="K75" i="19"/>
  <c r="J75" i="19"/>
  <c r="I75" i="19"/>
  <c r="G75" i="19"/>
  <c r="F75" i="19"/>
  <c r="E75" i="19"/>
  <c r="D75" i="19"/>
  <c r="C75" i="19"/>
  <c r="I74" i="19"/>
  <c r="H74" i="19"/>
  <c r="H73" i="19"/>
  <c r="L73" i="19"/>
  <c r="K73" i="19"/>
  <c r="J73" i="19"/>
  <c r="I73" i="19"/>
  <c r="G73" i="19"/>
  <c r="F73" i="19"/>
  <c r="E73" i="19"/>
  <c r="D73" i="19"/>
  <c r="C73" i="19"/>
  <c r="I72" i="19"/>
  <c r="H72" i="19"/>
  <c r="I71" i="19"/>
  <c r="H71" i="19"/>
  <c r="I70" i="19"/>
  <c r="H70" i="19"/>
  <c r="L69" i="19"/>
  <c r="L68" i="19"/>
  <c r="L109" i="19"/>
  <c r="K69" i="19"/>
  <c r="J69" i="19"/>
  <c r="I69" i="19"/>
  <c r="I68" i="19"/>
  <c r="I109" i="19"/>
  <c r="G69" i="19"/>
  <c r="F69" i="19"/>
  <c r="E69" i="19"/>
  <c r="D69" i="19"/>
  <c r="C69" i="19"/>
  <c r="C68" i="19"/>
  <c r="C109" i="19"/>
  <c r="E68" i="19"/>
  <c r="E109" i="19"/>
  <c r="I67" i="19"/>
  <c r="H67" i="19"/>
  <c r="I66" i="19"/>
  <c r="H66" i="19"/>
  <c r="K65" i="19"/>
  <c r="J65" i="19"/>
  <c r="I65" i="19"/>
  <c r="I64" i="19"/>
  <c r="J64" i="19"/>
  <c r="J58" i="19"/>
  <c r="H64" i="19"/>
  <c r="I63" i="19"/>
  <c r="K63" i="19"/>
  <c r="K58" i="19"/>
  <c r="H63" i="19"/>
  <c r="I62" i="19"/>
  <c r="H62" i="19"/>
  <c r="I61" i="19"/>
  <c r="H61" i="19"/>
  <c r="I60" i="19"/>
  <c r="H60" i="19"/>
  <c r="I59" i="19"/>
  <c r="H59" i="19"/>
  <c r="L58" i="19"/>
  <c r="I58" i="19"/>
  <c r="G58" i="19"/>
  <c r="F58" i="19"/>
  <c r="E58" i="19"/>
  <c r="D58" i="19"/>
  <c r="C58" i="19"/>
  <c r="I57" i="19"/>
  <c r="J57" i="19"/>
  <c r="H57" i="19"/>
  <c r="I56" i="19"/>
  <c r="J56" i="19"/>
  <c r="H56" i="19"/>
  <c r="I55" i="19"/>
  <c r="J55" i="19"/>
  <c r="H55" i="19"/>
  <c r="I54" i="19"/>
  <c r="H54" i="19"/>
  <c r="I53" i="19"/>
  <c r="J53" i="19"/>
  <c r="H53" i="19"/>
  <c r="I52" i="19"/>
  <c r="J52" i="19"/>
  <c r="H52" i="19"/>
  <c r="I51" i="19"/>
  <c r="K51" i="19"/>
  <c r="H51" i="19"/>
  <c r="I50" i="19"/>
  <c r="J50" i="19"/>
  <c r="H50" i="19"/>
  <c r="I49" i="19"/>
  <c r="J49" i="19"/>
  <c r="H49" i="19"/>
  <c r="I48" i="19"/>
  <c r="J48" i="19"/>
  <c r="H48" i="19"/>
  <c r="I47" i="19"/>
  <c r="J47" i="19"/>
  <c r="H47" i="19"/>
  <c r="I46" i="19"/>
  <c r="H46" i="19"/>
  <c r="L45" i="19"/>
  <c r="K45" i="19"/>
  <c r="G45" i="19"/>
  <c r="F45" i="19"/>
  <c r="E45" i="19"/>
  <c r="D45" i="19"/>
  <c r="D44" i="19"/>
  <c r="C45" i="19"/>
  <c r="F44" i="19"/>
  <c r="F43" i="19"/>
  <c r="F108" i="19"/>
  <c r="E44" i="19"/>
  <c r="C44" i="19"/>
  <c r="C43" i="19"/>
  <c r="C108" i="19"/>
  <c r="E43" i="19"/>
  <c r="E108" i="19"/>
  <c r="D43" i="19"/>
  <c r="D108" i="19"/>
  <c r="I42" i="19"/>
  <c r="H42" i="19"/>
  <c r="L41" i="19"/>
  <c r="K41" i="19"/>
  <c r="J41" i="19"/>
  <c r="G41" i="19"/>
  <c r="F41" i="19"/>
  <c r="E41" i="19"/>
  <c r="D41" i="19"/>
  <c r="C41" i="19"/>
  <c r="I40" i="19"/>
  <c r="D40" i="19"/>
  <c r="H40" i="19"/>
  <c r="I39" i="19"/>
  <c r="D39" i="19"/>
  <c r="H39" i="19"/>
  <c r="I38" i="19"/>
  <c r="D38" i="19"/>
  <c r="H38" i="19"/>
  <c r="I37" i="19"/>
  <c r="D37" i="19"/>
  <c r="H37" i="19"/>
  <c r="I36" i="19"/>
  <c r="D36" i="19"/>
  <c r="H36" i="19"/>
  <c r="I35" i="19"/>
  <c r="D35" i="19"/>
  <c r="H35" i="19"/>
  <c r="I34" i="19"/>
  <c r="D34" i="19"/>
  <c r="H34" i="19"/>
  <c r="I33" i="19"/>
  <c r="D33" i="19"/>
  <c r="H33" i="19"/>
  <c r="I32" i="19"/>
  <c r="K32" i="19"/>
  <c r="K25" i="19"/>
  <c r="H32" i="19"/>
  <c r="I31" i="19"/>
  <c r="D31" i="19"/>
  <c r="H31" i="19"/>
  <c r="I30" i="19"/>
  <c r="D30" i="19"/>
  <c r="H30" i="19"/>
  <c r="I29" i="19"/>
  <c r="D29" i="19"/>
  <c r="H29" i="19"/>
  <c r="I28" i="19"/>
  <c r="J28" i="19"/>
  <c r="H28" i="19"/>
  <c r="I27" i="19"/>
  <c r="J27" i="19"/>
  <c r="H27" i="19"/>
  <c r="I26" i="19"/>
  <c r="J26" i="19"/>
  <c r="H26" i="19"/>
  <c r="L25" i="19"/>
  <c r="G25" i="19"/>
  <c r="F25" i="19"/>
  <c r="E25" i="19"/>
  <c r="C25" i="19"/>
  <c r="I24" i="19"/>
  <c r="J24" i="19"/>
  <c r="H24" i="19"/>
  <c r="I23" i="19"/>
  <c r="J23" i="19"/>
  <c r="H23" i="19"/>
  <c r="I22" i="19"/>
  <c r="J22" i="19"/>
  <c r="H22" i="19"/>
  <c r="I21" i="19"/>
  <c r="J21" i="19"/>
  <c r="H21" i="19"/>
  <c r="I20" i="19"/>
  <c r="H20" i="19"/>
  <c r="I19" i="19"/>
  <c r="J19" i="19"/>
  <c r="H19" i="19"/>
  <c r="I18" i="19"/>
  <c r="J18" i="19"/>
  <c r="H18" i="19"/>
  <c r="I17" i="19"/>
  <c r="J17" i="19"/>
  <c r="H17" i="19"/>
  <c r="I16" i="19"/>
  <c r="J16" i="19"/>
  <c r="H16" i="19"/>
  <c r="I15" i="19"/>
  <c r="I14" i="19"/>
  <c r="H15" i="19"/>
  <c r="L14" i="19"/>
  <c r="K14" i="19"/>
  <c r="G14" i="19"/>
  <c r="G13" i="19"/>
  <c r="G12" i="19"/>
  <c r="F14" i="19"/>
  <c r="E14" i="19"/>
  <c r="D14" i="19"/>
  <c r="C14" i="19"/>
  <c r="L13" i="19"/>
  <c r="L12" i="19"/>
  <c r="F13" i="19"/>
  <c r="F12" i="19"/>
  <c r="C13" i="19"/>
  <c r="C12" i="19"/>
  <c r="C107" i="19"/>
  <c r="I97" i="18"/>
  <c r="J97" i="18"/>
  <c r="I96" i="18"/>
  <c r="J96" i="18"/>
  <c r="J95" i="18"/>
  <c r="L95" i="18"/>
  <c r="K95" i="18"/>
  <c r="I95" i="18"/>
  <c r="H95" i="18"/>
  <c r="G95" i="18"/>
  <c r="F95" i="18"/>
  <c r="E95" i="18"/>
  <c r="D95" i="18"/>
  <c r="C95" i="18"/>
  <c r="I94" i="18"/>
  <c r="J94" i="18"/>
  <c r="I93" i="18"/>
  <c r="J93" i="18"/>
  <c r="I92" i="18"/>
  <c r="J92" i="18"/>
  <c r="L91" i="18"/>
  <c r="L90" i="18"/>
  <c r="L89" i="18"/>
  <c r="L88" i="18"/>
  <c r="L87" i="18"/>
  <c r="L86" i="18"/>
  <c r="K91" i="18"/>
  <c r="H91" i="18"/>
  <c r="G91" i="18"/>
  <c r="F91" i="18"/>
  <c r="E91" i="18"/>
  <c r="D91" i="18"/>
  <c r="C91" i="18"/>
  <c r="K90" i="18"/>
  <c r="K89" i="18"/>
  <c r="K88" i="18"/>
  <c r="K87" i="18"/>
  <c r="J89" i="18"/>
  <c r="H89" i="18"/>
  <c r="J88" i="18"/>
  <c r="H88" i="18"/>
  <c r="J87" i="18"/>
  <c r="H87" i="18"/>
  <c r="K86" i="18"/>
  <c r="K85" i="18"/>
  <c r="K84" i="18"/>
  <c r="K83" i="18"/>
  <c r="J86" i="18"/>
  <c r="H86" i="18"/>
  <c r="L85" i="18"/>
  <c r="I85" i="18"/>
  <c r="J85" i="18"/>
  <c r="G85" i="18"/>
  <c r="F85" i="18"/>
  <c r="E85" i="18"/>
  <c r="D85" i="18"/>
  <c r="C85" i="18"/>
  <c r="L84" i="18"/>
  <c r="L83" i="18"/>
  <c r="L82" i="18"/>
  <c r="L81" i="18"/>
  <c r="L80" i="18"/>
  <c r="L79" i="18"/>
  <c r="J84" i="18"/>
  <c r="H84" i="18"/>
  <c r="J83" i="18"/>
  <c r="H83" i="18"/>
  <c r="K82" i="18"/>
  <c r="J82" i="18"/>
  <c r="H82" i="18"/>
  <c r="H81" i="18"/>
  <c r="K81" i="18"/>
  <c r="K80" i="18"/>
  <c r="K79" i="18"/>
  <c r="I81" i="18"/>
  <c r="J81" i="18"/>
  <c r="G81" i="18"/>
  <c r="F81" i="18"/>
  <c r="E81" i="18"/>
  <c r="D81" i="18"/>
  <c r="C81" i="18"/>
  <c r="C80" i="18"/>
  <c r="C79" i="18"/>
  <c r="J80" i="18"/>
  <c r="I80" i="18"/>
  <c r="F80" i="18"/>
  <c r="D80" i="18"/>
  <c r="I79" i="18"/>
  <c r="J79" i="18"/>
  <c r="F79" i="18"/>
  <c r="D79" i="18"/>
  <c r="I77" i="18"/>
  <c r="J77" i="18"/>
  <c r="H77" i="18"/>
  <c r="I76" i="18"/>
  <c r="J76" i="18"/>
  <c r="H76" i="18"/>
  <c r="I75" i="18"/>
  <c r="H75" i="18"/>
  <c r="H74" i="18"/>
  <c r="H73" i="18"/>
  <c r="G74" i="18"/>
  <c r="F74" i="18"/>
  <c r="E74" i="18"/>
  <c r="D74" i="18"/>
  <c r="C74" i="18"/>
  <c r="G73" i="18"/>
  <c r="F73" i="18"/>
  <c r="E73" i="18"/>
  <c r="D73" i="18"/>
  <c r="C73" i="18"/>
  <c r="I72" i="18"/>
  <c r="H72" i="18"/>
  <c r="I71" i="18"/>
  <c r="J71" i="18"/>
  <c r="H71" i="18"/>
  <c r="I70" i="18"/>
  <c r="J70" i="18"/>
  <c r="H70" i="18"/>
  <c r="H69" i="18"/>
  <c r="H67" i="18"/>
  <c r="L69" i="18"/>
  <c r="K69" i="18"/>
  <c r="K67" i="18"/>
  <c r="G69" i="18"/>
  <c r="F69" i="18"/>
  <c r="E69" i="18"/>
  <c r="D69" i="18"/>
  <c r="C69" i="18"/>
  <c r="C67" i="18"/>
  <c r="L67" i="18"/>
  <c r="G67" i="18"/>
  <c r="F67" i="18"/>
  <c r="E67" i="18"/>
  <c r="D67" i="18"/>
  <c r="I65" i="18"/>
  <c r="J65" i="18"/>
  <c r="H65" i="18"/>
  <c r="I64" i="18"/>
  <c r="J64" i="18"/>
  <c r="H64" i="18"/>
  <c r="I63" i="18"/>
  <c r="J63" i="18"/>
  <c r="H63" i="18"/>
  <c r="I62" i="18"/>
  <c r="J62" i="18"/>
  <c r="H62" i="18"/>
  <c r="I61" i="18"/>
  <c r="J61" i="18"/>
  <c r="H61" i="18"/>
  <c r="I60" i="18"/>
  <c r="J60" i="18"/>
  <c r="H60" i="18"/>
  <c r="I59" i="18"/>
  <c r="J59" i="18"/>
  <c r="H59" i="18"/>
  <c r="I58" i="18"/>
  <c r="J58" i="18"/>
  <c r="H58" i="18"/>
  <c r="I57" i="18"/>
  <c r="J57" i="18"/>
  <c r="H57" i="18"/>
  <c r="I56" i="18"/>
  <c r="J56" i="18"/>
  <c r="H56" i="18"/>
  <c r="I55" i="18"/>
  <c r="J55" i="18"/>
  <c r="H55" i="18"/>
  <c r="I54" i="18"/>
  <c r="J54" i="18"/>
  <c r="H54" i="18"/>
  <c r="I53" i="18"/>
  <c r="J53" i="18"/>
  <c r="H53" i="18"/>
  <c r="I52" i="18"/>
  <c r="J52" i="18"/>
  <c r="H52" i="18"/>
  <c r="I51" i="18"/>
  <c r="J51" i="18"/>
  <c r="H51" i="18"/>
  <c r="I50" i="18"/>
  <c r="J50" i="18"/>
  <c r="H50" i="18"/>
  <c r="I49" i="18"/>
  <c r="J49" i="18"/>
  <c r="H49" i="18"/>
  <c r="I48" i="18"/>
  <c r="J48" i="18"/>
  <c r="H48" i="18"/>
  <c r="L47" i="18"/>
  <c r="L46" i="18"/>
  <c r="L45" i="18"/>
  <c r="K47" i="18"/>
  <c r="G47" i="18"/>
  <c r="G46" i="18"/>
  <c r="E47" i="18"/>
  <c r="D47" i="18"/>
  <c r="D46" i="18"/>
  <c r="C47" i="18"/>
  <c r="C46" i="18"/>
  <c r="C45" i="18"/>
  <c r="K46" i="18"/>
  <c r="F46" i="18"/>
  <c r="F45" i="18"/>
  <c r="E46" i="18"/>
  <c r="E45" i="18"/>
  <c r="I44" i="18"/>
  <c r="J44" i="18"/>
  <c r="H44" i="18"/>
  <c r="I43" i="18"/>
  <c r="J43" i="18"/>
  <c r="H43" i="18"/>
  <c r="I42" i="18"/>
  <c r="J42" i="18"/>
  <c r="H42" i="18"/>
  <c r="I41" i="18"/>
  <c r="J41" i="18"/>
  <c r="H41" i="18"/>
  <c r="I40" i="18"/>
  <c r="J40" i="18"/>
  <c r="H40" i="18"/>
  <c r="I39" i="18"/>
  <c r="J39" i="18"/>
  <c r="H39" i="18"/>
  <c r="I38" i="18"/>
  <c r="J38" i="18"/>
  <c r="H38" i="18"/>
  <c r="I37" i="18"/>
  <c r="J37" i="18"/>
  <c r="H37" i="18"/>
  <c r="I36" i="18"/>
  <c r="J36" i="18"/>
  <c r="H36" i="18"/>
  <c r="I35" i="18"/>
  <c r="J35" i="18"/>
  <c r="H35" i="18"/>
  <c r="I34" i="18"/>
  <c r="J34" i="18"/>
  <c r="H34" i="18"/>
  <c r="I33" i="18"/>
  <c r="J33" i="18"/>
  <c r="H33" i="18"/>
  <c r="I32" i="18"/>
  <c r="J32" i="18"/>
  <c r="H32" i="18"/>
  <c r="I31" i="18"/>
  <c r="J31" i="18"/>
  <c r="H31" i="18"/>
  <c r="I30" i="18"/>
  <c r="J30" i="18"/>
  <c r="H30" i="18"/>
  <c r="I29" i="18"/>
  <c r="H29" i="18"/>
  <c r="I28" i="18"/>
  <c r="J28" i="18"/>
  <c r="H28" i="18"/>
  <c r="I27" i="18"/>
  <c r="J27" i="18"/>
  <c r="H27" i="18"/>
  <c r="L26" i="18"/>
  <c r="K26" i="18"/>
  <c r="G26" i="18"/>
  <c r="F26" i="18"/>
  <c r="E26" i="18"/>
  <c r="D26" i="18"/>
  <c r="C26" i="18"/>
  <c r="I25" i="18"/>
  <c r="J25" i="18"/>
  <c r="H25" i="18"/>
  <c r="I24" i="18"/>
  <c r="J24" i="18"/>
  <c r="H24" i="18"/>
  <c r="I23" i="18"/>
  <c r="J23" i="18"/>
  <c r="H23" i="18"/>
  <c r="I22" i="18"/>
  <c r="J22" i="18"/>
  <c r="H22" i="18"/>
  <c r="I21" i="18"/>
  <c r="J21" i="18"/>
  <c r="H21" i="18"/>
  <c r="I20" i="18"/>
  <c r="J20" i="18"/>
  <c r="H20" i="18"/>
  <c r="I19" i="18"/>
  <c r="J19" i="18"/>
  <c r="H19" i="18"/>
  <c r="I18" i="18"/>
  <c r="J18" i="18"/>
  <c r="H18" i="18"/>
  <c r="I17" i="18"/>
  <c r="J17" i="18"/>
  <c r="H17" i="18"/>
  <c r="I16" i="18"/>
  <c r="J16" i="18"/>
  <c r="H16" i="18"/>
  <c r="I15" i="18"/>
  <c r="J15" i="18"/>
  <c r="H15" i="18"/>
  <c r="I14" i="18"/>
  <c r="J14" i="18"/>
  <c r="H14" i="18"/>
  <c r="I13" i="18"/>
  <c r="J13" i="18"/>
  <c r="H13" i="18"/>
  <c r="L12" i="18"/>
  <c r="K12" i="18"/>
  <c r="H12" i="18"/>
  <c r="G12" i="18"/>
  <c r="F12" i="18"/>
  <c r="F11" i="18"/>
  <c r="F10" i="18"/>
  <c r="F9" i="18"/>
  <c r="E12" i="18"/>
  <c r="D12" i="18"/>
  <c r="C12" i="18"/>
  <c r="C11" i="18"/>
  <c r="C10" i="18"/>
  <c r="K11" i="18"/>
  <c r="E11" i="18"/>
  <c r="E10" i="18"/>
  <c r="C9" i="18"/>
  <c r="L80" i="17"/>
  <c r="K80" i="17"/>
  <c r="G80" i="17"/>
  <c r="F80" i="17"/>
  <c r="E80" i="17"/>
  <c r="D80" i="17"/>
  <c r="C80" i="17"/>
  <c r="L59" i="17"/>
  <c r="K59" i="17"/>
  <c r="J59" i="17"/>
  <c r="I59" i="17"/>
  <c r="H59" i="17"/>
  <c r="G59" i="17"/>
  <c r="F59" i="17"/>
  <c r="E59" i="17"/>
  <c r="D59" i="17"/>
  <c r="C59" i="17"/>
  <c r="K58" i="17"/>
  <c r="K57" i="17"/>
  <c r="K56" i="17"/>
  <c r="K55" i="17"/>
  <c r="K54" i="17"/>
  <c r="L53" i="17"/>
  <c r="J53" i="17"/>
  <c r="I53" i="17"/>
  <c r="H53" i="17"/>
  <c r="H83" i="17"/>
  <c r="G53" i="17"/>
  <c r="F53" i="17"/>
  <c r="E53" i="17"/>
  <c r="D53" i="17"/>
  <c r="C53" i="17"/>
  <c r="I37" i="17"/>
  <c r="J37" i="17"/>
  <c r="H37" i="17"/>
  <c r="I36" i="17"/>
  <c r="H36" i="17"/>
  <c r="H80" i="17"/>
  <c r="I35" i="17"/>
  <c r="J35" i="17"/>
  <c r="H35" i="17"/>
  <c r="H33" i="17"/>
  <c r="L34" i="17"/>
  <c r="K34" i="17"/>
  <c r="I34" i="17"/>
  <c r="G34" i="17"/>
  <c r="F34" i="17"/>
  <c r="E34" i="17"/>
  <c r="D34" i="17"/>
  <c r="C34" i="17"/>
  <c r="L33" i="17"/>
  <c r="K33" i="17"/>
  <c r="I33" i="17"/>
  <c r="G33" i="17"/>
  <c r="F33" i="17"/>
  <c r="E33" i="17"/>
  <c r="D33" i="17"/>
  <c r="C33" i="17"/>
  <c r="I32" i="17"/>
  <c r="J32" i="17"/>
  <c r="H32" i="17"/>
  <c r="I31" i="17"/>
  <c r="J31" i="17"/>
  <c r="H31" i="17"/>
  <c r="I30" i="17"/>
  <c r="J30" i="17"/>
  <c r="H30" i="17"/>
  <c r="I29" i="17"/>
  <c r="J29" i="17"/>
  <c r="H29" i="17"/>
  <c r="I28" i="17"/>
  <c r="H28" i="17"/>
  <c r="L27" i="17"/>
  <c r="K27" i="17"/>
  <c r="H27" i="17"/>
  <c r="G27" i="17"/>
  <c r="F27" i="17"/>
  <c r="E27" i="17"/>
  <c r="D27" i="17"/>
  <c r="C27" i="17"/>
  <c r="I26" i="17"/>
  <c r="J26" i="17"/>
  <c r="H26" i="17"/>
  <c r="I25" i="17"/>
  <c r="J25" i="17"/>
  <c r="H25" i="17"/>
  <c r="I24" i="17"/>
  <c r="J24" i="17"/>
  <c r="H24" i="17"/>
  <c r="I23" i="17"/>
  <c r="J23" i="17"/>
  <c r="H23" i="17"/>
  <c r="I22" i="17"/>
  <c r="J22" i="17"/>
  <c r="H22" i="17"/>
  <c r="I21" i="17"/>
  <c r="J21" i="17"/>
  <c r="H21" i="17"/>
  <c r="L20" i="17"/>
  <c r="K20" i="17"/>
  <c r="G20" i="17"/>
  <c r="F20" i="17"/>
  <c r="E20" i="17"/>
  <c r="D20" i="17"/>
  <c r="C20" i="17"/>
  <c r="I19" i="17"/>
  <c r="J19" i="17"/>
  <c r="H19" i="17"/>
  <c r="I18" i="17"/>
  <c r="J18" i="17"/>
  <c r="H18" i="17"/>
  <c r="I17" i="17"/>
  <c r="H17" i="17"/>
  <c r="I16" i="17"/>
  <c r="J16" i="17"/>
  <c r="H16" i="17"/>
  <c r="I15" i="17"/>
  <c r="J15" i="17"/>
  <c r="H15" i="17"/>
  <c r="L14" i="17"/>
  <c r="L79" i="17"/>
  <c r="K14" i="17"/>
  <c r="H14" i="17"/>
  <c r="G14" i="17"/>
  <c r="G79" i="17"/>
  <c r="F14" i="17"/>
  <c r="E14" i="17"/>
  <c r="E79" i="17"/>
  <c r="D14" i="17"/>
  <c r="D79" i="17"/>
  <c r="C14" i="17"/>
  <c r="C79" i="17"/>
  <c r="L12" i="17"/>
  <c r="G12" i="17"/>
  <c r="D12" i="17"/>
  <c r="I96" i="16"/>
  <c r="H96" i="16"/>
  <c r="I95" i="16"/>
  <c r="H95" i="16"/>
  <c r="I94" i="16"/>
  <c r="H94" i="16"/>
  <c r="H93" i="16"/>
  <c r="L93" i="16"/>
  <c r="K93" i="16"/>
  <c r="J93" i="16"/>
  <c r="I93" i="16"/>
  <c r="E93" i="16"/>
  <c r="C93" i="16"/>
  <c r="I92" i="16"/>
  <c r="H92" i="16"/>
  <c r="I91" i="16"/>
  <c r="H91" i="16"/>
  <c r="I90" i="16"/>
  <c r="H90" i="16"/>
  <c r="L89" i="16"/>
  <c r="L88" i="16"/>
  <c r="K89" i="16"/>
  <c r="J89" i="16"/>
  <c r="J88" i="16"/>
  <c r="E89" i="16"/>
  <c r="C89" i="16"/>
  <c r="C88" i="16"/>
  <c r="K88" i="16"/>
  <c r="I87" i="16"/>
  <c r="H87" i="16"/>
  <c r="I86" i="16"/>
  <c r="H86" i="16"/>
  <c r="I85" i="16"/>
  <c r="H85" i="16"/>
  <c r="L84" i="16"/>
  <c r="K84" i="16"/>
  <c r="J84" i="16"/>
  <c r="H84" i="16"/>
  <c r="E84" i="16"/>
  <c r="C84" i="16"/>
  <c r="I83" i="16"/>
  <c r="H83" i="16"/>
  <c r="I82" i="16"/>
  <c r="H82" i="16"/>
  <c r="I81" i="16"/>
  <c r="H81" i="16"/>
  <c r="I80" i="16"/>
  <c r="H80" i="16"/>
  <c r="H79" i="16"/>
  <c r="H78" i="16"/>
  <c r="L79" i="16"/>
  <c r="L78" i="16"/>
  <c r="K79" i="16"/>
  <c r="J79" i="16"/>
  <c r="E79" i="16"/>
  <c r="E78" i="16"/>
  <c r="C79" i="16"/>
  <c r="K78" i="16"/>
  <c r="K77" i="16"/>
  <c r="C78" i="16"/>
  <c r="I76" i="16"/>
  <c r="J76" i="16"/>
  <c r="H76" i="16"/>
  <c r="I75" i="16"/>
  <c r="J75" i="16"/>
  <c r="H75" i="16"/>
  <c r="I74" i="16"/>
  <c r="H74" i="16"/>
  <c r="I73" i="16"/>
  <c r="J73" i="16"/>
  <c r="H73" i="16"/>
  <c r="I72" i="16"/>
  <c r="J72" i="16"/>
  <c r="H72" i="16"/>
  <c r="I71" i="16"/>
  <c r="J71" i="16"/>
  <c r="H71" i="16"/>
  <c r="I70" i="16"/>
  <c r="J70" i="16"/>
  <c r="H70" i="16"/>
  <c r="I69" i="16"/>
  <c r="J69" i="16"/>
  <c r="H69" i="16"/>
  <c r="I68" i="16"/>
  <c r="H68" i="16"/>
  <c r="I67" i="16"/>
  <c r="J67" i="16"/>
  <c r="H67" i="16"/>
  <c r="I66" i="16"/>
  <c r="J66" i="16"/>
  <c r="H66" i="16"/>
  <c r="I65" i="16"/>
  <c r="J65" i="16"/>
  <c r="H65" i="16"/>
  <c r="I64" i="16"/>
  <c r="H64" i="16"/>
  <c r="I63" i="16"/>
  <c r="H63" i="16"/>
  <c r="I62" i="16"/>
  <c r="J62" i="16"/>
  <c r="H62" i="16"/>
  <c r="L61" i="16"/>
  <c r="K61" i="16"/>
  <c r="G61" i="16"/>
  <c r="F61" i="16"/>
  <c r="E61" i="16"/>
  <c r="D61" i="16"/>
  <c r="C61" i="16"/>
  <c r="I60" i="16"/>
  <c r="H60" i="16"/>
  <c r="I59" i="16"/>
  <c r="J59" i="16"/>
  <c r="J60" i="16"/>
  <c r="H59" i="16"/>
  <c r="J58" i="16"/>
  <c r="I58" i="16"/>
  <c r="H58" i="16"/>
  <c r="I57" i="16"/>
  <c r="H57" i="16"/>
  <c r="I56" i="16"/>
  <c r="J56" i="16"/>
  <c r="H56" i="16"/>
  <c r="I55" i="16"/>
  <c r="J55" i="16"/>
  <c r="H55" i="16"/>
  <c r="I54" i="16"/>
  <c r="J54" i="16"/>
  <c r="H54" i="16"/>
  <c r="I53" i="16"/>
  <c r="J53" i="16"/>
  <c r="H53" i="16"/>
  <c r="I52" i="16"/>
  <c r="H52" i="16"/>
  <c r="I51" i="16"/>
  <c r="H51" i="16"/>
  <c r="L50" i="16"/>
  <c r="K50" i="16"/>
  <c r="K49" i="16"/>
  <c r="K48" i="16"/>
  <c r="H50" i="16"/>
  <c r="H49" i="16"/>
  <c r="G50" i="16"/>
  <c r="F50" i="16"/>
  <c r="F49" i="16"/>
  <c r="F48" i="16"/>
  <c r="E50" i="16"/>
  <c r="E49" i="16"/>
  <c r="E48" i="16"/>
  <c r="D50" i="16"/>
  <c r="C50" i="16"/>
  <c r="C49" i="16"/>
  <c r="C48" i="16"/>
  <c r="L49" i="16"/>
  <c r="G49" i="16"/>
  <c r="G48" i="16"/>
  <c r="D49" i="16"/>
  <c r="L48" i="16"/>
  <c r="D48" i="16"/>
  <c r="I47" i="16"/>
  <c r="J47" i="16"/>
  <c r="H47" i="16"/>
  <c r="I46" i="16"/>
  <c r="J46" i="16"/>
  <c r="H46" i="16"/>
  <c r="I45" i="16"/>
  <c r="J45" i="16"/>
  <c r="H45" i="16"/>
  <c r="I44" i="16"/>
  <c r="J44" i="16"/>
  <c r="H44" i="16"/>
  <c r="I43" i="16"/>
  <c r="J43" i="16"/>
  <c r="H43" i="16"/>
  <c r="I42" i="16"/>
  <c r="J42" i="16"/>
  <c r="H42" i="16"/>
  <c r="I41" i="16"/>
  <c r="J41" i="16"/>
  <c r="H41" i="16"/>
  <c r="I40" i="16"/>
  <c r="J40" i="16"/>
  <c r="H40" i="16"/>
  <c r="I39" i="16"/>
  <c r="J39" i="16"/>
  <c r="H39" i="16"/>
  <c r="I38" i="16"/>
  <c r="J38" i="16"/>
  <c r="H38" i="16"/>
  <c r="I37" i="16"/>
  <c r="J37" i="16"/>
  <c r="H37" i="16"/>
  <c r="I36" i="16"/>
  <c r="J36" i="16"/>
  <c r="H36" i="16"/>
  <c r="I35" i="16"/>
  <c r="J35" i="16"/>
  <c r="H35" i="16"/>
  <c r="I34" i="16"/>
  <c r="J34" i="16"/>
  <c r="H34" i="16"/>
  <c r="I33" i="16"/>
  <c r="H33" i="16"/>
  <c r="I32" i="16"/>
  <c r="J32" i="16"/>
  <c r="H32" i="16"/>
  <c r="I31" i="16"/>
  <c r="H31" i="16"/>
  <c r="L30" i="16"/>
  <c r="K30" i="16"/>
  <c r="G30" i="16"/>
  <c r="F30" i="16"/>
  <c r="E30" i="16"/>
  <c r="D30" i="16"/>
  <c r="C30" i="16"/>
  <c r="I29" i="16"/>
  <c r="J29" i="16"/>
  <c r="H29" i="16"/>
  <c r="I28" i="16"/>
  <c r="J28" i="16"/>
  <c r="H28" i="16"/>
  <c r="I27" i="16"/>
  <c r="J27" i="16"/>
  <c r="H27" i="16"/>
  <c r="I26" i="16"/>
  <c r="J26" i="16"/>
  <c r="H26" i="16"/>
  <c r="I25" i="16"/>
  <c r="J25" i="16"/>
  <c r="H25" i="16"/>
  <c r="I24" i="16"/>
  <c r="J24" i="16"/>
  <c r="H24" i="16"/>
  <c r="I23" i="16"/>
  <c r="J23" i="16"/>
  <c r="H23" i="16"/>
  <c r="I22" i="16"/>
  <c r="J22" i="16"/>
  <c r="H22" i="16"/>
  <c r="I21" i="16"/>
  <c r="J21" i="16"/>
  <c r="H21" i="16"/>
  <c r="I20" i="16"/>
  <c r="J20" i="16"/>
  <c r="H20" i="16"/>
  <c r="I19" i="16"/>
  <c r="J19" i="16"/>
  <c r="H19" i="16"/>
  <c r="I18" i="16"/>
  <c r="J18" i="16"/>
  <c r="H18" i="16"/>
  <c r="I17" i="16"/>
  <c r="J17" i="16"/>
  <c r="H17" i="16"/>
  <c r="I16" i="16"/>
  <c r="J16" i="16"/>
  <c r="H16" i="16"/>
  <c r="I15" i="16"/>
  <c r="H15" i="16"/>
  <c r="I14" i="16"/>
  <c r="J14" i="16"/>
  <c r="H14" i="16"/>
  <c r="L13" i="16"/>
  <c r="K13" i="16"/>
  <c r="G13" i="16"/>
  <c r="G12" i="16"/>
  <c r="F13" i="16"/>
  <c r="E13" i="16"/>
  <c r="D13" i="16"/>
  <c r="D12" i="16"/>
  <c r="C13" i="16"/>
  <c r="L12" i="16"/>
  <c r="L11" i="16"/>
  <c r="K12" i="16"/>
  <c r="F12" i="16"/>
  <c r="C12" i="16"/>
  <c r="G10" i="16"/>
  <c r="F10" i="16"/>
  <c r="D10" i="16"/>
  <c r="I58" i="15"/>
  <c r="I57" i="15"/>
  <c r="J57" i="15"/>
  <c r="H57" i="15"/>
  <c r="I56" i="15"/>
  <c r="J56" i="15"/>
  <c r="H56" i="15"/>
  <c r="I55" i="15"/>
  <c r="J55" i="15"/>
  <c r="H55" i="15"/>
  <c r="I54" i="15"/>
  <c r="J54" i="15"/>
  <c r="H54" i="15"/>
  <c r="I53" i="15"/>
  <c r="J53" i="15"/>
  <c r="H53" i="15"/>
  <c r="I52" i="15"/>
  <c r="J52" i="15"/>
  <c r="H52" i="15"/>
  <c r="I51" i="15"/>
  <c r="J51" i="15"/>
  <c r="H51" i="15"/>
  <c r="I50" i="15"/>
  <c r="J50" i="15"/>
  <c r="H50" i="15"/>
  <c r="I49" i="15"/>
  <c r="K49" i="15"/>
  <c r="H49" i="15"/>
  <c r="I48" i="15"/>
  <c r="J48" i="15"/>
  <c r="H48" i="15"/>
  <c r="I47" i="15"/>
  <c r="J47" i="15"/>
  <c r="H47" i="15"/>
  <c r="I46" i="15"/>
  <c r="J46" i="15"/>
  <c r="H46" i="15"/>
  <c r="I45" i="15"/>
  <c r="K45" i="15"/>
  <c r="H45" i="15"/>
  <c r="I44" i="15"/>
  <c r="J44" i="15"/>
  <c r="H44" i="15"/>
  <c r="I43" i="15"/>
  <c r="K43" i="15"/>
  <c r="H43" i="15"/>
  <c r="I42" i="15"/>
  <c r="J42" i="15"/>
  <c r="K42" i="15"/>
  <c r="H42" i="15"/>
  <c r="I41" i="15"/>
  <c r="J41" i="15"/>
  <c r="K41" i="15"/>
  <c r="H41" i="15"/>
  <c r="I40" i="15"/>
  <c r="H40" i="15"/>
  <c r="L39" i="15"/>
  <c r="G39" i="15"/>
  <c r="F39" i="15"/>
  <c r="E39" i="15"/>
  <c r="D39" i="15"/>
  <c r="C39" i="15"/>
  <c r="I36" i="15"/>
  <c r="H36" i="15"/>
  <c r="I35" i="15"/>
  <c r="H35" i="15"/>
  <c r="I34" i="15"/>
  <c r="H34" i="15"/>
  <c r="I33" i="15"/>
  <c r="H33" i="15"/>
  <c r="I32" i="15"/>
  <c r="H32" i="15"/>
  <c r="I31" i="15"/>
  <c r="H31" i="15"/>
  <c r="I30" i="15"/>
  <c r="H30" i="15"/>
  <c r="I29" i="15"/>
  <c r="H29" i="15"/>
  <c r="I28" i="15"/>
  <c r="H28" i="15"/>
  <c r="I27" i="15"/>
  <c r="I26" i="15"/>
  <c r="H27" i="15"/>
  <c r="L26" i="15"/>
  <c r="K26" i="15"/>
  <c r="J26" i="15"/>
  <c r="G26" i="15"/>
  <c r="F26" i="15"/>
  <c r="E26" i="15"/>
  <c r="D26" i="15"/>
  <c r="C26" i="15"/>
  <c r="I25" i="15"/>
  <c r="H25" i="15"/>
  <c r="I24" i="15"/>
  <c r="H24" i="15"/>
  <c r="I23" i="15"/>
  <c r="H23" i="15"/>
  <c r="I22" i="15"/>
  <c r="H22" i="15"/>
  <c r="I21" i="15"/>
  <c r="H21" i="15"/>
  <c r="I20" i="15"/>
  <c r="H20" i="15"/>
  <c r="I19" i="15"/>
  <c r="H19" i="15"/>
  <c r="I18" i="15"/>
  <c r="H18" i="15"/>
  <c r="I17" i="15"/>
  <c r="H17" i="15"/>
  <c r="I16" i="15"/>
  <c r="H16" i="15"/>
  <c r="I15" i="15"/>
  <c r="I14" i="15"/>
  <c r="H15" i="15"/>
  <c r="L14" i="15"/>
  <c r="K14" i="15"/>
  <c r="J14" i="15"/>
  <c r="G14" i="15"/>
  <c r="F14" i="15"/>
  <c r="E14" i="15"/>
  <c r="D14" i="15"/>
  <c r="C14" i="15"/>
  <c r="I126" i="14"/>
  <c r="H126" i="14"/>
  <c r="L125" i="14"/>
  <c r="K125" i="14"/>
  <c r="J125" i="14"/>
  <c r="I125" i="14"/>
  <c r="H125" i="14"/>
  <c r="E125" i="14"/>
  <c r="C125" i="14"/>
  <c r="I124" i="14"/>
  <c r="H124" i="14"/>
  <c r="L123" i="14"/>
  <c r="L122" i="14"/>
  <c r="K123" i="14"/>
  <c r="J123" i="14"/>
  <c r="I123" i="14"/>
  <c r="I122" i="14"/>
  <c r="H123" i="14"/>
  <c r="E123" i="14"/>
  <c r="C123" i="14"/>
  <c r="C122" i="14"/>
  <c r="J122" i="14"/>
  <c r="I121" i="14"/>
  <c r="J121" i="14"/>
  <c r="H121" i="14"/>
  <c r="I120" i="14"/>
  <c r="J120" i="14"/>
  <c r="H120" i="14"/>
  <c r="I119" i="14"/>
  <c r="J119" i="14"/>
  <c r="H119" i="14"/>
  <c r="I118" i="14"/>
  <c r="H118" i="14"/>
  <c r="L117" i="14"/>
  <c r="K117" i="14"/>
  <c r="G117" i="14"/>
  <c r="F117" i="14"/>
  <c r="E117" i="14"/>
  <c r="D117" i="14"/>
  <c r="C117" i="14"/>
  <c r="I116" i="14"/>
  <c r="J116" i="14"/>
  <c r="H116" i="14"/>
  <c r="I115" i="14"/>
  <c r="J115" i="14"/>
  <c r="H115" i="14"/>
  <c r="I114" i="14"/>
  <c r="H114" i="14"/>
  <c r="I113" i="14"/>
  <c r="J113" i="14"/>
  <c r="H113" i="14"/>
  <c r="I112" i="14"/>
  <c r="J112" i="14"/>
  <c r="H112" i="14"/>
  <c r="I111" i="14"/>
  <c r="J111" i="14"/>
  <c r="H111" i="14"/>
  <c r="I110" i="14"/>
  <c r="J110" i="14"/>
  <c r="H110" i="14"/>
  <c r="L109" i="14"/>
  <c r="L108" i="14"/>
  <c r="K109" i="14"/>
  <c r="K108" i="14"/>
  <c r="G109" i="14"/>
  <c r="F109" i="14"/>
  <c r="E109" i="14"/>
  <c r="D109" i="14"/>
  <c r="C109" i="14"/>
  <c r="C108" i="14"/>
  <c r="C107" i="14"/>
  <c r="I106" i="14"/>
  <c r="I105" i="14"/>
  <c r="I104" i="14"/>
  <c r="I103" i="14"/>
  <c r="I102" i="14"/>
  <c r="I101" i="14"/>
  <c r="I100" i="14"/>
  <c r="I99" i="14"/>
  <c r="J99" i="14"/>
  <c r="I98" i="14"/>
  <c r="J98" i="14"/>
  <c r="I97" i="14"/>
  <c r="J97" i="14"/>
  <c r="I96" i="14"/>
  <c r="J96" i="14"/>
  <c r="I95" i="14"/>
  <c r="J95" i="14"/>
  <c r="I94" i="14"/>
  <c r="J94" i="14"/>
  <c r="I93" i="14"/>
  <c r="J93" i="14"/>
  <c r="I92" i="14"/>
  <c r="J92" i="14"/>
  <c r="I91" i="14"/>
  <c r="J91" i="14"/>
  <c r="I90" i="14"/>
  <c r="J90" i="14"/>
  <c r="I89" i="14"/>
  <c r="J89" i="14"/>
  <c r="I88" i="14"/>
  <c r="I87" i="14"/>
  <c r="J87" i="14"/>
  <c r="K86" i="14"/>
  <c r="H86" i="14"/>
  <c r="G86" i="14"/>
  <c r="F86" i="14"/>
  <c r="E86" i="14"/>
  <c r="D86" i="14"/>
  <c r="C86" i="14"/>
  <c r="I85" i="14"/>
  <c r="J85" i="14"/>
  <c r="I84" i="14"/>
  <c r="J84" i="14"/>
  <c r="I83" i="14"/>
  <c r="J83" i="14"/>
  <c r="L82" i="14"/>
  <c r="K82" i="14"/>
  <c r="I82" i="14"/>
  <c r="H82" i="14"/>
  <c r="G82" i="14"/>
  <c r="F82" i="14"/>
  <c r="E82" i="14"/>
  <c r="D82" i="14"/>
  <c r="C82" i="14"/>
  <c r="I81" i="14"/>
  <c r="J81" i="14"/>
  <c r="I80" i="14"/>
  <c r="J80" i="14"/>
  <c r="I79" i="14"/>
  <c r="J79" i="14"/>
  <c r="I78" i="14"/>
  <c r="J78" i="14"/>
  <c r="I77" i="14"/>
  <c r="J77" i="14"/>
  <c r="I76" i="14"/>
  <c r="J76" i="14"/>
  <c r="I75" i="14"/>
  <c r="J75" i="14"/>
  <c r="I74" i="14"/>
  <c r="J74" i="14"/>
  <c r="L73" i="14"/>
  <c r="K73" i="14"/>
  <c r="H73" i="14"/>
  <c r="G73" i="14"/>
  <c r="F73" i="14"/>
  <c r="F72" i="14"/>
  <c r="F71" i="14"/>
  <c r="E73" i="14"/>
  <c r="D73" i="14"/>
  <c r="C73" i="14"/>
  <c r="C72" i="14"/>
  <c r="C71" i="14"/>
  <c r="K72" i="14"/>
  <c r="H72" i="14"/>
  <c r="H71" i="14"/>
  <c r="E72" i="14"/>
  <c r="E71" i="14"/>
  <c r="K71" i="14"/>
  <c r="I70" i="14"/>
  <c r="J70" i="14"/>
  <c r="H70" i="14"/>
  <c r="I69" i="14"/>
  <c r="J69" i="14"/>
  <c r="H69" i="14"/>
  <c r="I68" i="14"/>
  <c r="J68" i="14"/>
  <c r="H68" i="14"/>
  <c r="I67" i="14"/>
  <c r="H67" i="14"/>
  <c r="I66" i="14"/>
  <c r="J66" i="14"/>
  <c r="H66" i="14"/>
  <c r="I65" i="14"/>
  <c r="J65" i="14"/>
  <c r="H65" i="14"/>
  <c r="I64" i="14"/>
  <c r="J64" i="14"/>
  <c r="H64" i="14"/>
  <c r="I63" i="14"/>
  <c r="J63" i="14"/>
  <c r="H63" i="14"/>
  <c r="I62" i="14"/>
  <c r="J62" i="14"/>
  <c r="H62" i="14"/>
  <c r="I61" i="14"/>
  <c r="J61" i="14"/>
  <c r="H61" i="14"/>
  <c r="I60" i="14"/>
  <c r="J60" i="14"/>
  <c r="H60" i="14"/>
  <c r="I59" i="14"/>
  <c r="J59" i="14"/>
  <c r="H59" i="14"/>
  <c r="I58" i="14"/>
  <c r="J58" i="14"/>
  <c r="H58" i="14"/>
  <c r="I57" i="14"/>
  <c r="J57" i="14"/>
  <c r="H57" i="14"/>
  <c r="I56" i="14"/>
  <c r="J56" i="14"/>
  <c r="H56" i="14"/>
  <c r="I55" i="14"/>
  <c r="J55" i="14"/>
  <c r="H55" i="14"/>
  <c r="I54" i="14"/>
  <c r="J54" i="14"/>
  <c r="H54" i="14"/>
  <c r="I53" i="14"/>
  <c r="J53" i="14"/>
  <c r="H53" i="14"/>
  <c r="I52" i="14"/>
  <c r="J52" i="14"/>
  <c r="H52" i="14"/>
  <c r="I51" i="14"/>
  <c r="J51" i="14"/>
  <c r="H51" i="14"/>
  <c r="I50" i="14"/>
  <c r="J50" i="14"/>
  <c r="H50" i="14"/>
  <c r="I49" i="14"/>
  <c r="J49" i="14"/>
  <c r="H49" i="14"/>
  <c r="I48" i="14"/>
  <c r="J48" i="14"/>
  <c r="H48" i="14"/>
  <c r="I47" i="14"/>
  <c r="J47" i="14"/>
  <c r="H47" i="14"/>
  <c r="I46" i="14"/>
  <c r="J46" i="14"/>
  <c r="H46" i="14"/>
  <c r="I45" i="14"/>
  <c r="J45" i="14"/>
  <c r="H45" i="14"/>
  <c r="I44" i="14"/>
  <c r="J44" i="14"/>
  <c r="H44" i="14"/>
  <c r="I43" i="14"/>
  <c r="J43" i="14"/>
  <c r="H43" i="14"/>
  <c r="I42" i="14"/>
  <c r="J42" i="14"/>
  <c r="H42" i="14"/>
  <c r="I41" i="14"/>
  <c r="J41" i="14"/>
  <c r="H41" i="14"/>
  <c r="I40" i="14"/>
  <c r="J40" i="14"/>
  <c r="H40" i="14"/>
  <c r="I39" i="14"/>
  <c r="J39" i="14"/>
  <c r="H39" i="14"/>
  <c r="I38" i="14"/>
  <c r="H38" i="14"/>
  <c r="L37" i="14"/>
  <c r="G37" i="14"/>
  <c r="F37" i="14"/>
  <c r="E37" i="14"/>
  <c r="D37" i="14"/>
  <c r="C37" i="14"/>
  <c r="I36" i="14"/>
  <c r="J36" i="14"/>
  <c r="H36" i="14"/>
  <c r="I35" i="14"/>
  <c r="J35" i="14"/>
  <c r="H35" i="14"/>
  <c r="I34" i="14"/>
  <c r="J34" i="14"/>
  <c r="H34" i="14"/>
  <c r="I33" i="14"/>
  <c r="J33" i="14"/>
  <c r="H33" i="14"/>
  <c r="I32" i="14"/>
  <c r="J32" i="14"/>
  <c r="H32" i="14"/>
  <c r="I31" i="14"/>
  <c r="J31" i="14"/>
  <c r="H31" i="14"/>
  <c r="I30" i="14"/>
  <c r="J30" i="14"/>
  <c r="H30" i="14"/>
  <c r="I29" i="14"/>
  <c r="J29" i="14"/>
  <c r="H29" i="14"/>
  <c r="I28" i="14"/>
  <c r="J28" i="14"/>
  <c r="H28" i="14"/>
  <c r="I27" i="14"/>
  <c r="J27" i="14"/>
  <c r="H27" i="14"/>
  <c r="I26" i="14"/>
  <c r="J26" i="14"/>
  <c r="H26" i="14"/>
  <c r="I25" i="14"/>
  <c r="J25" i="14"/>
  <c r="H25" i="14"/>
  <c r="I24" i="14"/>
  <c r="J24" i="14"/>
  <c r="H24" i="14"/>
  <c r="I23" i="14"/>
  <c r="J23" i="14"/>
  <c r="H23" i="14"/>
  <c r="I22" i="14"/>
  <c r="J22" i="14"/>
  <c r="H22" i="14"/>
  <c r="I21" i="14"/>
  <c r="J21" i="14"/>
  <c r="H21" i="14"/>
  <c r="I20" i="14"/>
  <c r="J20" i="14"/>
  <c r="H20" i="14"/>
  <c r="I19" i="14"/>
  <c r="J19" i="14"/>
  <c r="H19" i="14"/>
  <c r="I18" i="14"/>
  <c r="J18" i="14"/>
  <c r="H18" i="14"/>
  <c r="I17" i="14"/>
  <c r="J17" i="14"/>
  <c r="H17" i="14"/>
  <c r="I16" i="14"/>
  <c r="J16" i="14"/>
  <c r="H16" i="14"/>
  <c r="I15" i="14"/>
  <c r="J15" i="14"/>
  <c r="H15" i="14"/>
  <c r="I14" i="14"/>
  <c r="J14" i="14"/>
  <c r="H14" i="14"/>
  <c r="L13" i="14"/>
  <c r="K13" i="14"/>
  <c r="G13" i="14"/>
  <c r="F13" i="14"/>
  <c r="E13" i="14"/>
  <c r="D13" i="14"/>
  <c r="C13" i="14"/>
  <c r="L12" i="14"/>
  <c r="E12" i="14"/>
  <c r="E11" i="14"/>
  <c r="C12" i="14"/>
  <c r="C11" i="14"/>
  <c r="C10" i="14"/>
  <c r="G10" i="14"/>
  <c r="F10" i="14"/>
  <c r="D10" i="14"/>
  <c r="N282" i="13"/>
  <c r="R282" i="13"/>
  <c r="M282" i="13"/>
  <c r="L282" i="13"/>
  <c r="F282" i="13"/>
  <c r="Q282" i="13"/>
  <c r="R270" i="13"/>
  <c r="N270" i="13"/>
  <c r="V270" i="13"/>
  <c r="M270" i="13"/>
  <c r="L270" i="13"/>
  <c r="K270" i="13"/>
  <c r="J270" i="13"/>
  <c r="H270" i="13"/>
  <c r="F270" i="13"/>
  <c r="Q270" i="13"/>
  <c r="R269" i="13"/>
  <c r="N269" i="13"/>
  <c r="V269" i="13"/>
  <c r="M269" i="13"/>
  <c r="L269" i="13"/>
  <c r="R268" i="13"/>
  <c r="N268" i="13"/>
  <c r="V268" i="13"/>
  <c r="M268" i="13"/>
  <c r="L268" i="13"/>
  <c r="J268" i="13"/>
  <c r="H268" i="13"/>
  <c r="F268" i="13"/>
  <c r="Q268" i="13"/>
  <c r="R267" i="13"/>
  <c r="N267" i="13"/>
  <c r="V267" i="13"/>
  <c r="M267" i="13"/>
  <c r="L267" i="13"/>
  <c r="J267" i="13"/>
  <c r="H267" i="13"/>
  <c r="F267" i="13"/>
  <c r="Q267" i="13"/>
  <c r="R266" i="13"/>
  <c r="N266" i="13"/>
  <c r="V266" i="13"/>
  <c r="M266" i="13"/>
  <c r="L266" i="13"/>
  <c r="J266" i="13"/>
  <c r="H266" i="13"/>
  <c r="F266" i="13"/>
  <c r="Q266" i="13"/>
  <c r="R265" i="13"/>
  <c r="N265" i="13"/>
  <c r="V265" i="13"/>
  <c r="M265" i="13"/>
  <c r="L265" i="13"/>
  <c r="J265" i="13"/>
  <c r="H265" i="13"/>
  <c r="F265" i="13"/>
  <c r="Q265" i="13"/>
  <c r="R264" i="13"/>
  <c r="N264" i="13"/>
  <c r="V264" i="13"/>
  <c r="M264" i="13"/>
  <c r="L264" i="13"/>
  <c r="K264" i="13"/>
  <c r="J264" i="13"/>
  <c r="H264" i="13"/>
  <c r="F264" i="13"/>
  <c r="Q264" i="13"/>
  <c r="R263" i="13"/>
  <c r="N263" i="13"/>
  <c r="M263" i="13"/>
  <c r="L263" i="13"/>
  <c r="J263" i="13"/>
  <c r="H263" i="13"/>
  <c r="F263" i="13"/>
  <c r="R262" i="13"/>
  <c r="N262" i="13"/>
  <c r="V262" i="13"/>
  <c r="M262" i="13"/>
  <c r="L262" i="13"/>
  <c r="J262" i="13"/>
  <c r="H262" i="13"/>
  <c r="F262" i="13"/>
  <c r="Q262" i="13"/>
  <c r="R261" i="13"/>
  <c r="N261" i="13"/>
  <c r="V261" i="13"/>
  <c r="M261" i="13"/>
  <c r="L261" i="13"/>
  <c r="K261" i="13"/>
  <c r="J261" i="13"/>
  <c r="H261" i="13"/>
  <c r="F261" i="13"/>
  <c r="Q261" i="13"/>
  <c r="U261" i="13"/>
  <c r="R260" i="13"/>
  <c r="N260" i="13"/>
  <c r="V260" i="13"/>
  <c r="M260" i="13"/>
  <c r="L260" i="13"/>
  <c r="J260" i="13"/>
  <c r="H260" i="13"/>
  <c r="F260" i="13"/>
  <c r="T260" i="13"/>
  <c r="R259" i="13"/>
  <c r="N259" i="13"/>
  <c r="V259" i="13"/>
  <c r="M259" i="13"/>
  <c r="L259" i="13"/>
  <c r="J259" i="13"/>
  <c r="H259" i="13"/>
  <c r="T259" i="13"/>
  <c r="R258" i="13"/>
  <c r="N258" i="13"/>
  <c r="V258" i="13"/>
  <c r="M258" i="13"/>
  <c r="L258" i="13"/>
  <c r="J258" i="13"/>
  <c r="H258" i="13"/>
  <c r="F258" i="13"/>
  <c r="Q258" i="13"/>
  <c r="R257" i="13"/>
  <c r="N257" i="13"/>
  <c r="M257" i="13"/>
  <c r="L257" i="13"/>
  <c r="J257" i="13"/>
  <c r="H257" i="13"/>
  <c r="F257" i="13"/>
  <c r="Q257" i="13"/>
  <c r="R256" i="13"/>
  <c r="N256" i="13"/>
  <c r="M256" i="13"/>
  <c r="L256" i="13"/>
  <c r="J256" i="13"/>
  <c r="H256" i="13"/>
  <c r="F256" i="13"/>
  <c r="Q256" i="13"/>
  <c r="U256" i="13"/>
  <c r="R255" i="13"/>
  <c r="N255" i="13"/>
  <c r="M255" i="13"/>
  <c r="L255" i="13"/>
  <c r="J255" i="13"/>
  <c r="H255" i="13"/>
  <c r="F255" i="13"/>
  <c r="Q255" i="13"/>
  <c r="R244" i="13"/>
  <c r="N244" i="13"/>
  <c r="V244" i="13"/>
  <c r="M244" i="13"/>
  <c r="L244" i="13"/>
  <c r="K244" i="13"/>
  <c r="J244" i="13"/>
  <c r="H244" i="13"/>
  <c r="F244" i="13"/>
  <c r="Q244" i="13"/>
  <c r="U244" i="13"/>
  <c r="R243" i="13"/>
  <c r="N243" i="13"/>
  <c r="V243" i="13"/>
  <c r="M243" i="13"/>
  <c r="L243" i="13"/>
  <c r="J243" i="13"/>
  <c r="H243" i="13"/>
  <c r="F243" i="13"/>
  <c r="Q243" i="13"/>
  <c r="R242" i="13"/>
  <c r="N242" i="13"/>
  <c r="V242" i="13"/>
  <c r="M242" i="13"/>
  <c r="L242" i="13"/>
  <c r="K242" i="13"/>
  <c r="J242" i="13"/>
  <c r="H242" i="13"/>
  <c r="F242" i="13"/>
  <c r="R241" i="13"/>
  <c r="N241" i="13"/>
  <c r="M241" i="13"/>
  <c r="L241" i="13"/>
  <c r="J241" i="13"/>
  <c r="H241" i="13"/>
  <c r="F241" i="13"/>
  <c r="N240" i="13"/>
  <c r="R240" i="13"/>
  <c r="M240" i="13"/>
  <c r="L240" i="13"/>
  <c r="J240" i="13"/>
  <c r="H240" i="13"/>
  <c r="F240" i="13"/>
  <c r="R239" i="13"/>
  <c r="N239" i="13"/>
  <c r="M239" i="13"/>
  <c r="L239" i="13"/>
  <c r="J239" i="13"/>
  <c r="H239" i="13"/>
  <c r="F239" i="13"/>
  <c r="R238" i="13"/>
  <c r="N238" i="13"/>
  <c r="V238" i="13"/>
  <c r="M238" i="13"/>
  <c r="L238" i="13"/>
  <c r="J238" i="13"/>
  <c r="H238" i="13"/>
  <c r="F238" i="13"/>
  <c r="Q238" i="13"/>
  <c r="R237" i="13"/>
  <c r="N237" i="13"/>
  <c r="V237" i="13"/>
  <c r="M237" i="13"/>
  <c r="L237" i="13"/>
  <c r="J237" i="13"/>
  <c r="H237" i="13"/>
  <c r="F237" i="13"/>
  <c r="Q237" i="13"/>
  <c r="R236" i="13"/>
  <c r="N236" i="13"/>
  <c r="V236" i="13"/>
  <c r="M236" i="13"/>
  <c r="L236" i="13"/>
  <c r="K236" i="13"/>
  <c r="J236" i="13"/>
  <c r="H236" i="13"/>
  <c r="F236" i="13"/>
  <c r="Q236" i="13"/>
  <c r="U236" i="13"/>
  <c r="R235" i="13"/>
  <c r="N235" i="13"/>
  <c r="N245" i="13"/>
  <c r="M235" i="13"/>
  <c r="L235" i="13"/>
  <c r="J235" i="13"/>
  <c r="H235" i="13"/>
  <c r="F235" i="13"/>
  <c r="Q235" i="13"/>
  <c r="U235" i="13"/>
  <c r="R224" i="13"/>
  <c r="N224" i="13"/>
  <c r="M224" i="13"/>
  <c r="L224" i="13"/>
  <c r="J224" i="13"/>
  <c r="H224" i="13"/>
  <c r="F224" i="13"/>
  <c r="Q224" i="13"/>
  <c r="R223" i="13"/>
  <c r="N223" i="13"/>
  <c r="M223" i="13"/>
  <c r="L223" i="13"/>
  <c r="J223" i="13"/>
  <c r="H223" i="13"/>
  <c r="F223" i="13"/>
  <c r="Q223" i="13"/>
  <c r="R222" i="13"/>
  <c r="N222" i="13"/>
  <c r="M222" i="13"/>
  <c r="L222" i="13"/>
  <c r="J222" i="13"/>
  <c r="H222" i="13"/>
  <c r="F222" i="13"/>
  <c r="R221" i="13"/>
  <c r="N221" i="13"/>
  <c r="V221" i="13"/>
  <c r="M221" i="13"/>
  <c r="L221" i="13"/>
  <c r="K221" i="13"/>
  <c r="J221" i="13"/>
  <c r="H221" i="13"/>
  <c r="F221" i="13"/>
  <c r="Q221" i="13"/>
  <c r="R220" i="13"/>
  <c r="N220" i="13"/>
  <c r="M220" i="13"/>
  <c r="L220" i="13"/>
  <c r="J220" i="13"/>
  <c r="H220" i="13"/>
  <c r="F220" i="13"/>
  <c r="Q220" i="13"/>
  <c r="R219" i="13"/>
  <c r="N219" i="13"/>
  <c r="M219" i="13"/>
  <c r="L219" i="13"/>
  <c r="J219" i="13"/>
  <c r="H219" i="13"/>
  <c r="F219" i="13"/>
  <c r="R218" i="13"/>
  <c r="N218" i="13"/>
  <c r="V218" i="13"/>
  <c r="M218" i="13"/>
  <c r="L218" i="13"/>
  <c r="K218" i="13"/>
  <c r="J218" i="13"/>
  <c r="H218" i="13"/>
  <c r="F218" i="13"/>
  <c r="Q218" i="13"/>
  <c r="U218" i="13"/>
  <c r="R217" i="13"/>
  <c r="N217" i="13"/>
  <c r="M217" i="13"/>
  <c r="L217" i="13"/>
  <c r="K217" i="13"/>
  <c r="J217" i="13"/>
  <c r="H217" i="13"/>
  <c r="F217" i="13"/>
  <c r="Q217" i="13"/>
  <c r="R207" i="13"/>
  <c r="N207" i="13"/>
  <c r="M207" i="13"/>
  <c r="L207" i="13"/>
  <c r="J207" i="13"/>
  <c r="H207" i="13"/>
  <c r="F207" i="13"/>
  <c r="Q207" i="13"/>
  <c r="R206" i="13"/>
  <c r="N206" i="13"/>
  <c r="V206" i="13"/>
  <c r="M206" i="13"/>
  <c r="L206" i="13"/>
  <c r="K206" i="13"/>
  <c r="J206" i="13"/>
  <c r="H206" i="13"/>
  <c r="F206" i="13"/>
  <c r="Q206" i="13"/>
  <c r="R205" i="13"/>
  <c r="N205" i="13"/>
  <c r="V205" i="13"/>
  <c r="M205" i="13"/>
  <c r="L205" i="13"/>
  <c r="J205" i="13"/>
  <c r="H205" i="13"/>
  <c r="F205" i="13"/>
  <c r="Q205" i="13"/>
  <c r="R204" i="13"/>
  <c r="N204" i="13"/>
  <c r="V204" i="13"/>
  <c r="M204" i="13"/>
  <c r="L204" i="13"/>
  <c r="K204" i="13"/>
  <c r="J204" i="13"/>
  <c r="H204" i="13"/>
  <c r="F204" i="13"/>
  <c r="Q204" i="13"/>
  <c r="R203" i="13"/>
  <c r="N203" i="13"/>
  <c r="V203" i="13"/>
  <c r="M203" i="13"/>
  <c r="L203" i="13"/>
  <c r="J203" i="13"/>
  <c r="H203" i="13"/>
  <c r="F203" i="13"/>
  <c r="R202" i="13"/>
  <c r="N202" i="13"/>
  <c r="V202" i="13"/>
  <c r="M202" i="13"/>
  <c r="L202" i="13"/>
  <c r="K202" i="13"/>
  <c r="J202" i="13"/>
  <c r="H202" i="13"/>
  <c r="F202" i="13"/>
  <c r="Q202" i="13"/>
  <c r="R201" i="13"/>
  <c r="N201" i="13"/>
  <c r="V201" i="13"/>
  <c r="M201" i="13"/>
  <c r="L201" i="13"/>
  <c r="J201" i="13"/>
  <c r="H201" i="13"/>
  <c r="F201" i="13"/>
  <c r="Q201" i="13"/>
  <c r="R200" i="13"/>
  <c r="N200" i="13"/>
  <c r="V200" i="13"/>
  <c r="M200" i="13"/>
  <c r="L200" i="13"/>
  <c r="J200" i="13"/>
  <c r="H200" i="13"/>
  <c r="F200" i="13"/>
  <c r="R199" i="13"/>
  <c r="N199" i="13"/>
  <c r="M199" i="13"/>
  <c r="L199" i="13"/>
  <c r="J199" i="13"/>
  <c r="H199" i="13"/>
  <c r="F199" i="13"/>
  <c r="Q199" i="13"/>
  <c r="R198" i="13"/>
  <c r="N198" i="13"/>
  <c r="V198" i="13"/>
  <c r="M198" i="13"/>
  <c r="L198" i="13"/>
  <c r="J198" i="13"/>
  <c r="H198" i="13"/>
  <c r="F198" i="13"/>
  <c r="R197" i="13"/>
  <c r="N197" i="13"/>
  <c r="V197" i="13"/>
  <c r="M197" i="13"/>
  <c r="L197" i="13"/>
  <c r="J197" i="13"/>
  <c r="H197" i="13"/>
  <c r="F197" i="13"/>
  <c r="Q197" i="13"/>
  <c r="R196" i="13"/>
  <c r="N196" i="13"/>
  <c r="V196" i="13"/>
  <c r="M196" i="13"/>
  <c r="L196" i="13"/>
  <c r="K196" i="13"/>
  <c r="J196" i="13"/>
  <c r="H196" i="13"/>
  <c r="F196" i="13"/>
  <c r="Q196" i="13"/>
  <c r="R195" i="13"/>
  <c r="N195" i="13"/>
  <c r="V195" i="13"/>
  <c r="M195" i="13"/>
  <c r="L195" i="13"/>
  <c r="J195" i="13"/>
  <c r="H195" i="13"/>
  <c r="F195" i="13"/>
  <c r="R194" i="13"/>
  <c r="R208" i="13"/>
  <c r="N194" i="13"/>
  <c r="N208" i="13"/>
  <c r="M194" i="13"/>
  <c r="L194" i="13"/>
  <c r="L208" i="13"/>
  <c r="J194" i="13"/>
  <c r="H194" i="13"/>
  <c r="F194" i="13"/>
  <c r="Q194" i="13"/>
  <c r="R183" i="13"/>
  <c r="N183" i="13"/>
  <c r="V183" i="13"/>
  <c r="M183" i="13"/>
  <c r="L183" i="13"/>
  <c r="K183" i="13"/>
  <c r="J183" i="13"/>
  <c r="H183" i="13"/>
  <c r="F183" i="13"/>
  <c r="Q183" i="13"/>
  <c r="R182" i="13"/>
  <c r="N182" i="13"/>
  <c r="V182" i="13"/>
  <c r="M182" i="13"/>
  <c r="L182" i="13"/>
  <c r="J182" i="13"/>
  <c r="H182" i="13"/>
  <c r="F182" i="13"/>
  <c r="Q182" i="13"/>
  <c r="R181" i="13"/>
  <c r="N181" i="13"/>
  <c r="V181" i="13"/>
  <c r="M181" i="13"/>
  <c r="L181" i="13"/>
  <c r="J181" i="13"/>
  <c r="H181" i="13"/>
  <c r="F181" i="13"/>
  <c r="R180" i="13"/>
  <c r="N180" i="13"/>
  <c r="V180" i="13"/>
  <c r="M180" i="13"/>
  <c r="L180" i="13"/>
  <c r="J180" i="13"/>
  <c r="H180" i="13"/>
  <c r="F180" i="13"/>
  <c r="Q180" i="13"/>
  <c r="R179" i="13"/>
  <c r="N179" i="13"/>
  <c r="M179" i="13"/>
  <c r="L179" i="13"/>
  <c r="K179" i="13"/>
  <c r="J179" i="13"/>
  <c r="H179" i="13"/>
  <c r="F179" i="13"/>
  <c r="Q179" i="13"/>
  <c r="R178" i="13"/>
  <c r="N178" i="13"/>
  <c r="V178" i="13"/>
  <c r="M178" i="13"/>
  <c r="L178" i="13"/>
  <c r="J178" i="13"/>
  <c r="H178" i="13"/>
  <c r="F178" i="13"/>
  <c r="R177" i="13"/>
  <c r="N177" i="13"/>
  <c r="V177" i="13"/>
  <c r="M177" i="13"/>
  <c r="L177" i="13"/>
  <c r="J177" i="13"/>
  <c r="H177" i="13"/>
  <c r="F177" i="13"/>
  <c r="Q177" i="13"/>
  <c r="R176" i="13"/>
  <c r="N176" i="13"/>
  <c r="V176" i="13"/>
  <c r="M176" i="13"/>
  <c r="M184" i="13"/>
  <c r="L176" i="13"/>
  <c r="K176" i="13"/>
  <c r="J176" i="13"/>
  <c r="H176" i="13"/>
  <c r="F176" i="13"/>
  <c r="Q176" i="13"/>
  <c r="R165" i="13"/>
  <c r="N165" i="13"/>
  <c r="M165" i="13"/>
  <c r="L165" i="13"/>
  <c r="J165" i="13"/>
  <c r="H165" i="13"/>
  <c r="F165" i="13"/>
  <c r="Q165" i="13"/>
  <c r="R164" i="13"/>
  <c r="N164" i="13"/>
  <c r="V164" i="13"/>
  <c r="M164" i="13"/>
  <c r="L164" i="13"/>
  <c r="J164" i="13"/>
  <c r="H164" i="13"/>
  <c r="F164" i="13"/>
  <c r="Q164" i="13"/>
  <c r="U164" i="13"/>
  <c r="R163" i="13"/>
  <c r="N163" i="13"/>
  <c r="V163" i="13"/>
  <c r="M163" i="13"/>
  <c r="L163" i="13"/>
  <c r="J163" i="13"/>
  <c r="H163" i="13"/>
  <c r="F163" i="13"/>
  <c r="Q163" i="13"/>
  <c r="R162" i="13"/>
  <c r="N162" i="13"/>
  <c r="V162" i="13"/>
  <c r="M162" i="13"/>
  <c r="L162" i="13"/>
  <c r="K162" i="13"/>
  <c r="J162" i="13"/>
  <c r="H162" i="13"/>
  <c r="F162" i="13"/>
  <c r="Q162" i="13"/>
  <c r="R161" i="13"/>
  <c r="N161" i="13"/>
  <c r="V161" i="13"/>
  <c r="M161" i="13"/>
  <c r="L161" i="13"/>
  <c r="J161" i="13"/>
  <c r="H161" i="13"/>
  <c r="F161" i="13"/>
  <c r="R160" i="13"/>
  <c r="N160" i="13"/>
  <c r="V160" i="13"/>
  <c r="M160" i="13"/>
  <c r="L160" i="13"/>
  <c r="J160" i="13"/>
  <c r="H160" i="13"/>
  <c r="F160" i="13"/>
  <c r="Q160" i="13"/>
  <c r="R159" i="13"/>
  <c r="N159" i="13"/>
  <c r="V159" i="13"/>
  <c r="M159" i="13"/>
  <c r="L159" i="13"/>
  <c r="K159" i="13"/>
  <c r="J159" i="13"/>
  <c r="H159" i="13"/>
  <c r="F159" i="13"/>
  <c r="Q159" i="13"/>
  <c r="R158" i="13"/>
  <c r="N158" i="13"/>
  <c r="M158" i="13"/>
  <c r="L158" i="13"/>
  <c r="K158" i="13"/>
  <c r="J158" i="13"/>
  <c r="H158" i="13"/>
  <c r="F158" i="13"/>
  <c r="Q158" i="13"/>
  <c r="R157" i="13"/>
  <c r="N157" i="13"/>
  <c r="M157" i="13"/>
  <c r="L157" i="13"/>
  <c r="J157" i="13"/>
  <c r="H157" i="13"/>
  <c r="F157" i="13"/>
  <c r="Q157" i="13"/>
  <c r="R156" i="13"/>
  <c r="N156" i="13"/>
  <c r="V156" i="13"/>
  <c r="M156" i="13"/>
  <c r="L156" i="13"/>
  <c r="J156" i="13"/>
  <c r="H156" i="13"/>
  <c r="F156" i="13"/>
  <c r="Q156" i="13"/>
  <c r="R155" i="13"/>
  <c r="N155" i="13"/>
  <c r="V155" i="13"/>
  <c r="M155" i="13"/>
  <c r="L155" i="13"/>
  <c r="J155" i="13"/>
  <c r="H155" i="13"/>
  <c r="F155" i="13"/>
  <c r="Q155" i="13"/>
  <c r="R154" i="13"/>
  <c r="N154" i="13"/>
  <c r="N166" i="13"/>
  <c r="M154" i="13"/>
  <c r="L154" i="13"/>
  <c r="L166" i="13"/>
  <c r="J154" i="13"/>
  <c r="H154" i="13"/>
  <c r="F154" i="13"/>
  <c r="Q154" i="13"/>
  <c r="R144" i="13"/>
  <c r="N144" i="13"/>
  <c r="V144" i="13"/>
  <c r="M144" i="13"/>
  <c r="L144" i="13"/>
  <c r="K144" i="13"/>
  <c r="J144" i="13"/>
  <c r="H144" i="13"/>
  <c r="F144" i="13"/>
  <c r="Q144" i="13"/>
  <c r="R143" i="13"/>
  <c r="N143" i="13"/>
  <c r="M143" i="13"/>
  <c r="L143" i="13"/>
  <c r="J143" i="13"/>
  <c r="H143" i="13"/>
  <c r="F143" i="13"/>
  <c r="Q143" i="13"/>
  <c r="U143" i="13"/>
  <c r="Q142" i="13"/>
  <c r="N142" i="13"/>
  <c r="R142" i="13"/>
  <c r="M142" i="13"/>
  <c r="L142" i="13"/>
  <c r="J142" i="13"/>
  <c r="H142" i="13"/>
  <c r="F142" i="13"/>
  <c r="R141" i="13"/>
  <c r="N141" i="13"/>
  <c r="V141" i="13"/>
  <c r="M141" i="13"/>
  <c r="L141" i="13"/>
  <c r="J141" i="13"/>
  <c r="H141" i="13"/>
  <c r="F141" i="13"/>
  <c r="Q141" i="13"/>
  <c r="R140" i="13"/>
  <c r="N140" i="13"/>
  <c r="M140" i="13"/>
  <c r="L140" i="13"/>
  <c r="J140" i="13"/>
  <c r="H140" i="13"/>
  <c r="F140" i="13"/>
  <c r="Q140" i="13"/>
  <c r="R139" i="13"/>
  <c r="N139" i="13"/>
  <c r="V139" i="13"/>
  <c r="M139" i="13"/>
  <c r="L139" i="13"/>
  <c r="J139" i="13"/>
  <c r="H139" i="13"/>
  <c r="F139" i="13"/>
  <c r="Q139" i="13"/>
  <c r="R138" i="13"/>
  <c r="N138" i="13"/>
  <c r="V138" i="13"/>
  <c r="M138" i="13"/>
  <c r="L138" i="13"/>
  <c r="J138" i="13"/>
  <c r="H138" i="13"/>
  <c r="F138" i="13"/>
  <c r="Q138" i="13"/>
  <c r="R137" i="13"/>
  <c r="N137" i="13"/>
  <c r="V137" i="13"/>
  <c r="M137" i="13"/>
  <c r="L137" i="13"/>
  <c r="J137" i="13"/>
  <c r="H137" i="13"/>
  <c r="F137" i="13"/>
  <c r="R136" i="13"/>
  <c r="N136" i="13"/>
  <c r="V136" i="13"/>
  <c r="M136" i="13"/>
  <c r="L136" i="13"/>
  <c r="K136" i="13"/>
  <c r="J136" i="13"/>
  <c r="H136" i="13"/>
  <c r="F136" i="13"/>
  <c r="Q136" i="13"/>
  <c r="R135" i="13"/>
  <c r="N135" i="13"/>
  <c r="V135" i="13"/>
  <c r="M135" i="13"/>
  <c r="L135" i="13"/>
  <c r="K135" i="13"/>
  <c r="J135" i="13"/>
  <c r="H135" i="13"/>
  <c r="F135" i="13"/>
  <c r="R134" i="13"/>
  <c r="N134" i="13"/>
  <c r="V134" i="13"/>
  <c r="M134" i="13"/>
  <c r="L134" i="13"/>
  <c r="J134" i="13"/>
  <c r="H134" i="13"/>
  <c r="F134" i="13"/>
  <c r="Q134" i="13"/>
  <c r="R133" i="13"/>
  <c r="N133" i="13"/>
  <c r="V133" i="13"/>
  <c r="M133" i="13"/>
  <c r="L133" i="13"/>
  <c r="K133" i="13"/>
  <c r="J133" i="13"/>
  <c r="H133" i="13"/>
  <c r="F133" i="13"/>
  <c r="Q133" i="13"/>
  <c r="R132" i="13"/>
  <c r="N132" i="13"/>
  <c r="V132" i="13"/>
  <c r="M132" i="13"/>
  <c r="L132" i="13"/>
  <c r="J132" i="13"/>
  <c r="H132" i="13"/>
  <c r="F132" i="13"/>
  <c r="Q132" i="13"/>
  <c r="R131" i="13"/>
  <c r="N131" i="13"/>
  <c r="V131" i="13"/>
  <c r="M131" i="13"/>
  <c r="L131" i="13"/>
  <c r="J131" i="13"/>
  <c r="H131" i="13"/>
  <c r="F131" i="13"/>
  <c r="Q131" i="13"/>
  <c r="R130" i="13"/>
  <c r="N130" i="13"/>
  <c r="V130" i="13"/>
  <c r="M130" i="13"/>
  <c r="L130" i="13"/>
  <c r="J130" i="13"/>
  <c r="H130" i="13"/>
  <c r="F130" i="13"/>
  <c r="Q130" i="13"/>
  <c r="R129" i="13"/>
  <c r="N129" i="13"/>
  <c r="V129" i="13"/>
  <c r="M129" i="13"/>
  <c r="L129" i="13"/>
  <c r="J129" i="13"/>
  <c r="H129" i="13"/>
  <c r="F129" i="13"/>
  <c r="Q129" i="13"/>
  <c r="R128" i="13"/>
  <c r="N128" i="13"/>
  <c r="V128" i="13"/>
  <c r="M128" i="13"/>
  <c r="L128" i="13"/>
  <c r="K128" i="13"/>
  <c r="J128" i="13"/>
  <c r="H128" i="13"/>
  <c r="F128" i="13"/>
  <c r="Q128" i="13"/>
  <c r="R127" i="13"/>
  <c r="N127" i="13"/>
  <c r="M127" i="13"/>
  <c r="M145" i="13"/>
  <c r="L127" i="13"/>
  <c r="K127" i="13"/>
  <c r="J127" i="13"/>
  <c r="H127" i="13"/>
  <c r="F127" i="13"/>
  <c r="T121" i="13"/>
  <c r="R119" i="13"/>
  <c r="N119" i="13"/>
  <c r="V119" i="13"/>
  <c r="M119" i="13"/>
  <c r="L119" i="13"/>
  <c r="J119" i="13"/>
  <c r="H119" i="13"/>
  <c r="F119" i="13"/>
  <c r="Q119" i="13"/>
  <c r="R118" i="13"/>
  <c r="N118" i="13"/>
  <c r="V118" i="13"/>
  <c r="M118" i="13"/>
  <c r="L118" i="13"/>
  <c r="K118" i="13"/>
  <c r="J118" i="13"/>
  <c r="H118" i="13"/>
  <c r="F118" i="13"/>
  <c r="Q118" i="13"/>
  <c r="R117" i="13"/>
  <c r="N117" i="13"/>
  <c r="V117" i="13"/>
  <c r="M117" i="13"/>
  <c r="L117" i="13"/>
  <c r="J117" i="13"/>
  <c r="H117" i="13"/>
  <c r="F117" i="13"/>
  <c r="Q117" i="13"/>
  <c r="R116" i="13"/>
  <c r="N116" i="13"/>
  <c r="V116" i="13"/>
  <c r="M116" i="13"/>
  <c r="L116" i="13"/>
  <c r="J116" i="13"/>
  <c r="H116" i="13"/>
  <c r="F116" i="13"/>
  <c r="Q116" i="13"/>
  <c r="R115" i="13"/>
  <c r="R120" i="13"/>
  <c r="N115" i="13"/>
  <c r="N120" i="13"/>
  <c r="M115" i="13"/>
  <c r="M120" i="13"/>
  <c r="L115" i="13"/>
  <c r="L120" i="13"/>
  <c r="J115" i="13"/>
  <c r="H115" i="13"/>
  <c r="F115" i="13"/>
  <c r="Q115" i="13"/>
  <c r="N105" i="13"/>
  <c r="R105" i="13"/>
  <c r="M105" i="13"/>
  <c r="Q105" i="13"/>
  <c r="L105" i="13"/>
  <c r="K105" i="13"/>
  <c r="J105" i="13"/>
  <c r="H105" i="13"/>
  <c r="F105" i="13"/>
  <c r="N104" i="13"/>
  <c r="R104" i="13"/>
  <c r="M104" i="13"/>
  <c r="Q104" i="13"/>
  <c r="L104" i="13"/>
  <c r="J104" i="13"/>
  <c r="H104" i="13"/>
  <c r="F104" i="13"/>
  <c r="R103" i="13"/>
  <c r="N103" i="13"/>
  <c r="V103" i="13"/>
  <c r="M103" i="13"/>
  <c r="L103" i="13"/>
  <c r="J103" i="13"/>
  <c r="H103" i="13"/>
  <c r="F103" i="13"/>
  <c r="Q103" i="13"/>
  <c r="R102" i="13"/>
  <c r="N102" i="13"/>
  <c r="V102" i="13"/>
  <c r="M102" i="13"/>
  <c r="L102" i="13"/>
  <c r="K102" i="13"/>
  <c r="J102" i="13"/>
  <c r="H102" i="13"/>
  <c r="F102" i="13"/>
  <c r="Q102" i="13"/>
  <c r="R101" i="13"/>
  <c r="N101" i="13"/>
  <c r="V101" i="13"/>
  <c r="M101" i="13"/>
  <c r="L101" i="13"/>
  <c r="J101" i="13"/>
  <c r="H101" i="13"/>
  <c r="F101" i="13"/>
  <c r="Q101" i="13"/>
  <c r="R100" i="13"/>
  <c r="N100" i="13"/>
  <c r="V100" i="13"/>
  <c r="M100" i="13"/>
  <c r="L100" i="13"/>
  <c r="J100" i="13"/>
  <c r="H100" i="13"/>
  <c r="F100" i="13"/>
  <c r="R99" i="13"/>
  <c r="N99" i="13"/>
  <c r="V99" i="13"/>
  <c r="M99" i="13"/>
  <c r="L99" i="13"/>
  <c r="J99" i="13"/>
  <c r="H99" i="13"/>
  <c r="F99" i="13"/>
  <c r="Q99" i="13"/>
  <c r="R98" i="13"/>
  <c r="N98" i="13"/>
  <c r="V98" i="13"/>
  <c r="M98" i="13"/>
  <c r="L98" i="13"/>
  <c r="J98" i="13"/>
  <c r="H98" i="13"/>
  <c r="F98" i="13"/>
  <c r="Q98" i="13"/>
  <c r="R97" i="13"/>
  <c r="N97" i="13"/>
  <c r="V97" i="13"/>
  <c r="M97" i="13"/>
  <c r="L97" i="13"/>
  <c r="K97" i="13"/>
  <c r="J97" i="13"/>
  <c r="H97" i="13"/>
  <c r="F97" i="13"/>
  <c r="Q97" i="13"/>
  <c r="R96" i="13"/>
  <c r="N96" i="13"/>
  <c r="V96" i="13"/>
  <c r="M96" i="13"/>
  <c r="L96" i="13"/>
  <c r="K96" i="13"/>
  <c r="J96" i="13"/>
  <c r="H96" i="13"/>
  <c r="F96" i="13"/>
  <c r="R95" i="13"/>
  <c r="N95" i="13"/>
  <c r="V95" i="13"/>
  <c r="M95" i="13"/>
  <c r="L95" i="13"/>
  <c r="J95" i="13"/>
  <c r="H95" i="13"/>
  <c r="F95" i="13"/>
  <c r="Q95" i="13"/>
  <c r="R94" i="13"/>
  <c r="N94" i="13"/>
  <c r="V94" i="13"/>
  <c r="M94" i="13"/>
  <c r="L94" i="13"/>
  <c r="K94" i="13"/>
  <c r="J94" i="13"/>
  <c r="H94" i="13"/>
  <c r="F94" i="13"/>
  <c r="Q94" i="13"/>
  <c r="R93" i="13"/>
  <c r="N93" i="13"/>
  <c r="V93" i="13"/>
  <c r="M93" i="13"/>
  <c r="L93" i="13"/>
  <c r="J93" i="13"/>
  <c r="H93" i="13"/>
  <c r="F93" i="13"/>
  <c r="Q93" i="13"/>
  <c r="N92" i="13"/>
  <c r="M92" i="13"/>
  <c r="L92" i="13"/>
  <c r="J92" i="13"/>
  <c r="H92" i="13"/>
  <c r="F92" i="13"/>
  <c r="R91" i="13"/>
  <c r="N91" i="13"/>
  <c r="N106" i="13"/>
  <c r="M91" i="13"/>
  <c r="L91" i="13"/>
  <c r="J91" i="13"/>
  <c r="H91" i="13"/>
  <c r="F91" i="13"/>
  <c r="Q91" i="13"/>
  <c r="R85" i="13"/>
  <c r="N85" i="13"/>
  <c r="V85" i="13"/>
  <c r="M85" i="13"/>
  <c r="L85" i="13"/>
  <c r="K85" i="13"/>
  <c r="J85" i="13"/>
  <c r="H85" i="13"/>
  <c r="F85" i="13"/>
  <c r="Q85" i="13"/>
  <c r="Q84" i="13"/>
  <c r="N84" i="13"/>
  <c r="R84" i="13"/>
  <c r="M84" i="13"/>
  <c r="U84" i="13"/>
  <c r="L84" i="13"/>
  <c r="J84" i="13"/>
  <c r="H84" i="13"/>
  <c r="F84" i="13"/>
  <c r="Q83" i="13"/>
  <c r="N83" i="13"/>
  <c r="M83" i="13"/>
  <c r="U83" i="13"/>
  <c r="L83" i="13"/>
  <c r="J83" i="13"/>
  <c r="H83" i="13"/>
  <c r="F83" i="13"/>
  <c r="R82" i="13"/>
  <c r="N82" i="13"/>
  <c r="V82" i="13"/>
  <c r="M82" i="13"/>
  <c r="L82" i="13"/>
  <c r="K82" i="13"/>
  <c r="J82" i="13"/>
  <c r="H82" i="13"/>
  <c r="F82" i="13"/>
  <c r="Q82" i="13"/>
  <c r="R81" i="13"/>
  <c r="N81" i="13"/>
  <c r="V81" i="13"/>
  <c r="M81" i="13"/>
  <c r="L81" i="13"/>
  <c r="J81" i="13"/>
  <c r="H81" i="13"/>
  <c r="F81" i="13"/>
  <c r="Q81" i="13"/>
  <c r="R80" i="13"/>
  <c r="N80" i="13"/>
  <c r="V80" i="13"/>
  <c r="M80" i="13"/>
  <c r="L80" i="13"/>
  <c r="J80" i="13"/>
  <c r="H80" i="13"/>
  <c r="F80" i="13"/>
  <c r="R79" i="13"/>
  <c r="N79" i="13"/>
  <c r="V79" i="13"/>
  <c r="M79" i="13"/>
  <c r="L79" i="13"/>
  <c r="J79" i="13"/>
  <c r="H79" i="13"/>
  <c r="F79" i="13"/>
  <c r="Q79" i="13"/>
  <c r="R78" i="13"/>
  <c r="N78" i="13"/>
  <c r="V78" i="13"/>
  <c r="M78" i="13"/>
  <c r="L78" i="13"/>
  <c r="J78" i="13"/>
  <c r="H78" i="13"/>
  <c r="F78" i="13"/>
  <c r="Q78" i="13"/>
  <c r="R77" i="13"/>
  <c r="N77" i="13"/>
  <c r="V77" i="13"/>
  <c r="M77" i="13"/>
  <c r="L77" i="13"/>
  <c r="K77" i="13"/>
  <c r="J77" i="13"/>
  <c r="H77" i="13"/>
  <c r="F77" i="13"/>
  <c r="Q77" i="13"/>
  <c r="R76" i="13"/>
  <c r="N76" i="13"/>
  <c r="V76" i="13"/>
  <c r="M76" i="13"/>
  <c r="L76" i="13"/>
  <c r="J76" i="13"/>
  <c r="H76" i="13"/>
  <c r="F76" i="13"/>
  <c r="R75" i="13"/>
  <c r="N75" i="13"/>
  <c r="V75" i="13"/>
  <c r="M75" i="13"/>
  <c r="L75" i="13"/>
  <c r="J75" i="13"/>
  <c r="H75" i="13"/>
  <c r="F75" i="13"/>
  <c r="Q75" i="13"/>
  <c r="R74" i="13"/>
  <c r="N74" i="13"/>
  <c r="V74" i="13"/>
  <c r="M74" i="13"/>
  <c r="L74" i="13"/>
  <c r="K74" i="13"/>
  <c r="J74" i="13"/>
  <c r="H74" i="13"/>
  <c r="F74" i="13"/>
  <c r="Q74" i="13"/>
  <c r="R73" i="13"/>
  <c r="N73" i="13"/>
  <c r="N86" i="13"/>
  <c r="M73" i="13"/>
  <c r="M86" i="13"/>
  <c r="L73" i="13"/>
  <c r="L86" i="13"/>
  <c r="J73" i="13"/>
  <c r="H73" i="13"/>
  <c r="F73" i="13"/>
  <c r="Q73" i="13"/>
  <c r="R63" i="13"/>
  <c r="N63" i="13"/>
  <c r="V63" i="13"/>
  <c r="M63" i="13"/>
  <c r="L63" i="13"/>
  <c r="J63" i="13"/>
  <c r="H63" i="13"/>
  <c r="F63" i="13"/>
  <c r="Q63" i="13"/>
  <c r="R62" i="13"/>
  <c r="N62" i="13"/>
  <c r="V62" i="13"/>
  <c r="M62" i="13"/>
  <c r="L62" i="13"/>
  <c r="J62" i="13"/>
  <c r="H62" i="13"/>
  <c r="F62" i="13"/>
  <c r="N61" i="13"/>
  <c r="R61" i="13"/>
  <c r="M61" i="13"/>
  <c r="Q61" i="13"/>
  <c r="L61" i="13"/>
  <c r="J61" i="13"/>
  <c r="H61" i="13"/>
  <c r="F61" i="13"/>
  <c r="R60" i="13"/>
  <c r="N60" i="13"/>
  <c r="V60" i="13"/>
  <c r="M60" i="13"/>
  <c r="L60" i="13"/>
  <c r="K60" i="13"/>
  <c r="J60" i="13"/>
  <c r="H60" i="13"/>
  <c r="F60" i="13"/>
  <c r="R59" i="13"/>
  <c r="N59" i="13"/>
  <c r="V59" i="13"/>
  <c r="M59" i="13"/>
  <c r="L59" i="13"/>
  <c r="J59" i="13"/>
  <c r="H59" i="13"/>
  <c r="F59" i="13"/>
  <c r="Q59" i="13"/>
  <c r="R58" i="13"/>
  <c r="N58" i="13"/>
  <c r="V58" i="13"/>
  <c r="M58" i="13"/>
  <c r="L58" i="13"/>
  <c r="K58" i="13"/>
  <c r="J58" i="13"/>
  <c r="H58" i="13"/>
  <c r="F58" i="13"/>
  <c r="Q58" i="13"/>
  <c r="R57" i="13"/>
  <c r="N57" i="13"/>
  <c r="V57" i="13"/>
  <c r="M57" i="13"/>
  <c r="L57" i="13"/>
  <c r="J57" i="13"/>
  <c r="H57" i="13"/>
  <c r="F57" i="13"/>
  <c r="Q57" i="13"/>
  <c r="R56" i="13"/>
  <c r="N56" i="13"/>
  <c r="V56" i="13"/>
  <c r="M56" i="13"/>
  <c r="L56" i="13"/>
  <c r="J56" i="13"/>
  <c r="H56" i="13"/>
  <c r="F56" i="13"/>
  <c r="R55" i="13"/>
  <c r="N55" i="13"/>
  <c r="V55" i="13"/>
  <c r="M55" i="13"/>
  <c r="L55" i="13"/>
  <c r="K55" i="13"/>
  <c r="J55" i="13"/>
  <c r="H55" i="13"/>
  <c r="F55" i="13"/>
  <c r="Q55" i="13"/>
  <c r="R54" i="13"/>
  <c r="N54" i="13"/>
  <c r="V54" i="13"/>
  <c r="M54" i="13"/>
  <c r="L54" i="13"/>
  <c r="K54" i="13"/>
  <c r="J54" i="13"/>
  <c r="H54" i="13"/>
  <c r="F54" i="13"/>
  <c r="R53" i="13"/>
  <c r="R64" i="13"/>
  <c r="N53" i="13"/>
  <c r="V53" i="13"/>
  <c r="M53" i="13"/>
  <c r="L53" i="13"/>
  <c r="J53" i="13"/>
  <c r="H53" i="13"/>
  <c r="F53" i="13"/>
  <c r="Q53" i="13"/>
  <c r="R46" i="13"/>
  <c r="N46" i="13"/>
  <c r="V46" i="13"/>
  <c r="M46" i="13"/>
  <c r="L46" i="13"/>
  <c r="J46" i="13"/>
  <c r="H46" i="13"/>
  <c r="F46" i="13"/>
  <c r="Q46" i="13"/>
  <c r="R45" i="13"/>
  <c r="N45" i="13"/>
  <c r="V45" i="13"/>
  <c r="M45" i="13"/>
  <c r="L45" i="13"/>
  <c r="K45" i="13"/>
  <c r="J45" i="13"/>
  <c r="H45" i="13"/>
  <c r="F45" i="13"/>
  <c r="Q45" i="13"/>
  <c r="U45" i="13"/>
  <c r="R44" i="13"/>
  <c r="N44" i="13"/>
  <c r="V44" i="13"/>
  <c r="M44" i="13"/>
  <c r="L44" i="13"/>
  <c r="K44" i="13"/>
  <c r="J44" i="13"/>
  <c r="H44" i="13"/>
  <c r="F44" i="13"/>
  <c r="Q44" i="13"/>
  <c r="U44" i="13"/>
  <c r="R43" i="13"/>
  <c r="N43" i="13"/>
  <c r="V43" i="13"/>
  <c r="M43" i="13"/>
  <c r="L43" i="13"/>
  <c r="J43" i="13"/>
  <c r="H43" i="13"/>
  <c r="F43" i="13"/>
  <c r="Q43" i="13"/>
  <c r="N42" i="13"/>
  <c r="R42" i="13"/>
  <c r="M42" i="13"/>
  <c r="L42" i="13"/>
  <c r="J42" i="13"/>
  <c r="H42" i="13"/>
  <c r="F42" i="13"/>
  <c r="R41" i="13"/>
  <c r="N41" i="13"/>
  <c r="V41" i="13"/>
  <c r="M41" i="13"/>
  <c r="L41" i="13"/>
  <c r="J41" i="13"/>
  <c r="H41" i="13"/>
  <c r="F41" i="13"/>
  <c r="Q41" i="13"/>
  <c r="U41" i="13"/>
  <c r="R40" i="13"/>
  <c r="N40" i="13"/>
  <c r="V40" i="13"/>
  <c r="M40" i="13"/>
  <c r="L40" i="13"/>
  <c r="K40" i="13"/>
  <c r="J40" i="13"/>
  <c r="H40" i="13"/>
  <c r="F40" i="13"/>
  <c r="Q40" i="13"/>
  <c r="R39" i="13"/>
  <c r="N39" i="13"/>
  <c r="V39" i="13"/>
  <c r="M39" i="13"/>
  <c r="L39" i="13"/>
  <c r="J39" i="13"/>
  <c r="H39" i="13"/>
  <c r="F39" i="13"/>
  <c r="Q39" i="13"/>
  <c r="R38" i="13"/>
  <c r="N38" i="13"/>
  <c r="V38" i="13"/>
  <c r="M38" i="13"/>
  <c r="L38" i="13"/>
  <c r="K38" i="13"/>
  <c r="J38" i="13"/>
  <c r="H38" i="13"/>
  <c r="F38" i="13"/>
  <c r="Q38" i="13"/>
  <c r="R37" i="13"/>
  <c r="N37" i="13"/>
  <c r="V37" i="13"/>
  <c r="M37" i="13"/>
  <c r="L37" i="13"/>
  <c r="J37" i="13"/>
  <c r="H37" i="13"/>
  <c r="F37" i="13"/>
  <c r="Q37" i="13"/>
  <c r="R36" i="13"/>
  <c r="N36" i="13"/>
  <c r="V36" i="13"/>
  <c r="M36" i="13"/>
  <c r="L36" i="13"/>
  <c r="J36" i="13"/>
  <c r="H36" i="13"/>
  <c r="F36" i="13"/>
  <c r="N35" i="13"/>
  <c r="R35" i="13"/>
  <c r="M35" i="13"/>
  <c r="Q35" i="13"/>
  <c r="L35" i="13"/>
  <c r="K35" i="13"/>
  <c r="J35" i="13"/>
  <c r="H35" i="13"/>
  <c r="F35" i="13"/>
  <c r="R34" i="13"/>
  <c r="N34" i="13"/>
  <c r="V34" i="13"/>
  <c r="M34" i="13"/>
  <c r="L34" i="13"/>
  <c r="K34" i="13"/>
  <c r="J34" i="13"/>
  <c r="H34" i="13"/>
  <c r="F34" i="13"/>
  <c r="Q34" i="13"/>
  <c r="R33" i="13"/>
  <c r="N33" i="13"/>
  <c r="V33" i="13"/>
  <c r="M33" i="13"/>
  <c r="L33" i="13"/>
  <c r="J33" i="13"/>
  <c r="H33" i="13"/>
  <c r="F33" i="13"/>
  <c r="Q33" i="13"/>
  <c r="R32" i="13"/>
  <c r="N32" i="13"/>
  <c r="V32" i="13"/>
  <c r="M32" i="13"/>
  <c r="L32" i="13"/>
  <c r="K32" i="13"/>
  <c r="J32" i="13"/>
  <c r="H32" i="13"/>
  <c r="F32" i="13"/>
  <c r="Q32" i="13"/>
  <c r="R31" i="13"/>
  <c r="N31" i="13"/>
  <c r="V31" i="13"/>
  <c r="M31" i="13"/>
  <c r="L31" i="13"/>
  <c r="J31" i="13"/>
  <c r="H31" i="13"/>
  <c r="F31" i="13"/>
  <c r="Q31" i="13"/>
  <c r="R30" i="13"/>
  <c r="N30" i="13"/>
  <c r="V30" i="13"/>
  <c r="M30" i="13"/>
  <c r="L30" i="13"/>
  <c r="K30" i="13"/>
  <c r="J30" i="13"/>
  <c r="H30" i="13"/>
  <c r="F30" i="13"/>
  <c r="Q30" i="13"/>
  <c r="N29" i="13"/>
  <c r="R29" i="13"/>
  <c r="M29" i="13"/>
  <c r="L29" i="13"/>
  <c r="J29" i="13"/>
  <c r="H29" i="13"/>
  <c r="F29" i="13"/>
  <c r="R28" i="13"/>
  <c r="N28" i="13"/>
  <c r="V28" i="13"/>
  <c r="M28" i="13"/>
  <c r="L28" i="13"/>
  <c r="J28" i="13"/>
  <c r="H28" i="13"/>
  <c r="F28" i="13"/>
  <c r="R27" i="13"/>
  <c r="N27" i="13"/>
  <c r="V27" i="13"/>
  <c r="M27" i="13"/>
  <c r="L27" i="13"/>
  <c r="J27" i="13"/>
  <c r="H27" i="13"/>
  <c r="F27" i="13"/>
  <c r="Q27" i="13"/>
  <c r="R26" i="13"/>
  <c r="N26" i="13"/>
  <c r="V26" i="13"/>
  <c r="M26" i="13"/>
  <c r="L26" i="13"/>
  <c r="J26" i="13"/>
  <c r="H26" i="13"/>
  <c r="F26" i="13"/>
  <c r="R25" i="13"/>
  <c r="N25" i="13"/>
  <c r="M25" i="13"/>
  <c r="L25" i="13"/>
  <c r="J25" i="13"/>
  <c r="H25" i="13"/>
  <c r="F25" i="13"/>
  <c r="Q25" i="13"/>
  <c r="R24" i="13"/>
  <c r="N24" i="13"/>
  <c r="V24" i="13"/>
  <c r="M24" i="13"/>
  <c r="L24" i="13"/>
  <c r="K24" i="13"/>
  <c r="J24" i="13"/>
  <c r="H24" i="13"/>
  <c r="F24" i="13"/>
  <c r="Q24" i="13"/>
  <c r="R23" i="13"/>
  <c r="N23" i="13"/>
  <c r="V23" i="13"/>
  <c r="M23" i="13"/>
  <c r="L23" i="13"/>
  <c r="J23" i="13"/>
  <c r="H23" i="13"/>
  <c r="F23" i="13"/>
  <c r="Q23" i="13"/>
  <c r="R22" i="13"/>
  <c r="N22" i="13"/>
  <c r="V22" i="13"/>
  <c r="M22" i="13"/>
  <c r="Q22" i="13"/>
  <c r="L22" i="13"/>
  <c r="K22" i="13"/>
  <c r="J22" i="13"/>
  <c r="H22" i="13"/>
  <c r="F22" i="13"/>
  <c r="R21" i="13"/>
  <c r="N21" i="13"/>
  <c r="M21" i="13"/>
  <c r="Q21" i="13"/>
  <c r="L21" i="13"/>
  <c r="J21" i="13"/>
  <c r="H21" i="13"/>
  <c r="F21" i="13"/>
  <c r="M254" i="12"/>
  <c r="B14" i="42"/>
  <c r="M250" i="12"/>
  <c r="B10" i="42"/>
  <c r="M248" i="12"/>
  <c r="B8" i="42"/>
  <c r="M246" i="12"/>
  <c r="B6" i="42"/>
  <c r="M244" i="12"/>
  <c r="B4" i="42"/>
  <c r="K217" i="12"/>
  <c r="J217" i="12"/>
  <c r="I217" i="12"/>
  <c r="F217" i="12"/>
  <c r="L216" i="12"/>
  <c r="L215" i="12"/>
  <c r="K215" i="12"/>
  <c r="K214" i="12"/>
  <c r="J215" i="12"/>
  <c r="I215" i="12"/>
  <c r="I214" i="12"/>
  <c r="H215" i="12"/>
  <c r="H214" i="12"/>
  <c r="G215" i="12"/>
  <c r="F215" i="12"/>
  <c r="E215" i="12"/>
  <c r="E214" i="12"/>
  <c r="D215" i="12"/>
  <c r="D214" i="12"/>
  <c r="C215" i="12"/>
  <c r="C214" i="12"/>
  <c r="J214" i="12"/>
  <c r="G214" i="12"/>
  <c r="F214" i="12"/>
  <c r="L213" i="12"/>
  <c r="L212" i="12"/>
  <c r="L211" i="12"/>
  <c r="L210" i="12"/>
  <c r="L209" i="12"/>
  <c r="L208" i="12"/>
  <c r="L207" i="12"/>
  <c r="L206" i="12"/>
  <c r="L205" i="12"/>
  <c r="L204" i="12"/>
  <c r="L203" i="12"/>
  <c r="K202" i="12"/>
  <c r="J202" i="12"/>
  <c r="I202" i="12"/>
  <c r="L202" i="12"/>
  <c r="H202" i="12"/>
  <c r="G202" i="12"/>
  <c r="F202" i="12"/>
  <c r="E202" i="12"/>
  <c r="D202" i="12"/>
  <c r="C202" i="12"/>
  <c r="K201" i="12"/>
  <c r="H201" i="12"/>
  <c r="G201" i="12"/>
  <c r="F201" i="12"/>
  <c r="F200" i="12"/>
  <c r="E201" i="12"/>
  <c r="E200" i="12"/>
  <c r="D201" i="12"/>
  <c r="D200" i="12"/>
  <c r="C201" i="12"/>
  <c r="K200" i="12"/>
  <c r="K240" i="12"/>
  <c r="H200" i="12"/>
  <c r="H240" i="12"/>
  <c r="C200" i="12"/>
  <c r="C240" i="12"/>
  <c r="L197" i="12"/>
  <c r="L196" i="12"/>
  <c r="K196" i="12"/>
  <c r="K195" i="12"/>
  <c r="J196" i="12"/>
  <c r="I196" i="12"/>
  <c r="I195" i="12"/>
  <c r="H196" i="12"/>
  <c r="H195" i="12"/>
  <c r="G196" i="12"/>
  <c r="F196" i="12"/>
  <c r="E196" i="12"/>
  <c r="E195" i="12"/>
  <c r="D196" i="12"/>
  <c r="D195" i="12"/>
  <c r="C196" i="12"/>
  <c r="C195" i="12"/>
  <c r="G195" i="12"/>
  <c r="F195" i="12"/>
  <c r="L194" i="12"/>
  <c r="L193" i="12"/>
  <c r="K193" i="12"/>
  <c r="J193" i="12"/>
  <c r="J192" i="12"/>
  <c r="I193" i="12"/>
  <c r="I192" i="12"/>
  <c r="H193" i="12"/>
  <c r="H192" i="12"/>
  <c r="G193" i="12"/>
  <c r="F193" i="12"/>
  <c r="F192" i="12"/>
  <c r="E193" i="12"/>
  <c r="E192" i="12"/>
  <c r="D193" i="12"/>
  <c r="C193" i="12"/>
  <c r="K192" i="12"/>
  <c r="G192" i="12"/>
  <c r="D192" i="12"/>
  <c r="C192" i="12"/>
  <c r="L191" i="12"/>
  <c r="K191" i="12"/>
  <c r="J191" i="12"/>
  <c r="I191" i="12"/>
  <c r="H191" i="12"/>
  <c r="G191" i="12"/>
  <c r="F191" i="12"/>
  <c r="E191" i="12"/>
  <c r="D191" i="12"/>
  <c r="C191" i="12"/>
  <c r="L190" i="12"/>
  <c r="K190" i="12"/>
  <c r="K189" i="12"/>
  <c r="J190" i="12"/>
  <c r="I190" i="12"/>
  <c r="H190" i="12"/>
  <c r="H189" i="12"/>
  <c r="G190" i="12"/>
  <c r="G189" i="12"/>
  <c r="F190" i="12"/>
  <c r="F189" i="12"/>
  <c r="E190" i="12"/>
  <c r="D190" i="12"/>
  <c r="D189" i="12"/>
  <c r="C190" i="12"/>
  <c r="C189" i="12"/>
  <c r="J189" i="12"/>
  <c r="E189" i="12"/>
  <c r="K188" i="12"/>
  <c r="J188" i="12"/>
  <c r="I188" i="12"/>
  <c r="L188" i="12"/>
  <c r="H188" i="12"/>
  <c r="G188" i="12"/>
  <c r="F188" i="12"/>
  <c r="E188" i="12"/>
  <c r="D188" i="12"/>
  <c r="C188" i="12"/>
  <c r="K187" i="12"/>
  <c r="J187" i="12"/>
  <c r="J186" i="12"/>
  <c r="I187" i="12"/>
  <c r="I186" i="12"/>
  <c r="H187" i="12"/>
  <c r="G187" i="12"/>
  <c r="F187" i="12"/>
  <c r="F186" i="12"/>
  <c r="E187" i="12"/>
  <c r="E186" i="12"/>
  <c r="D187" i="12"/>
  <c r="D186" i="12"/>
  <c r="C187" i="12"/>
  <c r="K186" i="12"/>
  <c r="H186" i="12"/>
  <c r="C186" i="12"/>
  <c r="L185" i="12"/>
  <c r="L184" i="12"/>
  <c r="K184" i="12"/>
  <c r="K183" i="12"/>
  <c r="J184" i="12"/>
  <c r="J183" i="12"/>
  <c r="I184" i="12"/>
  <c r="I183" i="12"/>
  <c r="L183" i="12"/>
  <c r="H184" i="12"/>
  <c r="G184" i="12"/>
  <c r="G183" i="12"/>
  <c r="F184" i="12"/>
  <c r="F183" i="12"/>
  <c r="E184" i="12"/>
  <c r="D184" i="12"/>
  <c r="C184" i="12"/>
  <c r="C183" i="12"/>
  <c r="H183" i="12"/>
  <c r="E183" i="12"/>
  <c r="D183" i="12"/>
  <c r="L182" i="12"/>
  <c r="K182" i="12"/>
  <c r="J182" i="12"/>
  <c r="I182" i="12"/>
  <c r="H182" i="12"/>
  <c r="G182" i="12"/>
  <c r="F182" i="12"/>
  <c r="E182" i="12"/>
  <c r="D182" i="12"/>
  <c r="C182" i="12"/>
  <c r="L181" i="12"/>
  <c r="K181" i="12"/>
  <c r="J181" i="12"/>
  <c r="I181" i="12"/>
  <c r="I180" i="12"/>
  <c r="H181" i="12"/>
  <c r="H180" i="12"/>
  <c r="G181" i="12"/>
  <c r="G180" i="12"/>
  <c r="F181" i="12"/>
  <c r="E181" i="12"/>
  <c r="E180" i="12"/>
  <c r="D181" i="12"/>
  <c r="D180" i="12"/>
  <c r="C181" i="12"/>
  <c r="K180" i="12"/>
  <c r="F180" i="12"/>
  <c r="C180" i="12"/>
  <c r="K179" i="12"/>
  <c r="J179" i="12"/>
  <c r="I179" i="12"/>
  <c r="L179" i="12"/>
  <c r="G179" i="12"/>
  <c r="F179" i="12"/>
  <c r="E179" i="12"/>
  <c r="D179" i="12"/>
  <c r="C179" i="12"/>
  <c r="K178" i="12"/>
  <c r="K177" i="12"/>
  <c r="J178" i="12"/>
  <c r="J177" i="12"/>
  <c r="I178" i="12"/>
  <c r="H178" i="12"/>
  <c r="G178" i="12"/>
  <c r="G177" i="12"/>
  <c r="F178" i="12"/>
  <c r="F177" i="12"/>
  <c r="E178" i="12"/>
  <c r="E177" i="12"/>
  <c r="D178" i="12"/>
  <c r="C178" i="12"/>
  <c r="C177" i="12"/>
  <c r="I177" i="12"/>
  <c r="D177" i="12"/>
  <c r="K176" i="12"/>
  <c r="K174" i="12"/>
  <c r="J176" i="12"/>
  <c r="I176" i="12"/>
  <c r="L176" i="12"/>
  <c r="H176" i="12"/>
  <c r="G176" i="12"/>
  <c r="F176" i="12"/>
  <c r="E176" i="12"/>
  <c r="D176" i="12"/>
  <c r="C176" i="12"/>
  <c r="J175" i="12"/>
  <c r="J174" i="12"/>
  <c r="I175" i="12"/>
  <c r="L175" i="12"/>
  <c r="H175" i="12"/>
  <c r="H174" i="12"/>
  <c r="G175" i="12"/>
  <c r="G174" i="12"/>
  <c r="F175" i="12"/>
  <c r="E175" i="12"/>
  <c r="D175" i="12"/>
  <c r="D174" i="12"/>
  <c r="C175" i="12"/>
  <c r="C174" i="12"/>
  <c r="I174" i="12"/>
  <c r="L174" i="12"/>
  <c r="E174" i="12"/>
  <c r="L173" i="12"/>
  <c r="L172" i="12"/>
  <c r="K172" i="12"/>
  <c r="J172" i="12"/>
  <c r="I172" i="12"/>
  <c r="I171" i="12"/>
  <c r="H172" i="12"/>
  <c r="H171" i="12"/>
  <c r="G172" i="12"/>
  <c r="G171" i="12"/>
  <c r="F172" i="12"/>
  <c r="E172" i="12"/>
  <c r="E171" i="12"/>
  <c r="D172" i="12"/>
  <c r="D171" i="12"/>
  <c r="C172" i="12"/>
  <c r="K171" i="12"/>
  <c r="J171" i="12"/>
  <c r="F171" i="12"/>
  <c r="C171" i="12"/>
  <c r="L170" i="12"/>
  <c r="L169" i="12"/>
  <c r="K168" i="12"/>
  <c r="J168" i="12"/>
  <c r="I168" i="12"/>
  <c r="H168" i="12"/>
  <c r="G168" i="12"/>
  <c r="F168" i="12"/>
  <c r="E168" i="12"/>
  <c r="D168" i="12"/>
  <c r="C168" i="12"/>
  <c r="L167" i="12"/>
  <c r="L166" i="12"/>
  <c r="K165" i="12"/>
  <c r="J165" i="12"/>
  <c r="I165" i="12"/>
  <c r="L165" i="12"/>
  <c r="H165" i="12"/>
  <c r="G165" i="12"/>
  <c r="F165" i="12"/>
  <c r="E165" i="12"/>
  <c r="D165" i="12"/>
  <c r="C165" i="12"/>
  <c r="K164" i="12"/>
  <c r="K237" i="12"/>
  <c r="G164" i="12"/>
  <c r="G237" i="12"/>
  <c r="F164" i="12"/>
  <c r="E164" i="12"/>
  <c r="E237" i="12"/>
  <c r="D164" i="12"/>
  <c r="D237" i="12"/>
  <c r="C164" i="12"/>
  <c r="C237" i="12"/>
  <c r="K163" i="12"/>
  <c r="G163" i="12"/>
  <c r="G162" i="12"/>
  <c r="F163" i="12"/>
  <c r="F162" i="12"/>
  <c r="E163" i="12"/>
  <c r="E236" i="12"/>
  <c r="D163" i="12"/>
  <c r="D236" i="12"/>
  <c r="D235" i="12"/>
  <c r="C163" i="12"/>
  <c r="D162" i="12"/>
  <c r="L158" i="12"/>
  <c r="K157" i="12"/>
  <c r="J157" i="12"/>
  <c r="J155" i="12"/>
  <c r="J232" i="12"/>
  <c r="I157" i="12"/>
  <c r="L157" i="12"/>
  <c r="G157" i="12"/>
  <c r="G155" i="12"/>
  <c r="G232" i="12"/>
  <c r="F157" i="12"/>
  <c r="F155" i="12"/>
  <c r="F232" i="12"/>
  <c r="E157" i="12"/>
  <c r="E155" i="12"/>
  <c r="E232" i="12"/>
  <c r="D157" i="12"/>
  <c r="C157" i="12"/>
  <c r="L156" i="12"/>
  <c r="K155" i="12"/>
  <c r="K232" i="12"/>
  <c r="D155" i="12"/>
  <c r="D232" i="12"/>
  <c r="C155" i="12"/>
  <c r="C232" i="12"/>
  <c r="K154" i="12"/>
  <c r="J154" i="12"/>
  <c r="I154" i="12"/>
  <c r="H154" i="12"/>
  <c r="G154" i="12"/>
  <c r="F154" i="12"/>
  <c r="E154" i="12"/>
  <c r="D154" i="12"/>
  <c r="C154" i="12"/>
  <c r="L153" i="12"/>
  <c r="K153" i="12"/>
  <c r="J153" i="12"/>
  <c r="I153" i="12"/>
  <c r="I151" i="12"/>
  <c r="H153" i="12"/>
  <c r="H151" i="12"/>
  <c r="H231" i="12"/>
  <c r="G153" i="12"/>
  <c r="F153" i="12"/>
  <c r="F151" i="12"/>
  <c r="F231" i="12"/>
  <c r="F229" i="12"/>
  <c r="E153" i="12"/>
  <c r="E151" i="12"/>
  <c r="E231" i="12"/>
  <c r="D153" i="12"/>
  <c r="D151" i="12"/>
  <c r="D231" i="12"/>
  <c r="C153" i="12"/>
  <c r="L152" i="12"/>
  <c r="K151" i="12"/>
  <c r="K231" i="12"/>
  <c r="G151" i="12"/>
  <c r="G231" i="12"/>
  <c r="C151" i="12"/>
  <c r="C231" i="12"/>
  <c r="K150" i="12"/>
  <c r="H150" i="12"/>
  <c r="G150" i="12"/>
  <c r="F150" i="12"/>
  <c r="E150" i="12"/>
  <c r="D150" i="12"/>
  <c r="C150" i="12"/>
  <c r="K149" i="12"/>
  <c r="J149" i="12"/>
  <c r="I149" i="12"/>
  <c r="G149" i="12"/>
  <c r="F149" i="12"/>
  <c r="E149" i="12"/>
  <c r="D149" i="12"/>
  <c r="C149" i="12"/>
  <c r="K148" i="12"/>
  <c r="H148" i="12"/>
  <c r="G148" i="12"/>
  <c r="G145" i="12"/>
  <c r="F148" i="12"/>
  <c r="E148" i="12"/>
  <c r="E145" i="12"/>
  <c r="D148" i="12"/>
  <c r="C148" i="12"/>
  <c r="L147" i="12"/>
  <c r="L146" i="12"/>
  <c r="F145" i="12"/>
  <c r="F144" i="12"/>
  <c r="D145" i="12"/>
  <c r="D230" i="12"/>
  <c r="K143" i="12"/>
  <c r="J143" i="12"/>
  <c r="I143" i="12"/>
  <c r="L143" i="12"/>
  <c r="H143" i="12"/>
  <c r="G143" i="12"/>
  <c r="F143" i="12"/>
  <c r="E143" i="12"/>
  <c r="D143" i="12"/>
  <c r="C143" i="12"/>
  <c r="K142" i="12"/>
  <c r="J142" i="12"/>
  <c r="I142" i="12"/>
  <c r="L142" i="12"/>
  <c r="H142" i="12"/>
  <c r="G142" i="12"/>
  <c r="F142" i="12"/>
  <c r="E142" i="12"/>
  <c r="D142" i="12"/>
  <c r="C142" i="12"/>
  <c r="L141" i="12"/>
  <c r="K141" i="12"/>
  <c r="J141" i="12"/>
  <c r="I141" i="12"/>
  <c r="H141" i="12"/>
  <c r="G141" i="12"/>
  <c r="F141" i="12"/>
  <c r="E141" i="12"/>
  <c r="D141" i="12"/>
  <c r="C141" i="12"/>
  <c r="K140" i="12"/>
  <c r="J140" i="12"/>
  <c r="I140" i="12"/>
  <c r="H140" i="12"/>
  <c r="G140" i="12"/>
  <c r="F140" i="12"/>
  <c r="E140" i="12"/>
  <c r="D140" i="12"/>
  <c r="C140" i="12"/>
  <c r="L139" i="12"/>
  <c r="K139" i="12"/>
  <c r="J139" i="12"/>
  <c r="I139" i="12"/>
  <c r="H139" i="12"/>
  <c r="G139" i="12"/>
  <c r="F139" i="12"/>
  <c r="E139" i="12"/>
  <c r="D139" i="12"/>
  <c r="C139" i="12"/>
  <c r="K138" i="12"/>
  <c r="J138" i="12"/>
  <c r="I138" i="12"/>
  <c r="L138" i="12"/>
  <c r="H138" i="12"/>
  <c r="G138" i="12"/>
  <c r="F138" i="12"/>
  <c r="E138" i="12"/>
  <c r="D138" i="12"/>
  <c r="C138" i="12"/>
  <c r="K137" i="12"/>
  <c r="J137" i="12"/>
  <c r="I137" i="12"/>
  <c r="L137" i="12"/>
  <c r="H137" i="12"/>
  <c r="G137" i="12"/>
  <c r="F137" i="12"/>
  <c r="E137" i="12"/>
  <c r="D137" i="12"/>
  <c r="C137" i="12"/>
  <c r="K136" i="12"/>
  <c r="J136" i="12"/>
  <c r="I136" i="12"/>
  <c r="H136" i="12"/>
  <c r="G136" i="12"/>
  <c r="F136" i="12"/>
  <c r="E136" i="12"/>
  <c r="D136" i="12"/>
  <c r="C136" i="12"/>
  <c r="L135" i="12"/>
  <c r="J135" i="12"/>
  <c r="I135" i="12"/>
  <c r="H135" i="12"/>
  <c r="G135" i="12"/>
  <c r="F135" i="12"/>
  <c r="E135" i="12"/>
  <c r="D135" i="12"/>
  <c r="C135" i="12"/>
  <c r="K134" i="12"/>
  <c r="J134" i="12"/>
  <c r="I134" i="12"/>
  <c r="L134" i="12"/>
  <c r="H134" i="12"/>
  <c r="G134" i="12"/>
  <c r="F134" i="12"/>
  <c r="E134" i="12"/>
  <c r="D134" i="12"/>
  <c r="C134" i="12"/>
  <c r="K133" i="12"/>
  <c r="J133" i="12"/>
  <c r="I133" i="12"/>
  <c r="H133" i="12"/>
  <c r="G133" i="12"/>
  <c r="F133" i="12"/>
  <c r="E133" i="12"/>
  <c r="D133" i="12"/>
  <c r="C133" i="12"/>
  <c r="K132" i="12"/>
  <c r="I132" i="12"/>
  <c r="H132" i="12"/>
  <c r="H131" i="12"/>
  <c r="H228" i="12"/>
  <c r="G132" i="12"/>
  <c r="G131" i="12"/>
  <c r="G228" i="12"/>
  <c r="F132" i="12"/>
  <c r="F131" i="12"/>
  <c r="F228" i="12"/>
  <c r="E132" i="12"/>
  <c r="D132" i="12"/>
  <c r="D131" i="12"/>
  <c r="D228" i="12"/>
  <c r="C132" i="12"/>
  <c r="C131" i="12"/>
  <c r="C228" i="12"/>
  <c r="E131" i="12"/>
  <c r="E228" i="12"/>
  <c r="L130" i="12"/>
  <c r="K129" i="12"/>
  <c r="K128" i="12"/>
  <c r="H129" i="12"/>
  <c r="H128" i="12"/>
  <c r="G129" i="12"/>
  <c r="F129" i="12"/>
  <c r="E129" i="12"/>
  <c r="E128" i="12"/>
  <c r="D129" i="12"/>
  <c r="D128" i="12"/>
  <c r="C129" i="12"/>
  <c r="C128" i="12"/>
  <c r="G128" i="12"/>
  <c r="F128" i="12"/>
  <c r="L127" i="12"/>
  <c r="K126" i="12"/>
  <c r="I126" i="12"/>
  <c r="G126" i="12"/>
  <c r="G125" i="12"/>
  <c r="F126" i="12"/>
  <c r="E126" i="12"/>
  <c r="E125" i="12"/>
  <c r="D126" i="12"/>
  <c r="C126" i="12"/>
  <c r="F125" i="12"/>
  <c r="D125" i="12"/>
  <c r="C125" i="12"/>
  <c r="L124" i="12"/>
  <c r="K123" i="12"/>
  <c r="H123" i="12"/>
  <c r="G123" i="12"/>
  <c r="F123" i="12"/>
  <c r="F122" i="12"/>
  <c r="E123" i="12"/>
  <c r="E122" i="12"/>
  <c r="D123" i="12"/>
  <c r="D122" i="12"/>
  <c r="C123" i="12"/>
  <c r="K122" i="12"/>
  <c r="H122" i="12"/>
  <c r="G122" i="12"/>
  <c r="C122" i="12"/>
  <c r="J121" i="12"/>
  <c r="L121" i="12"/>
  <c r="J120" i="12"/>
  <c r="L120" i="12"/>
  <c r="J119" i="12"/>
  <c r="L119" i="12"/>
  <c r="L118" i="12"/>
  <c r="K118" i="12"/>
  <c r="H118" i="12"/>
  <c r="G118" i="12"/>
  <c r="F118" i="12"/>
  <c r="E118" i="12"/>
  <c r="D118" i="12"/>
  <c r="C118" i="12"/>
  <c r="L117" i="12"/>
  <c r="K117" i="12"/>
  <c r="J117" i="12"/>
  <c r="H117" i="12"/>
  <c r="H116" i="12"/>
  <c r="G117" i="12"/>
  <c r="F117" i="12"/>
  <c r="F116" i="12"/>
  <c r="E117" i="12"/>
  <c r="E116" i="12"/>
  <c r="D117" i="12"/>
  <c r="C117" i="12"/>
  <c r="G116" i="12"/>
  <c r="D116" i="12"/>
  <c r="K115" i="12"/>
  <c r="J115" i="12"/>
  <c r="I115" i="12"/>
  <c r="L115" i="12"/>
  <c r="G115" i="12"/>
  <c r="F115" i="12"/>
  <c r="E115" i="12"/>
  <c r="D115" i="12"/>
  <c r="C115" i="12"/>
  <c r="K114" i="12"/>
  <c r="K113" i="12"/>
  <c r="G114" i="12"/>
  <c r="G113" i="12"/>
  <c r="F114" i="12"/>
  <c r="F113" i="12"/>
  <c r="E114" i="12"/>
  <c r="D114" i="12"/>
  <c r="D113" i="12"/>
  <c r="C114" i="12"/>
  <c r="C113" i="12"/>
  <c r="E113" i="12"/>
  <c r="K112" i="12"/>
  <c r="J112" i="12"/>
  <c r="I112" i="12"/>
  <c r="L112" i="12"/>
  <c r="H112" i="12"/>
  <c r="G112" i="12"/>
  <c r="F112" i="12"/>
  <c r="E112" i="12"/>
  <c r="D112" i="12"/>
  <c r="C112" i="12"/>
  <c r="K111" i="12"/>
  <c r="G111" i="12"/>
  <c r="F111" i="12"/>
  <c r="F110" i="12"/>
  <c r="E111" i="12"/>
  <c r="E110" i="12"/>
  <c r="D111" i="12"/>
  <c r="D110" i="12"/>
  <c r="C111" i="12"/>
  <c r="K110" i="12"/>
  <c r="C110" i="12"/>
  <c r="L109" i="12"/>
  <c r="K108" i="12"/>
  <c r="K107" i="12"/>
  <c r="I108" i="12"/>
  <c r="G108" i="12"/>
  <c r="G107" i="12"/>
  <c r="F108" i="12"/>
  <c r="F107" i="12"/>
  <c r="E108" i="12"/>
  <c r="D108" i="12"/>
  <c r="C108" i="12"/>
  <c r="C107" i="12"/>
  <c r="E107" i="12"/>
  <c r="D107" i="12"/>
  <c r="G106" i="12"/>
  <c r="F106" i="12"/>
  <c r="E106" i="12"/>
  <c r="D106" i="12"/>
  <c r="C106" i="12"/>
  <c r="G105" i="12"/>
  <c r="G104" i="12"/>
  <c r="F105" i="12"/>
  <c r="E105" i="12"/>
  <c r="E104" i="12"/>
  <c r="D105" i="12"/>
  <c r="D104" i="12"/>
  <c r="C105" i="12"/>
  <c r="F104" i="12"/>
  <c r="C104" i="12"/>
  <c r="K103" i="12"/>
  <c r="G103" i="12"/>
  <c r="F103" i="12"/>
  <c r="E103" i="12"/>
  <c r="D103" i="12"/>
  <c r="C103" i="12"/>
  <c r="K102" i="12"/>
  <c r="K101" i="12"/>
  <c r="H102" i="12"/>
  <c r="G102" i="12"/>
  <c r="G101" i="12"/>
  <c r="F102" i="12"/>
  <c r="F101" i="12"/>
  <c r="E102" i="12"/>
  <c r="E101" i="12"/>
  <c r="D102" i="12"/>
  <c r="C102" i="12"/>
  <c r="C101" i="12"/>
  <c r="D101" i="12"/>
  <c r="L100" i="12"/>
  <c r="G99" i="12"/>
  <c r="G98" i="12"/>
  <c r="F99" i="12"/>
  <c r="E99" i="12"/>
  <c r="D99" i="12"/>
  <c r="D98" i="12"/>
  <c r="C99" i="12"/>
  <c r="C98" i="12"/>
  <c r="F98" i="12"/>
  <c r="E98" i="12"/>
  <c r="K97" i="12"/>
  <c r="H97" i="12"/>
  <c r="G97" i="12"/>
  <c r="G227" i="12"/>
  <c r="F97" i="12"/>
  <c r="E97" i="12"/>
  <c r="E227" i="12"/>
  <c r="D97" i="12"/>
  <c r="C97" i="12"/>
  <c r="C227" i="12"/>
  <c r="K96" i="12"/>
  <c r="H96" i="12"/>
  <c r="F96" i="12"/>
  <c r="E96" i="12"/>
  <c r="E226" i="12"/>
  <c r="C96" i="12"/>
  <c r="L92" i="12"/>
  <c r="L91" i="12"/>
  <c r="K90" i="12"/>
  <c r="J90" i="12"/>
  <c r="I90" i="12"/>
  <c r="L90" i="12"/>
  <c r="H90" i="12"/>
  <c r="G90" i="12"/>
  <c r="F90" i="12"/>
  <c r="E90" i="12"/>
  <c r="D90" i="12"/>
  <c r="C90" i="12"/>
  <c r="L89" i="12"/>
  <c r="L88" i="12"/>
  <c r="K87" i="12"/>
  <c r="J87" i="12"/>
  <c r="I87" i="12"/>
  <c r="H87" i="12"/>
  <c r="G87" i="12"/>
  <c r="F87" i="12"/>
  <c r="E87" i="12"/>
  <c r="D87" i="12"/>
  <c r="C87" i="12"/>
  <c r="L86" i="12"/>
  <c r="L85" i="12"/>
  <c r="K84" i="12"/>
  <c r="J84" i="12"/>
  <c r="I84" i="12"/>
  <c r="L84" i="12"/>
  <c r="H84" i="12"/>
  <c r="G84" i="12"/>
  <c r="F84" i="12"/>
  <c r="E84" i="12"/>
  <c r="D84" i="12"/>
  <c r="C84" i="12"/>
  <c r="L83" i="12"/>
  <c r="L82" i="12"/>
  <c r="K81" i="12"/>
  <c r="J81" i="12"/>
  <c r="I81" i="12"/>
  <c r="H81" i="12"/>
  <c r="G81" i="12"/>
  <c r="F81" i="12"/>
  <c r="E81" i="12"/>
  <c r="D81" i="12"/>
  <c r="C81" i="12"/>
  <c r="L80" i="12"/>
  <c r="L79" i="12"/>
  <c r="K79" i="12"/>
  <c r="K78" i="12"/>
  <c r="J79" i="12"/>
  <c r="J78" i="12"/>
  <c r="I79" i="12"/>
  <c r="I78" i="12"/>
  <c r="L78" i="12"/>
  <c r="H79" i="12"/>
  <c r="G79" i="12"/>
  <c r="G78" i="12"/>
  <c r="F79" i="12"/>
  <c r="F78" i="12"/>
  <c r="E79" i="12"/>
  <c r="D79" i="12"/>
  <c r="C79" i="12"/>
  <c r="C78" i="12"/>
  <c r="H78" i="12"/>
  <c r="E78" i="12"/>
  <c r="D78" i="12"/>
  <c r="L77" i="12"/>
  <c r="K76" i="12"/>
  <c r="K75" i="12"/>
  <c r="J76" i="12"/>
  <c r="G76" i="12"/>
  <c r="G75" i="12"/>
  <c r="F76" i="12"/>
  <c r="F75" i="12"/>
  <c r="E76" i="12"/>
  <c r="D76" i="12"/>
  <c r="D75" i="12"/>
  <c r="C76" i="12"/>
  <c r="C75" i="12"/>
  <c r="J75" i="12"/>
  <c r="E75" i="12"/>
  <c r="L74" i="12"/>
  <c r="L73" i="12"/>
  <c r="L72" i="12"/>
  <c r="L71" i="12"/>
  <c r="K70" i="12"/>
  <c r="K69" i="12"/>
  <c r="K56" i="12"/>
  <c r="K223" i="12"/>
  <c r="H70" i="12"/>
  <c r="H69" i="12"/>
  <c r="G70" i="12"/>
  <c r="G69" i="12"/>
  <c r="F70" i="12"/>
  <c r="F69" i="12"/>
  <c r="E70" i="12"/>
  <c r="D70" i="12"/>
  <c r="D69" i="12"/>
  <c r="C70" i="12"/>
  <c r="C69" i="12"/>
  <c r="E69" i="12"/>
  <c r="E56" i="12"/>
  <c r="E223" i="12"/>
  <c r="L68" i="12"/>
  <c r="L67" i="12"/>
  <c r="L66" i="12"/>
  <c r="L65" i="12"/>
  <c r="L64" i="12"/>
  <c r="L63" i="12"/>
  <c r="L62" i="12"/>
  <c r="L61" i="12"/>
  <c r="L60" i="12"/>
  <c r="L59" i="12"/>
  <c r="L58" i="12"/>
  <c r="L57" i="12"/>
  <c r="K55" i="12"/>
  <c r="G55" i="12"/>
  <c r="F55" i="12"/>
  <c r="E55" i="12"/>
  <c r="D55" i="12"/>
  <c r="C55" i="12"/>
  <c r="K54" i="12"/>
  <c r="G54" i="12"/>
  <c r="G53" i="12"/>
  <c r="G253" i="12"/>
  <c r="F54" i="12"/>
  <c r="E54" i="12"/>
  <c r="D54" i="12"/>
  <c r="D53" i="12"/>
  <c r="D253" i="12"/>
  <c r="C54" i="12"/>
  <c r="C53" i="12"/>
  <c r="C253" i="12"/>
  <c r="F53" i="12"/>
  <c r="F253" i="12"/>
  <c r="K52" i="12"/>
  <c r="G52" i="12"/>
  <c r="F52" i="12"/>
  <c r="E52" i="12"/>
  <c r="D52" i="12"/>
  <c r="C52" i="12"/>
  <c r="G51" i="12"/>
  <c r="F51" i="12"/>
  <c r="E51" i="12"/>
  <c r="E50" i="12"/>
  <c r="D51" i="12"/>
  <c r="D50" i="12"/>
  <c r="D252" i="12"/>
  <c r="C51" i="12"/>
  <c r="F50" i="12"/>
  <c r="C50" i="12"/>
  <c r="C252" i="12"/>
  <c r="K49" i="12"/>
  <c r="G49" i="12"/>
  <c r="F49" i="12"/>
  <c r="E49" i="12"/>
  <c r="D49" i="12"/>
  <c r="C49" i="12"/>
  <c r="K48" i="12"/>
  <c r="K47" i="12"/>
  <c r="K251" i="12"/>
  <c r="G48" i="12"/>
  <c r="G47" i="12"/>
  <c r="G251" i="12"/>
  <c r="F48" i="12"/>
  <c r="F47" i="12"/>
  <c r="F251" i="12"/>
  <c r="E48" i="12"/>
  <c r="D48" i="12"/>
  <c r="C48" i="12"/>
  <c r="C47" i="12"/>
  <c r="C251" i="12"/>
  <c r="D47" i="12"/>
  <c r="L46" i="12"/>
  <c r="K46" i="12"/>
  <c r="I46" i="12"/>
  <c r="F46" i="12"/>
  <c r="E46" i="12"/>
  <c r="D46" i="12"/>
  <c r="C46" i="12"/>
  <c r="L45" i="12"/>
  <c r="K45" i="12"/>
  <c r="J45" i="12"/>
  <c r="I45" i="12"/>
  <c r="I44" i="12"/>
  <c r="F45" i="12"/>
  <c r="E45" i="12"/>
  <c r="E44" i="12"/>
  <c r="E250" i="12"/>
  <c r="D45" i="12"/>
  <c r="D44" i="12"/>
  <c r="C45" i="12"/>
  <c r="L43" i="12"/>
  <c r="K43" i="12"/>
  <c r="J43" i="12"/>
  <c r="G43" i="12"/>
  <c r="F43" i="12"/>
  <c r="E43" i="12"/>
  <c r="D43" i="12"/>
  <c r="C43" i="12"/>
  <c r="L42" i="12"/>
  <c r="K42" i="12"/>
  <c r="K41" i="12"/>
  <c r="J42" i="12"/>
  <c r="J41" i="12"/>
  <c r="G42" i="12"/>
  <c r="G41" i="12"/>
  <c r="F42" i="12"/>
  <c r="F41" i="12"/>
  <c r="E42" i="12"/>
  <c r="D42" i="12"/>
  <c r="C42" i="12"/>
  <c r="C41" i="12"/>
  <c r="E41" i="12"/>
  <c r="K40" i="12"/>
  <c r="G40" i="12"/>
  <c r="F40" i="12"/>
  <c r="E40" i="12"/>
  <c r="C40" i="12"/>
  <c r="K39" i="12"/>
  <c r="I39" i="12"/>
  <c r="G39" i="12"/>
  <c r="F39" i="12"/>
  <c r="E39" i="12"/>
  <c r="E38" i="12"/>
  <c r="E248" i="12"/>
  <c r="D39" i="12"/>
  <c r="C39" i="12"/>
  <c r="K38" i="12"/>
  <c r="F38" i="12"/>
  <c r="C38" i="12"/>
  <c r="K37" i="12"/>
  <c r="G37" i="12"/>
  <c r="F37" i="12"/>
  <c r="E37" i="12"/>
  <c r="D37" i="12"/>
  <c r="C37" i="12"/>
  <c r="K36" i="12"/>
  <c r="K35" i="12"/>
  <c r="K247" i="12"/>
  <c r="H36" i="12"/>
  <c r="G36" i="12"/>
  <c r="G35" i="12"/>
  <c r="F36" i="12"/>
  <c r="F35" i="12"/>
  <c r="F247" i="12"/>
  <c r="E36" i="12"/>
  <c r="D36" i="12"/>
  <c r="C36" i="12"/>
  <c r="C35" i="12"/>
  <c r="C247" i="12"/>
  <c r="D35" i="12"/>
  <c r="K34" i="12"/>
  <c r="G34" i="12"/>
  <c r="F34" i="12"/>
  <c r="E34" i="12"/>
  <c r="D34" i="12"/>
  <c r="C34" i="12"/>
  <c r="K33" i="12"/>
  <c r="H33" i="12"/>
  <c r="G33" i="12"/>
  <c r="F33" i="12"/>
  <c r="E33" i="12"/>
  <c r="E32" i="12"/>
  <c r="E246" i="12"/>
  <c r="D33" i="12"/>
  <c r="D32" i="12"/>
  <c r="D246" i="12"/>
  <c r="C33" i="12"/>
  <c r="G32" i="12"/>
  <c r="G246" i="12"/>
  <c r="K31" i="12"/>
  <c r="H31" i="12"/>
  <c r="G31" i="12"/>
  <c r="F31" i="12"/>
  <c r="E31" i="12"/>
  <c r="D31" i="12"/>
  <c r="C31" i="12"/>
  <c r="K30" i="12"/>
  <c r="K29" i="12"/>
  <c r="G30" i="12"/>
  <c r="G29" i="12"/>
  <c r="G245" i="12"/>
  <c r="F30" i="12"/>
  <c r="F29" i="12"/>
  <c r="F245" i="12"/>
  <c r="E30" i="12"/>
  <c r="D30" i="12"/>
  <c r="C30" i="12"/>
  <c r="C29" i="12"/>
  <c r="C245" i="12"/>
  <c r="E29" i="12"/>
  <c r="K28" i="12"/>
  <c r="G28" i="12"/>
  <c r="F28" i="12"/>
  <c r="E28" i="12"/>
  <c r="D28" i="12"/>
  <c r="C28" i="12"/>
  <c r="K27" i="12"/>
  <c r="G27" i="12"/>
  <c r="F27" i="12"/>
  <c r="E27" i="12"/>
  <c r="E26" i="12"/>
  <c r="E244" i="12"/>
  <c r="D27" i="12"/>
  <c r="D26" i="12"/>
  <c r="D244" i="12"/>
  <c r="C27" i="12"/>
  <c r="K26" i="12"/>
  <c r="F26" i="12"/>
  <c r="F244" i="12"/>
  <c r="C26" i="12"/>
  <c r="C244" i="12"/>
  <c r="K25" i="12"/>
  <c r="J25" i="12"/>
  <c r="I25" i="12"/>
  <c r="L25" i="12"/>
  <c r="G25" i="12"/>
  <c r="F25" i="12"/>
  <c r="E25" i="12"/>
  <c r="D25" i="12"/>
  <c r="C25" i="12"/>
  <c r="K24" i="12"/>
  <c r="J24" i="12"/>
  <c r="J23" i="12"/>
  <c r="I24" i="12"/>
  <c r="L24" i="12"/>
  <c r="G24" i="12"/>
  <c r="G23" i="12"/>
  <c r="F24" i="12"/>
  <c r="F23" i="12"/>
  <c r="F243" i="12"/>
  <c r="E24" i="12"/>
  <c r="D24" i="12"/>
  <c r="C24" i="12"/>
  <c r="K23" i="12"/>
  <c r="I23" i="12"/>
  <c r="L23" i="12"/>
  <c r="D23" i="12"/>
  <c r="D243" i="12"/>
  <c r="C23" i="12"/>
  <c r="C243" i="12"/>
  <c r="G22" i="12"/>
  <c r="F22" i="12"/>
  <c r="E22" i="12"/>
  <c r="D22" i="12"/>
  <c r="C22" i="12"/>
  <c r="C222" i="12"/>
  <c r="K21" i="12"/>
  <c r="G21" i="12"/>
  <c r="F21" i="12"/>
  <c r="F221" i="12"/>
  <c r="E21" i="12"/>
  <c r="E20" i="12"/>
  <c r="D21" i="12"/>
  <c r="D20" i="12"/>
  <c r="C21" i="12"/>
  <c r="C221" i="12"/>
  <c r="C220" i="12"/>
  <c r="G20" i="12"/>
  <c r="I87" i="11"/>
  <c r="H87" i="11"/>
  <c r="I86" i="11"/>
  <c r="H86" i="11"/>
  <c r="I85" i="11"/>
  <c r="H85" i="11"/>
  <c r="I84" i="11"/>
  <c r="H84" i="11"/>
  <c r="I83" i="11"/>
  <c r="H83" i="11"/>
  <c r="I82" i="11"/>
  <c r="H82" i="11"/>
  <c r="I81" i="11"/>
  <c r="H81" i="11"/>
  <c r="L80" i="11"/>
  <c r="K80" i="11"/>
  <c r="J80" i="11"/>
  <c r="H80" i="11"/>
  <c r="E80" i="11"/>
  <c r="C80" i="11"/>
  <c r="I79" i="11"/>
  <c r="H79" i="11"/>
  <c r="I78" i="11"/>
  <c r="H78" i="11"/>
  <c r="I77" i="11"/>
  <c r="H77" i="11"/>
  <c r="I76" i="11"/>
  <c r="H76" i="11"/>
  <c r="I75" i="11"/>
  <c r="H75" i="11"/>
  <c r="L74" i="11"/>
  <c r="K74" i="11"/>
  <c r="J74" i="11"/>
  <c r="I74" i="11"/>
  <c r="E74" i="11"/>
  <c r="C74" i="11"/>
  <c r="C73" i="11"/>
  <c r="L73" i="11"/>
  <c r="K73" i="11"/>
  <c r="J73" i="11"/>
  <c r="E73" i="11"/>
  <c r="H72" i="11"/>
  <c r="I71" i="11"/>
  <c r="H71" i="11"/>
  <c r="I70" i="11"/>
  <c r="H70" i="11"/>
  <c r="I69" i="11"/>
  <c r="H69" i="11"/>
  <c r="I68" i="11"/>
  <c r="H68" i="11"/>
  <c r="I67" i="11"/>
  <c r="H67" i="11"/>
  <c r="I66" i="11"/>
  <c r="H66" i="11"/>
  <c r="I65" i="11"/>
  <c r="H65" i="11"/>
  <c r="I64" i="11"/>
  <c r="H64" i="11"/>
  <c r="L63" i="11"/>
  <c r="K63" i="11"/>
  <c r="J63" i="11"/>
  <c r="H63" i="11"/>
  <c r="E63" i="11"/>
  <c r="C63" i="11"/>
  <c r="I62" i="11"/>
  <c r="H62" i="11"/>
  <c r="I61" i="11"/>
  <c r="H61" i="11"/>
  <c r="I60" i="11"/>
  <c r="H60" i="11"/>
  <c r="I59" i="11"/>
  <c r="H59" i="11"/>
  <c r="I58" i="11"/>
  <c r="H58" i="11"/>
  <c r="I57" i="11"/>
  <c r="H57" i="11"/>
  <c r="I56" i="11"/>
  <c r="H56" i="11"/>
  <c r="I55" i="11"/>
  <c r="H55" i="11"/>
  <c r="L54" i="11"/>
  <c r="L53" i="11"/>
  <c r="L52" i="11"/>
  <c r="K54" i="11"/>
  <c r="J54" i="11"/>
  <c r="E54" i="11"/>
  <c r="E53" i="11"/>
  <c r="E52" i="11"/>
  <c r="C54" i="11"/>
  <c r="K53" i="11"/>
  <c r="K52" i="11"/>
  <c r="J53" i="11"/>
  <c r="C53" i="11"/>
  <c r="J52" i="11"/>
  <c r="I51" i="11"/>
  <c r="I50" i="11"/>
  <c r="I49" i="11"/>
  <c r="I48" i="11"/>
  <c r="I47" i="11"/>
  <c r="L46" i="11"/>
  <c r="K46" i="11"/>
  <c r="J46" i="11"/>
  <c r="I46" i="11"/>
  <c r="H46" i="11"/>
  <c r="E46" i="11"/>
  <c r="C46" i="11"/>
  <c r="I44" i="11"/>
  <c r="J44" i="11"/>
  <c r="I43" i="11"/>
  <c r="J43" i="11"/>
  <c r="I42" i="11"/>
  <c r="J42" i="11"/>
  <c r="I41" i="11"/>
  <c r="J41" i="11"/>
  <c r="I40" i="11"/>
  <c r="J40" i="11"/>
  <c r="H40" i="11"/>
  <c r="L39" i="11"/>
  <c r="K39" i="11"/>
  <c r="I39" i="11"/>
  <c r="H39" i="11"/>
  <c r="I38" i="11"/>
  <c r="L37" i="11"/>
  <c r="K37" i="11"/>
  <c r="J37" i="11"/>
  <c r="I37" i="11"/>
  <c r="H37" i="11"/>
  <c r="I36" i="11"/>
  <c r="J36" i="11"/>
  <c r="H36" i="11"/>
  <c r="I35" i="11"/>
  <c r="J35" i="11"/>
  <c r="H35" i="11"/>
  <c r="I34" i="11"/>
  <c r="J34" i="11"/>
  <c r="H34" i="11"/>
  <c r="I33" i="11"/>
  <c r="J33" i="11"/>
  <c r="H33" i="11"/>
  <c r="I32" i="11"/>
  <c r="J32" i="11"/>
  <c r="H32" i="11"/>
  <c r="I31" i="11"/>
  <c r="J31" i="11"/>
  <c r="H31" i="11"/>
  <c r="I30" i="11"/>
  <c r="J30" i="11"/>
  <c r="H30" i="11"/>
  <c r="I29" i="11"/>
  <c r="J29" i="11"/>
  <c r="H29" i="11"/>
  <c r="I28" i="11"/>
  <c r="J28" i="11"/>
  <c r="H28" i="11"/>
  <c r="I27" i="11"/>
  <c r="J27" i="11"/>
  <c r="H27" i="11"/>
  <c r="I26" i="11"/>
  <c r="J26" i="11"/>
  <c r="H26" i="11"/>
  <c r="H25" i="11"/>
  <c r="K25" i="11"/>
  <c r="E25" i="11"/>
  <c r="C25" i="11"/>
  <c r="I24" i="11"/>
  <c r="J24" i="11"/>
  <c r="H24" i="11"/>
  <c r="I23" i="11"/>
  <c r="J23" i="11"/>
  <c r="H23" i="11"/>
  <c r="I22" i="11"/>
  <c r="J22" i="11"/>
  <c r="H22" i="11"/>
  <c r="I21" i="11"/>
  <c r="J21" i="11"/>
  <c r="H21" i="11"/>
  <c r="I20" i="11"/>
  <c r="J20" i="11"/>
  <c r="H20" i="11"/>
  <c r="I19" i="11"/>
  <c r="J19" i="11"/>
  <c r="H19" i="11"/>
  <c r="I18" i="11"/>
  <c r="J18" i="11"/>
  <c r="H18" i="11"/>
  <c r="I17" i="11"/>
  <c r="J17" i="11"/>
  <c r="H17" i="11"/>
  <c r="I16" i="11"/>
  <c r="J16" i="11"/>
  <c r="H16" i="11"/>
  <c r="I15" i="11"/>
  <c r="J15" i="11"/>
  <c r="H15" i="11"/>
  <c r="I14" i="11"/>
  <c r="J14" i="11"/>
  <c r="H14" i="11"/>
  <c r="I13" i="11"/>
  <c r="J13" i="11"/>
  <c r="H13" i="11"/>
  <c r="H12" i="11"/>
  <c r="H11" i="11"/>
  <c r="H10" i="11"/>
  <c r="L12" i="11"/>
  <c r="K12" i="11"/>
  <c r="I12" i="11"/>
  <c r="E12" i="11"/>
  <c r="C12" i="11"/>
  <c r="C11" i="11"/>
  <c r="C10" i="11"/>
  <c r="L11" i="11"/>
  <c r="E11" i="11"/>
  <c r="L10" i="11"/>
  <c r="L9" i="11"/>
  <c r="E10" i="11"/>
  <c r="E9" i="11"/>
  <c r="G9" i="11"/>
  <c r="F9" i="11"/>
  <c r="D9" i="11"/>
  <c r="D68" i="6"/>
  <c r="D67" i="6"/>
  <c r="Q60" i="6"/>
  <c r="Q59" i="6"/>
  <c r="D59" i="6"/>
  <c r="D37" i="6"/>
  <c r="D36" i="6"/>
  <c r="D35" i="6"/>
  <c r="Q23" i="6"/>
  <c r="Q21" i="6"/>
  <c r="Q20" i="6"/>
  <c r="Q19" i="6"/>
  <c r="Q17" i="6"/>
  <c r="Q16" i="6"/>
  <c r="Q15" i="6"/>
  <c r="Q14" i="6"/>
  <c r="Q13" i="6"/>
  <c r="Q12" i="6"/>
  <c r="Q11" i="6"/>
  <c r="Q10" i="6"/>
  <c r="D101" i="5"/>
  <c r="Q84" i="5"/>
  <c r="Q83" i="5"/>
  <c r="Q82" i="5"/>
  <c r="Q81" i="5"/>
  <c r="Q80" i="5"/>
  <c r="Q79" i="5"/>
  <c r="D78" i="5"/>
  <c r="I9" i="3"/>
  <c r="I8" i="3"/>
  <c r="Q77" i="5"/>
  <c r="Q76" i="5"/>
  <c r="Q75" i="5"/>
  <c r="Q74" i="5"/>
  <c r="Q73" i="5"/>
  <c r="Q72" i="5"/>
  <c r="D71"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R37" i="5"/>
  <c r="D37" i="5"/>
  <c r="Q37" i="5"/>
  <c r="Q36" i="5"/>
  <c r="D34" i="5"/>
  <c r="Q34" i="5"/>
  <c r="D33" i="5"/>
  <c r="Q33" i="5"/>
  <c r="D32" i="5"/>
  <c r="Q31" i="5"/>
  <c r="Q30" i="5"/>
  <c r="Q29" i="5"/>
  <c r="Q28" i="5"/>
  <c r="Q27" i="5"/>
  <c r="Q26" i="5"/>
  <c r="Q25" i="5"/>
  <c r="Q24" i="5"/>
  <c r="Q23" i="5"/>
  <c r="Q22" i="5"/>
  <c r="Q21" i="5"/>
  <c r="Q20" i="5"/>
  <c r="Q19" i="5"/>
  <c r="Q18" i="5"/>
  <c r="Q17" i="5"/>
  <c r="Q16" i="5"/>
  <c r="Q15" i="5"/>
  <c r="Q14" i="5"/>
  <c r="Q13" i="5"/>
  <c r="Q12" i="5"/>
  <c r="Q11" i="5"/>
  <c r="Q10" i="5"/>
  <c r="Q9" i="5"/>
  <c r="Q62" i="4"/>
  <c r="Q61" i="4"/>
  <c r="Q60" i="4"/>
  <c r="Q59" i="4"/>
  <c r="Q58" i="4"/>
  <c r="Q57" i="4"/>
  <c r="Q53" i="4"/>
  <c r="Q51" i="4"/>
  <c r="Q50" i="4"/>
  <c r="Q49" i="4"/>
  <c r="Q48" i="4"/>
  <c r="Q47" i="4"/>
  <c r="Q46" i="4"/>
  <c r="D45" i="4"/>
  <c r="Q44" i="4"/>
  <c r="Q43" i="4"/>
  <c r="Q42" i="4"/>
  <c r="Q41" i="4"/>
  <c r="Q40" i="4"/>
  <c r="Q39" i="4"/>
  <c r="D38" i="4"/>
  <c r="D54" i="4"/>
  <c r="Q34" i="4"/>
  <c r="Q33" i="4"/>
  <c r="D33" i="4"/>
  <c r="Q32" i="4"/>
  <c r="Q31" i="4"/>
  <c r="Q30" i="4"/>
  <c r="D29" i="4"/>
  <c r="D35" i="4"/>
  <c r="Q28" i="4"/>
  <c r="Q27" i="4"/>
  <c r="Q26" i="4"/>
  <c r="Q17" i="4"/>
  <c r="Q23" i="4"/>
  <c r="D17" i="4"/>
  <c r="D23" i="4"/>
  <c r="G27" i="3"/>
  <c r="G26" i="3"/>
  <c r="G25" i="3"/>
  <c r="K24" i="3"/>
  <c r="J24" i="3"/>
  <c r="I24" i="3"/>
  <c r="H24" i="3"/>
  <c r="F24" i="3"/>
  <c r="E24" i="3"/>
  <c r="D24" i="3"/>
  <c r="G23" i="3"/>
  <c r="G22" i="3"/>
  <c r="K21" i="3"/>
  <c r="J21" i="3"/>
  <c r="I21" i="3"/>
  <c r="H21" i="3"/>
  <c r="G21" i="3"/>
  <c r="F21" i="3"/>
  <c r="E21" i="3"/>
  <c r="D21" i="3"/>
  <c r="G20" i="3"/>
  <c r="G19" i="3"/>
  <c r="K18" i="3"/>
  <c r="J18" i="3"/>
  <c r="I18" i="3"/>
  <c r="H18" i="3"/>
  <c r="G18" i="3"/>
  <c r="F18" i="3"/>
  <c r="E18" i="3"/>
  <c r="D18" i="3"/>
  <c r="J17" i="3"/>
  <c r="I17" i="3"/>
  <c r="H17" i="3"/>
  <c r="G17" i="3"/>
  <c r="J16" i="3"/>
  <c r="I16" i="3"/>
  <c r="H16" i="3"/>
  <c r="G16" i="3"/>
  <c r="G15" i="3"/>
  <c r="F15" i="3"/>
  <c r="E15" i="3"/>
  <c r="D15" i="3"/>
  <c r="J14" i="3"/>
  <c r="I14" i="3"/>
  <c r="G14" i="3"/>
  <c r="J13" i="3"/>
  <c r="H13" i="3"/>
  <c r="G13" i="3"/>
  <c r="G12" i="3"/>
  <c r="F12" i="3"/>
  <c r="E12" i="3"/>
  <c r="D12" i="3"/>
  <c r="K11" i="3"/>
  <c r="G11" i="3"/>
  <c r="J10" i="3"/>
  <c r="H10" i="3"/>
  <c r="K10" i="3"/>
  <c r="G10" i="3"/>
  <c r="J9" i="3"/>
  <c r="H9" i="3"/>
  <c r="G9" i="3"/>
  <c r="G8" i="3"/>
  <c r="F8" i="3"/>
  <c r="F28" i="3"/>
  <c r="E8" i="3"/>
  <c r="E28" i="3"/>
  <c r="D8" i="3"/>
  <c r="E23" i="2"/>
  <c r="E22" i="2"/>
  <c r="E21" i="2"/>
  <c r="E20" i="2"/>
  <c r="E13" i="2"/>
  <c r="E11" i="2"/>
  <c r="E10" i="2"/>
  <c r="E9" i="2"/>
  <c r="J8" i="3"/>
  <c r="Q29" i="4"/>
  <c r="J12" i="3"/>
  <c r="Q38" i="4"/>
  <c r="H14" i="3"/>
  <c r="K14" i="3"/>
  <c r="Q45" i="4"/>
  <c r="K9" i="3"/>
  <c r="K8" i="3"/>
  <c r="Q86" i="5"/>
  <c r="H8" i="3"/>
  <c r="K16" i="3"/>
  <c r="Q32" i="6"/>
  <c r="K31" i="38"/>
  <c r="C43" i="41"/>
  <c r="D28" i="3"/>
  <c r="I15" i="3"/>
  <c r="J15" i="3"/>
  <c r="G24" i="3"/>
  <c r="Q25" i="4"/>
  <c r="Q35" i="4"/>
  <c r="Q32" i="5"/>
  <c r="D35" i="5"/>
  <c r="Q88" i="5"/>
  <c r="D85" i="5"/>
  <c r="Q78" i="5"/>
  <c r="Q85" i="5"/>
  <c r="Q87" i="5"/>
  <c r="Q9" i="6"/>
  <c r="Q39" i="6"/>
  <c r="K11" i="11"/>
  <c r="K10" i="11"/>
  <c r="H54" i="11"/>
  <c r="H53" i="11"/>
  <c r="I54" i="11"/>
  <c r="H74" i="11"/>
  <c r="H73" i="11"/>
  <c r="I80" i="11"/>
  <c r="E23" i="12"/>
  <c r="E243" i="12"/>
  <c r="G26" i="12"/>
  <c r="G244" i="12"/>
  <c r="D29" i="12"/>
  <c r="D245" i="12"/>
  <c r="C32" i="12"/>
  <c r="F32" i="12"/>
  <c r="K32" i="12"/>
  <c r="E35" i="12"/>
  <c r="G38" i="12"/>
  <c r="D41" i="12"/>
  <c r="C44" i="12"/>
  <c r="C250" i="12"/>
  <c r="F44" i="12"/>
  <c r="F250" i="12"/>
  <c r="K44" i="12"/>
  <c r="K250" i="12"/>
  <c r="E47" i="12"/>
  <c r="G50" i="12"/>
  <c r="G252" i="12"/>
  <c r="E53" i="12"/>
  <c r="E253" i="12"/>
  <c r="L81" i="12"/>
  <c r="L87" i="12"/>
  <c r="G110" i="12"/>
  <c r="F227" i="12"/>
  <c r="C116" i="12"/>
  <c r="K116" i="12"/>
  <c r="K249" i="12"/>
  <c r="I131" i="12"/>
  <c r="L136" i="12"/>
  <c r="L140" i="12"/>
  <c r="C145" i="12"/>
  <c r="K145" i="12"/>
  <c r="J151" i="12"/>
  <c r="J231" i="12"/>
  <c r="L168" i="12"/>
  <c r="L171" i="12"/>
  <c r="F174" i="12"/>
  <c r="L177" i="12"/>
  <c r="J180" i="12"/>
  <c r="L180" i="12"/>
  <c r="G186" i="12"/>
  <c r="I189" i="12"/>
  <c r="L192" i="12"/>
  <c r="G200" i="12"/>
  <c r="L217" i="12"/>
  <c r="N47" i="13"/>
  <c r="V21" i="13"/>
  <c r="T22" i="13"/>
  <c r="U24" i="13"/>
  <c r="U25" i="13"/>
  <c r="T28" i="13"/>
  <c r="Q28" i="13"/>
  <c r="T29" i="13"/>
  <c r="T30" i="13"/>
  <c r="U30" i="13"/>
  <c r="T31" i="13"/>
  <c r="U31" i="13"/>
  <c r="U32" i="13"/>
  <c r="U33" i="13"/>
  <c r="T36" i="13"/>
  <c r="Q36" i="13"/>
  <c r="T37" i="13"/>
  <c r="T38" i="13"/>
  <c r="U38" i="13"/>
  <c r="T39" i="13"/>
  <c r="T40" i="13"/>
  <c r="U40" i="13"/>
  <c r="T41" i="13"/>
  <c r="S41" i="13"/>
  <c r="T42" i="13"/>
  <c r="Q42" i="13"/>
  <c r="U42" i="13"/>
  <c r="T43" i="13"/>
  <c r="T45" i="13"/>
  <c r="T54" i="13"/>
  <c r="Q54" i="13"/>
  <c r="U55" i="13"/>
  <c r="K56" i="13"/>
  <c r="U58" i="13"/>
  <c r="U59" i="13"/>
  <c r="Q60" i="13"/>
  <c r="T62" i="13"/>
  <c r="K62" i="13"/>
  <c r="T63" i="13"/>
  <c r="U63" i="13"/>
  <c r="U74" i="13"/>
  <c r="U75" i="13"/>
  <c r="Q76" i="13"/>
  <c r="T78" i="13"/>
  <c r="K78" i="13"/>
  <c r="T79" i="13"/>
  <c r="T80" i="13"/>
  <c r="T81" i="13"/>
  <c r="U82" i="13"/>
  <c r="R83" i="13"/>
  <c r="U85" i="13"/>
  <c r="T91" i="13"/>
  <c r="U91" i="13"/>
  <c r="T92" i="13"/>
  <c r="T93" i="13"/>
  <c r="U94" i="13"/>
  <c r="Q96" i="13"/>
  <c r="T98" i="13"/>
  <c r="K98" i="13"/>
  <c r="T99" i="13"/>
  <c r="U99" i="13"/>
  <c r="T100" i="13"/>
  <c r="T101" i="13"/>
  <c r="U101" i="13"/>
  <c r="U102" i="13"/>
  <c r="U103" i="13"/>
  <c r="T116" i="13"/>
  <c r="U116" i="13"/>
  <c r="T117" i="13"/>
  <c r="U117" i="13"/>
  <c r="U118" i="13"/>
  <c r="U119" i="13"/>
  <c r="U128" i="13"/>
  <c r="T129" i="13"/>
  <c r="K129" i="13"/>
  <c r="T130" i="13"/>
  <c r="T131" i="13"/>
  <c r="T132" i="13"/>
  <c r="U133" i="13"/>
  <c r="Q135" i="13"/>
  <c r="T137" i="13"/>
  <c r="K137" i="13"/>
  <c r="T138" i="13"/>
  <c r="U138" i="13"/>
  <c r="T139" i="13"/>
  <c r="U140" i="13"/>
  <c r="U141" i="13"/>
  <c r="K143" i="13"/>
  <c r="T144" i="13"/>
  <c r="U144" i="13"/>
  <c r="T155" i="13"/>
  <c r="U155" i="13"/>
  <c r="T156" i="13"/>
  <c r="P156" i="13"/>
  <c r="O156" i="13"/>
  <c r="U156" i="13"/>
  <c r="U157" i="13"/>
  <c r="K157" i="13"/>
  <c r="U158" i="13"/>
  <c r="R166" i="13"/>
  <c r="T160" i="13"/>
  <c r="T161" i="13"/>
  <c r="Q161" i="13"/>
  <c r="Q166" i="13"/>
  <c r="T162" i="13"/>
  <c r="P162" i="13"/>
  <c r="U162" i="13"/>
  <c r="S162" i="13"/>
  <c r="T163" i="13"/>
  <c r="U163" i="13"/>
  <c r="T164" i="13"/>
  <c r="T165" i="13"/>
  <c r="U165" i="13"/>
  <c r="K165" i="13"/>
  <c r="T176" i="13"/>
  <c r="T177" i="13"/>
  <c r="U177" i="13"/>
  <c r="T178" i="13"/>
  <c r="T179" i="13"/>
  <c r="P179" i="13"/>
  <c r="O179" i="13"/>
  <c r="U179" i="13"/>
  <c r="N184" i="13"/>
  <c r="T180" i="13"/>
  <c r="U180" i="13"/>
  <c r="T181" i="13"/>
  <c r="T182" i="13"/>
  <c r="U182" i="13"/>
  <c r="U183" i="13"/>
  <c r="T195" i="13"/>
  <c r="T196" i="13"/>
  <c r="P196" i="13"/>
  <c r="O196" i="13"/>
  <c r="U197" i="13"/>
  <c r="T198" i="13"/>
  <c r="T199" i="13"/>
  <c r="U199" i="13"/>
  <c r="K199" i="13"/>
  <c r="Q200" i="13"/>
  <c r="U200" i="13"/>
  <c r="T201" i="13"/>
  <c r="U201" i="13"/>
  <c r="T202" i="13"/>
  <c r="P202" i="13"/>
  <c r="O202" i="13"/>
  <c r="U202" i="13"/>
  <c r="T203" i="13"/>
  <c r="T205" i="13"/>
  <c r="P205" i="13"/>
  <c r="O205" i="13"/>
  <c r="U206" i="13"/>
  <c r="T207" i="13"/>
  <c r="V207" i="13"/>
  <c r="U217" i="13"/>
  <c r="N225" i="13"/>
  <c r="V217" i="13"/>
  <c r="T219" i="13"/>
  <c r="V219" i="13"/>
  <c r="T220" i="13"/>
  <c r="P220" i="13"/>
  <c r="O220" i="13"/>
  <c r="U220" i="13"/>
  <c r="K220" i="13"/>
  <c r="V220" i="13"/>
  <c r="K222" i="13"/>
  <c r="T221" i="13"/>
  <c r="T223" i="13"/>
  <c r="P223" i="13"/>
  <c r="O223" i="13"/>
  <c r="U223" i="13"/>
  <c r="K223" i="13"/>
  <c r="V223" i="13"/>
  <c r="U224" i="13"/>
  <c r="T235" i="13"/>
  <c r="K238" i="13"/>
  <c r="T238" i="13"/>
  <c r="P238" i="13"/>
  <c r="K239" i="13"/>
  <c r="Q240" i="13"/>
  <c r="U240" i="13"/>
  <c r="T243" i="13"/>
  <c r="T255" i="13"/>
  <c r="K256" i="13"/>
  <c r="R271" i="13"/>
  <c r="U257" i="13"/>
  <c r="V257" i="13"/>
  <c r="U258" i="13"/>
  <c r="Q259" i="13"/>
  <c r="U259" i="13"/>
  <c r="S259" i="13"/>
  <c r="Q263" i="13"/>
  <c r="U264" i="13"/>
  <c r="U265" i="13"/>
  <c r="U266" i="13"/>
  <c r="T267" i="13"/>
  <c r="P267" i="13"/>
  <c r="O267" i="13"/>
  <c r="T268" i="13"/>
  <c r="T269" i="13"/>
  <c r="P269" i="13"/>
  <c r="T270" i="13"/>
  <c r="K67" i="14"/>
  <c r="K37" i="14"/>
  <c r="J67" i="14"/>
  <c r="H109" i="14"/>
  <c r="H163" i="12"/>
  <c r="E108" i="14"/>
  <c r="L107" i="14"/>
  <c r="E122" i="14"/>
  <c r="H122" i="14"/>
  <c r="H39" i="15"/>
  <c r="H99" i="12"/>
  <c r="H98" i="12"/>
  <c r="J13" i="16"/>
  <c r="J27" i="12"/>
  <c r="E12" i="16"/>
  <c r="I79" i="16"/>
  <c r="H89" i="16"/>
  <c r="H88" i="16"/>
  <c r="I89" i="16"/>
  <c r="I88" i="16"/>
  <c r="I14" i="17"/>
  <c r="I33" i="12"/>
  <c r="J17" i="17"/>
  <c r="J14" i="17"/>
  <c r="J33" i="12"/>
  <c r="F79" i="17"/>
  <c r="K12" i="17"/>
  <c r="L78" i="17"/>
  <c r="I80" i="17"/>
  <c r="J36" i="17"/>
  <c r="D78" i="17"/>
  <c r="G78" i="17"/>
  <c r="C78" i="17"/>
  <c r="D83" i="17"/>
  <c r="E83" i="17"/>
  <c r="F83" i="17"/>
  <c r="F78" i="17"/>
  <c r="L83" i="17"/>
  <c r="D11" i="18"/>
  <c r="G11" i="18"/>
  <c r="L11" i="18"/>
  <c r="L10" i="18"/>
  <c r="L9" i="18"/>
  <c r="H26" i="18"/>
  <c r="J47" i="18"/>
  <c r="J46" i="18"/>
  <c r="D45" i="18"/>
  <c r="D10" i="18"/>
  <c r="D9" i="18"/>
  <c r="I69" i="18"/>
  <c r="I67" i="18"/>
  <c r="J72" i="18"/>
  <c r="J69" i="18"/>
  <c r="J67" i="18"/>
  <c r="E80" i="18"/>
  <c r="E79" i="18"/>
  <c r="E9" i="18"/>
  <c r="G80" i="18"/>
  <c r="G79" i="18"/>
  <c r="H14" i="19"/>
  <c r="H39" i="12"/>
  <c r="E13" i="19"/>
  <c r="E12" i="19"/>
  <c r="J25" i="19"/>
  <c r="J40" i="12"/>
  <c r="K13" i="19"/>
  <c r="K12" i="19"/>
  <c r="I41" i="19"/>
  <c r="I76" i="12"/>
  <c r="H41" i="19"/>
  <c r="H76" i="12"/>
  <c r="H75" i="12"/>
  <c r="H56" i="12"/>
  <c r="H223" i="12"/>
  <c r="H45" i="19"/>
  <c r="G44" i="19"/>
  <c r="G43" i="19"/>
  <c r="G108" i="19"/>
  <c r="H58" i="19"/>
  <c r="H115" i="12"/>
  <c r="K44" i="19"/>
  <c r="K43" i="19"/>
  <c r="K108" i="19"/>
  <c r="D68" i="19"/>
  <c r="D109" i="19"/>
  <c r="G68" i="19"/>
  <c r="G109" i="19"/>
  <c r="J68" i="19"/>
  <c r="J109" i="19"/>
  <c r="H75" i="19"/>
  <c r="H157" i="12"/>
  <c r="H155" i="12"/>
  <c r="H232" i="12"/>
  <c r="H14" i="20"/>
  <c r="H30" i="12"/>
  <c r="H29" i="12"/>
  <c r="C13" i="20"/>
  <c r="C12" i="20"/>
  <c r="E13" i="20"/>
  <c r="E12" i="20"/>
  <c r="G13" i="20"/>
  <c r="G12" i="20"/>
  <c r="G11" i="20"/>
  <c r="G10" i="20"/>
  <c r="K13" i="20"/>
  <c r="K12" i="20"/>
  <c r="K42" i="20"/>
  <c r="J42" i="20"/>
  <c r="C37" i="20"/>
  <c r="C36" i="20"/>
  <c r="E37" i="20"/>
  <c r="E36" i="20"/>
  <c r="H47" i="20"/>
  <c r="H106" i="12"/>
  <c r="F36" i="20"/>
  <c r="F11" i="20"/>
  <c r="F10" i="20"/>
  <c r="G90" i="21"/>
  <c r="D91" i="21"/>
  <c r="G91" i="21"/>
  <c r="L11" i="22"/>
  <c r="G23" i="22"/>
  <c r="G46" i="12"/>
  <c r="G222" i="12"/>
  <c r="J23" i="22"/>
  <c r="J46" i="12"/>
  <c r="J44" i="12"/>
  <c r="E51" i="22"/>
  <c r="F51" i="22"/>
  <c r="F50" i="22"/>
  <c r="L51" i="22"/>
  <c r="E50" i="22"/>
  <c r="C50" i="22"/>
  <c r="L50" i="22"/>
  <c r="J29" i="26"/>
  <c r="J49" i="12"/>
  <c r="F46" i="27"/>
  <c r="F45" i="27"/>
  <c r="F11" i="27"/>
  <c r="F10" i="27"/>
  <c r="G8" i="32"/>
  <c r="G21" i="32"/>
  <c r="G19" i="32"/>
  <c r="G28" i="32"/>
  <c r="G77" i="32"/>
  <c r="J195" i="32"/>
  <c r="J215" i="32"/>
  <c r="J318" i="32"/>
  <c r="J346" i="32"/>
  <c r="J404" i="32"/>
  <c r="J467" i="32"/>
  <c r="N557" i="32"/>
  <c r="I101" i="31"/>
  <c r="J101" i="31"/>
  <c r="G626" i="32"/>
  <c r="G640" i="32"/>
  <c r="G683" i="32"/>
  <c r="H799" i="32"/>
  <c r="H8" i="33"/>
  <c r="H15" i="33"/>
  <c r="C29" i="41"/>
  <c r="H42" i="34"/>
  <c r="E26" i="39"/>
  <c r="C45" i="41"/>
  <c r="J21" i="43"/>
  <c r="Q89" i="5"/>
  <c r="G28" i="3"/>
  <c r="D66" i="6"/>
  <c r="Q67" i="6"/>
  <c r="Q54" i="4"/>
  <c r="L44" i="12"/>
  <c r="I250" i="12"/>
  <c r="K230" i="12"/>
  <c r="K229" i="12"/>
  <c r="K144" i="12"/>
  <c r="I25" i="11"/>
  <c r="I11" i="11"/>
  <c r="I10" i="11"/>
  <c r="H52" i="11"/>
  <c r="H9" i="11"/>
  <c r="K246" i="12"/>
  <c r="C248" i="12"/>
  <c r="C230" i="12"/>
  <c r="C229" i="12"/>
  <c r="C144" i="12"/>
  <c r="E235" i="12"/>
  <c r="J195" i="12"/>
  <c r="L195" i="12"/>
  <c r="Q68" i="6"/>
  <c r="J25" i="11"/>
  <c r="E245" i="12"/>
  <c r="C56" i="12"/>
  <c r="C223" i="12"/>
  <c r="L151" i="12"/>
  <c r="I231" i="12"/>
  <c r="L231" i="12"/>
  <c r="F161" i="12"/>
  <c r="D240" i="12"/>
  <c r="D199" i="12"/>
  <c r="D238" i="12"/>
  <c r="D239" i="12"/>
  <c r="I13" i="3"/>
  <c r="I12" i="3"/>
  <c r="H12" i="3"/>
  <c r="G243" i="12"/>
  <c r="K244" i="12"/>
  <c r="K248" i="12"/>
  <c r="C249" i="12"/>
  <c r="J250" i="12"/>
  <c r="D56" i="12"/>
  <c r="D223" i="12"/>
  <c r="G161" i="12"/>
  <c r="E240" i="12"/>
  <c r="E199" i="12"/>
  <c r="E238" i="12"/>
  <c r="J12" i="11"/>
  <c r="J11" i="11"/>
  <c r="J10" i="11"/>
  <c r="J9" i="11"/>
  <c r="J39" i="11"/>
  <c r="C246" i="12"/>
  <c r="E247" i="12"/>
  <c r="D249" i="12"/>
  <c r="I228" i="12"/>
  <c r="E230" i="12"/>
  <c r="E229" i="12"/>
  <c r="E144" i="12"/>
  <c r="F240" i="12"/>
  <c r="F199" i="12"/>
  <c r="F238" i="12"/>
  <c r="F239" i="12"/>
  <c r="G240" i="12"/>
  <c r="G199" i="12"/>
  <c r="G238" i="12"/>
  <c r="G239" i="12"/>
  <c r="I73" i="11"/>
  <c r="C219" i="12"/>
  <c r="D250" i="12"/>
  <c r="D251" i="12"/>
  <c r="F56" i="12"/>
  <c r="F223" i="12"/>
  <c r="C53" i="41"/>
  <c r="C42" i="41"/>
  <c r="C48" i="41"/>
  <c r="F43" i="33"/>
  <c r="H43" i="33"/>
  <c r="K17" i="3"/>
  <c r="I63" i="11"/>
  <c r="I53" i="11"/>
  <c r="I52" i="11"/>
  <c r="F249" i="12"/>
  <c r="E251" i="12"/>
  <c r="G56" i="12"/>
  <c r="G223" i="12"/>
  <c r="D229" i="12"/>
  <c r="G230" i="12"/>
  <c r="G229" i="12"/>
  <c r="G144" i="12"/>
  <c r="D161" i="12"/>
  <c r="L189" i="12"/>
  <c r="L214" i="12"/>
  <c r="H15" i="3"/>
  <c r="K15" i="3"/>
  <c r="Q35" i="5"/>
  <c r="K9" i="11"/>
  <c r="C52" i="11"/>
  <c r="C9" i="11"/>
  <c r="E19" i="12"/>
  <c r="E18" i="12"/>
  <c r="F222" i="12"/>
  <c r="F220" i="12"/>
  <c r="F219" i="12"/>
  <c r="F20" i="12"/>
  <c r="G248" i="12"/>
  <c r="G249" i="12"/>
  <c r="E252" i="12"/>
  <c r="L186" i="12"/>
  <c r="D247" i="12"/>
  <c r="F248" i="12"/>
  <c r="F252" i="12"/>
  <c r="E225" i="12"/>
  <c r="E224" i="12"/>
  <c r="F236" i="12"/>
  <c r="K25" i="13"/>
  <c r="P37" i="13"/>
  <c r="O37" i="13"/>
  <c r="S38" i="13"/>
  <c r="P38" i="13"/>
  <c r="O38" i="13"/>
  <c r="P39" i="13"/>
  <c r="O39" i="13"/>
  <c r="P40" i="13"/>
  <c r="O40" i="13"/>
  <c r="S40" i="13"/>
  <c r="C20" i="12"/>
  <c r="H95" i="12"/>
  <c r="F226" i="12"/>
  <c r="F225" i="12"/>
  <c r="F224" i="12"/>
  <c r="D227" i="12"/>
  <c r="I107" i="12"/>
  <c r="D144" i="12"/>
  <c r="L149" i="12"/>
  <c r="I155" i="12"/>
  <c r="E162" i="12"/>
  <c r="E161" i="12"/>
  <c r="E160" i="12"/>
  <c r="E159" i="12"/>
  <c r="C236" i="12"/>
  <c r="C235" i="12"/>
  <c r="K236" i="12"/>
  <c r="K235" i="12"/>
  <c r="D221" i="12"/>
  <c r="G236" i="12"/>
  <c r="G235" i="12"/>
  <c r="G234" i="12"/>
  <c r="G233" i="12"/>
  <c r="K26" i="13"/>
  <c r="U37" i="13"/>
  <c r="S37" i="13"/>
  <c r="U39" i="13"/>
  <c r="S39" i="13"/>
  <c r="L154" i="12"/>
  <c r="L178" i="12"/>
  <c r="E221" i="12"/>
  <c r="V25" i="13"/>
  <c r="I125" i="12"/>
  <c r="L133" i="12"/>
  <c r="L187" i="12"/>
  <c r="H199" i="12"/>
  <c r="H238" i="12"/>
  <c r="H239" i="12"/>
  <c r="L47" i="13"/>
  <c r="K27" i="13"/>
  <c r="P29" i="13"/>
  <c r="S30" i="13"/>
  <c r="P30" i="13"/>
  <c r="O30" i="13"/>
  <c r="L33" i="12"/>
  <c r="K253" i="12"/>
  <c r="C95" i="12"/>
  <c r="C94" i="12"/>
  <c r="C93" i="12"/>
  <c r="K95" i="12"/>
  <c r="U27" i="13"/>
  <c r="S31" i="13"/>
  <c r="P31" i="13"/>
  <c r="O31" i="13"/>
  <c r="E249" i="12"/>
  <c r="P22" i="13"/>
  <c r="O22" i="13"/>
  <c r="T25" i="13"/>
  <c r="S25" i="13"/>
  <c r="U34" i="13"/>
  <c r="E95" i="12"/>
  <c r="E94" i="12"/>
  <c r="E93" i="12"/>
  <c r="C226" i="12"/>
  <c r="C225" i="12"/>
  <c r="C224" i="12"/>
  <c r="H236" i="12"/>
  <c r="F237" i="12"/>
  <c r="C199" i="12"/>
  <c r="C238" i="12"/>
  <c r="C239" i="12"/>
  <c r="K199" i="12"/>
  <c r="K238" i="12"/>
  <c r="K239" i="12"/>
  <c r="U22" i="13"/>
  <c r="S22" i="13"/>
  <c r="T23" i="13"/>
  <c r="Q26" i="13"/>
  <c r="V29" i="13"/>
  <c r="P43" i="13"/>
  <c r="O43" i="13"/>
  <c r="E222" i="12"/>
  <c r="F95" i="12"/>
  <c r="F94" i="12"/>
  <c r="F93" i="12"/>
  <c r="C162" i="12"/>
  <c r="C161" i="12"/>
  <c r="K162" i="12"/>
  <c r="K161" i="12"/>
  <c r="R47" i="13"/>
  <c r="U23" i="13"/>
  <c r="T24" i="13"/>
  <c r="T27" i="13"/>
  <c r="S27" i="13"/>
  <c r="U28" i="13"/>
  <c r="S28" i="13"/>
  <c r="U43" i="13"/>
  <c r="S43" i="13"/>
  <c r="T35" i="13"/>
  <c r="U36" i="13"/>
  <c r="S36" i="13"/>
  <c r="K59" i="13"/>
  <c r="S63" i="13"/>
  <c r="P63" i="13"/>
  <c r="O63" i="13"/>
  <c r="P100" i="13"/>
  <c r="S117" i="13"/>
  <c r="P117" i="13"/>
  <c r="O117" i="13"/>
  <c r="T26" i="13"/>
  <c r="K33" i="13"/>
  <c r="T34" i="13"/>
  <c r="U35" i="13"/>
  <c r="K41" i="13"/>
  <c r="V42" i="13"/>
  <c r="S42" i="13"/>
  <c r="P81" i="13"/>
  <c r="O81" i="13"/>
  <c r="S116" i="13"/>
  <c r="P116" i="13"/>
  <c r="O116" i="13"/>
  <c r="P139" i="13"/>
  <c r="O139" i="13"/>
  <c r="T33" i="13"/>
  <c r="S33" i="13"/>
  <c r="V35" i="13"/>
  <c r="P41" i="13"/>
  <c r="O41" i="13"/>
  <c r="K53" i="13"/>
  <c r="L64" i="13"/>
  <c r="M243" i="12"/>
  <c r="B3" i="42"/>
  <c r="K61" i="13"/>
  <c r="P80" i="13"/>
  <c r="U81" i="13"/>
  <c r="S81" i="13"/>
  <c r="K23" i="13"/>
  <c r="P28" i="13"/>
  <c r="O28" i="13"/>
  <c r="Q29" i="13"/>
  <c r="U29" i="13"/>
  <c r="S29" i="13"/>
  <c r="K31" i="13"/>
  <c r="T32" i="13"/>
  <c r="S32" i="13"/>
  <c r="P36" i="13"/>
  <c r="O36" i="13"/>
  <c r="K39" i="13"/>
  <c r="T44" i="13"/>
  <c r="M64" i="13"/>
  <c r="U54" i="13"/>
  <c r="S54" i="13"/>
  <c r="T56" i="13"/>
  <c r="P35" i="13"/>
  <c r="O35" i="13"/>
  <c r="P42" i="13"/>
  <c r="O42" i="13"/>
  <c r="T46" i="13"/>
  <c r="N64" i="13"/>
  <c r="T59" i="13"/>
  <c r="S59" i="13"/>
  <c r="U79" i="13"/>
  <c r="S79" i="13"/>
  <c r="P93" i="13"/>
  <c r="O93" i="13"/>
  <c r="U97" i="13"/>
  <c r="P132" i="13"/>
  <c r="O132" i="13"/>
  <c r="U136" i="13"/>
  <c r="K21" i="13"/>
  <c r="K29" i="13"/>
  <c r="K37" i="13"/>
  <c r="K43" i="13"/>
  <c r="K46" i="13"/>
  <c r="T57" i="13"/>
  <c r="T61" i="13"/>
  <c r="U93" i="13"/>
  <c r="S93" i="13"/>
  <c r="U95" i="13"/>
  <c r="P131" i="13"/>
  <c r="O131" i="13"/>
  <c r="U132" i="13"/>
  <c r="S132" i="13"/>
  <c r="U134" i="13"/>
  <c r="T21" i="13"/>
  <c r="K28" i="13"/>
  <c r="K36" i="13"/>
  <c r="T53" i="13"/>
  <c r="P53" i="13"/>
  <c r="T55" i="13"/>
  <c r="S55" i="13"/>
  <c r="U57" i="13"/>
  <c r="U60" i="13"/>
  <c r="U77" i="13"/>
  <c r="P92" i="13"/>
  <c r="U131" i="13"/>
  <c r="S131" i="13"/>
  <c r="M47" i="13"/>
  <c r="U21" i="13"/>
  <c r="K42" i="13"/>
  <c r="U46" i="13"/>
  <c r="U53" i="13"/>
  <c r="Q56" i="13"/>
  <c r="S101" i="13"/>
  <c r="P101" i="13"/>
  <c r="O101" i="13"/>
  <c r="Q120" i="13"/>
  <c r="U130" i="13"/>
  <c r="S130" i="13"/>
  <c r="K76" i="13"/>
  <c r="T77" i="13"/>
  <c r="S77" i="13"/>
  <c r="U78" i="13"/>
  <c r="S78" i="13"/>
  <c r="K84" i="13"/>
  <c r="T85" i="13"/>
  <c r="S85" i="13"/>
  <c r="V91" i="13"/>
  <c r="S91" i="13"/>
  <c r="T97" i="13"/>
  <c r="S97" i="13"/>
  <c r="U98" i="13"/>
  <c r="S98" i="13"/>
  <c r="K104" i="13"/>
  <c r="T105" i="13"/>
  <c r="V115" i="13"/>
  <c r="V120" i="13"/>
  <c r="Q246" i="12"/>
  <c r="T128" i="13"/>
  <c r="S128" i="13"/>
  <c r="U129" i="13"/>
  <c r="S129" i="13"/>
  <c r="T136" i="13"/>
  <c r="S136" i="13"/>
  <c r="O162" i="13"/>
  <c r="P163" i="13"/>
  <c r="O163" i="13"/>
  <c r="K163" i="13"/>
  <c r="R184" i="13"/>
  <c r="S202" i="13"/>
  <c r="O238" i="13"/>
  <c r="T60" i="13"/>
  <c r="S60" i="13"/>
  <c r="U61" i="13"/>
  <c r="K75" i="13"/>
  <c r="T76" i="13"/>
  <c r="K83" i="13"/>
  <c r="T84" i="13"/>
  <c r="P84" i="13"/>
  <c r="O84" i="13"/>
  <c r="K95" i="13"/>
  <c r="T96" i="13"/>
  <c r="K103" i="13"/>
  <c r="T104" i="13"/>
  <c r="U105" i="13"/>
  <c r="K119" i="13"/>
  <c r="L145" i="13"/>
  <c r="M247" i="12"/>
  <c r="B7" i="42"/>
  <c r="T127" i="13"/>
  <c r="K134" i="13"/>
  <c r="T135" i="13"/>
  <c r="K140" i="13"/>
  <c r="K142" i="13"/>
  <c r="S156" i="13"/>
  <c r="P164" i="13"/>
  <c r="O164" i="13"/>
  <c r="S164" i="13"/>
  <c r="P165" i="13"/>
  <c r="O165" i="13"/>
  <c r="K197" i="13"/>
  <c r="V61" i="13"/>
  <c r="V64" i="13"/>
  <c r="Q243" i="12"/>
  <c r="T75" i="13"/>
  <c r="S75" i="13"/>
  <c r="U76" i="13"/>
  <c r="P79" i="13"/>
  <c r="O79" i="13"/>
  <c r="Q80" i="13"/>
  <c r="Q86" i="13"/>
  <c r="T83" i="13"/>
  <c r="P91" i="13"/>
  <c r="Q92" i="13"/>
  <c r="U92" i="13"/>
  <c r="T95" i="13"/>
  <c r="S95" i="13"/>
  <c r="U96" i="13"/>
  <c r="P99" i="13"/>
  <c r="O99" i="13"/>
  <c r="Q100" i="13"/>
  <c r="U100" i="13"/>
  <c r="S100" i="13"/>
  <c r="T103" i="13"/>
  <c r="S103" i="13"/>
  <c r="U104" i="13"/>
  <c r="V105" i="13"/>
  <c r="T119" i="13"/>
  <c r="S119" i="13"/>
  <c r="P130" i="13"/>
  <c r="O130" i="13"/>
  <c r="T134" i="13"/>
  <c r="S134" i="13"/>
  <c r="U135" i="13"/>
  <c r="P138" i="13"/>
  <c r="O138" i="13"/>
  <c r="U142" i="13"/>
  <c r="T157" i="13"/>
  <c r="Q181" i="13"/>
  <c r="U181" i="13"/>
  <c r="U194" i="13"/>
  <c r="U196" i="13"/>
  <c r="P198" i="13"/>
  <c r="P199" i="13"/>
  <c r="O199" i="13"/>
  <c r="P203" i="13"/>
  <c r="P54" i="13"/>
  <c r="O54" i="13"/>
  <c r="K57" i="13"/>
  <c r="T58" i="13"/>
  <c r="S58" i="13"/>
  <c r="P62" i="13"/>
  <c r="K73" i="13"/>
  <c r="T74" i="13"/>
  <c r="S74" i="13"/>
  <c r="P78" i="13"/>
  <c r="O78" i="13"/>
  <c r="K81" i="13"/>
  <c r="T82" i="13"/>
  <c r="S82" i="13"/>
  <c r="V84" i="13"/>
  <c r="R92" i="13"/>
  <c r="V92" i="13"/>
  <c r="K93" i="13"/>
  <c r="T94" i="13"/>
  <c r="S94" i="13"/>
  <c r="P98" i="13"/>
  <c r="O98" i="13"/>
  <c r="K101" i="13"/>
  <c r="T102" i="13"/>
  <c r="S102" i="13"/>
  <c r="V104" i="13"/>
  <c r="K117" i="13"/>
  <c r="T118" i="13"/>
  <c r="S118" i="13"/>
  <c r="N145" i="13"/>
  <c r="V127" i="13"/>
  <c r="P129" i="13"/>
  <c r="O129" i="13"/>
  <c r="K132" i="13"/>
  <c r="T133" i="13"/>
  <c r="S133" i="13"/>
  <c r="P137" i="13"/>
  <c r="K139" i="13"/>
  <c r="V140" i="13"/>
  <c r="V142" i="13"/>
  <c r="V154" i="13"/>
  <c r="U161" i="13"/>
  <c r="S201" i="13"/>
  <c r="Q62" i="13"/>
  <c r="U62" i="13"/>
  <c r="S62" i="13"/>
  <c r="T73" i="13"/>
  <c r="K80" i="13"/>
  <c r="P85" i="13"/>
  <c r="O85" i="13"/>
  <c r="K92" i="13"/>
  <c r="P97" i="13"/>
  <c r="O97" i="13"/>
  <c r="K100" i="13"/>
  <c r="P105" i="13"/>
  <c r="O105" i="13"/>
  <c r="L106" i="13"/>
  <c r="M245" i="12"/>
  <c r="B5" i="42"/>
  <c r="K116" i="13"/>
  <c r="P128" i="13"/>
  <c r="O128" i="13"/>
  <c r="K131" i="13"/>
  <c r="P136" i="13"/>
  <c r="O136" i="13"/>
  <c r="Q137" i="13"/>
  <c r="U137" i="13"/>
  <c r="S137" i="13"/>
  <c r="K141" i="13"/>
  <c r="T143" i="13"/>
  <c r="S177" i="13"/>
  <c r="P180" i="13"/>
  <c r="O180" i="13"/>
  <c r="K180" i="13"/>
  <c r="P221" i="13"/>
  <c r="O221" i="13"/>
  <c r="K63" i="13"/>
  <c r="U73" i="13"/>
  <c r="K79" i="13"/>
  <c r="K91" i="13"/>
  <c r="K99" i="13"/>
  <c r="M106" i="13"/>
  <c r="K115" i="13"/>
  <c r="K120" i="13"/>
  <c r="K121" i="13"/>
  <c r="P127" i="13"/>
  <c r="K130" i="13"/>
  <c r="K138" i="13"/>
  <c r="U139" i="13"/>
  <c r="S139" i="13"/>
  <c r="T141" i="13"/>
  <c r="K154" i="13"/>
  <c r="S155" i="13"/>
  <c r="V158" i="13"/>
  <c r="T159" i="13"/>
  <c r="S163" i="13"/>
  <c r="P181" i="13"/>
  <c r="O181" i="13"/>
  <c r="S181" i="13"/>
  <c r="P182" i="13"/>
  <c r="O182" i="13"/>
  <c r="S182" i="13"/>
  <c r="S196" i="13"/>
  <c r="P260" i="13"/>
  <c r="K107" i="19"/>
  <c r="V73" i="13"/>
  <c r="T115" i="13"/>
  <c r="Q127" i="13"/>
  <c r="U127" i="13"/>
  <c r="U145" i="13"/>
  <c r="P247" i="12"/>
  <c r="V143" i="13"/>
  <c r="U159" i="13"/>
  <c r="K160" i="13"/>
  <c r="P160" i="13"/>
  <c r="O160" i="13"/>
  <c r="V165" i="13"/>
  <c r="S165" i="13"/>
  <c r="T197" i="13"/>
  <c r="S197" i="13"/>
  <c r="U204" i="13"/>
  <c r="U115" i="13"/>
  <c r="U120" i="13"/>
  <c r="P246" i="12"/>
  <c r="R145" i="13"/>
  <c r="T140" i="13"/>
  <c r="P140" i="13"/>
  <c r="O140" i="13"/>
  <c r="T142" i="13"/>
  <c r="S142" i="13"/>
  <c r="P144" i="13"/>
  <c r="O144" i="13"/>
  <c r="M166" i="13"/>
  <c r="P155" i="13"/>
  <c r="O155" i="13"/>
  <c r="K155" i="13"/>
  <c r="V157" i="13"/>
  <c r="U160" i="13"/>
  <c r="S160" i="13"/>
  <c r="S161" i="13"/>
  <c r="P176" i="13"/>
  <c r="Q198" i="13"/>
  <c r="U198" i="13"/>
  <c r="S198" i="13"/>
  <c r="V199" i="13"/>
  <c r="S199" i="13"/>
  <c r="T158" i="13"/>
  <c r="U176" i="13"/>
  <c r="S176" i="13"/>
  <c r="K182" i="13"/>
  <c r="T183" i="13"/>
  <c r="S183" i="13"/>
  <c r="V194" i="13"/>
  <c r="V208" i="13"/>
  <c r="Q250" i="12"/>
  <c r="M208" i="13"/>
  <c r="U221" i="13"/>
  <c r="S221" i="13"/>
  <c r="K237" i="13"/>
  <c r="K240" i="13"/>
  <c r="Q242" i="13"/>
  <c r="U242" i="13"/>
  <c r="U255" i="13"/>
  <c r="T261" i="13"/>
  <c r="M271" i="13"/>
  <c r="H37" i="14"/>
  <c r="H22" i="12"/>
  <c r="I73" i="14"/>
  <c r="I72" i="14"/>
  <c r="J82" i="14"/>
  <c r="J132" i="12"/>
  <c r="H77" i="16"/>
  <c r="J33" i="17"/>
  <c r="H34" i="17"/>
  <c r="H108" i="12"/>
  <c r="H107" i="12"/>
  <c r="G83" i="17"/>
  <c r="H47" i="18"/>
  <c r="H46" i="18"/>
  <c r="F107" i="19"/>
  <c r="E11" i="20"/>
  <c r="E10" i="20"/>
  <c r="H25" i="21"/>
  <c r="H43" i="12"/>
  <c r="K156" i="13"/>
  <c r="P161" i="13"/>
  <c r="O161" i="13"/>
  <c r="K164" i="13"/>
  <c r="P178" i="13"/>
  <c r="K181" i="13"/>
  <c r="P195" i="13"/>
  <c r="K198" i="13"/>
  <c r="T206" i="13"/>
  <c r="P207" i="13"/>
  <c r="O207" i="13"/>
  <c r="T218" i="13"/>
  <c r="S218" i="13"/>
  <c r="S220" i="13"/>
  <c r="T237" i="13"/>
  <c r="V239" i="13"/>
  <c r="T240" i="13"/>
  <c r="T256" i="13"/>
  <c r="Q260" i="13"/>
  <c r="T262" i="13"/>
  <c r="K262" i="13"/>
  <c r="U267" i="13"/>
  <c r="S267" i="13"/>
  <c r="Q269" i="13"/>
  <c r="U269" i="13"/>
  <c r="S269" i="13"/>
  <c r="K269" i="13"/>
  <c r="H30" i="16"/>
  <c r="H28" i="12"/>
  <c r="C77" i="16"/>
  <c r="J20" i="17"/>
  <c r="J34" i="12"/>
  <c r="J32" i="12"/>
  <c r="F68" i="19"/>
  <c r="F109" i="19"/>
  <c r="I38" i="20"/>
  <c r="J39" i="20"/>
  <c r="K39" i="20"/>
  <c r="J16" i="28"/>
  <c r="J15" i="28"/>
  <c r="J10" i="28"/>
  <c r="I15" i="28"/>
  <c r="I10" i="28"/>
  <c r="P177" i="13"/>
  <c r="O177" i="13"/>
  <c r="Q178" i="13"/>
  <c r="Q184" i="13"/>
  <c r="Q195" i="13"/>
  <c r="U195" i="13"/>
  <c r="S195" i="13"/>
  <c r="P201" i="13"/>
  <c r="O201" i="13"/>
  <c r="K203" i="13"/>
  <c r="R225" i="13"/>
  <c r="T222" i="13"/>
  <c r="S223" i="13"/>
  <c r="V224" i="13"/>
  <c r="V235" i="13"/>
  <c r="U237" i="13"/>
  <c r="K241" i="13"/>
  <c r="T257" i="13"/>
  <c r="S257" i="13"/>
  <c r="K257" i="13"/>
  <c r="K263" i="13"/>
  <c r="J38" i="14"/>
  <c r="J37" i="14"/>
  <c r="J22" i="12"/>
  <c r="I37" i="14"/>
  <c r="I22" i="12"/>
  <c r="L72" i="14"/>
  <c r="J88" i="14"/>
  <c r="J86" i="14"/>
  <c r="J97" i="12"/>
  <c r="I86" i="14"/>
  <c r="K11" i="16"/>
  <c r="K10" i="16"/>
  <c r="I74" i="18"/>
  <c r="J75" i="18"/>
  <c r="C11" i="19"/>
  <c r="L107" i="19"/>
  <c r="J22" i="20"/>
  <c r="J20" i="20"/>
  <c r="J31" i="12"/>
  <c r="I20" i="20"/>
  <c r="I31" i="12"/>
  <c r="L31" i="12"/>
  <c r="K46" i="20"/>
  <c r="J46" i="20"/>
  <c r="J48" i="27"/>
  <c r="J47" i="27"/>
  <c r="J129" i="12"/>
  <c r="J128" i="12"/>
  <c r="I47" i="27"/>
  <c r="P218" i="13"/>
  <c r="O218" i="13"/>
  <c r="P235" i="13"/>
  <c r="L245" i="13"/>
  <c r="M252" i="12"/>
  <c r="B12" i="42"/>
  <c r="K235" i="13"/>
  <c r="J46" i="19"/>
  <c r="J45" i="19"/>
  <c r="I45" i="19"/>
  <c r="T154" i="13"/>
  <c r="P158" i="13"/>
  <c r="O158" i="13"/>
  <c r="K161" i="13"/>
  <c r="K178" i="13"/>
  <c r="P183" i="13"/>
  <c r="O183" i="13"/>
  <c r="L184" i="13"/>
  <c r="M249" i="12"/>
  <c r="B9" i="42"/>
  <c r="K195" i="13"/>
  <c r="K205" i="13"/>
  <c r="T217" i="13"/>
  <c r="Q219" i="13"/>
  <c r="V222" i="13"/>
  <c r="V225" i="13"/>
  <c r="Q251" i="12"/>
  <c r="M245" i="13"/>
  <c r="Q239" i="13"/>
  <c r="V241" i="13"/>
  <c r="T242" i="13"/>
  <c r="T258" i="13"/>
  <c r="S258" i="13"/>
  <c r="K258" i="13"/>
  <c r="K259" i="13"/>
  <c r="P259" i="13"/>
  <c r="O259" i="13"/>
  <c r="P262" i="13"/>
  <c r="O262" i="13"/>
  <c r="T265" i="13"/>
  <c r="S265" i="13"/>
  <c r="K265" i="13"/>
  <c r="H117" i="14"/>
  <c r="H164" i="12"/>
  <c r="H13" i="16"/>
  <c r="J31" i="16"/>
  <c r="J30" i="16"/>
  <c r="J28" i="12"/>
  <c r="J26" i="12"/>
  <c r="I30" i="16"/>
  <c r="I28" i="12"/>
  <c r="L28" i="12"/>
  <c r="H61" i="16"/>
  <c r="H103" i="12"/>
  <c r="H101" i="12"/>
  <c r="J61" i="16"/>
  <c r="J103" i="12"/>
  <c r="H20" i="17"/>
  <c r="I83" i="17"/>
  <c r="G45" i="18"/>
  <c r="G10" i="18"/>
  <c r="G9" i="18"/>
  <c r="I66" i="21"/>
  <c r="I118" i="12"/>
  <c r="F82" i="31"/>
  <c r="F81" i="31"/>
  <c r="F115" i="31"/>
  <c r="J83" i="31"/>
  <c r="J264" i="32"/>
  <c r="I366" i="32"/>
  <c r="I99" i="31"/>
  <c r="J99" i="31"/>
  <c r="U154" i="13"/>
  <c r="U166" i="13"/>
  <c r="P248" i="12"/>
  <c r="K177" i="13"/>
  <c r="K184" i="13"/>
  <c r="K185" i="13"/>
  <c r="K194" i="13"/>
  <c r="K201" i="13"/>
  <c r="U205" i="13"/>
  <c r="S205" i="13"/>
  <c r="K207" i="13"/>
  <c r="U238" i="13"/>
  <c r="S238" i="13"/>
  <c r="P257" i="13"/>
  <c r="O257" i="13"/>
  <c r="U282" i="13"/>
  <c r="P254" i="12"/>
  <c r="K282" i="13"/>
  <c r="K283" i="13"/>
  <c r="K122" i="14"/>
  <c r="K107" i="14"/>
  <c r="J40" i="15"/>
  <c r="I39" i="15"/>
  <c r="I99" i="12"/>
  <c r="I13" i="16"/>
  <c r="J78" i="16"/>
  <c r="J77" i="16"/>
  <c r="I20" i="17"/>
  <c r="E107" i="19"/>
  <c r="E106" i="19"/>
  <c r="E11" i="19"/>
  <c r="H13" i="20"/>
  <c r="H12" i="20"/>
  <c r="J44" i="20"/>
  <c r="K44" i="20"/>
  <c r="H13" i="27"/>
  <c r="J8" i="31"/>
  <c r="V179" i="13"/>
  <c r="V184" i="13"/>
  <c r="Q249" i="12"/>
  <c r="T194" i="13"/>
  <c r="P194" i="13"/>
  <c r="L225" i="13"/>
  <c r="M251" i="12"/>
  <c r="B11" i="42"/>
  <c r="Q222" i="13"/>
  <c r="U222" i="13"/>
  <c r="V240" i="13"/>
  <c r="P243" i="13"/>
  <c r="O243" i="13"/>
  <c r="K243" i="13"/>
  <c r="H108" i="14"/>
  <c r="H107" i="14"/>
  <c r="E11" i="16"/>
  <c r="J51" i="16"/>
  <c r="J50" i="16"/>
  <c r="I50" i="16"/>
  <c r="H79" i="17"/>
  <c r="I27" i="17"/>
  <c r="I78" i="17"/>
  <c r="J28" i="17"/>
  <c r="J27" i="17"/>
  <c r="I26" i="18"/>
  <c r="I37" i="12"/>
  <c r="J29" i="18"/>
  <c r="J26" i="18"/>
  <c r="J37" i="12"/>
  <c r="J16" i="20"/>
  <c r="J14" i="20"/>
  <c r="I14" i="20"/>
  <c r="C11" i="20"/>
  <c r="C10" i="20"/>
  <c r="K200" i="13"/>
  <c r="T200" i="13"/>
  <c r="S200" i="13"/>
  <c r="Q203" i="13"/>
  <c r="U203" i="13"/>
  <c r="S203" i="13"/>
  <c r="T204" i="13"/>
  <c r="U207" i="13"/>
  <c r="S207" i="13"/>
  <c r="M225" i="13"/>
  <c r="K219" i="13"/>
  <c r="P219" i="13"/>
  <c r="O219" i="13"/>
  <c r="K224" i="13"/>
  <c r="T224" i="13"/>
  <c r="S224" i="13"/>
  <c r="R245" i="13"/>
  <c r="T239" i="13"/>
  <c r="T241" i="13"/>
  <c r="P241" i="13"/>
  <c r="U243" i="13"/>
  <c r="S243" i="13"/>
  <c r="L271" i="13"/>
  <c r="M253" i="12"/>
  <c r="B13" i="42"/>
  <c r="K255" i="13"/>
  <c r="P255" i="13"/>
  <c r="T263" i="13"/>
  <c r="H13" i="14"/>
  <c r="J13" i="14"/>
  <c r="C11" i="16"/>
  <c r="C10" i="16"/>
  <c r="L77" i="16"/>
  <c r="L10" i="16"/>
  <c r="K79" i="17"/>
  <c r="E12" i="17"/>
  <c r="I47" i="18"/>
  <c r="I46" i="18"/>
  <c r="I91" i="18"/>
  <c r="C106" i="19"/>
  <c r="G107" i="19"/>
  <c r="G106" i="19"/>
  <c r="G11" i="19"/>
  <c r="H25" i="19"/>
  <c r="F91" i="21"/>
  <c r="J11" i="25"/>
  <c r="H13" i="26"/>
  <c r="H48" i="12"/>
  <c r="J28" i="27"/>
  <c r="J55" i="12"/>
  <c r="I517" i="32"/>
  <c r="I100" i="31"/>
  <c r="J100" i="31"/>
  <c r="T236" i="13"/>
  <c r="S236" i="13"/>
  <c r="P240" i="13"/>
  <c r="O240" i="13"/>
  <c r="Q241" i="13"/>
  <c r="U241" i="13"/>
  <c r="T244" i="13"/>
  <c r="N271" i="13"/>
  <c r="V255" i="13"/>
  <c r="U268" i="13"/>
  <c r="S268" i="13"/>
  <c r="T282" i="13"/>
  <c r="I109" i="14"/>
  <c r="H14" i="15"/>
  <c r="H24" i="12"/>
  <c r="K53" i="17"/>
  <c r="K78" i="17"/>
  <c r="J12" i="18"/>
  <c r="J66" i="21"/>
  <c r="J40" i="22"/>
  <c r="J36" i="22"/>
  <c r="J11" i="22"/>
  <c r="I36" i="22"/>
  <c r="I11" i="22"/>
  <c r="J356" i="32"/>
  <c r="U263" i="13"/>
  <c r="K267" i="13"/>
  <c r="V282" i="13"/>
  <c r="Q254" i="12"/>
  <c r="I13" i="14"/>
  <c r="H78" i="17"/>
  <c r="I25" i="19"/>
  <c r="I40" i="12"/>
  <c r="L40" i="12"/>
  <c r="G12" i="22"/>
  <c r="H13" i="22"/>
  <c r="H12" i="22"/>
  <c r="H45" i="12"/>
  <c r="K50" i="22"/>
  <c r="I38" i="25"/>
  <c r="H37" i="25"/>
  <c r="H52" i="12"/>
  <c r="J54" i="26"/>
  <c r="J52" i="26"/>
  <c r="J123" i="12"/>
  <c r="J122" i="12"/>
  <c r="I52" i="26"/>
  <c r="I123" i="12"/>
  <c r="C27" i="41"/>
  <c r="J141" i="32"/>
  <c r="I579" i="32"/>
  <c r="H805" i="32"/>
  <c r="P236" i="13"/>
  <c r="O236" i="13"/>
  <c r="K260" i="13"/>
  <c r="P270" i="13"/>
  <c r="O270" i="13"/>
  <c r="D72" i="14"/>
  <c r="J109" i="14"/>
  <c r="I61" i="16"/>
  <c r="I103" i="12"/>
  <c r="L103" i="12"/>
  <c r="C12" i="17"/>
  <c r="J78" i="17"/>
  <c r="I12" i="18"/>
  <c r="L44" i="19"/>
  <c r="L43" i="19"/>
  <c r="L108" i="19"/>
  <c r="I47" i="20"/>
  <c r="I106" i="12"/>
  <c r="H11" i="25"/>
  <c r="H77" i="25"/>
  <c r="H126" i="12"/>
  <c r="H125" i="12"/>
  <c r="U260" i="13"/>
  <c r="S260" i="13"/>
  <c r="V263" i="13"/>
  <c r="T266" i="13"/>
  <c r="U270" i="13"/>
  <c r="S270" i="13"/>
  <c r="J73" i="14"/>
  <c r="J72" i="14"/>
  <c r="I117" i="14"/>
  <c r="I164" i="12"/>
  <c r="J118" i="14"/>
  <c r="J117" i="14"/>
  <c r="J164" i="12"/>
  <c r="J237" i="12"/>
  <c r="I84" i="16"/>
  <c r="I78" i="16"/>
  <c r="I77" i="16"/>
  <c r="C83" i="17"/>
  <c r="K45" i="18"/>
  <c r="K10" i="18"/>
  <c r="K9" i="18"/>
  <c r="J15" i="19"/>
  <c r="J14" i="19"/>
  <c r="K68" i="19"/>
  <c r="K109" i="19"/>
  <c r="K41" i="20"/>
  <c r="J41" i="20"/>
  <c r="J47" i="20"/>
  <c r="J106" i="12"/>
  <c r="H25" i="22"/>
  <c r="H23" i="22"/>
  <c r="H46" i="12"/>
  <c r="H29" i="26"/>
  <c r="H49" i="12"/>
  <c r="H28" i="27"/>
  <c r="H55" i="12"/>
  <c r="C47" i="41"/>
  <c r="C46" i="41"/>
  <c r="C42" i="34"/>
  <c r="V256" i="13"/>
  <c r="U262" i="13"/>
  <c r="T264" i="13"/>
  <c r="K266" i="13"/>
  <c r="K268" i="13"/>
  <c r="P268" i="13"/>
  <c r="O268" i="13"/>
  <c r="G72" i="14"/>
  <c r="H26" i="15"/>
  <c r="H25" i="12"/>
  <c r="E88" i="16"/>
  <c r="E77" i="16"/>
  <c r="F12" i="17"/>
  <c r="E78" i="17"/>
  <c r="H85" i="18"/>
  <c r="H179" i="12"/>
  <c r="H177" i="12"/>
  <c r="J91" i="18"/>
  <c r="J201" i="12"/>
  <c r="J200" i="12"/>
  <c r="D25" i="19"/>
  <c r="D40" i="12"/>
  <c r="D38" i="12"/>
  <c r="K68" i="20"/>
  <c r="K135" i="12"/>
  <c r="K131" i="12"/>
  <c r="K228" i="12"/>
  <c r="H13" i="21"/>
  <c r="I11" i="25"/>
  <c r="I13" i="26"/>
  <c r="I48" i="12"/>
  <c r="G11" i="27"/>
  <c r="G10" i="27"/>
  <c r="J30" i="28"/>
  <c r="J29" i="28"/>
  <c r="J28" i="28"/>
  <c r="I29" i="28"/>
  <c r="I28" i="28"/>
  <c r="J336" i="32"/>
  <c r="J413" i="32"/>
  <c r="J458" i="32"/>
  <c r="E42" i="34"/>
  <c r="D46" i="27"/>
  <c r="D45" i="27"/>
  <c r="D11" i="27"/>
  <c r="D10" i="27"/>
  <c r="J205" i="32"/>
  <c r="G661" i="32"/>
  <c r="G707" i="32"/>
  <c r="G735" i="32"/>
  <c r="I107" i="31"/>
  <c r="J107" i="31"/>
  <c r="H69" i="19"/>
  <c r="I78" i="19"/>
  <c r="I110" i="19"/>
  <c r="I57" i="21"/>
  <c r="I63" i="22"/>
  <c r="I62" i="22"/>
  <c r="I50" i="22"/>
  <c r="I13" i="27"/>
  <c r="J14" i="27"/>
  <c r="J13" i="27"/>
  <c r="I28" i="27"/>
  <c r="I55" i="12"/>
  <c r="L55" i="12"/>
  <c r="I225" i="32"/>
  <c r="I367" i="32"/>
  <c r="J327" i="32"/>
  <c r="G612" i="32"/>
  <c r="G675" i="32"/>
  <c r="D42" i="34"/>
  <c r="J83" i="17"/>
  <c r="H38" i="20"/>
  <c r="F90" i="21"/>
  <c r="G51" i="22"/>
  <c r="G50" i="22"/>
  <c r="J77" i="25"/>
  <c r="J126" i="12"/>
  <c r="L126" i="12"/>
  <c r="I77" i="27"/>
  <c r="J78" i="27"/>
  <c r="J77" i="27"/>
  <c r="J150" i="12"/>
  <c r="G25" i="32"/>
  <c r="G24" i="32"/>
  <c r="G32" i="32"/>
  <c r="I84" i="31"/>
  <c r="I82" i="31"/>
  <c r="J486" i="32"/>
  <c r="K47" i="20"/>
  <c r="K106" i="12"/>
  <c r="K227" i="12"/>
  <c r="I25" i="21"/>
  <c r="I43" i="12"/>
  <c r="K10" i="25"/>
  <c r="K11" i="25"/>
  <c r="K51" i="12"/>
  <c r="K50" i="12"/>
  <c r="K252" i="12"/>
  <c r="J13" i="26"/>
  <c r="J48" i="12"/>
  <c r="J47" i="12"/>
  <c r="J251" i="12"/>
  <c r="I29" i="26"/>
  <c r="I49" i="12"/>
  <c r="L49" i="12"/>
  <c r="J186" i="32"/>
  <c r="J282" i="32"/>
  <c r="G636" i="32"/>
  <c r="G621" i="32"/>
  <c r="G671" i="32"/>
  <c r="H791" i="32"/>
  <c r="I13" i="21"/>
  <c r="F28" i="28"/>
  <c r="G644" i="32"/>
  <c r="I569" i="32"/>
  <c r="I568" i="32"/>
  <c r="I567" i="32"/>
  <c r="I102" i="31"/>
  <c r="J102" i="31"/>
  <c r="H764" i="32"/>
  <c r="I108" i="31"/>
  <c r="J108" i="31"/>
  <c r="D8" i="36"/>
  <c r="J73" i="43"/>
  <c r="J476" i="32"/>
  <c r="E31" i="36"/>
  <c r="D31" i="36"/>
  <c r="C10" i="41"/>
  <c r="D9" i="36"/>
  <c r="Q90" i="5"/>
  <c r="K12" i="3"/>
  <c r="J28" i="3"/>
  <c r="Q92" i="5"/>
  <c r="J403" i="32"/>
  <c r="J122" i="32"/>
  <c r="J118" i="12"/>
  <c r="J116" i="12"/>
  <c r="J249" i="12"/>
  <c r="J91" i="21"/>
  <c r="O241" i="13"/>
  <c r="K225" i="13"/>
  <c r="K226" i="13"/>
  <c r="K208" i="13"/>
  <c r="K209" i="13"/>
  <c r="H34" i="12"/>
  <c r="H32" i="12"/>
  <c r="H246" i="12"/>
  <c r="H12" i="17"/>
  <c r="Q245" i="13"/>
  <c r="Q225" i="13"/>
  <c r="O260" i="13"/>
  <c r="K145" i="13"/>
  <c r="K146" i="13"/>
  <c r="S105" i="13"/>
  <c r="Q64" i="13"/>
  <c r="N287" i="13"/>
  <c r="Q47" i="13"/>
  <c r="V47" i="13"/>
  <c r="F218" i="12"/>
  <c r="K28" i="3"/>
  <c r="C41" i="41"/>
  <c r="I28" i="3"/>
  <c r="F160" i="12"/>
  <c r="F159" i="12"/>
  <c r="H44" i="19"/>
  <c r="H43" i="19"/>
  <c r="H108" i="19"/>
  <c r="H114" i="12"/>
  <c r="H113" i="12"/>
  <c r="L76" i="12"/>
  <c r="I75" i="12"/>
  <c r="L75" i="12"/>
  <c r="J45" i="18"/>
  <c r="J111" i="12"/>
  <c r="J110" i="12"/>
  <c r="H11" i="18"/>
  <c r="H37" i="12"/>
  <c r="H35" i="12"/>
  <c r="J80" i="17"/>
  <c r="J34" i="17"/>
  <c r="J108" i="12"/>
  <c r="E107" i="14"/>
  <c r="E10" i="14"/>
  <c r="K12" i="14"/>
  <c r="K11" i="14"/>
  <c r="K10" i="14"/>
  <c r="K22" i="12"/>
  <c r="S180" i="13"/>
  <c r="S144" i="13"/>
  <c r="S138" i="13"/>
  <c r="S99" i="13"/>
  <c r="R86" i="13"/>
  <c r="V83" i="13"/>
  <c r="S83" i="13"/>
  <c r="P45" i="13"/>
  <c r="O45" i="13"/>
  <c r="S45" i="13"/>
  <c r="G247" i="12"/>
  <c r="F246" i="12"/>
  <c r="O53" i="13"/>
  <c r="J82" i="31"/>
  <c r="D248" i="12"/>
  <c r="D19" i="12"/>
  <c r="D18" i="12"/>
  <c r="U106" i="13"/>
  <c r="P245" i="12"/>
  <c r="S92" i="13"/>
  <c r="Q242" i="12"/>
  <c r="J13" i="19"/>
  <c r="J12" i="19"/>
  <c r="J39" i="12"/>
  <c r="I11" i="18"/>
  <c r="I36" i="12"/>
  <c r="I12" i="14"/>
  <c r="I21" i="12"/>
  <c r="J13" i="20"/>
  <c r="J12" i="20"/>
  <c r="J30" i="12"/>
  <c r="J29" i="12"/>
  <c r="E10" i="16"/>
  <c r="U239" i="13"/>
  <c r="U245" i="13"/>
  <c r="P252" i="12"/>
  <c r="I44" i="19"/>
  <c r="I43" i="19"/>
  <c r="I108" i="19"/>
  <c r="I114" i="12"/>
  <c r="I129" i="12"/>
  <c r="L96" i="12"/>
  <c r="S256" i="13"/>
  <c r="P256" i="13"/>
  <c r="O256" i="13"/>
  <c r="P206" i="13"/>
  <c r="O206" i="13"/>
  <c r="S206" i="13"/>
  <c r="U271" i="13"/>
  <c r="P253" i="12"/>
  <c r="T271" i="13"/>
  <c r="N253" i="12"/>
  <c r="C13" i="42"/>
  <c r="K11" i="19"/>
  <c r="O127" i="13"/>
  <c r="T86" i="13"/>
  <c r="N244" i="12"/>
  <c r="C4" i="42"/>
  <c r="S73" i="13"/>
  <c r="P73" i="13"/>
  <c r="P197" i="13"/>
  <c r="O197" i="13"/>
  <c r="S104" i="13"/>
  <c r="P103" i="13"/>
  <c r="O103" i="13"/>
  <c r="P74" i="13"/>
  <c r="O74" i="13"/>
  <c r="M287" i="13"/>
  <c r="Q106" i="13"/>
  <c r="P60" i="13"/>
  <c r="O60" i="13"/>
  <c r="P119" i="13"/>
  <c r="O119" i="13"/>
  <c r="P33" i="13"/>
  <c r="O33" i="13"/>
  <c r="P27" i="13"/>
  <c r="O27" i="13"/>
  <c r="E242" i="12"/>
  <c r="E241" i="12"/>
  <c r="D234" i="12"/>
  <c r="D233" i="12"/>
  <c r="S264" i="13"/>
  <c r="P264" i="13"/>
  <c r="O264" i="13"/>
  <c r="S266" i="13"/>
  <c r="P266" i="13"/>
  <c r="O266" i="13"/>
  <c r="J38" i="25"/>
  <c r="J37" i="25"/>
  <c r="J52" i="12"/>
  <c r="I37" i="25"/>
  <c r="I52" i="12"/>
  <c r="L52" i="12"/>
  <c r="H23" i="12"/>
  <c r="H243" i="12"/>
  <c r="I90" i="18"/>
  <c r="J90" i="18"/>
  <c r="I201" i="12"/>
  <c r="J12" i="14"/>
  <c r="J21" i="12"/>
  <c r="S241" i="13"/>
  <c r="I518" i="32"/>
  <c r="I79" i="17"/>
  <c r="I34" i="12"/>
  <c r="D13" i="19"/>
  <c r="D12" i="19"/>
  <c r="J44" i="19"/>
  <c r="J43" i="19"/>
  <c r="J108" i="19"/>
  <c r="J114" i="12"/>
  <c r="J113" i="12"/>
  <c r="L22" i="12"/>
  <c r="I222" i="12"/>
  <c r="K38" i="20"/>
  <c r="J227" i="12"/>
  <c r="S240" i="13"/>
  <c r="J131" i="12"/>
  <c r="L132" i="12"/>
  <c r="P200" i="13"/>
  <c r="O200" i="13"/>
  <c r="J12" i="16"/>
  <c r="K106" i="19"/>
  <c r="P143" i="13"/>
  <c r="O143" i="13"/>
  <c r="S143" i="13"/>
  <c r="O198" i="13"/>
  <c r="P102" i="13"/>
  <c r="O102" i="13"/>
  <c r="P58" i="13"/>
  <c r="O58" i="13"/>
  <c r="R106" i="13"/>
  <c r="K64" i="13"/>
  <c r="K65" i="13"/>
  <c r="U56" i="13"/>
  <c r="U64" i="13"/>
  <c r="P243" i="12"/>
  <c r="P118" i="13"/>
  <c r="O118" i="13"/>
  <c r="P32" i="13"/>
  <c r="O32" i="13"/>
  <c r="E220" i="12"/>
  <c r="E219" i="12"/>
  <c r="E218" i="12"/>
  <c r="F235" i="12"/>
  <c r="F234" i="12"/>
  <c r="F233" i="12"/>
  <c r="F255" i="12"/>
  <c r="D222" i="12"/>
  <c r="D220" i="12"/>
  <c r="D219" i="12"/>
  <c r="G654" i="32"/>
  <c r="I105" i="31"/>
  <c r="I605" i="32"/>
  <c r="I51" i="12"/>
  <c r="I108" i="14"/>
  <c r="I107" i="14"/>
  <c r="I163" i="12"/>
  <c r="H80" i="18"/>
  <c r="H79" i="18"/>
  <c r="H12" i="14"/>
  <c r="H11" i="14"/>
  <c r="H10" i="14"/>
  <c r="H21" i="12"/>
  <c r="S239" i="13"/>
  <c r="P239" i="13"/>
  <c r="O239" i="13"/>
  <c r="S204" i="13"/>
  <c r="P204" i="13"/>
  <c r="O204" i="13"/>
  <c r="L37" i="12"/>
  <c r="I13" i="19"/>
  <c r="I12" i="19"/>
  <c r="K245" i="13"/>
  <c r="K246" i="13"/>
  <c r="I73" i="18"/>
  <c r="J74" i="18"/>
  <c r="J222" i="12"/>
  <c r="V245" i="13"/>
  <c r="Q252" i="12"/>
  <c r="J38" i="20"/>
  <c r="O195" i="13"/>
  <c r="F11" i="19"/>
  <c r="I71" i="14"/>
  <c r="I96" i="12"/>
  <c r="S235" i="13"/>
  <c r="K166" i="13"/>
  <c r="K167" i="13"/>
  <c r="Q208" i="13"/>
  <c r="O137" i="13"/>
  <c r="S135" i="13"/>
  <c r="S96" i="13"/>
  <c r="U80" i="13"/>
  <c r="S80" i="13"/>
  <c r="L287" i="13"/>
  <c r="M242" i="12"/>
  <c r="K234" i="12"/>
  <c r="K233" i="12"/>
  <c r="C218" i="12"/>
  <c r="E239" i="12"/>
  <c r="I9" i="11"/>
  <c r="H68" i="19"/>
  <c r="H109" i="19"/>
  <c r="H149" i="12"/>
  <c r="H145" i="12"/>
  <c r="P282" i="13"/>
  <c r="O282" i="13"/>
  <c r="O283" i="13"/>
  <c r="S282" i="13"/>
  <c r="S283" i="13"/>
  <c r="N254" i="12"/>
  <c r="I45" i="18"/>
  <c r="I111" i="12"/>
  <c r="J12" i="17"/>
  <c r="J70" i="12"/>
  <c r="J69" i="12"/>
  <c r="J56" i="12"/>
  <c r="J223" i="12"/>
  <c r="H12" i="27"/>
  <c r="H11" i="27"/>
  <c r="H10" i="27"/>
  <c r="H54" i="12"/>
  <c r="H53" i="12"/>
  <c r="H253" i="12"/>
  <c r="H12" i="16"/>
  <c r="H27" i="12"/>
  <c r="H26" i="12"/>
  <c r="H244" i="12"/>
  <c r="P208" i="13"/>
  <c r="O194" i="13"/>
  <c r="I37" i="20"/>
  <c r="I36" i="20"/>
  <c r="I105" i="12"/>
  <c r="S237" i="13"/>
  <c r="P237" i="13"/>
  <c r="O237" i="13"/>
  <c r="F106" i="19"/>
  <c r="T245" i="13"/>
  <c r="N252" i="12"/>
  <c r="C12" i="42"/>
  <c r="S141" i="13"/>
  <c r="P141" i="13"/>
  <c r="O141" i="13"/>
  <c r="U219" i="13"/>
  <c r="P104" i="13"/>
  <c r="O104" i="13"/>
  <c r="S53" i="13"/>
  <c r="T64" i="13"/>
  <c r="N243" i="12"/>
  <c r="C3" i="42"/>
  <c r="K47" i="13"/>
  <c r="P96" i="13"/>
  <c r="O96" i="13"/>
  <c r="O80" i="13"/>
  <c r="P83" i="13"/>
  <c r="O83" i="13"/>
  <c r="P59" i="13"/>
  <c r="O59" i="13"/>
  <c r="P24" i="13"/>
  <c r="O24" i="13"/>
  <c r="S24" i="13"/>
  <c r="C234" i="12"/>
  <c r="C233" i="12"/>
  <c r="U26" i="13"/>
  <c r="I91" i="21"/>
  <c r="I117" i="12"/>
  <c r="I116" i="12"/>
  <c r="L116" i="12"/>
  <c r="C35" i="41"/>
  <c r="F42" i="33"/>
  <c r="F44" i="33"/>
  <c r="H44" i="33"/>
  <c r="J108" i="14"/>
  <c r="J107" i="14"/>
  <c r="J163" i="12"/>
  <c r="H44" i="12"/>
  <c r="H250" i="12"/>
  <c r="S263" i="13"/>
  <c r="I12" i="17"/>
  <c r="I70" i="12"/>
  <c r="I12" i="16"/>
  <c r="I27" i="12"/>
  <c r="J263" i="32"/>
  <c r="K83" i="17"/>
  <c r="H237" i="12"/>
  <c r="C23" i="7"/>
  <c r="C21" i="7"/>
  <c r="H162" i="12"/>
  <c r="H161" i="12"/>
  <c r="H160" i="12"/>
  <c r="H159" i="12"/>
  <c r="J79" i="17"/>
  <c r="O235" i="13"/>
  <c r="H48" i="16"/>
  <c r="P263" i="13"/>
  <c r="O263" i="13"/>
  <c r="O178" i="13"/>
  <c r="H45" i="18"/>
  <c r="H10" i="18"/>
  <c r="H9" i="18"/>
  <c r="H111" i="12"/>
  <c r="H110" i="12"/>
  <c r="H247" i="12"/>
  <c r="O176" i="13"/>
  <c r="P184" i="13"/>
  <c r="K106" i="13"/>
  <c r="K107" i="13"/>
  <c r="O203" i="13"/>
  <c r="U208" i="13"/>
  <c r="P250" i="12"/>
  <c r="T145" i="13"/>
  <c r="N247" i="12"/>
  <c r="C7" i="42"/>
  <c r="S127" i="13"/>
  <c r="S84" i="13"/>
  <c r="O92" i="13"/>
  <c r="P95" i="13"/>
  <c r="O95" i="13"/>
  <c r="P56" i="13"/>
  <c r="O56" i="13"/>
  <c r="P82" i="13"/>
  <c r="O82" i="13"/>
  <c r="O100" i="13"/>
  <c r="H235" i="12"/>
  <c r="H234" i="12"/>
  <c r="H233" i="12"/>
  <c r="C14" i="7"/>
  <c r="C13" i="7"/>
  <c r="G160" i="12"/>
  <c r="G159" i="12"/>
  <c r="K221" i="12"/>
  <c r="H227" i="12"/>
  <c r="C19" i="7"/>
  <c r="Q66" i="6"/>
  <c r="D65" i="6"/>
  <c r="I47" i="12"/>
  <c r="L48" i="12"/>
  <c r="I90" i="21"/>
  <c r="J90" i="21"/>
  <c r="I42" i="12"/>
  <c r="I41" i="12"/>
  <c r="I76" i="27"/>
  <c r="J76" i="27"/>
  <c r="I150" i="12"/>
  <c r="L150" i="12"/>
  <c r="H37" i="20"/>
  <c r="H36" i="20"/>
  <c r="H105" i="12"/>
  <c r="G71" i="14"/>
  <c r="G96" i="12"/>
  <c r="H10" i="25"/>
  <c r="H51" i="12"/>
  <c r="H50" i="12"/>
  <c r="H252" i="12"/>
  <c r="D71" i="14"/>
  <c r="D96" i="12"/>
  <c r="G11" i="22"/>
  <c r="G45" i="12"/>
  <c r="V271" i="13"/>
  <c r="Q253" i="12"/>
  <c r="H13" i="19"/>
  <c r="H12" i="19"/>
  <c r="H40" i="12"/>
  <c r="H38" i="12"/>
  <c r="H248" i="12"/>
  <c r="O255" i="13"/>
  <c r="I98" i="12"/>
  <c r="P258" i="13"/>
  <c r="T225" i="13"/>
  <c r="N251" i="12"/>
  <c r="C11" i="42"/>
  <c r="S217" i="13"/>
  <c r="T166" i="13"/>
  <c r="N248" i="12"/>
  <c r="C8" i="42"/>
  <c r="P154" i="13"/>
  <c r="S154" i="13"/>
  <c r="O269" i="13"/>
  <c r="S222" i="13"/>
  <c r="P222" i="13"/>
  <c r="O222" i="13"/>
  <c r="P224" i="13"/>
  <c r="O224" i="13"/>
  <c r="S140" i="13"/>
  <c r="Q145" i="13"/>
  <c r="U178" i="13"/>
  <c r="S179" i="13"/>
  <c r="V106" i="13"/>
  <c r="Q245" i="12"/>
  <c r="T106" i="13"/>
  <c r="N245" i="12"/>
  <c r="C5" i="42"/>
  <c r="S61" i="13"/>
  <c r="P135" i="13"/>
  <c r="O135" i="13"/>
  <c r="P94" i="13"/>
  <c r="O94" i="13"/>
  <c r="P55" i="13"/>
  <c r="O55" i="13"/>
  <c r="P61" i="13"/>
  <c r="O61" i="13"/>
  <c r="S34" i="13"/>
  <c r="R287" i="13"/>
  <c r="O29" i="13"/>
  <c r="L155" i="12"/>
  <c r="I232" i="12"/>
  <c r="L232" i="12"/>
  <c r="C19" i="12"/>
  <c r="C18" i="12"/>
  <c r="C17" i="12"/>
  <c r="C242" i="12"/>
  <c r="C241" i="12"/>
  <c r="F242" i="12"/>
  <c r="F241" i="12"/>
  <c r="F19" i="12"/>
  <c r="F18" i="12"/>
  <c r="F17" i="12"/>
  <c r="Q94" i="5"/>
  <c r="Q96" i="5"/>
  <c r="E135" i="36"/>
  <c r="H812" i="32"/>
  <c r="I111" i="31"/>
  <c r="J111" i="31"/>
  <c r="J12" i="27"/>
  <c r="J54" i="12"/>
  <c r="I237" i="12"/>
  <c r="L237" i="12"/>
  <c r="L164" i="12"/>
  <c r="L106" i="12"/>
  <c r="I122" i="12"/>
  <c r="L122" i="12"/>
  <c r="L123" i="12"/>
  <c r="H47" i="12"/>
  <c r="H251" i="12"/>
  <c r="K271" i="13"/>
  <c r="K272" i="13"/>
  <c r="I49" i="16"/>
  <c r="I48" i="16"/>
  <c r="I102" i="12"/>
  <c r="H11" i="20"/>
  <c r="H10" i="20"/>
  <c r="J39" i="15"/>
  <c r="J99" i="12"/>
  <c r="K40" i="15"/>
  <c r="K39" i="15"/>
  <c r="K99" i="12"/>
  <c r="P242" i="13"/>
  <c r="O242" i="13"/>
  <c r="S242" i="13"/>
  <c r="Q271" i="13"/>
  <c r="L106" i="19"/>
  <c r="L86" i="14"/>
  <c r="L97" i="12"/>
  <c r="I97" i="12"/>
  <c r="I227" i="12"/>
  <c r="L227" i="12"/>
  <c r="S262" i="13"/>
  <c r="P217" i="13"/>
  <c r="S158" i="13"/>
  <c r="T120" i="13"/>
  <c r="N246" i="12"/>
  <c r="C6" i="42"/>
  <c r="S115" i="13"/>
  <c r="S120" i="13"/>
  <c r="S121" i="13"/>
  <c r="P115" i="13"/>
  <c r="U86" i="13"/>
  <c r="P244" i="12"/>
  <c r="V166" i="13"/>
  <c r="Q248" i="12"/>
  <c r="V145" i="13"/>
  <c r="Q247" i="12"/>
  <c r="K86" i="13"/>
  <c r="K87" i="13"/>
  <c r="P157" i="13"/>
  <c r="O157" i="13"/>
  <c r="S157" i="13"/>
  <c r="O91" i="13"/>
  <c r="O106" i="13"/>
  <c r="S76" i="13"/>
  <c r="S106" i="13"/>
  <c r="S21" i="13"/>
  <c r="T47" i="13"/>
  <c r="P21" i="13"/>
  <c r="S57" i="13"/>
  <c r="P57" i="13"/>
  <c r="O57" i="13"/>
  <c r="P134" i="13"/>
  <c r="O134" i="13"/>
  <c r="S35" i="13"/>
  <c r="K160" i="12"/>
  <c r="K159" i="12"/>
  <c r="J125" i="12"/>
  <c r="L125" i="12"/>
  <c r="I38" i="12"/>
  <c r="E234" i="12"/>
  <c r="E233" i="12"/>
  <c r="L250" i="12"/>
  <c r="K13" i="3"/>
  <c r="Q91" i="5"/>
  <c r="I98" i="31"/>
  <c r="I226" i="32"/>
  <c r="H90" i="21"/>
  <c r="H42" i="12"/>
  <c r="H41" i="12"/>
  <c r="H249" i="12"/>
  <c r="D135" i="36"/>
  <c r="G670" i="32"/>
  <c r="G699" i="32"/>
  <c r="I106" i="31"/>
  <c r="J106" i="31"/>
  <c r="C38" i="41"/>
  <c r="I12" i="27"/>
  <c r="I54" i="12"/>
  <c r="J240" i="12"/>
  <c r="J199" i="12"/>
  <c r="J238" i="12"/>
  <c r="J239" i="12"/>
  <c r="J71" i="14"/>
  <c r="J96" i="12"/>
  <c r="J11" i="18"/>
  <c r="J36" i="12"/>
  <c r="J35" i="12"/>
  <c r="S244" i="13"/>
  <c r="P244" i="13"/>
  <c r="O244" i="13"/>
  <c r="J10" i="25"/>
  <c r="J51" i="12"/>
  <c r="J50" i="12"/>
  <c r="J252" i="12"/>
  <c r="O252" i="12"/>
  <c r="D12" i="42"/>
  <c r="E12" i="42"/>
  <c r="F12" i="42"/>
  <c r="I13" i="20"/>
  <c r="I12" i="20"/>
  <c r="I30" i="12"/>
  <c r="J49" i="16"/>
  <c r="J48" i="16"/>
  <c r="J102" i="12"/>
  <c r="J101" i="12"/>
  <c r="J244" i="12"/>
  <c r="O244" i="12"/>
  <c r="D4" i="42"/>
  <c r="E4" i="42"/>
  <c r="F4" i="42"/>
  <c r="T208" i="13"/>
  <c r="N250" i="12"/>
  <c r="C10" i="42"/>
  <c r="S194" i="13"/>
  <c r="S208" i="13"/>
  <c r="P265" i="13"/>
  <c r="O265" i="13"/>
  <c r="L11" i="19"/>
  <c r="P261" i="13"/>
  <c r="O261" i="13"/>
  <c r="S261" i="13"/>
  <c r="S255" i="13"/>
  <c r="V86" i="13"/>
  <c r="Q244" i="12"/>
  <c r="S159" i="13"/>
  <c r="P159" i="13"/>
  <c r="O159" i="13"/>
  <c r="T184" i="13"/>
  <c r="N249" i="12"/>
  <c r="P77" i="13"/>
  <c r="O77" i="13"/>
  <c r="O62" i="13"/>
  <c r="P142" i="13"/>
  <c r="O142" i="13"/>
  <c r="P75" i="13"/>
  <c r="O75" i="13"/>
  <c r="U47" i="13"/>
  <c r="P76" i="13"/>
  <c r="O76" i="13"/>
  <c r="P133" i="13"/>
  <c r="O133" i="13"/>
  <c r="S46" i="13"/>
  <c r="P46" i="13"/>
  <c r="O46" i="13"/>
  <c r="S44" i="13"/>
  <c r="P44" i="13"/>
  <c r="O44" i="13"/>
  <c r="S26" i="13"/>
  <c r="C160" i="12"/>
  <c r="C159" i="12"/>
  <c r="S23" i="13"/>
  <c r="P23" i="13"/>
  <c r="O23" i="13"/>
  <c r="P34" i="13"/>
  <c r="O34" i="13"/>
  <c r="P26" i="13"/>
  <c r="O26" i="13"/>
  <c r="P25" i="13"/>
  <c r="O25" i="13"/>
  <c r="E17" i="12"/>
  <c r="D160" i="12"/>
  <c r="D159" i="12"/>
  <c r="H28" i="3"/>
  <c r="C9" i="42"/>
  <c r="O249" i="12"/>
  <c r="D9" i="42"/>
  <c r="E9" i="42"/>
  <c r="F9" i="42"/>
  <c r="J98" i="12"/>
  <c r="J243" i="12"/>
  <c r="O243" i="12"/>
  <c r="D3" i="42"/>
  <c r="E3" i="42"/>
  <c r="F3" i="42"/>
  <c r="L99" i="12"/>
  <c r="S178" i="13"/>
  <c r="S184" i="13"/>
  <c r="U184" i="13"/>
  <c r="P249" i="12"/>
  <c r="O258" i="13"/>
  <c r="P271" i="13"/>
  <c r="C255" i="12"/>
  <c r="Q287" i="13"/>
  <c r="I11" i="14"/>
  <c r="I10" i="14"/>
  <c r="K222" i="12"/>
  <c r="K20" i="12"/>
  <c r="J107" i="12"/>
  <c r="L108" i="12"/>
  <c r="I46" i="27"/>
  <c r="L41" i="12"/>
  <c r="L249" i="12"/>
  <c r="I249" i="12"/>
  <c r="S56" i="13"/>
  <c r="S64" i="13"/>
  <c r="S65" i="13"/>
  <c r="P245" i="13"/>
  <c r="I11" i="16"/>
  <c r="I10" i="16"/>
  <c r="F37" i="33"/>
  <c r="H42" i="33"/>
  <c r="H37" i="33"/>
  <c r="H36" i="33"/>
  <c r="H222" i="12"/>
  <c r="C18" i="7"/>
  <c r="C17" i="7"/>
  <c r="C14" i="42"/>
  <c r="O254" i="12"/>
  <c r="D14" i="42"/>
  <c r="E14" i="42"/>
  <c r="F14" i="42"/>
  <c r="J11" i="16"/>
  <c r="J10" i="16"/>
  <c r="J221" i="12"/>
  <c r="J220" i="12"/>
  <c r="J219" i="12"/>
  <c r="J20" i="12"/>
  <c r="S86" i="13"/>
  <c r="S87" i="13"/>
  <c r="I113" i="12"/>
  <c r="L113" i="12"/>
  <c r="L114" i="12"/>
  <c r="I35" i="12"/>
  <c r="L36" i="12"/>
  <c r="O64" i="13"/>
  <c r="I26" i="12"/>
  <c r="L27" i="12"/>
  <c r="I248" i="12"/>
  <c r="S209" i="13"/>
  <c r="L54" i="12"/>
  <c r="I53" i="12"/>
  <c r="O250" i="12"/>
  <c r="D10" i="42"/>
  <c r="E10" i="42"/>
  <c r="F10" i="42"/>
  <c r="P47" i="13"/>
  <c r="O21" i="13"/>
  <c r="O47" i="13"/>
  <c r="H107" i="19"/>
  <c r="H106" i="19"/>
  <c r="H11" i="19"/>
  <c r="O245" i="13"/>
  <c r="O246" i="13"/>
  <c r="I69" i="12"/>
  <c r="L70" i="12"/>
  <c r="H11" i="16"/>
  <c r="H10" i="16"/>
  <c r="B2" i="42"/>
  <c r="M255" i="12"/>
  <c r="S245" i="13"/>
  <c r="S246" i="13"/>
  <c r="J11" i="14"/>
  <c r="J10" i="14"/>
  <c r="I10" i="18"/>
  <c r="I9" i="18"/>
  <c r="P64" i="13"/>
  <c r="O154" i="13"/>
  <c r="O166" i="13"/>
  <c r="P166" i="13"/>
  <c r="I104" i="31"/>
  <c r="C32" i="41"/>
  <c r="J105" i="31"/>
  <c r="J104" i="31"/>
  <c r="I96" i="31"/>
  <c r="J98" i="31"/>
  <c r="J96" i="31"/>
  <c r="T287" i="13"/>
  <c r="N242" i="12"/>
  <c r="O217" i="13"/>
  <c r="O225" i="13"/>
  <c r="P225" i="13"/>
  <c r="G226" i="12"/>
  <c r="G225" i="12"/>
  <c r="G224" i="12"/>
  <c r="G95" i="12"/>
  <c r="O184" i="13"/>
  <c r="O185" i="13"/>
  <c r="O251" i="12"/>
  <c r="D11" i="42"/>
  <c r="E11" i="42"/>
  <c r="F11" i="42"/>
  <c r="I226" i="12"/>
  <c r="I95" i="12"/>
  <c r="J73" i="18"/>
  <c r="J148" i="12"/>
  <c r="J145" i="12"/>
  <c r="I148" i="12"/>
  <c r="I50" i="12"/>
  <c r="L51" i="12"/>
  <c r="I200" i="12"/>
  <c r="L201" i="12"/>
  <c r="J38" i="12"/>
  <c r="L39" i="12"/>
  <c r="I162" i="12"/>
  <c r="I236" i="12"/>
  <c r="L163" i="12"/>
  <c r="P242" i="12"/>
  <c r="S47" i="13"/>
  <c r="K98" i="12"/>
  <c r="G44" i="12"/>
  <c r="G221" i="12"/>
  <c r="G220" i="12"/>
  <c r="G219" i="12"/>
  <c r="G218" i="12"/>
  <c r="G255" i="12"/>
  <c r="I251" i="12"/>
  <c r="L47" i="12"/>
  <c r="L251" i="12"/>
  <c r="H144" i="12"/>
  <c r="H230" i="12"/>
  <c r="H229" i="12"/>
  <c r="C12" i="7"/>
  <c r="I10" i="25"/>
  <c r="J228" i="12"/>
  <c r="L228" i="12"/>
  <c r="L131" i="12"/>
  <c r="D11" i="19"/>
  <c r="D107" i="19"/>
  <c r="D106" i="19"/>
  <c r="O145" i="13"/>
  <c r="J11" i="19"/>
  <c r="M11" i="19"/>
  <c r="J107" i="19"/>
  <c r="J106" i="19"/>
  <c r="K287" i="13"/>
  <c r="K48" i="13"/>
  <c r="O73" i="13"/>
  <c r="O86" i="13"/>
  <c r="P86" i="13"/>
  <c r="S271" i="13"/>
  <c r="S272" i="13"/>
  <c r="J10" i="18"/>
  <c r="J9" i="18"/>
  <c r="Q98" i="5"/>
  <c r="Q93" i="5"/>
  <c r="S107" i="13"/>
  <c r="L98" i="12"/>
  <c r="L243" i="12"/>
  <c r="I243" i="12"/>
  <c r="H104" i="12"/>
  <c r="H226" i="12"/>
  <c r="Q65" i="6"/>
  <c r="D64" i="6"/>
  <c r="S145" i="13"/>
  <c r="S146" i="13"/>
  <c r="U225" i="13"/>
  <c r="P251" i="12"/>
  <c r="S219" i="13"/>
  <c r="S225" i="13"/>
  <c r="S226" i="13"/>
  <c r="I104" i="12"/>
  <c r="I107" i="19"/>
  <c r="I106" i="19"/>
  <c r="I11" i="19"/>
  <c r="H221" i="12"/>
  <c r="H20" i="12"/>
  <c r="E255" i="12"/>
  <c r="L34" i="12"/>
  <c r="I32" i="12"/>
  <c r="P145" i="13"/>
  <c r="Q255" i="12"/>
  <c r="J236" i="12"/>
  <c r="J235" i="12"/>
  <c r="J234" i="12"/>
  <c r="J233" i="12"/>
  <c r="J162" i="12"/>
  <c r="J161" i="12"/>
  <c r="J160" i="12"/>
  <c r="J159" i="12"/>
  <c r="L71" i="14"/>
  <c r="L11" i="14"/>
  <c r="L10" i="14"/>
  <c r="V287" i="13"/>
  <c r="L30" i="12"/>
  <c r="I29" i="12"/>
  <c r="J95" i="12"/>
  <c r="I11" i="20"/>
  <c r="I10" i="20"/>
  <c r="P106" i="13"/>
  <c r="O107" i="13"/>
  <c r="P120" i="13"/>
  <c r="O115" i="13"/>
  <c r="O120" i="13"/>
  <c r="O121" i="13"/>
  <c r="I101" i="12"/>
  <c r="L101" i="12"/>
  <c r="L102" i="12"/>
  <c r="S166" i="13"/>
  <c r="S167" i="13"/>
  <c r="O271" i="13"/>
  <c r="O272" i="13"/>
  <c r="D95" i="12"/>
  <c r="D226" i="12"/>
  <c r="D225" i="12"/>
  <c r="D224" i="12"/>
  <c r="D218" i="12"/>
  <c r="D255" i="12"/>
  <c r="O208" i="13"/>
  <c r="O209" i="13"/>
  <c r="I110" i="12"/>
  <c r="L110" i="12"/>
  <c r="L111" i="12"/>
  <c r="J37" i="20"/>
  <c r="J36" i="20"/>
  <c r="J11" i="20"/>
  <c r="J10" i="20"/>
  <c r="J105" i="12"/>
  <c r="J104" i="12"/>
  <c r="J245" i="12"/>
  <c r="O245" i="12"/>
  <c r="D5" i="42"/>
  <c r="E5" i="42"/>
  <c r="F5" i="42"/>
  <c r="K37" i="20"/>
  <c r="K36" i="20"/>
  <c r="K11" i="20"/>
  <c r="K10" i="20"/>
  <c r="K105" i="12"/>
  <c r="K104" i="12"/>
  <c r="K245" i="12"/>
  <c r="I128" i="12"/>
  <c r="L128" i="12"/>
  <c r="L129" i="12"/>
  <c r="I20" i="12"/>
  <c r="I221" i="12"/>
  <c r="L21" i="12"/>
  <c r="J94" i="12"/>
  <c r="J93" i="12"/>
  <c r="O146" i="13"/>
  <c r="P255" i="12"/>
  <c r="J248" i="12"/>
  <c r="O248" i="12"/>
  <c r="D8" i="42"/>
  <c r="E8" i="42"/>
  <c r="F8" i="42"/>
  <c r="L38" i="12"/>
  <c r="L248" i="12"/>
  <c r="O226" i="13"/>
  <c r="L107" i="12"/>
  <c r="J246" i="12"/>
  <c r="O246" i="12"/>
  <c r="D6" i="42"/>
  <c r="E6" i="42"/>
  <c r="F6" i="42"/>
  <c r="K19" i="12"/>
  <c r="K18" i="12"/>
  <c r="K242" i="12"/>
  <c r="K220" i="12"/>
  <c r="K219" i="12"/>
  <c r="L222" i="12"/>
  <c r="S185" i="13"/>
  <c r="S287" i="13"/>
  <c r="S48" i="13"/>
  <c r="I220" i="12"/>
  <c r="L221" i="12"/>
  <c r="I244" i="12"/>
  <c r="L26" i="12"/>
  <c r="L244" i="12"/>
  <c r="I242" i="12"/>
  <c r="I19" i="12"/>
  <c r="L20" i="12"/>
  <c r="L105" i="12"/>
  <c r="H245" i="12"/>
  <c r="H94" i="12"/>
  <c r="H93" i="12"/>
  <c r="U287" i="13"/>
  <c r="I199" i="12"/>
  <c r="I240" i="12"/>
  <c r="L240" i="12"/>
  <c r="L200" i="12"/>
  <c r="L69" i="12"/>
  <c r="I56" i="12"/>
  <c r="J242" i="12"/>
  <c r="L104" i="12"/>
  <c r="C28" i="41"/>
  <c r="I81" i="31"/>
  <c r="I253" i="12"/>
  <c r="J53" i="12"/>
  <c r="O65" i="13"/>
  <c r="H220" i="12"/>
  <c r="H219" i="12"/>
  <c r="C10" i="7"/>
  <c r="I246" i="12"/>
  <c r="L32" i="12"/>
  <c r="L246" i="12"/>
  <c r="O87" i="13"/>
  <c r="G250" i="12"/>
  <c r="G19" i="12"/>
  <c r="G18" i="12"/>
  <c r="I235" i="12"/>
  <c r="L236" i="12"/>
  <c r="I252" i="12"/>
  <c r="L50" i="12"/>
  <c r="L252" i="12"/>
  <c r="G94" i="12"/>
  <c r="G93" i="12"/>
  <c r="G242" i="12"/>
  <c r="G241" i="12"/>
  <c r="Q95" i="5"/>
  <c r="Q97" i="5"/>
  <c r="Q99" i="5"/>
  <c r="Q101" i="5"/>
  <c r="Q100" i="5"/>
  <c r="I245" i="12"/>
  <c r="L29" i="12"/>
  <c r="L245" i="12"/>
  <c r="K226" i="12"/>
  <c r="K225" i="12"/>
  <c r="K224" i="12"/>
  <c r="K218" i="12"/>
  <c r="K255" i="12"/>
  <c r="I161" i="12"/>
  <c r="L162" i="12"/>
  <c r="L148" i="12"/>
  <c r="I145" i="12"/>
  <c r="D63" i="6"/>
  <c r="Q64" i="6"/>
  <c r="H225" i="12"/>
  <c r="H224" i="12"/>
  <c r="C11" i="7"/>
  <c r="P287" i="13"/>
  <c r="D94" i="12"/>
  <c r="D93" i="12"/>
  <c r="D17" i="12"/>
  <c r="D242" i="12"/>
  <c r="D241" i="12"/>
  <c r="H242" i="12"/>
  <c r="H241" i="12"/>
  <c r="H19" i="12"/>
  <c r="H18" i="12"/>
  <c r="H17" i="12"/>
  <c r="K243" i="12"/>
  <c r="K241" i="12"/>
  <c r="K94" i="12"/>
  <c r="K93" i="12"/>
  <c r="K17" i="12"/>
  <c r="J144" i="12"/>
  <c r="J230" i="12"/>
  <c r="J229" i="12"/>
  <c r="B16" i="42"/>
  <c r="B15" i="42"/>
  <c r="I247" i="12"/>
  <c r="L35" i="12"/>
  <c r="I45" i="27"/>
  <c r="J46" i="27"/>
  <c r="L95" i="12"/>
  <c r="I94" i="12"/>
  <c r="J226" i="12"/>
  <c r="J225" i="12"/>
  <c r="J224" i="12"/>
  <c r="J218" i="12"/>
  <c r="J255" i="12"/>
  <c r="J247" i="12"/>
  <c r="O247" i="12"/>
  <c r="D7" i="42"/>
  <c r="E7" i="42"/>
  <c r="F7" i="42"/>
  <c r="I225" i="12"/>
  <c r="C2" i="42"/>
  <c r="C16" i="42"/>
  <c r="N255" i="12"/>
  <c r="O167" i="13"/>
  <c r="O287" i="13"/>
  <c r="O48" i="13"/>
  <c r="C30" i="41"/>
  <c r="H7" i="33"/>
  <c r="H52" i="33"/>
  <c r="J253" i="12"/>
  <c r="O253" i="12"/>
  <c r="D13" i="42"/>
  <c r="E13" i="42"/>
  <c r="F13" i="42"/>
  <c r="J19" i="12"/>
  <c r="J18" i="12"/>
  <c r="L53" i="12"/>
  <c r="L253" i="12"/>
  <c r="I18" i="12"/>
  <c r="J81" i="31"/>
  <c r="J115" i="31"/>
  <c r="I115" i="31"/>
  <c r="C9" i="7"/>
  <c r="C25" i="7"/>
  <c r="H218" i="12"/>
  <c r="H255" i="12"/>
  <c r="L199" i="12"/>
  <c r="I238" i="12"/>
  <c r="J45" i="27"/>
  <c r="I11" i="27"/>
  <c r="L235" i="12"/>
  <c r="I234" i="12"/>
  <c r="O242" i="12"/>
  <c r="J241" i="12"/>
  <c r="I224" i="12"/>
  <c r="L224" i="12"/>
  <c r="L225" i="12"/>
  <c r="L247" i="12"/>
  <c r="D62" i="6"/>
  <c r="Q63" i="6"/>
  <c r="G17" i="12"/>
  <c r="J17" i="12"/>
  <c r="L220" i="12"/>
  <c r="L161" i="12"/>
  <c r="I160" i="12"/>
  <c r="L226" i="12"/>
  <c r="I144" i="12"/>
  <c r="L144" i="12"/>
  <c r="I230" i="12"/>
  <c r="L145" i="12"/>
  <c r="I223" i="12"/>
  <c r="L56" i="12"/>
  <c r="I93" i="12"/>
  <c r="L93" i="12"/>
  <c r="L94" i="12"/>
  <c r="I241" i="12"/>
  <c r="L242" i="12"/>
  <c r="L241" i="12"/>
  <c r="L19" i="12"/>
  <c r="L223" i="12"/>
  <c r="I219" i="12"/>
  <c r="I17" i="12"/>
  <c r="I233" i="12"/>
  <c r="L233" i="12"/>
  <c r="L234" i="12"/>
  <c r="L238" i="12"/>
  <c r="I239" i="12"/>
  <c r="L239" i="12"/>
  <c r="D2" i="42"/>
  <c r="O255" i="12"/>
  <c r="L219" i="12"/>
  <c r="L18" i="12"/>
  <c r="L17" i="12"/>
  <c r="L230" i="12"/>
  <c r="I229" i="12"/>
  <c r="L229" i="12"/>
  <c r="Q62" i="6"/>
  <c r="D61" i="6"/>
  <c r="I10" i="27"/>
  <c r="J10" i="27"/>
  <c r="J11" i="27"/>
  <c r="I159" i="12"/>
  <c r="L159" i="12"/>
  <c r="L160" i="12"/>
  <c r="Q61" i="6"/>
  <c r="D58" i="6"/>
  <c r="D57" i="6"/>
  <c r="D56" i="6"/>
  <c r="D55" i="6"/>
  <c r="D16" i="42"/>
  <c r="E2" i="42"/>
  <c r="I218" i="12"/>
  <c r="I255" i="12"/>
  <c r="L218" i="12"/>
  <c r="L255" i="12"/>
  <c r="C40" i="41"/>
  <c r="C26" i="41"/>
  <c r="F2" i="42"/>
  <c r="F16" i="42"/>
  <c r="C12" i="41"/>
  <c r="C7" i="41"/>
  <c r="E16" i="42"/>
  <c r="D54" i="6"/>
  <c r="D53" i="6"/>
  <c r="D52" i="6"/>
  <c r="Q55" i="6"/>
  <c r="C57" i="41"/>
  <c r="Q52" i="6"/>
  <c r="D51" i="6"/>
  <c r="D50" i="6"/>
  <c r="D49" i="6"/>
  <c r="Q50" i="6"/>
  <c r="D48" i="6"/>
  <c r="Q49" i="6"/>
  <c r="Q48" i="6"/>
  <c r="D47" i="6"/>
  <c r="Q47" i="6"/>
  <c r="D46" i="6"/>
  <c r="Q46" i="6"/>
  <c r="D45" i="6"/>
  <c r="Q45" i="6"/>
</calcChain>
</file>

<file path=xl/comments1.xml><?xml version="1.0" encoding="utf-8"?>
<comments xmlns="http://schemas.openxmlformats.org/spreadsheetml/2006/main">
  <authors>
    <author/>
  </authors>
  <commentList>
    <comment ref="F6" authorId="0">
      <text>
        <r>
          <rPr>
            <sz val="11"/>
            <color theme="1"/>
            <rFont val="Calibri"/>
            <family val="2"/>
            <scheme val="minor"/>
          </rPr>
          <t>======
ID#AAAAjSfEvPY
tc={C04166EC-1285-407A-966B-D1F6F37F6676}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ii2kVZb+pIIXP7V99TfkKY7BF16A=="/>
    </ext>
  </extLst>
</comments>
</file>

<file path=xl/comments10.xml><?xml version="1.0" encoding="utf-8"?>
<comments xmlns="http://schemas.openxmlformats.org/spreadsheetml/2006/main">
  <authors>
    <author/>
  </authors>
  <commentList>
    <comment ref="F5" authorId="0">
      <text>
        <r>
          <rPr>
            <sz val="11"/>
            <color theme="1"/>
            <rFont val="Calibri"/>
            <family val="2"/>
            <scheme val="minor"/>
          </rPr>
          <t>======
ID#AAAAjSfEvPE
tc={E840F2D5-0709-463F-9521-B999AAB7606A}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gREzqVaXqvSZWhw5ipk4mcg8Es6Q=="/>
    </ext>
  </extLst>
</comments>
</file>

<file path=xl/comments11.xml><?xml version="1.0" encoding="utf-8"?>
<comments xmlns="http://schemas.openxmlformats.org/spreadsheetml/2006/main">
  <authors>
    <author/>
  </authors>
  <commentList>
    <comment ref="O121" authorId="0">
      <text>
        <r>
          <rPr>
            <sz val="11"/>
            <color theme="1"/>
            <rFont val="Calibri"/>
            <family val="2"/>
            <scheme val="minor"/>
          </rPr>
          <t>======
ID#AAAAkib3EL8
ADMIN    (2022-11-28 02:37:00)
xem lại</t>
        </r>
      </text>
    </comment>
  </commentList>
  <extLst>
    <ext xmlns:r="http://schemas.openxmlformats.org/officeDocument/2006/relationships" uri="GoogleSheetsCustomDataVersion1">
      <go:sheetsCustomData xmlns:go="http://customooxmlschemas.google.com/" r:id="rId1" roundtripDataSignature="AMtx7mj9iHBsqdJUFetfw+edo/l6Ig0PpQ=="/>
    </ext>
  </extLst>
</comments>
</file>

<file path=xl/comments12.xml><?xml version="1.0" encoding="utf-8"?>
<comments xmlns="http://schemas.openxmlformats.org/spreadsheetml/2006/main">
  <authors>
    <author/>
  </authors>
  <commentList>
    <comment ref="E32" authorId="0">
      <text>
        <r>
          <rPr>
            <sz val="11"/>
            <color theme="1"/>
            <rFont val="Calibri"/>
            <family val="2"/>
            <scheme val="minor"/>
          </rPr>
          <t>======
ID#AAAAkib3ELg
ADMIN    (2022-11-28 02:37:00)
xem và sửa lại
------
ID#AAAAkib3EMs
Dương Xuân Giáp    (2022-11-28 03:12:06)
Đã sửa lại</t>
        </r>
      </text>
    </comment>
  </commentList>
  <extLst>
    <ext xmlns:r="http://schemas.openxmlformats.org/officeDocument/2006/relationships" uri="GoogleSheetsCustomDataVersion1">
      <go:sheetsCustomData xmlns:go="http://customooxmlschemas.google.com/" r:id="rId1" roundtripDataSignature="AMtx7mj8qe2d91DrlvGeOSvlhGUTUxZLiA=="/>
    </ext>
  </extLst>
</comments>
</file>

<file path=xl/comments13.xml><?xml version="1.0" encoding="utf-8"?>
<comments xmlns="http://schemas.openxmlformats.org/spreadsheetml/2006/main">
  <authors>
    <author/>
  </authors>
  <commentList>
    <comment ref="D17" authorId="0">
      <text>
        <r>
          <rPr>
            <sz val="11"/>
            <color theme="1"/>
            <rFont val="Calibri"/>
            <family val="2"/>
            <scheme val="minor"/>
          </rPr>
          <t>======
ID#AAAAkib3ELA
ADMIN    (2022-11-28 02:37:00)
số lượng này quá ít, cần bổ sung thêm</t>
        </r>
      </text>
    </comment>
  </commentList>
  <extLst>
    <ext xmlns:r="http://schemas.openxmlformats.org/officeDocument/2006/relationships" uri="GoogleSheetsCustomDataVersion1">
      <go:sheetsCustomData xmlns:go="http://customooxmlschemas.google.com/" r:id="rId1" roundtripDataSignature="AMtx7mj/VLTXW/wezTHpwClhZUxpr5XHSQ=="/>
    </ext>
  </extLst>
</comments>
</file>

<file path=xl/comments2.xml><?xml version="1.0" encoding="utf-8"?>
<comments xmlns="http://schemas.openxmlformats.org/spreadsheetml/2006/main">
  <authors>
    <author/>
  </authors>
  <commentList>
    <comment ref="F13" authorId="0">
      <text>
        <r>
          <rPr>
            <sz val="11"/>
            <color theme="1"/>
            <rFont val="Calibri"/>
            <family val="2"/>
            <scheme val="minor"/>
          </rPr>
          <t>======
ID#AAAAkToHSWQ
tc={C04166EC-1285-407A-966B-D1F6F37F6676}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 ref="P242" authorId="0">
      <text>
        <r>
          <rPr>
            <sz val="11"/>
            <color theme="1"/>
            <rFont val="Calibri"/>
            <family val="2"/>
            <scheme val="minor"/>
          </rPr>
          <t>======
ID#AAAAkib3ELM
ADMIN    (2022-11-28 02:37:00)
Điền các thông tin còn lại vào đây- đã điền</t>
        </r>
      </text>
    </comment>
    <comment ref="Q242" authorId="0">
      <text>
        <r>
          <rPr>
            <sz val="11"/>
            <color theme="1"/>
            <rFont val="Calibri"/>
            <family val="2"/>
            <scheme val="minor"/>
          </rPr>
          <t>======
ID#AAAAkib3EK8
ADMIN    (2022-11-28 02:37:00)
Điền các thông tin còn lại vào đây- đã điền</t>
        </r>
      </text>
    </comment>
  </commentList>
  <extLst>
    <ext xmlns:r="http://schemas.openxmlformats.org/officeDocument/2006/relationships" uri="GoogleSheetsCustomDataVersion1">
      <go:sheetsCustomData xmlns:go="http://customooxmlschemas.google.com/" r:id="rId1" roundtripDataSignature="AMtx7mivY5V6h3ZEXwXs2EQl67o5PNBVNg=="/>
    </ext>
  </extLst>
</comments>
</file>

<file path=xl/comments3.xml><?xml version="1.0" encoding="utf-8"?>
<comments xmlns="http://schemas.openxmlformats.org/spreadsheetml/2006/main">
  <authors>
    <author/>
  </authors>
  <commentList>
    <comment ref="F7" authorId="0">
      <text>
        <r>
          <rPr>
            <sz val="11"/>
            <color theme="1"/>
            <rFont val="Calibri"/>
            <family val="2"/>
            <scheme val="minor"/>
          </rPr>
          <t>======
ID#AAAAjSfEvPs
tc={AA276B9B-5968-4191-8271-06B566DC7766}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jz0T96DIix6WC+1hgxMBl/0I/uRw=="/>
    </ext>
  </extLst>
</comments>
</file>

<file path=xl/comments4.xml><?xml version="1.0" encoding="utf-8"?>
<comments xmlns="http://schemas.openxmlformats.org/spreadsheetml/2006/main">
  <authors>
    <author/>
  </authors>
  <commentList>
    <comment ref="F7" authorId="0">
      <text>
        <r>
          <rPr>
            <sz val="11"/>
            <color theme="1"/>
            <rFont val="Calibri"/>
            <family val="2"/>
            <scheme val="minor"/>
          </rPr>
          <t>======
ID#AAAAkQ4N-n0
tc={05B135A0-8436-46FD-999F-67F88A788AA4}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iAM2AxV+qw02eC11jG3sThz/19DA=="/>
    </ext>
  </extLst>
</comments>
</file>

<file path=xl/comments5.xml><?xml version="1.0" encoding="utf-8"?>
<comments xmlns="http://schemas.openxmlformats.org/spreadsheetml/2006/main">
  <authors>
    <author/>
  </authors>
  <commentList>
    <comment ref="F6" authorId="0">
      <text>
        <r>
          <rPr>
            <sz val="11"/>
            <color theme="1"/>
            <rFont val="Calibri"/>
            <family val="2"/>
            <scheme val="minor"/>
          </rPr>
          <t>======
ID#AAAAkJjcJOU
tc={C04166EC-1285-407A-966B-D1F6F37F6676}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iPzi1g6uMFSIXtuy66J3Gq5EPBJQ=="/>
    </ext>
  </extLst>
</comments>
</file>

<file path=xl/comments6.xml><?xml version="1.0" encoding="utf-8"?>
<comments xmlns="http://schemas.openxmlformats.org/spreadsheetml/2006/main">
  <authors>
    <author/>
  </authors>
  <commentList>
    <comment ref="F7" authorId="0">
      <text>
        <r>
          <rPr>
            <sz val="11"/>
            <color theme="1"/>
            <rFont val="Calibri"/>
            <family val="2"/>
            <scheme val="minor"/>
          </rPr>
          <t>======
ID#AAAAjxI7dQY
tc={55EB0471-4C76-4AB8-AC0D-083CB2652872}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iRgWDo0caBTF3e4hgF9+vuZePteg=="/>
    </ext>
  </extLst>
</comments>
</file>

<file path=xl/comments7.xml><?xml version="1.0" encoding="utf-8"?>
<comments xmlns="http://schemas.openxmlformats.org/spreadsheetml/2006/main">
  <authors>
    <author/>
  </authors>
  <commentList>
    <comment ref="F7" authorId="0">
      <text>
        <r>
          <rPr>
            <sz val="11"/>
            <color theme="1"/>
            <rFont val="Calibri"/>
            <family val="2"/>
            <scheme val="minor"/>
          </rPr>
          <t>======
ID#AAAAjSfEvPI
tc={9AE47C05-60BC-491A-8FA2-DBE571DA9C56}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hzJe8IxEpc/B7DxkHiFG89ADBAXg=="/>
    </ext>
  </extLst>
</comments>
</file>

<file path=xl/comments8.xml><?xml version="1.0" encoding="utf-8"?>
<comments xmlns="http://schemas.openxmlformats.org/spreadsheetml/2006/main">
  <authors>
    <author/>
  </authors>
  <commentList>
    <comment ref="L7" authorId="0">
      <text>
        <r>
          <rPr>
            <sz val="11"/>
            <color theme="1"/>
            <rFont val="Calibri"/>
            <family val="2"/>
            <scheme val="minor"/>
          </rPr>
          <t>======
ID#AAAAkXgV5Mo
HOANG NGUYEN    (2022-11-24 14:49:25)
Các chỉ tiêu từ 12 - 16 lấy từ biểu số 3</t>
        </r>
      </text>
    </comment>
  </commentList>
  <extLst>
    <ext xmlns:r="http://schemas.openxmlformats.org/officeDocument/2006/relationships" uri="GoogleSheetsCustomDataVersion1">
      <go:sheetsCustomData xmlns:go="http://customooxmlschemas.google.com/" r:id="rId1" roundtripDataSignature="AMtx7mjA+kf5hSMiz4MD1KRk6xL0hX0kbA=="/>
    </ext>
  </extLst>
</comments>
</file>

<file path=xl/comments9.xml><?xml version="1.0" encoding="utf-8"?>
<comments xmlns="http://schemas.openxmlformats.org/spreadsheetml/2006/main">
  <authors>
    <author/>
  </authors>
  <commentList>
    <comment ref="F4" authorId="0">
      <text>
        <r>
          <rPr>
            <sz val="11"/>
            <color theme="1"/>
            <rFont val="Calibri"/>
            <family val="2"/>
            <scheme val="minor"/>
          </rPr>
          <t>======
ID#AAAAkYO02SU
tc={B95B334E-5C5C-42DB-8D7F-2524BF1ECC31}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gYM/uU1IV7qVdFpiug5/2uxpa6qQ=="/>
    </ext>
  </extLst>
</comments>
</file>

<file path=xl/sharedStrings.xml><?xml version="1.0" encoding="utf-8"?>
<sst xmlns="http://schemas.openxmlformats.org/spreadsheetml/2006/main" count="24051" uniqueCount="5394">
  <si>
    <t>HƯỚNG DẪN SỬ DỤNG VÀ CẬP NHẬT KHNH 2023 TRƯỜNG SƯ PHẠM</t>
  </si>
  <si>
    <t>Trong mỗi bảng tính từ 1 đến 10 là tổng hợp các nội dung kế hoạch chi tiết được đề xuất từ các Khoa đào tạo.</t>
  </si>
  <si>
    <t>Kế hoạch này đã được Trường Đại học Vinh phê duyệt và Trường Sư phạm đưa vào tổ chức thực hiện.</t>
  </si>
  <si>
    <t>A. Các khoa căn cứ vào KHNH chung đã được phê duyệt để:</t>
  </si>
  <si>
    <t>1. Tổ chức thực hiện theo đúng KHNH đã đề xuất</t>
  </si>
  <si>
    <t>2. Có ý kiến đề xuất/điều chỉnh, bổ sung (nếu cần) với BGH trường SP về các kế hoạch đã đề xuất để tối ưu hoá các nội dung công việc và phù hợp với thực tiễn của Khoa</t>
  </si>
  <si>
    <t>3. Ghi chú các kết quả đạt được/đã thực hiện được vào các bảng nội dung tương ứng với kế hoạch mà khoa Đã đề xuất để trường SP thực hiện theo dõi, giám sát và hỗ trợ khi cần trong quá trình tổ chức thực hiện.</t>
  </si>
  <si>
    <t>4. Các áp dụng khác dựa trên cơ sở thực tiễn của Khoa</t>
  </si>
  <si>
    <t xml:space="preserve">B. Trường Sư phạm căn cứ vào KHNH đã được phê duyệt để:  </t>
  </si>
  <si>
    <t xml:space="preserve">1. Tổ chức thực hiện cấp trường SP </t>
  </si>
  <si>
    <t>2. Thực hiện hoạt động giám sát và quản lí việc tổ chức thực hiện KHNH theo đơn vị Khoa</t>
  </si>
  <si>
    <t>3. Đánh giá hiệu quả/tiến độ thực hiện của các khoa nói riêng và kịp thời triển khai phối hợp các kế hoạch chung của trường SP</t>
  </si>
  <si>
    <t>4. Làm căn cứ để thực hiện công tác thi đua/khen thưởng hàng tháng/năm đối với CB-VC toàn trường.</t>
  </si>
  <si>
    <t>C. CÁCH THỰC HIỆN CẬP NHẬT TRONG KHNH:</t>
  </si>
  <si>
    <t xml:space="preserve">1. Định kì hàng tháng, các khoa thực hiện việc cập nhật các kết quả mà Khoa đã thực hiện/đạt được trên tất cả các lĩnh vực có trong KHNH của khoa vào trong link này. </t>
  </si>
  <si>
    <t xml:space="preserve">2. Kết quả đạt được ở nội dung nào/ bảng tính nào thì ghi chú kết quả vào bảng tính=&gt; cột kết quả (cột màu vàng cuối cùng)=&gt; hàng tương ứng với nội dung trong KHNH chung của trường SP..- </t>
  </si>
  <si>
    <t>3. Các khoa có thể ghi chú thêm Các nội dung bổ sung đối với Các nội dung có trong KHNH nhưng vì Các lí do khách quan, chủ quan đã điều chỉnh hoặc huỷ bỏ và lí do để tường minh hoạt động đó.</t>
  </si>
  <si>
    <t>4. Đối với những nội dung có sự bổ sung mới (theo yêu cầu của trường DHV hoặc trường SP), các khoa Cập nhật tiếp vào các hàng phía dưới bảng tính và ghi thêm chú thích là (Mới bổ sung theo yêu cầu/QĐ... của ai)</t>
  </si>
  <si>
    <t>5. Những thầy/cô được phân công nhiệm vụ theo dõi/giám sát tiến trình hoạt động của trường SP chịu trách nhiệm cập nhật thông tin tóm tắt trong bảng tính chung "Triển khai KHNH 23SP).</t>
  </si>
  <si>
    <t>Chú ý:  - Công việc cập nhật kết quả thực hiện tại các khoa phải được thực hiện theo từng tuần/tháng</t>
  </si>
  <si>
    <t>Các Khoa không được tự ý thay đổi Các nội dung đã được phê duyệt trong KHNH.</t>
  </si>
  <si>
    <t>- Những ý kiến đóng góp nhằm tổ chức thực hiện và triển khai KHNH của toàn trường SP được thuận lợi và tối ưu hơn xin được gửi tới cho TLĐT CT qua địa chỉ mail (dungnt@vinhuni.edu.vn) hoặc Zalo. SĐT: 0963414848</t>
  </si>
  <si>
    <t>- Mọi ý kiến cần trao đổi thêm về KHNH, quý thầy cô liên lạc với TLĐT CT đ/c Dũng theo số điện thoại (0963414848)</t>
  </si>
  <si>
    <t>TRƯỜNG ĐẠI HỌC VINH</t>
  </si>
  <si>
    <t>TÊN ĐƠN VỊ:  TRƯỜNG SƯ PHẠM</t>
  </si>
  <si>
    <t>PHẦN I-</t>
  </si>
  <si>
    <t>ĐÁNH GIÁ TÌNH HÌNH THỰC HIỆN KẾ HOẠCH NĂM 2022, ĐỐI SÁNH SỐ THỰC HIỆN SO VỚI SỐ KẾ HOẠCH</t>
  </si>
  <si>
    <t>TT</t>
  </si>
  <si>
    <t>Nội dung</t>
  </si>
  <si>
    <t>Số kế hoạch 2022</t>
  </si>
  <si>
    <t>Số thực hiện 2022</t>
  </si>
  <si>
    <t>Tỷ trọng số thực hiện 2022 trên số kế hoạch 2022(%)</t>
  </si>
  <si>
    <t>Ghi chú</t>
  </si>
  <si>
    <t>Số kế hoạch 2023</t>
  </si>
  <si>
    <t>Số đến tháng 6/2023</t>
  </si>
  <si>
    <t>Tuyển sinh</t>
  </si>
  <si>
    <t>Đại học Chính quy</t>
  </si>
  <si>
    <t>Thạc sĩ</t>
  </si>
  <si>
    <t>Tiến sĩ</t>
  </si>
  <si>
    <t>từ 9 lên 23 tiến sĩ</t>
  </si>
  <si>
    <t>Đại học VLVH</t>
  </si>
  <si>
    <t>Đại học VLVH nâng chuẩn theo Nghị định 71</t>
  </si>
  <si>
    <t>Đại học từ xa</t>
  </si>
  <si>
    <t>THPT chuyên</t>
  </si>
  <si>
    <t>THPT chất lượng cao</t>
  </si>
  <si>
    <t>Mầm non</t>
  </si>
  <si>
    <t>Tiểu học</t>
  </si>
  <si>
    <t>THCS</t>
  </si>
  <si>
    <t>Mở mã ngành</t>
  </si>
  <si>
    <t>Đào tạo, bồi dưỡng</t>
  </si>
  <si>
    <t>Thăng hạng, học hàm</t>
  </si>
  <si>
    <t>Giải thưởng, công bố khoa học</t>
  </si>
  <si>
    <t>Tự đánh giá, đánh giá ngoài chương trình đào tạo</t>
  </si>
  <si>
    <t>Các chỉ tiêu chung
 (Các chỉ tiêu đánh giá theo các nội dung đã được giao nhiệm vụ trong Quyết định 856/QĐ-ĐHV ngày 15/4/2022)</t>
  </si>
  <si>
    <t>Ghi chú:</t>
  </si>
  <si>
    <t>Số kế hoạch năm 2022 theo Quyết định số 856/QĐ-ĐHV ngày 15/4/2022 của Hiệu trưởng Trường Đại học Vinh.</t>
  </si>
  <si>
    <t>Ngày …......tháng 12 Năm 2022</t>
  </si>
  <si>
    <t>Trưởng đơn vị lập</t>
  </si>
  <si>
    <t>Hiệu trưởng</t>
  </si>
  <si>
    <t>TỔNG HỢP CÁC HOẠT ĐỘNG CHÍNH TỔ CHỨC THỰC HIỆN KẾ HOẠCH NĂM HỌC TRƯỜNG SƯ PHẠM NĂM HỌC 2022-2023</t>
  </si>
  <si>
    <t>(NỘI DUNG TRONG BẢNG TÍNH NÀY DO BAN GIÁM HIỆU HOẶC NGƯỜI ĐƯỢC GIAO NHIỆM VỤ CỦA TRƯỜNG SƯ PHẠM CẬP NHẬT)</t>
  </si>
  <si>
    <t>HOẠT ĐỘNG CHÍNH</t>
  </si>
  <si>
    <t>NỘI DUNG CHÍNH</t>
  </si>
  <si>
    <t>NỘI DUNG CỤ THỂ</t>
  </si>
  <si>
    <t>Link đến kế hoạch chi tiết</t>
  </si>
  <si>
    <t>ĐƠN VỊ/NGƯỜI GIÁM SÁT</t>
  </si>
  <si>
    <t>ĐƠN VỊ /NGƯỜI THỰC HIỆN</t>
  </si>
  <si>
    <r>
      <t xml:space="preserve">TIẾN ĐỘ THỰC HIỆN (CÁC ĐƠN VỊ/CÁ NHÂN CHỊU TRÁCH NHIỆM THỰC HIỆN CHỦ ĐỘNG BÁO CÁO TIẾN ĐỘ NỘI DUNG CÔNG VIỆC TƯƠNG ỨNG).                                                                 </t>
    </r>
    <r>
      <rPr>
        <b/>
        <sz val="14"/>
        <color rgb="FFFF0000"/>
        <rFont val="Calibri (Body)"/>
      </rPr>
      <t xml:space="preserve"> VÍ DỤ. (ĐANG THỰC HIỆN/HOÀN THÀNH) </t>
    </r>
  </si>
  <si>
    <t>KẾT QUẢ (ghi rõ kết quả thực hiện, số liệu đạt được)</t>
  </si>
  <si>
    <t>GHI CHÚ</t>
  </si>
  <si>
    <t>NHẬN XÉT</t>
  </si>
  <si>
    <t>THÁNG 1</t>
  </si>
  <si>
    <t>THÁNG 2</t>
  </si>
  <si>
    <t>THÁNG 3</t>
  </si>
  <si>
    <t>THÁNG 4</t>
  </si>
  <si>
    <t>THÁNG 5</t>
  </si>
  <si>
    <t>THÁNG 6</t>
  </si>
  <si>
    <t>THÁNG 7</t>
  </si>
  <si>
    <t>THÁNG 8</t>
  </si>
  <si>
    <t>THÁNG 9</t>
  </si>
  <si>
    <t>THÁNG 10</t>
  </si>
  <si>
    <t>THÁNG 11</t>
  </si>
  <si>
    <t>THÁNG 12</t>
  </si>
  <si>
    <t>A. CƠ SỞ VẬT CHẤT PHỤC VỤ ĐÀO TẠO</t>
  </si>
  <si>
    <t xml:space="preserve">1. MUA SẮM TRANG THIẾT BỊ CẤP TRƯỜNG SP </t>
  </si>
  <si>
    <t>Bieu5-Nhu cau mua sam sua chua'!A27</t>
  </si>
  <si>
    <t xml:space="preserve">PGS.TS. Trần Vũ Tài </t>
  </si>
  <si>
    <t xml:space="preserve">CÁC KHOA </t>
  </si>
  <si>
    <t>Bieu5-Nhu cau mua sam sua chua'!H45</t>
  </si>
  <si>
    <t>Kinh phí khác</t>
  </si>
  <si>
    <t>2. MUA SẮP TRANG THIẾT BỊ, CSVC, VẬT TƯ DÙNG CHO HOẠT ĐỘNG ĐÀO TẠO CẤP KHOA</t>
  </si>
  <si>
    <t>Bieu5-Nhu cau mua sam sua chua'!H9</t>
  </si>
  <si>
    <t>Bieu5-Nhu cau mua sam sua chua'!H16</t>
  </si>
  <si>
    <t>Bieu 4a-KP thuc hanh thi nghiem'!B9</t>
  </si>
  <si>
    <t>B. CÔNG TÁC NHÂN SỰ (KẾ HOẠCH TUYỂN DỤNG, ĐÀO TẠO, BỒI DƯỠNG, PHÁT TRIỂN ĐỘI NGŨ NĂM 2022-2023)</t>
  </si>
  <si>
    <t>3. CÔNG TÁC TỔ CHỨC  NHÂN SỰ NĂM HỌC 2022-2023</t>
  </si>
  <si>
    <t>Bieu 6 Ke hoach can bo'!B6</t>
  </si>
  <si>
    <t xml:space="preserve">PGS.TS. Lưu Tiến Hưng </t>
  </si>
  <si>
    <t>Bieu 6 Ke hoach can bo'!B43</t>
  </si>
  <si>
    <t>Bieu 6 Ke hoach can bo'!B62</t>
  </si>
  <si>
    <t>4. CÔNG TÁC PHÁT TRIỂN ĐỘI NGŨ</t>
  </si>
  <si>
    <t>Bieu 6 Ke hoach can bo'!B71</t>
  </si>
  <si>
    <t>Bieu 6 Ke hoach can bo'!B109</t>
  </si>
  <si>
    <t>Bieu 6 Ke hoach can bo'!B204</t>
  </si>
  <si>
    <t xml:space="preserve">C. CÔNG TÁC BIÊN SOẠN TÀI LIỆU - GIÁO TRÌNH,  NGHIÊN CỨU KHOA HỌC VÀ TỔ CHỨC/THAM GIA HỘI NGHỊ, HỘI THẢO KHOA HỌC </t>
  </si>
  <si>
    <t>5. TRIỂN KHAI ĐỀ TÀI NCKH CÁC CẤP 2023</t>
  </si>
  <si>
    <t>7a-KH NCKH'!A8</t>
  </si>
  <si>
    <t>7a-KH NCKH'!A31</t>
  </si>
  <si>
    <t>7a-KH NCKH'!A133</t>
  </si>
  <si>
    <t>6. CÔNG BỐ CÔNG TRÌNH KHOA HỌC CÁC CẤP</t>
  </si>
  <si>
    <t>7b Kế hoạch công bố '!A7</t>
  </si>
  <si>
    <t>7b Kế hoạch công bố '!A33</t>
  </si>
  <si>
    <t>7b Kế hoạch công bố '!A46</t>
  </si>
  <si>
    <t>7b Kế hoạch công bố '!A59</t>
  </si>
  <si>
    <t>7b Kế hoạch công bố '!A72</t>
  </si>
  <si>
    <t>7. TỔ CHỨC THAM GIA HỘI NGHỊ, HỘI THẢO KH CÁC CẤP</t>
  </si>
  <si>
    <t>Bieu 6 Ke hoach can bo'!B125</t>
  </si>
  <si>
    <t>8. KẾ HOẠCH XUẤT BẢN GIÁO TRÌNH</t>
  </si>
  <si>
    <t>Bieu 8a Bien soan GT'!A7</t>
  </si>
  <si>
    <t>Bieu 8a Bien soan GT'!A25</t>
  </si>
  <si>
    <t>9. KẾ HOẠC XUẤT BẢN TÀI LIỆU</t>
  </si>
  <si>
    <t xml:space="preserve">D. CÔNG TÁC TỔ CHỨC ĐÀO TẠO </t>
  </si>
  <si>
    <t xml:space="preserve">10. TỔ CHỨC ĐÀO TẠO HỆ CHÍNH QUY </t>
  </si>
  <si>
    <t xml:space="preserve">Tổ chức chấm thi/ nhập điểm </t>
  </si>
  <si>
    <t>CÁC KHOA</t>
  </si>
  <si>
    <t>Chấm thi HK1</t>
  </si>
  <si>
    <t>Hoàn thành điểm K60</t>
  </si>
  <si>
    <t>Chấm thi HK2</t>
  </si>
  <si>
    <t>Hỗ trợ đăng kí học cho SV</t>
  </si>
  <si>
    <t>DKH cho SV</t>
  </si>
  <si>
    <t>DK HK hè</t>
  </si>
  <si>
    <t>Xây dựng TKB đào tạo</t>
  </si>
  <si>
    <t>TKB HK2 - 23</t>
  </si>
  <si>
    <t>TKB HK hè 23</t>
  </si>
  <si>
    <t>Ngân hàng đề thi DHCQ</t>
  </si>
  <si>
    <t>Cập nhật đề thi CK2</t>
  </si>
  <si>
    <t>Xét dừng học/thôi học</t>
  </si>
  <si>
    <t>TRƯỜNG SP</t>
  </si>
  <si>
    <t>Xét dừng học lần 1</t>
  </si>
  <si>
    <t>Xét Tốt nghiệp DHCQ</t>
  </si>
  <si>
    <t>Xét TN đợt 1</t>
  </si>
  <si>
    <t>Xét TN đợt 2 (278SV)</t>
  </si>
  <si>
    <t>Tổ chức đào tạo hệ Đại học CQ (Quy mô đào tạo)</t>
  </si>
  <si>
    <t>Bieu 1a - Quy mo Chinh quy (SP)'!A1</t>
  </si>
  <si>
    <t>Thi cuối HK1</t>
  </si>
  <si>
    <t>Thi GK2</t>
  </si>
  <si>
    <t>THI cuối HK2</t>
  </si>
  <si>
    <t>THI cuối HK2/ triển khai HK hè</t>
  </si>
  <si>
    <t>HK hè</t>
  </si>
  <si>
    <t>Tổ chức đào tạo hệ Thạc si - Tiến sĩ (Quy mô đào tạo)</t>
  </si>
  <si>
    <t>Bieu 1b - Quy mo Sau dai hoc'!A1</t>
  </si>
  <si>
    <t>11. KẾ  HOẠCH TÔ CHỨC ĐÀO TẠO HỆ VỪA HỌC VỪA LÀM</t>
  </si>
  <si>
    <t>Quy mô đào tạo hệ VHVL 2023</t>
  </si>
  <si>
    <t>Bieu 1c- Quy mo VLVH - TX (SP)'!A1</t>
  </si>
  <si>
    <t>TS. Phạm Lê Cường</t>
  </si>
  <si>
    <t>12. KẾ HOẠCH TỔ CHỨC CÁC HOẠT ĐỘNG RÈN NGHỀ/THỰC TẬP/THỰC TẾ TRONG VÀ NGOÀI TRƯỜNG</t>
  </si>
  <si>
    <t xml:space="preserve"> Triển khai các hoạt động thực tập SP</t>
  </si>
  <si>
    <t>Bieu 4a-KP thuc hanh thi nghiem'!A83</t>
  </si>
  <si>
    <t>Triển khai các hoạt động rèn nghề SP</t>
  </si>
  <si>
    <t>Bieu 4a-KP thuc hanh thi nghiem'!A97</t>
  </si>
  <si>
    <t>Hội thi rèn nghề trường SP</t>
  </si>
  <si>
    <t>Triển khai các hoạt động thực địa/thực tế ở trường phổ thông</t>
  </si>
  <si>
    <t>Bieu 4a-KP thuc hanh thi nghiem'!A105</t>
  </si>
  <si>
    <t>13. KẾ HOẠCH TỔ CHỨC CÁC HỘI THI, HỘI DIỄN CẤP KHOA/TRƯỜNG SP CHO SV</t>
  </si>
  <si>
    <t>Triển khai các hội thi cấp khoa, trường SP</t>
  </si>
  <si>
    <t>Các hoạt động kỉ niệm khoa</t>
  </si>
  <si>
    <t>14. KẾ HOẠCH XÂY DỰNG VÀ PHÁT TRIỂN CHƯƠNG TRÌNH ĐÀO TẠO</t>
  </si>
  <si>
    <t>KẾ HOẠC XÂY DỰNG VÀ PHÁT TRIỂN CHĐT HỆ ĐẠI HỌC</t>
  </si>
  <si>
    <t>Biểu 10 Ke hoạch chi'!A1</t>
  </si>
  <si>
    <t>KẾ HOẠC XÂY DỰNG VÀ PHÁT TRIỂN CHĐT HỆ CAO HỌC</t>
  </si>
  <si>
    <t>15. KẾ HOẠCH TỔ CHỨC ĐẢM BẢO CHẤT LƯỢNG  TRƯỜNG SP</t>
  </si>
  <si>
    <t xml:space="preserve">CÔNG TÁC ĐẢM BẢO CHẤT LƯỢNG  HỆ ĐẠI HỌC </t>
  </si>
  <si>
    <t>Bieu 8b ĐBCL'!A1</t>
  </si>
  <si>
    <t xml:space="preserve">CÔNG TÁC ĐẢM BẢO CHẤT LƯỢNG  HỆ CAO HỌC </t>
  </si>
  <si>
    <t>KẾ HOẠCH TỰ ĐÁNH GIÁ CTĐT</t>
  </si>
  <si>
    <t>TL-GD HOÀN THÀNH</t>
  </si>
  <si>
    <t>KẾ HOẠCH ĐÁNH GIÁ NGOÀI CTĐT</t>
  </si>
  <si>
    <t>E. KẾ HOẠCH TỔ CHỨC CÁC LỚP BỒI DƯỠNG/CHỨNG CHỈ NGẮN HẠN</t>
  </si>
  <si>
    <t>16. KẾ HOẠCH TRIỂN KHAI CÁC LỚP BỒI DƯỠNG</t>
  </si>
  <si>
    <t>Bieu 9 Ke hoach boi duong'!A1</t>
  </si>
  <si>
    <t>TT BDNVSP</t>
  </si>
  <si>
    <t>17. KẾ HOẠCH TRIỂN KHAI CÁC LOẠI HÌNH ĐÀO TẠO NGẮN HẠN KHÁC</t>
  </si>
  <si>
    <t>Biểu 1</t>
  </si>
  <si>
    <t>ĐƠN VỊ:  TRƯỜNG SƯ PHẠM</t>
  </si>
  <si>
    <t>BẢNG TỔNG HỢP QUY MÔ CỦA ĐƠN VỊ THEO LOẠI HÌNH ĐÀO TẠO</t>
  </si>
  <si>
    <t>(Biểu dành riêng cho các đơn vị đào tạo, đơn vị có loại hình nào thì nhập số liệu loại hình đó)</t>
  </si>
  <si>
    <t>STT</t>
  </si>
  <si>
    <t>Đối tượng</t>
  </si>
  <si>
    <t>DIỄN GIẢI</t>
  </si>
  <si>
    <t>SỐ LIỆU XÂY DỰNG KẾ HOẠCH 2022</t>
  </si>
  <si>
    <t>SỐ LIỆU XÂY DỰNG KẾ HOẠCH 2023</t>
  </si>
  <si>
    <t>QUY MÔ
ĐẦU NĂM
2022</t>
  </si>
  <si>
    <t>GIẢM
TRONG NĂM
2022</t>
  </si>
  <si>
    <t>TUYỂN MỚI TRONG NĂM
2022</t>
  </si>
  <si>
    <t>QUY MÔ
CUỐI NĂM
2022</t>
  </si>
  <si>
    <t>QUY MÔ
ĐẦU NĂM
2023</t>
  </si>
  <si>
    <t>GIẢM
TRONG NĂM
2023</t>
  </si>
  <si>
    <t>TUYỂN MỚI TRONG NĂM
2023</t>
  </si>
  <si>
    <t>QUY MÔ
CUỐI NĂM
2023</t>
  </si>
  <si>
    <t>QUY MÔ ĐẾN THÁNG 6/2023</t>
  </si>
  <si>
    <t>A</t>
  </si>
  <si>
    <t>Đại học</t>
  </si>
  <si>
    <t>ĐÀO TẠO ĐẠI HỌC CHÍNH QUY</t>
  </si>
  <si>
    <t>Đại học chính quy
 (ĐHCQ, Liên thông CQ, VB2 CQ)</t>
  </si>
  <si>
    <t>Lưu học sinh học Đại học</t>
  </si>
  <si>
    <t>Đào tạo dự bị Đại học</t>
  </si>
  <si>
    <t>B</t>
  </si>
  <si>
    <t>SĐH</t>
  </si>
  <si>
    <t>ĐÀO TẠO SAU ĐẠI HỌC</t>
  </si>
  <si>
    <t>Cao học (Bao gồm cả LHS học thạc sỹ)</t>
  </si>
  <si>
    <t>Nghiên cứu sinh</t>
  </si>
  <si>
    <t>C</t>
  </si>
  <si>
    <t>ĐÀO TẠO VỪA LÀM VỪA HỌC</t>
  </si>
  <si>
    <t>Đào tạo nâng chuẩn theo Nghị định 71</t>
  </si>
  <si>
    <t>Đào tạo Vừa làm vừa học</t>
  </si>
  <si>
    <t>D</t>
  </si>
  <si>
    <t>ĐÀO TẠO TỪ XA</t>
  </si>
  <si>
    <t>Đào tạo từ xa trực tiếp</t>
  </si>
  <si>
    <t>Đào tạo từ xa trực tuyến</t>
  </si>
  <si>
    <t>E</t>
  </si>
  <si>
    <t>THPT</t>
  </si>
  <si>
    <t>ĐÀO TẠO BẬC THPT</t>
  </si>
  <si>
    <t>THPT Chuyên</t>
  </si>
  <si>
    <t>THPT Chất lượng cao</t>
  </si>
  <si>
    <t>F</t>
  </si>
  <si>
    <t>THSP</t>
  </si>
  <si>
    <t>ĐÀO TẠO THSP</t>
  </si>
  <si>
    <t>THSP Mầm non</t>
  </si>
  <si>
    <t>THSP Tiểu học</t>
  </si>
  <si>
    <t>THSP THCS</t>
  </si>
  <si>
    <t>TỔNG QUY MÔ TOÀN TRƯỜNG</t>
  </si>
  <si>
    <t>Nghệ An, ngày   tháng 12 năm 2022</t>
  </si>
  <si>
    <t>PHÒNG ĐÀO TẠO          PHÒNG ĐÀO TẠO SAU ĐẠI HỌC</t>
  </si>
  <si>
    <t xml:space="preserve">TT GDTX         </t>
  </si>
  <si>
    <t xml:space="preserve">VIỆN ĐT TRỰC TUYẾN              PHÒNG KH-TC    </t>
  </si>
  <si>
    <t xml:space="preserve"> HIỆU TRƯỞNG</t>
  </si>
  <si>
    <t xml:space="preserve">                                                       </t>
  </si>
  <si>
    <t>Biểu số 1</t>
  </si>
  <si>
    <t>TÊN ĐƠN VỊ: TRƯỜNG SƯ PHẠM</t>
  </si>
  <si>
    <t>QUY MÔ ĐÀO TẠO SAU ĐẠI HỌC NĂM 2023</t>
  </si>
  <si>
    <t>CÁC KHOA ĐÀO TẠP CĂN CỨ VÀO KẾ HOẠCH NĂM HỌC ĐÃ XÂY DỰNG ĐỂ CẬP NHẬT KẾT QỦA THỰC HIỆN VÀO Ô TƯƠNG ỨNG VỚI KHOA MÌNH</t>
  </si>
  <si>
    <t xml:space="preserve">Đơn vị tính: sinh viên, học viên </t>
  </si>
  <si>
    <t>Đơn vị tính</t>
  </si>
  <si>
    <t>Khối ngành 1</t>
  </si>
  <si>
    <t>Toán</t>
  </si>
  <si>
    <t>Lý</t>
  </si>
  <si>
    <t>Hoá</t>
  </si>
  <si>
    <t xml:space="preserve">Sinh </t>
  </si>
  <si>
    <t>Tin</t>
  </si>
  <si>
    <t>Văn</t>
  </si>
  <si>
    <t xml:space="preserve">Sử </t>
  </si>
  <si>
    <t>Địa</t>
  </si>
  <si>
    <t>GDCT</t>
  </si>
  <si>
    <t>GDTH</t>
  </si>
  <si>
    <t>GDMN</t>
  </si>
  <si>
    <t>TL-GD</t>
  </si>
  <si>
    <t>Cộng toàn đơn vị</t>
  </si>
  <si>
    <t>ĐÀO TẠO THẠC SỸ</t>
  </si>
  <si>
    <t>I</t>
  </si>
  <si>
    <t>Thạc sĩ trong nước</t>
  </si>
  <si>
    <t>1.1</t>
  </si>
  <si>
    <t>Số học viên có mặt ngày 01/01/2023 theo khối ngành, gồm:
(Tổng số học viên mục này chính là quy mô học viên có mặt học kỳ II năm học 2022-2023 từ tháng 1-6/2023)</t>
  </si>
  <si>
    <t>Học viên</t>
  </si>
  <si>
    <t>a</t>
  </si>
  <si>
    <t>Học viên tuyển sinh năm 2021 (Khóa 29)</t>
  </si>
  <si>
    <t>b</t>
  </si>
  <si>
    <t>Học viên tuyển sinh năm 2022 (Khóa 30)</t>
  </si>
  <si>
    <t>c</t>
  </si>
  <si>
    <t>Các học viên đã hết thời gian đào tạo nhưng chưa tốt nghiệp vì các lý do</t>
  </si>
  <si>
    <t>Sinh viên</t>
  </si>
  <si>
    <t xml:space="preserve"> + Lý do nợ học phí</t>
  </si>
  <si>
    <t xml:space="preserve"> + Lý do chưa tích lũy đủ tín chỉ các học phần của ngành đào tạo.</t>
  </si>
  <si>
    <t xml:space="preserve"> + Lý do chưa có chứng chỉ tiếng anh theo chuẩn đầu ra.</t>
  </si>
  <si>
    <t xml:space="preserve"> + Bảo lưu vì các lý do cá nhân</t>
  </si>
  <si>
    <t>1.2</t>
  </si>
  <si>
    <t>Học viên tốt nghiệp / thôi học / xóa tên năm 2023
(Tính dự kiến số bảo vệ tốt nghiệp, thôi học, xóa tên, kỷ luật trong cả năm 2023)</t>
  </si>
  <si>
    <t>Học viên tuyển sinh năm 2020 trở về trước hoàn thành bảo  vệ, thôi học nếu có</t>
  </si>
  <si>
    <t>Học viên tuyển sinh năm 2021 khóa 29 tốt nghiệp, ra trường, thôi học, bỏ học</t>
  </si>
  <si>
    <t xml:space="preserve"> Học viên tuyển sinh năm 2022 khóa 30 (nếu có nghỉ học, thôi học, bị đuổi học)</t>
  </si>
  <si>
    <t>1.3</t>
  </si>
  <si>
    <t>Học viên tuyển mới năm 2023 theo khối ngành
(Tính dự kiến tổng số tuyển mới trong năm 2023)</t>
  </si>
  <si>
    <t>Học viên tuyển sinh năm 2023 - khóa 31</t>
  </si>
  <si>
    <t>1.4</t>
  </si>
  <si>
    <t>QUY MÔ HỌC VIÊN CUỐI NĂM 2023:
Số học viên có mặt ngày 31/12/2023 theo khối ngành, gồm:
(Số học viên này được coi là quy mô sinh viên có mặt học kỳ I năm học 2023-2024 từ tháng 9-12/2023)</t>
  </si>
  <si>
    <t>II</t>
  </si>
  <si>
    <t>Thạc sĩ lưu học sinh</t>
  </si>
  <si>
    <t>Số học viên lưu học sinh có mặt ngày 01/01/2023 theo khối ngành, gồm:
(Tổng số học viên mục này chính là quy mô học viên có mặt học kỳ II năm học 2022-2023 từ tháng 1-6/2023)</t>
  </si>
  <si>
    <t>Học viên tuyển sinh năm 2020 trở về trước chưa hoàn thành luận văn, hoặc chưa bảo vệ (Khóa 28 trở về trước)</t>
  </si>
  <si>
    <t>Học viên lưu học sinh tốt nghiệp / thôi học / xóa tên năm 20223
(Tính dự kiến số bảo vệ tốt nghiệp, thôi học, xóa tên, kỷ luật trong cả năm 2023)</t>
  </si>
  <si>
    <t>Học viên lưu học sinh tuyển mới năm 2023 theo khối ngành
(Tính dự kiến tổng số tuyển mới trong năm 2023)</t>
  </si>
  <si>
    <t>QUY MÔ LƯU HỌC SINH CUỐI NĂM 2023:
Số học viên lưu học sinh có mặt ngày 31/12/2023 theo khối ngành, gồm:
(Số học viên này được coi là quy mô sinh viên có mặt học kỳ I năm học 2023-2024 từ tháng 9-12/2023)</t>
  </si>
  <si>
    <t>ĐÀO TẠO TIẾN SỸ</t>
  </si>
  <si>
    <t>Tiến sĩ trong nước</t>
  </si>
  <si>
    <t>QUY MÔ ĐÀU NĂM 01/01/2023:
Số học viên Nghiên cứu sinh có mặt ngày 01/01/2023 theo khối ngành, gồm:
(Tổng số học viên mục này chính là quy mô học viên có mặt học kỳ II năm học 2022-2023 từ tháng 1-6/2023)</t>
  </si>
  <si>
    <t>NCS</t>
  </si>
  <si>
    <t>Học viên Nghiên cứu sinh tuyển sinh năm 2022 - năm thứ 1</t>
  </si>
  <si>
    <t>Học viên Nghiên cứu sinh tuyển sinh năm 2021 - năm thứ 2</t>
  </si>
  <si>
    <t>Học viên Nghiên  cứu sinh tuyển sinh năm 2020 - năm thứ 3</t>
  </si>
  <si>
    <t>Học viên Nghiên cứu sinh tuyển sinh năm 2019 - năm thứ 4</t>
  </si>
  <si>
    <t>Học viên Nghiên cứu sinh tuyển sinh năm 2018 - Gia hạn năm 1</t>
  </si>
  <si>
    <t>Học viên Nghiên cứu sinh tuyển sinh năm 2017 - Gia hạn năm 2</t>
  </si>
  <si>
    <t>Học viên Nghiên cứu sinh bảo vệ luận án / thôi học / xóa tên năm 2023
(Tính dự kiến số thôi học, tốt nghiệp, xóa tên, kỷ luật trong cả năm 2023)</t>
  </si>
  <si>
    <t>Nghiên cứu sinh dự kiến tuyển năm 2023</t>
  </si>
  <si>
    <t>Học viên Nghiên cứu sinh tuyển sinh năm 2023</t>
  </si>
  <si>
    <t>Đã tuyển 3</t>
  </si>
  <si>
    <t>QUY MÔ CUỐI NĂM 2023:
Số học viên Nghiên cứu sinh có mặt có mặt ngày 31/12/2023 theo khối ngành, gồm:
(Số học viên này được coi là quy mô sinh viên có mặt học kỳ I năm học 2023-2024 từ tháng 9-12/2023)</t>
  </si>
  <si>
    <t>Tiến sĩ Lưu học sinh</t>
  </si>
  <si>
    <t>Học viên Nghiên cứu sinh Lưu học sinh tuyển sinh năm 2022 - năm thứ 1</t>
  </si>
  <si>
    <t>Học viên Nghiên cứu sinh  Lưu học sinhtuyển sinh năm 2021 - năm thứ 2</t>
  </si>
  <si>
    <t>Học viên Nghiên  cứu sinh Lưu học sinh tuyển sinh năm 2020 - năm thứ 3</t>
  </si>
  <si>
    <t>Học viên Nghiên cứu sinh Lưu học sinh tuyển sinh năm 2019 - năm thứ 4</t>
  </si>
  <si>
    <t>Học viên Nghiên cứu sinh Lưu học sinh tuyển sinh năm 2018 - Gia hạn năm 1</t>
  </si>
  <si>
    <t>Học viên Nghiên cứu sinh Lưu học sinh tuyển sinh năm 2017 - Gia hạn năm 2</t>
  </si>
  <si>
    <t>Học viên NCS Lưu học sinh bảo  vệ luận án/ thôi học / xóa tên năm 20223</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</si>
  <si>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</si>
  <si>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</si>
  <si>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</si>
  <si>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</si>
  <si>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</si>
  <si>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</si>
  <si>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Dự kiến tuyển mới Lưu học sinh nghiên cứu sinh</t>
  </si>
  <si>
    <t>QUY MÔ CUỐI NĂM Lưu học sinh ncs 2023:
Số học viên Nghiên cứu sinh có mặt có mặt ngày 31/12/2023 theo khối ngành, gồm:
(Số học viên này được coi là quy mô sinh viên có mặt học kỳ I năm học 2023-2024 từ tháng 9-12/2023)</t>
  </si>
  <si>
    <t>Nghệ An, ngày       tháng  12  năm 2022</t>
  </si>
  <si>
    <t>ĐƠN VỊ LẬP KH</t>
  </si>
  <si>
    <t>PHÒNG CTCT - HSSV</t>
  </si>
  <si>
    <t>HIỆU TRƯỞNG TRƯỜNG ĐẠI HỌC VINH PHÊ DUYỆT</t>
  </si>
  <si>
    <t>QUY MÔ ĐÀO TẠO VỪA LÀM VỪA HỌC - ĐÀO TẠO TỪ XA NĂM 2023</t>
  </si>
  <si>
    <t>Quy mô đầu năm: Số SV có mặt ngày 01/01/2023 theo khối ngành, gồm:
(Tổng số sinh viên mục này chính là quy mô sinh viên có mặt học kỳ II năm học 2022-2023 từ tháng 1-6/2023)</t>
  </si>
  <si>
    <t>VLVH tuyển mới năm 2019</t>
  </si>
  <si>
    <t>VLVH tuyển mới năm 2020</t>
  </si>
  <si>
    <t>VLVH tuyển mới năm 2021</t>
  </si>
  <si>
    <t>VLVH tuyển mới năm 2022</t>
  </si>
  <si>
    <t>Sinh viên tốt nghiệp / thôi học / xóa tên năm 2023:
(Tính dự kiến số thôi học, tốt nghiệp, xóa tên, kỷ luật trong cả năm 2023)</t>
  </si>
  <si>
    <t>Sinh viên tuyển mới năm 2023 theo khối ngành:
(Tính dự kiến tổng số tuyển mới trong năm 2023)</t>
  </si>
  <si>
    <t>VHVL tuyển mới năm 2023</t>
  </si>
  <si>
    <t>Quy mô cuối năm: Số sinh viên có mặt ngày 31/12/2023 theo khối ngành, gồm:
(Số sinh viên này được coi là quy mô sinh viên có mặt học kỳ I năm học 2023-2024 từ tháng 9-12/2023)</t>
  </si>
  <si>
    <t>NÂNG CHUẨN LIÊN THÔNG HỆ SƯ PHẠM THEO NGHỊ ĐỊNH 71</t>
  </si>
  <si>
    <t>VLVH đối tượng nâng chuẩn theo Nghị định 71 tuyển mới năm 2019</t>
  </si>
  <si>
    <t>VLVH đối tượng nâng chuẩn theo Nghị định 71 VLVH tuyển mới năm 2020</t>
  </si>
  <si>
    <t>VLVH đối tượng nâng chuẩn theo Nghị định 71 VLVH tuyển mới năm 2021</t>
  </si>
  <si>
    <t>VLVH đối tượng nâng chuẩn theo Nghị định 71 tuyển mới năm 2022</t>
  </si>
  <si>
    <t>VLVH đối tượng nâng chuẩn theo Nghị định 71 tốt nghiệp / thôi học / xóa tên năm 2023:
(Tính dự kiến số thôi học, tốt nghiệp, xóa tên, kỷ luật trong cả năm 2023)</t>
  </si>
  <si>
    <t>Sinh viên tuyển mới năm 2023 theo khối ngành
(Tính dự kiến tổng số tuyển mới trong năm 2023)</t>
  </si>
  <si>
    <t>VLVH đối tượng nâng chuẩn theo Nghị định 71 tuyển mới năm 2023</t>
  </si>
  <si>
    <t>Số sinh viên có mặt ngày 31/12/2023 theo khối ngành, gồm:
(Số sinh viên này được coi là quy mô sinh viên có mặt học kỳ I năm học 2023-2024 từ tháng 9-12/2023)</t>
  </si>
  <si>
    <t>III</t>
  </si>
  <si>
    <t>ĐÀO TẠO TỪ XA TRUYỀN THỐNG</t>
  </si>
  <si>
    <t>Số SV có mặt ngày 01/01/2022 theo khối ngành, gồm:
(Tổng số sinh viên mục này chính là quy mô sinh viên có mặt học kỳ II năm học 2021-2022 từ tháng 1-6/2022)</t>
  </si>
  <si>
    <t>.- Khóa 58 CN và khóa 57 về trước</t>
  </si>
  <si>
    <t>.- Khóa 58 (kỹ sư)</t>
  </si>
  <si>
    <t>.- Khóa 59</t>
  </si>
  <si>
    <t>.- Khóa 60</t>
  </si>
  <si>
    <t>.- Khóa 61</t>
  </si>
  <si>
    <t>.- Khóa 62</t>
  </si>
  <si>
    <t>Sinh viên tốt nghiệp / thôi học / xóa tên năm 2022 
(Tính dự kiến số thôi học, tốt nghiệp, xóa tên, kỷ luật trong cả năm 2022)</t>
  </si>
  <si>
    <t>Sinh viên tuyển mới năm 2022 theo khối ngành
(Tính dự kiến tổng số tuyển mới trong năm 2022)</t>
  </si>
  <si>
    <t>.- Khóa 63</t>
  </si>
  <si>
    <t>Số sinh viên có mặt ngày 31/12/2022 theo khối ngành, gồm:
(Số sinh viên này được coi là quy mô sinh viên có mặt học kỳ I năm học 2022-2023 từ tháng 9-12/2022)</t>
  </si>
  <si>
    <t>Nghệ An, ngày       tháng  12 năm 2022</t>
  </si>
  <si>
    <t>ĐƠN VỊ LẬP KẾ HOẠCH</t>
  </si>
  <si>
    <t>HIỆU TRƯỞNG</t>
  </si>
  <si>
    <t>QUY MÔ ĐÀO TẠO SINH VIÊN CHÍNH QUY NĂM 2023</t>
  </si>
  <si>
    <t>CÁC KHOA ĐÀO TẠO CĂN CỨ VÀO KẾ HOẠCH NĂM HỌC ĐÃ XÂY DỰNG ĐỂ CẬP NHẬT KẾT QUẢ THỰC HIỆN VÀO Ô TƯƠNG ỨNG VỚI KHOA MÌNH</t>
  </si>
  <si>
    <t xml:space="preserve">Đào tạo chính quy </t>
  </si>
  <si>
    <t>Sinh viên Đại học chính quy</t>
  </si>
  <si>
    <t>Quy mô đầu năm:
Số SV có mặt ngày 01/01/2023 theo khối ngành, gồm:
(Tổng số sinh viên mục này chính là quy mô sinh viên có mặt học kỳ II năm học 2022-2023 từ tháng 1-6/2023)</t>
  </si>
  <si>
    <t>Sinh viên năm thứ 5, Tuyển sinh năm 2018 hệ kỹ sư</t>
  </si>
  <si>
    <t>Sinh viên năm 5, Tuyển sinh năm 2018 (Khóa 59)</t>
  </si>
  <si>
    <t>Sinh viên năm 4, Tuyển sinh năm 2019 (Khóa 60)</t>
  </si>
  <si>
    <t>d</t>
  </si>
  <si>
    <t>Sinh viên năm 3, Tuyển sinh năm 2020 (Khóa 61)</t>
  </si>
  <si>
    <t>đ</t>
  </si>
  <si>
    <t>Sinh viên năm 2, Tuyển sinh năm 2021 (Khóa 62)</t>
  </si>
  <si>
    <t>e</t>
  </si>
  <si>
    <t>Sinh viên năm nhất, Tuyển sinh năm 2022 (Khóa 63)</t>
  </si>
  <si>
    <t>g</t>
  </si>
  <si>
    <t xml:space="preserve"> + Lý do chưa hoàn thành chứng chỉ giáo dục quốc phòng</t>
  </si>
  <si>
    <t xml:space="preserve"> + Lý do chưa hoàn thành chứng chỉ giáo dục thể chất</t>
  </si>
  <si>
    <t>Số giảm trong năm:
(Dự kiến số sinh viên tốt nghiệp, thôi học, xóa tên, kỷ luật trong cả năm 2022)</t>
  </si>
  <si>
    <t>.- Tuyển sinh năm 2018 trở  về trước</t>
  </si>
  <si>
    <t>.- Tuyển sinh năm 2018 hệ học trên 4 năm (Khóa 58)</t>
  </si>
  <si>
    <t>.- Tuyển sinh năm 2019 trở  về trước</t>
  </si>
  <si>
    <t>.- Tuyển sinh năm 2019 hệ học trên 4 năm (Khóa 59)</t>
  </si>
  <si>
    <t>.- Tuyển sinh năm 2020 (Khóa 60)</t>
  </si>
  <si>
    <t>.- Tuyển sinh năm 2021 (Khóa 61)</t>
  </si>
  <si>
    <t xml:space="preserve"> - Tuyển sinh năm 2022 (Khóa 62)</t>
  </si>
  <si>
    <t xml:space="preserve"> - Tuyển sinh năm 2023 (Khóa 63)</t>
  </si>
  <si>
    <t>Dự kiến số Sinh viên tuyển mới năm 2023 theo khối ngành
(Tính dự kiến tổng số tuyển mới trong năm 2022 trừ các ngành sư phạm)</t>
  </si>
  <si>
    <t xml:space="preserve"> - Dự kiên tuyển sinh năm 2022 (Khóa 63)</t>
  </si>
  <si>
    <t xml:space="preserve"> - Dự kiên tuyển sinh năm 2023 (Khóa 64)</t>
  </si>
  <si>
    <t>Quy mô cuối năm: 
Số sinh viên có mặt ngày 31/12/2023 theo khối ngành, gồm:
(Số sinh viên này được coi là quy mô sinh viên có mặt học kỳ I năm học 2023-2024 từ tháng 9-12/2023)</t>
  </si>
  <si>
    <t>Sinh viên liên thông chính quy</t>
  </si>
  <si>
    <t>Số SV liên thông chính quy có mặt ngày 01/01/2023 theo khối ngành, gồm:
(Tổng số sinh viên mục này chính là quy mô sinh viên có mặt học kỳ II năm học 2022-2023 từ tháng 1-6/2023)</t>
  </si>
  <si>
    <t>Sinh viên liên thông chính quy Tuyển sinh năm 2018 trở về trước</t>
  </si>
  <si>
    <t>Sinh viên liên thông chính quy Tuyển sinh năm 2019 khóa 58</t>
  </si>
  <si>
    <t>Sinh viên liên thông chính quy Tuyển sinh năm 2020 (Khóa 59)</t>
  </si>
  <si>
    <t>Sinh viên liên thông chính quy Tuyển sinh năm 2021 khóa 60</t>
  </si>
  <si>
    <t>Sinh viên liên thông chính quy tốt nghiệp / thôi học / xóa tên năm 2023
(Tính dự kiến số tốt nghiệp,  thôi học, xóa tên, kỷ luật trong cả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</si>
  <si>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</si>
  <si>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</si>
  <si>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Sinh viên văn bằng 2</t>
  </si>
  <si>
    <t>Số SV văn bằng 2 có mặt ngày 01/01/2023 theo khối ngành, gồm:
(Tổng số sinh viên mục này chính là quy mô sinh viên có mặt học kỳ II năm học 2022-2023 từ tháng 1-6/2023)</t>
  </si>
  <si>
    <t>Sinh viên văn bằng 2 tuyển sinh năm 2018 trở về trước</t>
  </si>
  <si>
    <t>Sinh viên văn bằng 2 tuyển sinh năm 2019 - Khóa 60</t>
  </si>
  <si>
    <t>Sinh viên văn bằng 2 tuyển sinh năm 2020 - Khóa 61</t>
  </si>
  <si>
    <t>Sinh viên văn bằng 2 tuyển sinh năm 2021 - Khóa 62.</t>
  </si>
  <si>
    <t>Sinh viên văn bằng 2 tốt nghiệp / thôi học / xóa tên năm 2023:
(Tính dự kiến số tốt nghiệp, thôi học, xóa tên, kỷ luật trong cả năm 2023)</t>
  </si>
  <si>
    <t>Sinh viên văn bằng 2 tuyển sinh năm 2022 - Khóa 63</t>
  </si>
  <si>
    <t>Sinh viên văn bằng 2 tuyển mới năm 2023 theo khối ngành:
(Tính dự kiến tổng số tuyển mới trong năm 2023)</t>
  </si>
  <si>
    <t>Dự kiến tuyển mới sinh viên văn bằng 2 năm 2023 -  Khóa 63: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</si>
  <si>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</si>
  <si>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IV</t>
  </si>
  <si>
    <t>Sinh viên ngành 2</t>
  </si>
  <si>
    <t>Số SV có mặt ngày 01/01/2023 theo khối ngành, gồm:
(Tổng số sinh viên mục này chính là quy mô sinh viên có mặt học kỳ II năm học 2022-2023 từ tháng 1-6/2023)</t>
  </si>
  <si>
    <t>Sinh viên ngành 2 trung tuyển năm 2019 trở về trước</t>
  </si>
  <si>
    <t>Sinh viên ngành 2 trung tuyển năm 2020 - Khóa 61</t>
  </si>
  <si>
    <t>Sinh viên ngành 2 trung tuyển năm 2021 - Khóa 62</t>
  </si>
  <si>
    <t>Sinh viên ngành 2 trung tuyển năm 2022 - Khóa 63</t>
  </si>
  <si>
    <t>Sinh viên tốt nghiệp / thôi học / xóa tên năm 2023 :
(Tính dự kiến số thôi học, tốt nghiệp, xóa tên, kỷ luật trong cả năm 2023)</t>
  </si>
  <si>
    <t>.- Khóa 63 (Dự kiến tuyển năm 2022)
"Giao kế hoạch tối thiểu bằng số tuyển sinh của K62;"</t>
  </si>
  <si>
    <t>Lưu học sinh học đại học</t>
  </si>
  <si>
    <t>.- Khóa 58 (Tuyến sinh năm 2017 trở về trước)</t>
  </si>
  <si>
    <t>.- Khóa 59 (Tuyển sinh năm 2018)</t>
  </si>
  <si>
    <t>.- Khóa 60 (Tuyển sinh năm 2019)</t>
  </si>
  <si>
    <t>.- Khóa 61 (Tuyển sinh năm 2020)</t>
  </si>
  <si>
    <t>.- Khóa 62 (Tuyển sinh năm 2021)</t>
  </si>
  <si>
    <t>Nghệ An, ngày       tháng 12 năm 2022</t>
  </si>
  <si>
    <t>PHÒNG CTCT-HSSV</t>
  </si>
  <si>
    <t>Biểu số 2 tổng hợp</t>
  </si>
  <si>
    <t xml:space="preserve">ĐƠN VỊ: TRƯỜNG SƯ PHẠM </t>
  </si>
  <si>
    <t>BẢNG TỔNG HỢP SỐ TÍN CHỈ ĐĂNG KÝ HỌC CỦA NGƯỜI HỌC</t>
  </si>
  <si>
    <t>(Bảng này dùng để thống kê chi tiết học phần giảng dạy của học kỳ II năm học 2022-2023, học kỳ hè và học kỳ I năm học 2023-2024)</t>
  </si>
  <si>
    <t>(Mẫu dành cho các đơn vị đào tạo từ bậc đại học trở lên)</t>
  </si>
  <si>
    <t>Khối ngành 2</t>
  </si>
  <si>
    <t>Khối ngành 3</t>
  </si>
  <si>
    <t>Khối ngành 4</t>
  </si>
  <si>
    <t>Khối ngành 5</t>
  </si>
  <si>
    <t>Khối ngành 6</t>
  </si>
  <si>
    <t>Khối ngành 7</t>
  </si>
  <si>
    <t>Số tiết giảng dạy quy chuẩn</t>
  </si>
  <si>
    <t>6 THÁNG ĐẦU NĂM 2023
(HỌC KỲ II VÀ HỌC KÌ HÈ NĂM HỌC 2022-2023)</t>
  </si>
  <si>
    <t>Đại học chính quy</t>
  </si>
  <si>
    <t>Cao học</t>
  </si>
  <si>
    <t>Vừa làm vừa học</t>
  </si>
  <si>
    <t>Vừa làm vừa học nâng chuẩn theo Nghị định 71</t>
  </si>
  <si>
    <t>5</t>
  </si>
  <si>
    <t>6 THÁNG CUỐI NĂM 2023
(HỌC KỲ I NĂM HỌC 2023-2024)</t>
  </si>
  <si>
    <t xml:space="preserve">  TỔNG NĂM 2023</t>
  </si>
  <si>
    <t>Nghệ An, ngày    tháng 12 năm 2022</t>
  </si>
  <si>
    <t>Người lập biểu</t>
  </si>
  <si>
    <t>TRƯỜNG SƯ PHẠM</t>
  </si>
  <si>
    <t>Biểu số 2a1 - Khoa ….......................</t>
  </si>
  <si>
    <t>KẾ HOẠCH ĐÀO TẠO - GIẢNG DẠY CỦA TRƯỜNG SƯ PHẠM  NĂM 2023</t>
  </si>
  <si>
    <t xml:space="preserve">Tên học phần hoặc chuyên đề; 
hướng dẫn luận văn, đồ án, luận án </t>
  </si>
  <si>
    <t>Số TC theo chương trình đào tạo</t>
  </si>
  <si>
    <t xml:space="preserve">Hệ số
môn học (Điền thông tin từ mục Hệ số học phí trong kho dữ liệu, theo khoa và khóa học tương ứng </t>
  </si>
  <si>
    <t xml:space="preserve">Số lớp TC dự kiến mở </t>
  </si>
  <si>
    <t>Hệ số lớp đông / lớp ít nếu có</t>
  </si>
  <si>
    <t xml:space="preserve">Số lượng sinh viên </t>
  </si>
  <si>
    <t>Số lượt tín chỉ/HSSV dự kiến đảm nhiệm</t>
  </si>
  <si>
    <t>Tổng số giờ giảng dạy quy chuẩn kế hoạch đăng ký thực hiện (chỉ điền số liệu)</t>
  </si>
  <si>
    <t>GV trong đơn vị đảm nhận</t>
  </si>
  <si>
    <t>GV khối HC Trường đảm nhận</t>
  </si>
  <si>
    <t>GV thỉnh giảng</t>
  </si>
  <si>
    <t>Cột hệ số môn học có file phụ lục về danh mục hệ số đính kèm công văn hướng dẫn xây dựng kế hoạch</t>
  </si>
  <si>
    <t>(1)</t>
  </si>
  <si>
    <t>(2)</t>
  </si>
  <si>
    <t>(3)</t>
  </si>
  <si>
    <t>(4)</t>
  </si>
  <si>
    <t>(5)</t>
  </si>
  <si>
    <t>(6)</t>
  </si>
  <si>
    <t>(7)</t>
  </si>
  <si>
    <t>(8)=(3)x(4)x(7)</t>
  </si>
  <si>
    <t>(9)
  Môn lý thuyết (LT) = (3)*(5)*(6)*16,5;
 Môn thực hành(TH) = (3)*(5)*(6)*15;     Dạy học dự án(DA) = (3)*(7)*0.8;           Môn hỗn hợp các hình thức trên = (3)*(5)*(6)*16,5* tỉ lệ LT +(3)*(5)*(6)*15*tỉ lệ TH + (3)*(7)*0.8* tỉ lệ dự án</t>
  </si>
  <si>
    <t>(10)</t>
  </si>
  <si>
    <t>(11)</t>
  </si>
  <si>
    <t>Khoa ….......................</t>
  </si>
  <si>
    <t>Đào tạo chinh quy (gồm cả trong và ngoài Trường)</t>
  </si>
  <si>
    <t>HỌC kỳ 2 + Học kỳ Hè (2022-2023) (Từ tháng 1 đến tháng 8/2023)</t>
  </si>
  <si>
    <t>a.1</t>
  </si>
  <si>
    <t>Học phần A (4 TC) = 1TC LT + 2TC TH + TC DA, hiểu là phần LT chiếm 1/4; TH chiếm 2/4; DA chiếm 1/4</t>
  </si>
  <si>
    <t>a.2</t>
  </si>
  <si>
    <t>Học phần …..........................................</t>
  </si>
  <si>
    <t>a.3</t>
  </si>
  <si>
    <t>a.4</t>
  </si>
  <si>
    <t>a.5</t>
  </si>
  <si>
    <t>a.6</t>
  </si>
  <si>
    <t>a.7</t>
  </si>
  <si>
    <t>a.8</t>
  </si>
  <si>
    <t>a.9</t>
  </si>
  <si>
    <t>a.10</t>
  </si>
  <si>
    <t>a.11</t>
  </si>
  <si>
    <t>a.12</t>
  </si>
  <si>
    <r>
      <rPr>
        <sz val="10"/>
        <color theme="1"/>
        <rFont val="Times New Roman"/>
        <family val="1"/>
      </rPr>
      <t>H</t>
    </r>
    <r>
      <rPr>
        <b/>
        <sz val="10"/>
        <color theme="1"/>
        <rFont val="Times New Roman"/>
        <family val="1"/>
      </rPr>
      <t>ọc kỳ 1 (2023-2024) tức từ tháng 9 đến tháng 12/2023</t>
    </r>
  </si>
  <si>
    <t>Học phần  nhập môn sư phạm (PED20002)</t>
  </si>
  <si>
    <t>Sư phạm Hóa học</t>
  </si>
  <si>
    <t>Sư phạm Sinh học</t>
  </si>
  <si>
    <t>Sư phạm Tin học</t>
  </si>
  <si>
    <t>Sư phạm Toán học</t>
  </si>
  <si>
    <t>Sư phạm Toán học chất lượng cao</t>
  </si>
  <si>
    <t>Sư phạm Vật lý</t>
  </si>
  <si>
    <t>Giáo dục Mầm non</t>
  </si>
  <si>
    <t>Giáo dục Mầm non (VB2)</t>
  </si>
  <si>
    <t>a.15</t>
  </si>
  <si>
    <t>Giáo dục Tiểu học</t>
  </si>
  <si>
    <t>a.20</t>
  </si>
  <si>
    <t>Quản lý giáo dục</t>
  </si>
  <si>
    <t>Giáo dục Chính trị</t>
  </si>
  <si>
    <t>Sư phạm Địa lý</t>
  </si>
  <si>
    <t>Sư phạm Lịch sử</t>
  </si>
  <si>
    <t>Sư phạm Ngữ văn</t>
  </si>
  <si>
    <t>Chuyên đề ….................</t>
  </si>
  <si>
    <t>Hướng dẫn luận văn TN</t>
  </si>
  <si>
    <t>2.2.</t>
  </si>
  <si>
    <t>Đào tạo không chính quy (gồm cả trong, ngoài Trường)</t>
  </si>
  <si>
    <t>Đào tạo ĐH vừa làm vừa học</t>
  </si>
  <si>
    <t>HỌC kỳ 2 + Học kỳ Hè (2022-2023) (Từ tháng 1 đến tháng 6/2023)</t>
  </si>
  <si>
    <t>a.13</t>
  </si>
  <si>
    <t>a.14</t>
  </si>
  <si>
    <t>Đại học Giáo dục từ xa</t>
  </si>
  <si>
    <t>*</t>
  </si>
  <si>
    <t>TRƯỜNG ĐAI HỌC VINH</t>
  </si>
  <si>
    <t>Biểu số 2</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</si>
  <si>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</si>
  <si>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</si>
  <si>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 xml:space="preserve">Đơn vị tính: </t>
  </si>
  <si>
    <t>Biểu số 2a1</t>
  </si>
  <si>
    <t>KẾ HOẠCH ĐÀO TẠO - GIẢNG DẠY CỦA ĐƠN VỊ ĐÀO TẠO TRÌNH ĐỘ ĐẠI HỌC VÀ SAU ĐẠI HỌC NĂM 2023</t>
  </si>
  <si>
    <t xml:space="preserve">Hệ số
môn học </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</si>
  <si>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</si>
  <si>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</si>
  <si>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</si>
  <si>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</si>
  <si>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</si>
  <si>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(13)</t>
  </si>
  <si>
    <t>(14)</t>
  </si>
  <si>
    <t>(15)</t>
  </si>
  <si>
    <t>(16)</t>
  </si>
  <si>
    <t>(17)</t>
  </si>
  <si>
    <t>(18)</t>
  </si>
  <si>
    <t>Khoa</t>
  </si>
  <si>
    <t xml:space="preserve">Giảng dạy ĐH chính quy </t>
  </si>
  <si>
    <t>Khoa Toán</t>
  </si>
  <si>
    <t>Học kỳ II+ hè năm học 2022-2023</t>
  </si>
  <si>
    <t>Học kỳ I năm học 2023-2024</t>
  </si>
  <si>
    <t>Khoa Vật lý</t>
  </si>
  <si>
    <t>Khoa Hóa học</t>
  </si>
  <si>
    <t>Khoa Sinh học</t>
  </si>
  <si>
    <t>Khoa Tin học</t>
  </si>
  <si>
    <t>Khoa Ngữ văn</t>
  </si>
  <si>
    <t>Khoa Lịch sử</t>
  </si>
  <si>
    <t>Khoa Địa lý</t>
  </si>
  <si>
    <t>Khoa Giáo dục chính trị</t>
  </si>
  <si>
    <t>Khoa Giáo dục Mầm non</t>
  </si>
  <si>
    <t>Khoa Giáo dục Tiểu học</t>
  </si>
  <si>
    <t>Khoa Tâm lý giáo dục</t>
  </si>
  <si>
    <t>Hướng dẫn thực tế, thực tập; luận văn và đổ án TN</t>
  </si>
  <si>
    <t>b.1</t>
  </si>
  <si>
    <t>b2</t>
  </si>
  <si>
    <t>b3</t>
  </si>
  <si>
    <t>b4</t>
  </si>
  <si>
    <t>b5</t>
  </si>
  <si>
    <t>b6</t>
  </si>
  <si>
    <t>b7</t>
  </si>
  <si>
    <t>b8</t>
  </si>
  <si>
    <t>b9</t>
  </si>
  <si>
    <t>b10</t>
  </si>
  <si>
    <t>Khoa Giáo dục Mần non</t>
  </si>
  <si>
    <t>b11</t>
  </si>
  <si>
    <t>b12</t>
  </si>
  <si>
    <t>Đào tạo Cao học</t>
  </si>
  <si>
    <t xml:space="preserve">Giảng dạy Thạc sỹ </t>
  </si>
  <si>
    <t>b.2</t>
  </si>
  <si>
    <t>b.3</t>
  </si>
  <si>
    <t>b.4</t>
  </si>
  <si>
    <t>b.5</t>
  </si>
  <si>
    <t>b.6</t>
  </si>
  <si>
    <t>b.7</t>
  </si>
  <si>
    <t>Khoa Lịch sử (Học kỳ 2(2021-2022) + Học Kỳ Hè)</t>
  </si>
  <si>
    <t>b.8</t>
  </si>
  <si>
    <t>b.9</t>
  </si>
  <si>
    <t>b.10</t>
  </si>
  <si>
    <t>b.11</t>
  </si>
  <si>
    <t>b.12</t>
  </si>
  <si>
    <t>Đào tạo Nghiên cứu sinh</t>
  </si>
  <si>
    <t>Giảng dạy Nghiên cứu sinh</t>
  </si>
  <si>
    <t>Khoa Hoá</t>
  </si>
  <si>
    <t xml:space="preserve"> Khoa Văn</t>
  </si>
  <si>
    <t>Khoa Lịch Sử</t>
  </si>
  <si>
    <t>Hướng dẫn chuyên đề</t>
  </si>
  <si>
    <t>Hướng dẫn Luận án</t>
  </si>
  <si>
    <t xml:space="preserve">Khoa Ngữ Văn </t>
  </si>
  <si>
    <t>Giảng dạy ĐH vừa làm vừa học</t>
  </si>
  <si>
    <t>Các hoạt động khác (nếu có)</t>
  </si>
  <si>
    <t>Khoa Ngữ Văn ( Đào tạo THPT Chất lượng cao )</t>
  </si>
  <si>
    <t>Giảng dạy ĐH ĐTTX</t>
  </si>
  <si>
    <t>Học phần ……</t>
  </si>
  <si>
    <t>Khoa/ Trung tâm/ Tổ bộ môn/ (Và tương đương) ….</t>
  </si>
  <si>
    <t xml:space="preserve"> Khoa Địa Lý</t>
  </si>
  <si>
    <t>TỔNG HỢP TOÀN TRƯỜNG SƯ PHẠM</t>
  </si>
  <si>
    <t>Đào tạo Thạc sỹ (gồm cả trong và ngoài Trường)</t>
  </si>
  <si>
    <t>Hướng dẫn luận án</t>
  </si>
  <si>
    <t>Đào tạo THPT Chuyên</t>
  </si>
  <si>
    <t>Đào tạo THPT Chất lượng cao</t>
  </si>
  <si>
    <t>TỔNG HỢP THEO TỪNG KHOA</t>
  </si>
  <si>
    <t xml:space="preserve">Khoa Lịch sử </t>
  </si>
  <si>
    <t>Trung tâm bồi dưỡng NVSP</t>
  </si>
  <si>
    <t>TỔNG HỢP TOÀN TRƯỜNG KHOA</t>
  </si>
  <si>
    <t>Nghệ An, ngày       tháng        năm 2022</t>
  </si>
  <si>
    <t>HIỆU TRƯỞNG TRƯỜNG SƯ PHẠM</t>
  </si>
  <si>
    <t>PGS.TS. Lưu Tiến Hưng</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</si>
  <si>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</si>
  <si>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 Không tổng hợp số giờ giảng dạy khác (đào tạo ngắn hạn cấp chứng chỉ, đào tạo khác) vào số giờ giảng dạy của Tổ bộ môn, Khoa</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</si>
  <si>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</si>
  <si>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</si>
  <si>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</si>
  <si>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</si>
  <si>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Biểu số 2a1 - Khoa Toán</t>
  </si>
  <si>
    <t>KHOA TOÁN HỌC</t>
  </si>
  <si>
    <t>Hệ số
môn học</t>
  </si>
  <si>
    <t>Số lớp TC dự kiến mở</t>
  </si>
  <si>
    <t>Số lượng sinh viên</t>
  </si>
  <si>
    <t>Tổng số giờ giảng dạy quy chuẩn kế hoạch đăng ký thực hiện</t>
  </si>
  <si>
    <t>Ghi chú
(Khóa, ngành)</t>
  </si>
  <si>
    <t>(9)
 + Môn lý thuyết = (3)*(5)*(6)*16,5;
+ Môn thực hành = (3)*(5)*(6)*15;</t>
  </si>
  <si>
    <t>(12)</t>
  </si>
  <si>
    <t>Khoa Toán học</t>
  </si>
  <si>
    <t>Đào tạo chính quy (gồm cả trong và ngoài Trường)</t>
  </si>
  <si>
    <t>Học kỳ 2 + Học kỳ Hè (2022-2023) (Từ tháng 1 đến tháng 8/2023)</t>
  </si>
  <si>
    <t>K63: HK2 CTĐT
K62: HK4 CTĐT
K61: HK6 CTĐT
K60: HK8 CTĐT</t>
  </si>
  <si>
    <t>Học phần: Giải tích 2</t>
  </si>
  <si>
    <t>K63 SP Toán + SP Toán CLC</t>
  </si>
  <si>
    <t>Học phần: Xác suất, thống kê và xử lý số liệu</t>
  </si>
  <si>
    <t>K63 SP Toán + SP Toán CLC+SP Tin</t>
  </si>
  <si>
    <t>Học phần: Xác suất, thống kê và toán kinh tế</t>
  </si>
  <si>
    <t>K63 Nhóm ngành kinh tế + ngành Kinh tế xây dựng</t>
  </si>
  <si>
    <t>Học phần: Giải tích</t>
  </si>
  <si>
    <t>K63 Nhóm ngành Kỹ thuật và Công nghệ</t>
  </si>
  <si>
    <t>Học phần: Độ đo và tích phân</t>
  </si>
  <si>
    <t>K62 SP Toán</t>
  </si>
  <si>
    <r>
      <rPr>
        <sz val="10"/>
        <color theme="1"/>
        <rFont val="Times New Roman"/>
        <family val="1"/>
      </rPr>
      <t>Học phần: Độ đo và tích phân (</t>
    </r>
    <r>
      <rPr>
        <i/>
        <sz val="10"/>
        <color theme="1"/>
        <rFont val="Times New Roman"/>
        <family val="1"/>
      </rPr>
      <t>Measure and Integration</t>
    </r>
    <r>
      <rPr>
        <sz val="10"/>
        <color theme="1"/>
        <rFont val="Times New Roman"/>
        <family val="1"/>
      </rPr>
      <t>)</t>
    </r>
  </si>
  <si>
    <t>K62 SP Toán CLC, dạy bằng tiếng Anh</t>
  </si>
  <si>
    <t>Học phần: Hàm biến phức</t>
  </si>
  <si>
    <t>K62 SP Toán + K61 SP Toán</t>
  </si>
  <si>
    <r>
      <rPr>
        <sz val="10"/>
        <color theme="1"/>
        <rFont val="Times New Roman"/>
        <family val="1"/>
      </rPr>
      <t>Học phần: Hàm biến phức (</t>
    </r>
    <r>
      <rPr>
        <i/>
        <sz val="10"/>
        <color theme="1"/>
        <rFont val="Times New Roman"/>
        <family val="1"/>
      </rPr>
      <t>Complex-valued Function</t>
    </r>
    <r>
      <rPr>
        <sz val="10"/>
        <color theme="1"/>
        <rFont val="Times New Roman"/>
        <family val="1"/>
      </rPr>
      <t>)</t>
    </r>
  </si>
  <si>
    <t>Học phần: Hình học tuyến tính</t>
  </si>
  <si>
    <t>K62 SP Toán + SP Toán CLC</t>
  </si>
  <si>
    <t>Học phần: Số học</t>
  </si>
  <si>
    <t>K62 SP Toán (đồ án)</t>
  </si>
  <si>
    <r>
      <rPr>
        <sz val="10"/>
        <color theme="1"/>
        <rFont val="Times New Roman"/>
        <family val="1"/>
      </rPr>
      <t>Học phần: Số học (</t>
    </r>
    <r>
      <rPr>
        <i/>
        <sz val="10"/>
        <color theme="1"/>
        <rFont val="Times New Roman"/>
        <family val="1"/>
      </rPr>
      <t>Arithmetic</t>
    </r>
    <r>
      <rPr>
        <sz val="10"/>
        <color theme="1"/>
        <rFont val="Times New Roman"/>
        <family val="1"/>
      </rPr>
      <t>)</t>
    </r>
  </si>
  <si>
    <t>K62 SP Toán CLC, dạy bằng tiếng Anh (đồ án)</t>
  </si>
  <si>
    <t>Học phần: Xác suất và thống kê (nhóm ngành Xây dựng)</t>
  </si>
  <si>
    <t>K62 Nhóm ngành Xây dựng</t>
  </si>
  <si>
    <t>Học phần: Thống kê xã hội học</t>
  </si>
  <si>
    <t>K62 ngành Quản lý giáo dục</t>
  </si>
  <si>
    <t>Học phần: Hình học vi phân</t>
  </si>
  <si>
    <t>K61 SP Toán</t>
  </si>
  <si>
    <r>
      <rPr>
        <sz val="10"/>
        <color theme="1"/>
        <rFont val="Times New Roman"/>
        <family val="1"/>
      </rPr>
      <t>Học phần: Hình học vi phân (</t>
    </r>
    <r>
      <rPr>
        <i/>
        <sz val="10"/>
        <color theme="1"/>
        <rFont val="Times New Roman"/>
        <family val="1"/>
      </rPr>
      <t>Differential Geometry</t>
    </r>
    <r>
      <rPr>
        <sz val="10"/>
        <color theme="1"/>
        <rFont val="Times New Roman"/>
        <family val="1"/>
      </rPr>
      <t>)</t>
    </r>
  </si>
  <si>
    <t>K61 SP Toán CLC, dạy bằng tiếng Anh</t>
  </si>
  <si>
    <t>a.16</t>
  </si>
  <si>
    <t>Học phần: Lý luận và Phương pháp dạy học môn Toán</t>
  </si>
  <si>
    <t>K61 SP Toán + SP Toán CLC</t>
  </si>
  <si>
    <t>a.17</t>
  </si>
  <si>
    <t>Học phần: Phát triển chương trình môn Toán</t>
  </si>
  <si>
    <t>a.18</t>
  </si>
  <si>
    <t>Học phần: Phát triển chương trình nhà trường môn Toán</t>
  </si>
  <si>
    <t>K61 SP Toán CLC</t>
  </si>
  <si>
    <t>a.19</t>
  </si>
  <si>
    <t>a.21</t>
  </si>
  <si>
    <t>Học phần: Tự chọn 2 (K61 SP Toán, chọn 01 trong các HP sau:
(1) Nhập môn phương pháp xác suất, 
(2) Tôpô đại cương, 
(3) Phương trình vi phân, 
(4) Kiểm tra và đánh giá trong dạy học môn Toán)</t>
  </si>
  <si>
    <t>a.22</t>
  </si>
  <si>
    <r>
      <rPr>
        <sz val="10"/>
        <color theme="1"/>
        <rFont val="Times New Roman"/>
        <family val="1"/>
      </rPr>
      <t>Học phần: Giải tích hàm (</t>
    </r>
    <r>
      <rPr>
        <i/>
        <sz val="10"/>
        <color theme="1"/>
        <rFont val="Times New Roman"/>
        <family val="1"/>
      </rPr>
      <t>Functional Analysis</t>
    </r>
    <r>
      <rPr>
        <sz val="10"/>
        <color theme="1"/>
        <rFont val="Times New Roman"/>
        <family val="1"/>
      </rPr>
      <t>)</t>
    </r>
  </si>
  <si>
    <t>a.23</t>
  </si>
  <si>
    <t>Học phần: Tự chọn 3 (Nhập môn đại số giao hoán)</t>
  </si>
  <si>
    <t>Học kỳ 1 (2023-2024) (từ tháng 9 đến tháng 12/2023)</t>
  </si>
  <si>
    <t>K64: HK1 CTĐT
K63: HK3 CTĐT
K62: HK5 CTĐT
K61: HK7 CTĐT</t>
  </si>
  <si>
    <t>Học phần: Nhập môn ngành Sư phạm</t>
  </si>
  <si>
    <t>K64 SP Vinh (đồ án)</t>
  </si>
  <si>
    <t>Học phần: Đại số tuyến tính</t>
  </si>
  <si>
    <t>K64 SP Toán + SP Toán CLC + SP Tin</t>
  </si>
  <si>
    <t>Học phần: Giải tích 1</t>
  </si>
  <si>
    <t>Học phần: Toán cao cấp</t>
  </si>
  <si>
    <t>K64 SP Lý + SP Hóa + SP Sinh</t>
  </si>
  <si>
    <t>Học phần: Xác suất và Thống kê (nhóm ngành NLN&amp;QLTN)</t>
  </si>
  <si>
    <t>K64 Nhóm ngành NLN + QLTN</t>
  </si>
  <si>
    <t>K64 Nhóm ngành Kinh tế + ngành Kinh tế xây dựng</t>
  </si>
  <si>
    <t>K64 Nhóm ngành Kỹ thuật và Công nghệ</t>
  </si>
  <si>
    <t>Học phần: Xác suất và Thống kê</t>
  </si>
  <si>
    <t>K64 ngành CNTT CLC</t>
  </si>
  <si>
    <t>Học phần: Xác suất và Thống kê (nhóm ngành CN HS&amp;MT)</t>
  </si>
  <si>
    <t>K64 Nhóm ngành Công nghệ Hóa-Sinh-Môi trường</t>
  </si>
  <si>
    <t>Học phần: Giải tích (nhóm ngành xây dựng)</t>
  </si>
  <si>
    <t>K64 Nhóm ngành Xây dựng</t>
  </si>
  <si>
    <t>Học phần: Thống kê trong thể dục thể thao</t>
  </si>
  <si>
    <t>K64 Ngành Giáo dục thể chất</t>
  </si>
  <si>
    <t>Học phần: Đại số đại cương</t>
  </si>
  <si>
    <t>Học phần: Tiếng Anh chuyên ngành</t>
  </si>
  <si>
    <t>K63 SP Toán, dạy bằng tiếng Anh</t>
  </si>
  <si>
    <t>Học phần: Đại số tuyến tính (nhóm ngành Xây dựng)</t>
  </si>
  <si>
    <t>K63 Nhóm ngành Xây dựng</t>
  </si>
  <si>
    <t>Học phần: Cơ sở lý thuyết xác suất</t>
  </si>
  <si>
    <r>
      <rPr>
        <sz val="10"/>
        <color theme="1"/>
        <rFont val="Times New Roman"/>
        <family val="1"/>
      </rPr>
      <t>Học phần: Cơ sở lý thuyết xác suất (</t>
    </r>
    <r>
      <rPr>
        <i/>
        <sz val="10"/>
        <color theme="1"/>
        <rFont val="Times New Roman"/>
        <family val="1"/>
      </rPr>
      <t>Foundations of probability theory</t>
    </r>
    <r>
      <rPr>
        <sz val="10"/>
        <color theme="1"/>
        <rFont val="Times New Roman"/>
        <family val="1"/>
      </rPr>
      <t>)</t>
    </r>
  </si>
  <si>
    <t>Học phần: Giải tích hàm</t>
  </si>
  <si>
    <t>Học phần: Lí luận dạy học và kiểm tra đánh giá môn Toán</t>
  </si>
  <si>
    <t>Học phần: Toán sơ cấp</t>
  </si>
  <si>
    <r>
      <rPr>
        <sz val="10"/>
        <color theme="1"/>
        <rFont val="Times New Roman"/>
        <family val="1"/>
      </rPr>
      <t>Học phần: Toán sơ cấp (</t>
    </r>
    <r>
      <rPr>
        <i/>
        <sz val="10"/>
        <color theme="1"/>
        <rFont val="Times New Roman"/>
        <family val="1"/>
      </rPr>
      <t>Elementary Mathematics</t>
    </r>
    <r>
      <rPr>
        <sz val="10"/>
        <color theme="1"/>
        <rFont val="Times New Roman"/>
        <family val="1"/>
      </rPr>
      <t>)</t>
    </r>
  </si>
  <si>
    <t>a.24</t>
  </si>
  <si>
    <t>Học phần: Thực hành dạy học môn Toán</t>
  </si>
  <si>
    <t>a.25</t>
  </si>
  <si>
    <t>Học phần: Thực hành NCKH trong giáo 
dục Toán học</t>
  </si>
  <si>
    <t>a.26</t>
  </si>
  <si>
    <t>Học phần: Tự chọn 3 (K61 SP Toán, chọn 01 trong các HP sau:
(1) Nhập môn quá trình ngẫu nhiên, 
(2) Hình học phi Ơclit, 
(3) Tiếp cận dạy học Toán ở trường phổ thông bằng tiếng Anh, 
(4) Phép tính vi phân trong không gian Banach.</t>
  </si>
  <si>
    <t>a.27</t>
  </si>
  <si>
    <t>Học phần: Cơ sở đại số hiện đại</t>
  </si>
  <si>
    <t>a.28</t>
  </si>
  <si>
    <r>
      <rPr>
        <sz val="10"/>
        <color theme="1"/>
        <rFont val="Times New Roman"/>
        <family val="1"/>
      </rPr>
      <t>Học phần: Cơ sở Đại số hiện đại (</t>
    </r>
    <r>
      <rPr>
        <i/>
        <sz val="10"/>
        <color theme="1"/>
        <rFont val="Times New Roman"/>
        <family val="1"/>
      </rPr>
      <t>Basic Modern Algebra</t>
    </r>
    <r>
      <rPr>
        <sz val="10"/>
        <color theme="1"/>
        <rFont val="Times New Roman"/>
        <family val="1"/>
      </rPr>
      <t>)</t>
    </r>
  </si>
  <si>
    <t>a.29</t>
  </si>
  <si>
    <t>a.30</t>
  </si>
  <si>
    <t>Học phần: Giải tích số</t>
  </si>
  <si>
    <t>a.31</t>
  </si>
  <si>
    <r>
      <rPr>
        <sz val="10"/>
        <color theme="1"/>
        <rFont val="Times New Roman"/>
        <family val="1"/>
      </rPr>
      <t>Học phần: Giải tích số (</t>
    </r>
    <r>
      <rPr>
        <i/>
        <sz val="10"/>
        <color theme="1"/>
        <rFont val="Times New Roman"/>
        <family val="1"/>
      </rPr>
      <t>Numerical Analysis</t>
    </r>
    <r>
      <rPr>
        <sz val="10"/>
        <color theme="1"/>
        <rFont val="Times New Roman"/>
        <family val="1"/>
      </rPr>
      <t>)</t>
    </r>
  </si>
  <si>
    <t>a.32</t>
  </si>
  <si>
    <t>Học phần: Tự chọn 4 (Dạy học toán ở trường phổ thông bằng tiếng Anh)</t>
  </si>
  <si>
    <t>a.33</t>
  </si>
  <si>
    <t>Học phần: Tự chọn 5 (Hình học Fractal)</t>
  </si>
  <si>
    <t>CH29 + CH30</t>
  </si>
  <si>
    <t>2.1</t>
  </si>
  <si>
    <t>Học kỳ 2 + Học kỳ Hè (2022-2023) (Từ tháng 1 đến tháng 6/2023)</t>
  </si>
  <si>
    <t>Giảng dạy Thạc sĩ</t>
  </si>
  <si>
    <t>Cao học Khóa 30: môn chung (bắt buộc và tự chọn) cho 04 ngành</t>
  </si>
  <si>
    <t>Học phần: Đại số hiện đại</t>
  </si>
  <si>
    <t>Học phần: Cơ sở lý thuyết xác suất hiện đại</t>
  </si>
  <si>
    <t>Học phần: Một số vấn đề hiện đại của lý luận dạy học môn Toán</t>
  </si>
  <si>
    <r>
      <rPr>
        <i/>
        <sz val="11"/>
        <color theme="1"/>
        <rFont val="Times New Roman"/>
        <family val="1"/>
      </rPr>
      <t xml:space="preserve">Chọn </t>
    </r>
    <r>
      <rPr>
        <i/>
        <sz val="11"/>
        <color rgb="FFFF0000"/>
        <rFont val="Times New Roman"/>
        <family val="1"/>
      </rPr>
      <t xml:space="preserve">04 </t>
    </r>
    <r>
      <rPr>
        <i/>
        <sz val="11"/>
        <color theme="1"/>
        <rFont val="Times New Roman"/>
        <family val="1"/>
      </rPr>
      <t>trong số 08 học phần sau đây:</t>
    </r>
    <r>
      <rPr>
        <sz val="11"/>
        <color theme="1"/>
        <rFont val="Times New Roman"/>
        <family val="1"/>
      </rPr>
      <t xml:space="preserve">
(1) Cơ sở hình học hiện đại
(2) Số học hiện đại
(3) Lý thuyết Tôpô
(4) Một số phần mềm toán học chọn lọc
(5) Lý thuyết độ đo
(6) Đại số tuyến tính nâng cao
(7) Lí luận về phát triển chương trình môn Toán
(8) Thống kê nâng cao và xử lý số liệu trong khoa học giáo dục</t>
    </r>
  </si>
  <si>
    <t>Cao học Khóa 29</t>
  </si>
  <si>
    <t>Hướng dẫn luận văn cao học Thạc sĩ khóa 29 chuyên ngành: Đại số và lý thuyết số</t>
  </si>
  <si>
    <t>Hướng dẫn luận văn cao học Thạc sĩ khóa 29 chuyên ngành: Toán Giải tích</t>
  </si>
  <si>
    <t>Hướng dẫn luận văn cao học Thạc sĩ khóa 29 chuyên ngành: LL và PPDH Toán</t>
  </si>
  <si>
    <t>2.2</t>
  </si>
  <si>
    <t>Khóa 30: môn chuyên ngành</t>
  </si>
  <si>
    <t>Học phần: Đại số giao hoán</t>
  </si>
  <si>
    <t>K30 CN Đại số và lý thuyết số</t>
  </si>
  <si>
    <t>Học phần: Lý thuyết trường và lý thuyết Galois</t>
  </si>
  <si>
    <t>Học phần: Hình học đại số</t>
  </si>
  <si>
    <r>
      <rPr>
        <i/>
        <sz val="11"/>
        <color theme="1"/>
        <rFont val="Times New Roman"/>
        <family val="1"/>
      </rPr>
      <t xml:space="preserve">Chọn </t>
    </r>
    <r>
      <rPr>
        <i/>
        <sz val="11"/>
        <color rgb="FFFF0000"/>
        <rFont val="Times New Roman"/>
        <family val="1"/>
      </rPr>
      <t>02</t>
    </r>
    <r>
      <rPr>
        <i/>
        <sz val="11"/>
        <color theme="1"/>
        <rFont val="Times New Roman"/>
        <family val="1"/>
      </rPr>
      <t xml:space="preserve"> trong số 04 học phần sau đây:</t>
    </r>
    <r>
      <rPr>
        <sz val="11"/>
        <color theme="1"/>
        <rFont val="Times New Roman"/>
        <family val="1"/>
      </rPr>
      <t xml:space="preserve">
(1) Lý thuyết nhóm
(2) Đại số đồng điều
(3) Nửa nhóm số
(4) Đại số máy tính và ứng dụng</t>
    </r>
  </si>
  <si>
    <t>Học phần: Giải tích phức</t>
  </si>
  <si>
    <t>K30 CN Toán giải tích</t>
  </si>
  <si>
    <t>Học phần: Không gian vectơ tôpô</t>
  </si>
  <si>
    <t>Học phần: Phương trình đạo hàm riêng</t>
  </si>
  <si>
    <r>
      <rPr>
        <i/>
        <sz val="11"/>
        <color theme="1"/>
        <rFont val="Times New Roman"/>
        <family val="1"/>
      </rPr>
      <t xml:space="preserve">Chọn </t>
    </r>
    <r>
      <rPr>
        <i/>
        <sz val="11"/>
        <color rgb="FFFF0000"/>
        <rFont val="Times New Roman"/>
        <family val="1"/>
      </rPr>
      <t>02</t>
    </r>
    <r>
      <rPr>
        <i/>
        <sz val="11"/>
        <color theme="1"/>
        <rFont val="Times New Roman"/>
        <family val="1"/>
      </rPr>
      <t xml:space="preserve"> trong số 04 học phần sau đây:</t>
    </r>
    <r>
      <rPr>
        <sz val="11"/>
        <color theme="1"/>
        <rFont val="Times New Roman"/>
        <family val="1"/>
      </rPr>
      <t xml:space="preserve">
(1) Giải tích biến phân
(2) Lý thuyết chiều
(3) Đại số Banach và đại số đều
(4) Không gian hạch lồi địa phương</t>
    </r>
  </si>
  <si>
    <t>Học phần: Các định lý giới hạn trong lý thuyết xác suất</t>
  </si>
  <si>
    <t>K30 CN Lý thuyết xác suất và Thống kê Toán học</t>
  </si>
  <si>
    <t>Học phần: Cơ sở lý thuyết thống kê hiện đại</t>
  </si>
  <si>
    <t>Học phần: Quá trình ngẫu nhiên</t>
  </si>
  <si>
    <r>
      <rPr>
        <i/>
        <sz val="11"/>
        <color theme="1"/>
        <rFont val="Times New Roman"/>
        <family val="1"/>
      </rPr>
      <t xml:space="preserve">Chọn </t>
    </r>
    <r>
      <rPr>
        <i/>
        <sz val="11"/>
        <color rgb="FFFF0000"/>
        <rFont val="Times New Roman"/>
        <family val="1"/>
      </rPr>
      <t>02</t>
    </r>
    <r>
      <rPr>
        <i/>
        <sz val="11"/>
        <color theme="1"/>
        <rFont val="Times New Roman"/>
        <family val="1"/>
      </rPr>
      <t xml:space="preserve"> trong số 05 học phần sau:</t>
    </r>
    <r>
      <rPr>
        <sz val="11"/>
        <color theme="1"/>
        <rFont val="Times New Roman"/>
        <family val="1"/>
      </rPr>
      <t xml:space="preserve">
(1) Phương trình vi phân ngẫu nhiên và ứng dụng
(2) Một số định lý giới hạn trên không gian Banach
(3) Một số vấn đề của xác suất đa trị
(4) Một số vấn đề của xác suất lượng tử
(5) Phương pháp Stein</t>
    </r>
  </si>
  <si>
    <t>Học phần: Phát triển lí luận dạy học môn toán</t>
  </si>
  <si>
    <t>K30 CN Lý luận và Phương pháp dạy học bộ môn Toán</t>
  </si>
  <si>
    <t>Học phần: Đánh giá kết quả học tập của học sinh trong dạy học môn toán ở trường phổ thông</t>
  </si>
  <si>
    <t>Học phần: Phát triển tư duy cho học sinh trong dạy học toán ở trường phổ thông</t>
  </si>
  <si>
    <r>
      <rPr>
        <i/>
        <sz val="11"/>
        <color theme="1"/>
        <rFont val="Times New Roman"/>
        <family val="1"/>
      </rPr>
      <t xml:space="preserve">Chọn </t>
    </r>
    <r>
      <rPr>
        <i/>
        <sz val="11"/>
        <color rgb="FFFF0000"/>
        <rFont val="Times New Roman"/>
        <family val="1"/>
      </rPr>
      <t>02</t>
    </r>
    <r>
      <rPr>
        <i/>
        <sz val="11"/>
        <color theme="1"/>
        <rFont val="Times New Roman"/>
        <family val="1"/>
      </rPr>
      <t xml:space="preserve"> trong số 04 học phần sau:</t>
    </r>
    <r>
      <rPr>
        <sz val="11"/>
        <color theme="1"/>
        <rFont val="Times New Roman"/>
        <family val="1"/>
      </rPr>
      <t xml:space="preserve">
(1) Vận dụng các phương pháp dạy học không truyền thống vào dạy học Toán
(2) Dạy học môn toán thông qua phát hiện và sửa chữa sai lầm của học sinh
(3) Vận dụng các quan điểm triết học duy vật biện chứng trong dạy học môn Toán
(4) Giáo dục Toán thực</t>
    </r>
  </si>
  <si>
    <t>K63 SP Toán: lớp Thái Bình và lớp Hà Nội</t>
  </si>
  <si>
    <t>K63: HK2</t>
  </si>
  <si>
    <t>Lớp tại Thái Bình</t>
  </si>
  <si>
    <t>Lớp tại Hà Nội</t>
  </si>
  <si>
    <t>Lớp tại Thái Bình + lớp tại Hà Nội</t>
  </si>
  <si>
    <t>Học phần: Phương pháp dạy học môn Toán</t>
  </si>
  <si>
    <t>K63: HK3</t>
  </si>
  <si>
    <t>Học phần: Cơ sở lý thuyết thống kê</t>
  </si>
  <si>
    <t>Thí nghiệm điện quang khóa 62</t>
  </si>
  <si>
    <t>Tên đơn vị :Khoa Vật lí</t>
  </si>
  <si>
    <t>(9)
  Môn lý thuyết (LT) = (3)*(5)*(6)*16,5;
 Môn thực hành(TH) = (3)*(5)*(6)*15;          Dạy học dự án(DA) = (3)*(7)*0.8; Môn hỗn hợp các hình thức trên = (3)*(5)*(6)*16,5* tỉ lệ LT +(3)*(5)*(6)*15*tỉ lệ TH + (3)*(7)*0.8* tỉ lệ dự án</t>
  </si>
  <si>
    <t>Khoa Vật lí</t>
  </si>
  <si>
    <t>Học kì II  học kì hè năm học 2022 - 2023</t>
  </si>
  <si>
    <t>Thí nghiệm điện quang khoá 61</t>
  </si>
  <si>
    <t>Vật lí học hiện đại 61</t>
  </si>
  <si>
    <t>Điện từ học khoá 62</t>
  </si>
  <si>
    <t>Hướng dẫn đồ án K63 môn ICT</t>
  </si>
  <si>
    <t>Thí nghiệm cơ nhiệt khoá 62</t>
  </si>
  <si>
    <t>a. 6</t>
  </si>
  <si>
    <t>Tự chọn 1 khoá 62</t>
  </si>
  <si>
    <t>a. 7</t>
  </si>
  <si>
    <t>Cơ học khoá 63</t>
  </si>
  <si>
    <t>a. 8</t>
  </si>
  <si>
    <t>Nhiệt học khoá 63</t>
  </si>
  <si>
    <t>a. 9</t>
  </si>
  <si>
    <t>Vật lí đại cương khoá 63</t>
  </si>
  <si>
    <t>a. 10</t>
  </si>
  <si>
    <t>a. 11</t>
  </si>
  <si>
    <t>Học kì I năm học 2023- 2024</t>
  </si>
  <si>
    <t>Phát triển chương trình môn Vật lý khoá 61</t>
  </si>
  <si>
    <t>82.5</t>
  </si>
  <si>
    <t>a. 13</t>
  </si>
  <si>
    <t>Phương pháp nghiên cứu Vật lý  khoá 61</t>
  </si>
  <si>
    <t>a. 14</t>
  </si>
  <si>
    <t>Thực hành dạy học vật lý và các môn KHTN khoá 61</t>
  </si>
  <si>
    <t>a. 15</t>
  </si>
  <si>
    <t>Vật lí phân tử và các nguyên tử khoá 61</t>
  </si>
  <si>
    <t>a. 16</t>
  </si>
  <si>
    <t>Vật lý phân tử và nguyên tử khoá 61</t>
  </si>
  <si>
    <t>a. 17</t>
  </si>
  <si>
    <t>Quang học khoá 62</t>
  </si>
  <si>
    <t>a. 18</t>
  </si>
  <si>
    <t>Phương pháp DH Vật lí  ở trường PT khoá 62</t>
  </si>
  <si>
    <t>a. 19</t>
  </si>
  <si>
    <t>Thí nghiệm điện quang khoá 62</t>
  </si>
  <si>
    <t>a. 20</t>
  </si>
  <si>
    <t>Vật lí phân tử và nguyên tử khoá 62</t>
  </si>
  <si>
    <t>a. 21</t>
  </si>
  <si>
    <t>Toán cho Vật lý</t>
  </si>
  <si>
    <t>K30 Quang + PP</t>
  </si>
  <si>
    <t>Vật lý thống kê</t>
  </si>
  <si>
    <t>Vật lý nguyên tử và phân tử</t>
  </si>
  <si>
    <t>Cơ học lượng tử</t>
  </si>
  <si>
    <t>Vật lý laser</t>
  </si>
  <si>
    <t>Phương pháp số và sử lý số liệu</t>
  </si>
  <si>
    <t>Vật lý học hiện đại</t>
  </si>
  <si>
    <t>Quan điểm hiện đại trong dạy học vật lý</t>
  </si>
  <si>
    <t>Phát triển năng lực người học trong dạy học vật lý</t>
  </si>
  <si>
    <t>K30 PP</t>
  </si>
  <si>
    <t>Chiến lược dạy học vật lý</t>
  </si>
  <si>
    <t>Ứng dụng công nghệ thông tin trong dạy học vật lý</t>
  </si>
  <si>
    <t>Đo lường và đánh giá trong dạy học vật lý</t>
  </si>
  <si>
    <t>Thí nghiệm trong dạy học vật lý</t>
  </si>
  <si>
    <t>Quang học phi tuyến</t>
  </si>
  <si>
    <t>K30 Quang</t>
  </si>
  <si>
    <t>Thông tin quang</t>
  </si>
  <si>
    <t>Phổ học lazer</t>
  </si>
  <si>
    <t>Làm lạnh các nguyên tử bằng lazer</t>
  </si>
  <si>
    <t>Các thí nghiệm quang học hiện đại</t>
  </si>
  <si>
    <t>Cao học K29</t>
  </si>
  <si>
    <t>TRƯỜNG SƯ PHẠM - TRƯỜNG ĐẠI HỌC VINH</t>
  </si>
  <si>
    <t>KHOA HÓA HỌC</t>
  </si>
  <si>
    <t>KẾ HOẠCH ĐÀO TẠO - GIẢNG DẠY CỦA ĐƠN VỊ ĐÀO TẠO TRÌNH ĐỘ ĐẠI HỌC VÀ SAU ĐẠI HỌC  NĂM 2023</t>
  </si>
  <si>
    <t>Số lượng sinh viên (số SV mỗi lớp)</t>
  </si>
  <si>
    <t>(9)
 + Môn lý thuyết = (3)*(5)*(6)*16,5;
 Môn thực hành = (3)*(5)*(6)*15;</t>
  </si>
  <si>
    <t>Khoa: Hóa học</t>
  </si>
  <si>
    <t>Hóa kỹ thuật và môi trường _K61 SP_ CHE30012</t>
  </si>
  <si>
    <t>Lí luận và phương pháp dạy học hóa học- K61 SPCHE30014</t>
  </si>
  <si>
    <t>Hóa lý bề mặt và hóa môi trường- K61 SP (TC2)</t>
  </si>
  <si>
    <t>Các phương pháp vật lí ứng dụng trong hóa học-K61 CNTP_CHE20005</t>
  </si>
  <si>
    <t>Công nghệ xử lý môi trường - K61 CNTP_CHE30011</t>
  </si>
  <si>
    <t>Hóa hữu cơ 1-K62-SP_CHE30001</t>
  </si>
  <si>
    <t>Hóa vô cơ 2-K62 SP_CHE31009 (3LT+ 2ĐA)</t>
  </si>
  <si>
    <t xml:space="preserve">Hóa lý và Hóa keo- K62 CNTP_FOT30026 </t>
  </si>
  <si>
    <t>Các phương pháp vật lý ứng dựng trong Hóa học-K63SP_CHE20005</t>
  </si>
  <si>
    <t>Hóa lý 1-K63 SP_CHE31002</t>
  </si>
  <si>
    <t>Hóa hữu cơ_K63_CNTP (2LT)_FOT20001</t>
  </si>
  <si>
    <t>Hóa phân tích- K63 (NLNMT) (2 LT)_CHE20004</t>
  </si>
  <si>
    <t>Hóa hữu cơ_K63_CNTP (1TH)_FOT20001</t>
  </si>
  <si>
    <t>a14</t>
  </si>
  <si>
    <t>Hóa phân tích- K63 (NLNMT) (1TH)_CHE20004</t>
  </si>
  <si>
    <t>Thực hành hóa học 1- K61 SP_CHE30016</t>
  </si>
  <si>
    <t>Thực hành Hóa học 1- K62 SP_CHE31016</t>
  </si>
  <si>
    <t>Các phương pháp vật lí ứng dụng trong hóa học - K61SP_CHE20005</t>
  </si>
  <si>
    <t>Phát triển chương trình môn Hóa học -K61SP_CHE30023</t>
  </si>
  <si>
    <t>Một số vấn đề Hóa học hiện đại-K61 SP (TC3)_CHE20006</t>
  </si>
  <si>
    <t>Bồi dưỡng học sinh giỏi hóa học trung học phổ thông-K61 SP (TC4)_CHE30018</t>
  </si>
  <si>
    <t>Hóa hữu cơ 2-K62SP_CHE31006 (3LT+ 2ĐA)</t>
  </si>
  <si>
    <t>Hóa phân tích- K62 SP_CHE30048</t>
  </si>
  <si>
    <t>Kiểm tra và đánh giá trong dạy học hóa học-K62 SP_CHE31004</t>
  </si>
  <si>
    <t>Hóa phân tích - K62 CNTP (2LT)_FOT30029</t>
  </si>
  <si>
    <t>Hóa lý 2- K63SP_CHE30010 (2LT+2ĐA)</t>
  </si>
  <si>
    <t>Hóa vô cơ 1- K63SP_CHE30003</t>
  </si>
  <si>
    <t>Hóa học đại cương-K64 SP_CHE21003</t>
  </si>
  <si>
    <t>Hóa đại cương K64 CNTP _KTCN_(3LT)_CHE20002</t>
  </si>
  <si>
    <t>Thực hành hóa học 2 -K61SP_CHE30024</t>
  </si>
  <si>
    <t>Thực hành phương pháp dạy học hóa học -K61SP_CHE30025</t>
  </si>
  <si>
    <t>Thực hành Hóa học 2-K62 SP_CHE31024</t>
  </si>
  <si>
    <t>Hóa phân tích - K62 CNTP (1TH)_FOT30029</t>
  </si>
  <si>
    <t>Hóa đại cương K64 CNTP _KTCN_(1TH)_CHE20002</t>
  </si>
  <si>
    <t>Hóa lý nâng cao</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</si>
  <si>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</si>
  <si>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</si>
  <si>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</si>
  <si>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</si>
  <si>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</si>
  <si>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</si>
  <si>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</si>
  <si>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Khóa 30: 32( Vô cơ + Phân tích+ LLPP)</t>
  </si>
  <si>
    <t>Các phương pháp lý hóa hiện đại trong hóa vô cơ</t>
  </si>
  <si>
    <t>Phức chất nâng cao</t>
  </si>
  <si>
    <t xml:space="preserve">Vật liệu vô cơ </t>
  </si>
  <si>
    <t>Hóa học các nguyên tố đất hiếm và ứng dụng</t>
  </si>
  <si>
    <t>Cơ chế phản ứng trong hóa vô cơ</t>
  </si>
  <si>
    <t>Các phương pháp và kỹ thuật chuẩn bị mẫu phân tích</t>
  </si>
  <si>
    <t>Các phương pháp sắc ký hiện đại trong phân tích</t>
  </si>
  <si>
    <t>Các phương pháp phân tích kim loại</t>
  </si>
  <si>
    <t>Phức chất ứng dụng trong hóa học phân tích</t>
  </si>
  <si>
    <t>Phương pháp thống kê và tối ưu hóa trong thực nghiệm hóa học</t>
  </si>
  <si>
    <t>Phương pháp dạy học hoá học hiện đại</t>
  </si>
  <si>
    <t xml:space="preserve">Bồi dưỡng học sinh giỏi hoá học quốc gia và quốc tế </t>
  </si>
  <si>
    <t>Ứng dụng công nghệ thông tin và sử dụng thiết bị thí nghiệm trong dạy học hoá học</t>
  </si>
  <si>
    <t>Đo lường và đánh giá trong giáo dục</t>
  </si>
  <si>
    <t>Dạy học một số chủ đề hoá học bằng tiếng Anh</t>
  </si>
  <si>
    <t>KHOA TIN HỌC</t>
  </si>
  <si>
    <t>Số lượng sinh viên (mỗi lớp học phần)</t>
  </si>
  <si>
    <t>Học kỳ 2 (2022-2023) và học kỳ hè</t>
  </si>
  <si>
    <t>Học phần Lập trình hướng đối tượng</t>
  </si>
  <si>
    <t>63 SP Tin học</t>
  </si>
  <si>
    <t>Học phần Tương tác người máy</t>
  </si>
  <si>
    <t>60 KSCNTT</t>
  </si>
  <si>
    <t>Học phần Ứng dụng ICT trong giáo dục</t>
  </si>
  <si>
    <t>Các ngành Sư phạm</t>
  </si>
  <si>
    <t>Học phần Tin học</t>
  </si>
  <si>
    <t>Các ngành KHXH (mở vét kỳ 1)</t>
  </si>
  <si>
    <t>Học phần Cấu trúc dữ liệu và giải thuật</t>
  </si>
  <si>
    <t>62 KSCNTT</t>
  </si>
  <si>
    <t>Học kỳ 1 (2023-2024)</t>
  </si>
  <si>
    <t>Các ngành KHXH</t>
  </si>
  <si>
    <t>Học phần Lập trình robot</t>
  </si>
  <si>
    <t>Học phần Lập trình máy tính</t>
  </si>
  <si>
    <t>64 SP Tin học</t>
  </si>
  <si>
    <t>Học phần Nhập môn ngành Sư phạm</t>
  </si>
  <si>
    <t>Học phần Phát triển chương trình môn Tin học</t>
  </si>
  <si>
    <t>60 SP Tin học ngành 2</t>
  </si>
  <si>
    <t>Hướng dẫn đồ án TN</t>
  </si>
  <si>
    <t>Hướng dẫn thực tập TN ngành CNTT</t>
  </si>
  <si>
    <t>Hướng dẫn thực tập chuyên ngành CNTT</t>
  </si>
  <si>
    <t>Hướng dẫn Đồ án cơ sở ngành CNTT</t>
  </si>
  <si>
    <t>Hướng dẫn Đồ án môn học</t>
  </si>
  <si>
    <t>Các mô hình và kiến trúc hệ thống thông tin quản lý</t>
  </si>
  <si>
    <t>Tối ưu hóa</t>
  </si>
  <si>
    <t>Hướng dẫn chuyên đề …...............................</t>
  </si>
  <si>
    <t>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</si>
  <si>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</si>
  <si>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</si>
  <si>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</si>
  <si>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</si>
  <si>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t>Ứng dụng ICT trong giáo dục</t>
  </si>
  <si>
    <t>Thực hành dạy học Tin học</t>
  </si>
  <si>
    <t>Elearning</t>
  </si>
  <si>
    <t>Z</t>
  </si>
  <si>
    <t>Tổng hợp toàn khoa</t>
  </si>
  <si>
    <t>Đại học chính quy (gồm cả trong và ngoài Trường)</t>
  </si>
  <si>
    <t>Đại học VLVH (gồm cả trong và ngoài Trường)</t>
  </si>
  <si>
    <t>Đại học ĐTTX (gồm cả trong và ngoài Trường)</t>
  </si>
  <si>
    <t>x</t>
  </si>
  <si>
    <t>Học phần Các tác giả lớn của văn học trung đại Việt Nam (LIT30006)</t>
  </si>
  <si>
    <t>K61-SP Ngữ văn</t>
  </si>
  <si>
    <t>Học phần Lý luận văn học (LIT30007)</t>
  </si>
  <si>
    <t>Học phần Ngữ pháp, ngữ dụng học và phong cách học tiếng Việt (LIT30008)</t>
  </si>
  <si>
    <t>Học phần Văn học Âu - Mỹ (LIT30009)</t>
  </si>
  <si>
    <t>Học phần Dẫn luận PPDH Ngữ văn (LIT31010)</t>
  </si>
  <si>
    <t>K62-SP Ngữ văn</t>
  </si>
  <si>
    <t>Học phần Các tác gia văn học trung đại Việt Nam (LIT31006)</t>
  </si>
  <si>
    <t>Học phần Lí luận văn học (LIT31007)</t>
  </si>
  <si>
    <t>K62-SP Ngữ văn (DA)</t>
  </si>
  <si>
    <t>Học phần Tạo lập văn bản đa phương thức (LIT21004)</t>
  </si>
  <si>
    <t>Học phần Cơ sở văn hóa Việt Nam (LIT20006)</t>
  </si>
  <si>
    <t>K63-SP Ngữ văn</t>
  </si>
  <si>
    <t>Học phần Văn học dân gian Việt Nam (LIT30005)</t>
  </si>
  <si>
    <t>K63-SP Ngữ văn (DA)</t>
  </si>
  <si>
    <t>Học phần Nghệ thuật học đại cương (21003)</t>
  </si>
  <si>
    <t>Học phần Tiếng Việt cho SV nước ngoài</t>
  </si>
  <si>
    <t>K64-SP Sử Địa</t>
  </si>
  <si>
    <t>Học phần Chương trình và sách giáo khoa Ngữ văn (LIT30010)</t>
  </si>
  <si>
    <t>Học phần Dẫn luận ngôn ngữ và tiếng Việt (LIT30011)</t>
  </si>
  <si>
    <t>Học phần Một số lý thuyết phê bình văn học hiện đại (LIT30012)</t>
  </si>
  <si>
    <t>Học phần Phương pháp luận nghiên cứu khoa học (LIT30015)</t>
  </si>
  <si>
    <t>Học phần Dẫn luận về phương pháp dạy học Ngữ văn (LIT30020)</t>
  </si>
  <si>
    <t>Học phần Quá trình hiện đại hóa văn học Việt Nam nửa đầu thế kỷ XX  (LIT30016)</t>
  </si>
  <si>
    <t>Học phần Tập giảng</t>
  </si>
  <si>
    <t>Học phần Tổ chức dạy học và kiểm tra đánh giá môn Ngữ văn (LIT30021)</t>
  </si>
  <si>
    <t>Học phần Văn học Việt Nam từ 1945 đến nay (LIT30018)</t>
  </si>
  <si>
    <t>Học phần Thi pháp văn học trung đại Việt Nam (LIT30003)</t>
  </si>
  <si>
    <t>Học phần Phương pháp dạy học hiện đại (LIT1010)</t>
  </si>
  <si>
    <t>Học phần Hán Nôm (LIT30001)</t>
  </si>
  <si>
    <t>Học phần Văn học châu Âu (LIT31009)</t>
  </si>
  <si>
    <t>Học phần Cơ sở ngôn ngữ học và ngữ âm tiếng Việt (LIT31011)</t>
  </si>
  <si>
    <t>Học phần Nhập môn ngành sư phạm (PED20002)</t>
  </si>
  <si>
    <t>LT+DA</t>
  </si>
  <si>
    <t>Học phần Văn học Việt Nam đại cương (LIT31020)</t>
  </si>
  <si>
    <t>K64-SP Ngữ văn</t>
  </si>
  <si>
    <t>K64-Tự chọn các ngành khác</t>
  </si>
  <si>
    <t>Tiếng Việt cho SV nước ngoài</t>
  </si>
  <si>
    <t>Chuyên đề cao học: Ngôn ngữ nghệ thuật</t>
  </si>
  <si>
    <t>Chuyên đề cao học: Từ Hán Việt</t>
  </si>
  <si>
    <t>Chuyên đề Phương pháp luận nghiên cứu Ngữ văn</t>
  </si>
  <si>
    <t>Chuyên đề Tiếp cận văn học từ góc nhìn văn hoá</t>
  </si>
  <si>
    <t>Chuyên đề Thi pháp học hiện đại</t>
  </si>
  <si>
    <t>Chuyên đề Văn học Việt Nam và vấn đề hiện đại hoá</t>
  </si>
  <si>
    <t>Chuyên đề Các trường phái lí luận, phê bình văn học Âu Mỹ thế kỷ 20</t>
  </si>
  <si>
    <t>Chuyên đề Dạy học các loại hình văn bản trong chương trình Ngữ văn phổ thông</t>
  </si>
  <si>
    <t xml:space="preserve">Chuyên đề Các vấn đề của dạy học Ngữ văn ở trường phổ thông trong bối cảnh đổi mới giáo dục hiện nay </t>
  </si>
  <si>
    <t>Chuyên đề Bản chất của dạy đọc - hiểu văn bản văn học trong trường phổ thông</t>
  </si>
  <si>
    <t>Chuyên đề Phát triển chương trình môn Ngữ văn ở trường phổ thông</t>
  </si>
  <si>
    <t>Chuyên đề Kiểm tra đánh giá theo định hướng phát triển năng lực học sinh trong dạy học Ngữ văn ở trường phổ thông</t>
  </si>
  <si>
    <t>Chuyên đề Phát triển năng lực học sinh qua dạy học thơ trữ tình ở trường phổ thông</t>
  </si>
  <si>
    <t>Chuyên đề Văn chính luận Việt Nam thời trung đại</t>
  </si>
  <si>
    <t>Chuyên đề Văn học trào phúng Việt Nam</t>
  </si>
  <si>
    <t>Chuyên đề Truyện ngắn Việt Nam hiện đại</t>
  </si>
  <si>
    <t>Chuyên đề Mối quan hệ giữa văn học dân gian và văn học viết Việt Nam</t>
  </si>
  <si>
    <t>Chuyên đề Văn học Việt Nam trong tiến trình văn học Đông Nam Á</t>
  </si>
  <si>
    <t>Hướng dẫn luận văn</t>
  </si>
  <si>
    <t>Học kỳ 1 (2023-2024) tức từ tháng 9 đến tháng 12/2023</t>
  </si>
  <si>
    <t>Hướng dẫn 1 luận văn CN Văn học Việt Nam</t>
  </si>
  <si>
    <t>Hướng dẫn 6 luận văn CN Lí luận ngôn ngữ</t>
  </si>
  <si>
    <t>Hướng dẫn 10 luận văn chuyên ngành Phương pháp dạy học Ngữ văn</t>
  </si>
  <si>
    <t>3</t>
  </si>
  <si>
    <t>Đào tạo Tiến sĩ</t>
  </si>
  <si>
    <t>Học phần Tiến sĩ: Một số vấn đề lịch sử Ngữ âm tiếng Việt</t>
  </si>
  <si>
    <t>Học phần Tiến sĩ: Một số vấn đề cơ bản về Ngữ nghĩa học</t>
  </si>
  <si>
    <t>Học phần Tiến sĩ: Lý thuyết hội thoại</t>
  </si>
  <si>
    <t>Học phần Văn học châu Á (LIT30004)</t>
  </si>
  <si>
    <t>Học phần Ngữ âm - Từ vựng Tiếng Việt</t>
  </si>
  <si>
    <t>Học phần Lí luận văn học và Mỹ học</t>
  </si>
  <si>
    <t>Học phần Dẫn luận ngôn ngữ học và tiếng Việt</t>
  </si>
  <si>
    <t>Học kỳ 2 + Học kỳ Hè (2022-2023) (Từ tháng 1 đến tháng 6/2023</t>
  </si>
  <si>
    <t>Ngữ văn 11 ban Tự nhiên</t>
  </si>
  <si>
    <t>Ngữ văn 12 ban Xã hội</t>
  </si>
  <si>
    <t>Ngữ văn 11 ban Xã hội</t>
  </si>
  <si>
    <t>Ngữ văn 12 ban Tự nhiên</t>
  </si>
  <si>
    <t>Tên đơn vị : Khoa Lịch sử</t>
  </si>
  <si>
    <t xml:space="preserve">KẾ HOẠCH ĐÀO TẠO - GIẢNG DẠY CỦA ĐƠN VỊ ĐÀO TẠO TRÌNH ĐỘ ĐẠI HỌC VÀ SAU ĐẠI HỌC  NĂM 2023 </t>
  </si>
  <si>
    <t xml:space="preserve">Số lớp TC dự kiến mở  </t>
  </si>
  <si>
    <t>Khoa/ Trung tâm/ bộ môn/ (Và tương đương) ….</t>
  </si>
  <si>
    <t xml:space="preserve">Giảng dạy ĐH chính quy  </t>
  </si>
  <si>
    <t xml:space="preserve">Học kỳ 2 + Học kỳ Hè (2022-2023) </t>
  </si>
  <si>
    <t>Tiến trình lịch sử Việt Nam (K63)</t>
  </si>
  <si>
    <t>Lịch sử Việt Nam cận đại (K62)</t>
  </si>
  <si>
    <t>Thực tế chuyên môn LSVN (K62)</t>
  </si>
  <si>
    <t>TTCM</t>
  </si>
  <si>
    <t>Hệ thống các phương pháp dạy học Lịch sử (K61)</t>
  </si>
  <si>
    <t>Lịch sử Việt Nam cận đại và thực tế chuyên môn (K61)</t>
  </si>
  <si>
    <t xml:space="preserve">Lịch sử thế giới cận đại (K61) </t>
  </si>
  <si>
    <t>Lịch sử thế giới hiện đại (K61)</t>
  </si>
  <si>
    <t>Lịch sử văn minh thế giới (K63)</t>
  </si>
  <si>
    <t>Lịch sử thế giới cận đại (K62)</t>
  </si>
  <si>
    <t>Lịch sử thế giới cổ trung đại</t>
  </si>
  <si>
    <t>DA</t>
  </si>
  <si>
    <t>Nhập môn sư phạm (K64)</t>
  </si>
  <si>
    <t>Hệ thống các phương pháp dạy học lịch sử (K62)</t>
  </si>
  <si>
    <t xml:space="preserve">Lich sử văn minh thế giới (K64) </t>
  </si>
  <si>
    <t>Liịch sử Việt Nam hiện đại (K62)</t>
  </si>
  <si>
    <t>Nhân học văn hoá (K64)</t>
  </si>
  <si>
    <t>Lý luận dạy học lịch sử (Những vấn đề chung)
(K62)</t>
  </si>
  <si>
    <t>Phương pháp luận sử học (K63)</t>
  </si>
  <si>
    <t>Lịch sử Việt Nam cổ trung đại (K63)</t>
  </si>
  <si>
    <t>Các hình thức tổ chức dạy học Lịch sử (K61)</t>
  </si>
  <si>
    <t>Lịch sử Việt Nam hiện đại (K61)</t>
  </si>
  <si>
    <t>Chương trình và sách giáo khoa Lịch sử (K61)</t>
  </si>
  <si>
    <t>Các cuộc cải cách, đổi mới trong lịch sử Việt Nam (K61)</t>
  </si>
  <si>
    <t>Thực hành dạy học lịch sử (K61)</t>
  </si>
  <si>
    <t>Liịch sử thế giới hiện đại (K62)</t>
  </si>
  <si>
    <t>Quan hệ quốc tế thời cận hiện đại (K61)</t>
  </si>
  <si>
    <t>Thực tế chuyên môn LSVN K61</t>
  </si>
  <si>
    <t>Quan hệ quốc tế trong thời kỳ Chiến tranh lạnh</t>
  </si>
  <si>
    <t>Cuộc cách mạng khoa học - kỹ thuật hiện đại</t>
  </si>
  <si>
    <t>Một số vấn đề về Hiệp hội các nước Đông Nam Á (ASEAN)</t>
  </si>
  <si>
    <t>Đăc điểm hình thái kinh tế - xã hội phương Đông cổ - trung đại</t>
  </si>
  <si>
    <t>Một số vấn đề trong quan hệ quốc tế thời cận đại</t>
  </si>
  <si>
    <t>Quan hệ quốc tế sau  Chiến tranh lạnh và tác động của nó đối với Việt Nam</t>
  </si>
  <si>
    <t>Quá trình hình thành các quốc gia Đông Nam Á cổ trung đại</t>
  </si>
  <si>
    <t>Công cuộc cải cách của Trung Quốc</t>
  </si>
  <si>
    <t>Sự lựa chọn con đường phát triển của Việt Nam thời kỳ cận đại và hiện đại.</t>
  </si>
  <si>
    <t>Một số vấn đề về lịch sử văn hoá Việt Nam</t>
  </si>
  <si>
    <t>Vấn đề canh tân, đổi mới đất nước ở Việt Nam thời kỳ cận đại và hiện đại.</t>
  </si>
  <si>
    <t xml:space="preserve">Giáo dục khoa cử Nho học Việt Nam từ năm 1075 đến năm 1919. </t>
  </si>
  <si>
    <t>Làng xã Việt Nam trong lịch sử</t>
  </si>
  <si>
    <t>Kinh tế Việt Nam thời Pháp thuộc</t>
  </si>
  <si>
    <t>Đô thị Việt Nam trong lịch sử</t>
  </si>
  <si>
    <t>Chúa Nguyễn và Vương triều Nguyễn trong lịch sử Việt Nam</t>
  </si>
  <si>
    <t>Hồ Chí Minh với phong trào giải phóng dân tộc ở Việt Nam</t>
  </si>
  <si>
    <t>Một số vấn đề về chính sách đối ngoại của Việt Nam trong lịch sử</t>
  </si>
  <si>
    <t>Chuyên ngành LSTG 7 học viên cao học (K30)</t>
  </si>
  <si>
    <t>Chuyên ngành LSVN 7 học viên cao học (K30)</t>
  </si>
  <si>
    <t>Học phần Các phương pháp tiếp cận trong nghiên cứu lịch sử</t>
  </si>
  <si>
    <t>Học phần Một số vấn để cư bản và cập nhật Lịch sử Việt nam cổ trung đại</t>
  </si>
  <si>
    <t>Học phần Một số vấn để cư bản và cập nhật Lịch sử Việt nam cận hiện đại</t>
  </si>
  <si>
    <t xml:space="preserve">Chuyên đề cho 1 NCS khóa  2019 LSTG(3 chuyên đề)  </t>
  </si>
  <si>
    <t>Bảo vệ 2 luận án LSTG</t>
  </si>
  <si>
    <t>Bảo vệ 2 luận án LSVN</t>
  </si>
  <si>
    <t>Đào tạo ĐH vừa làm vừa học (Lớp LS Hà Tĩnh)</t>
  </si>
  <si>
    <t>Hoc kỳ 2+ Học kỳ hè (2022-2023)</t>
  </si>
  <si>
    <t xml:space="preserve">Lịch sử thế giới cổ - trung đại </t>
  </si>
  <si>
    <t xml:space="preserve">Lịch sử thế giới cận đại </t>
  </si>
  <si>
    <t xml:space="preserve">Lịch sử thế giới hiện đại </t>
  </si>
  <si>
    <t>Lịch sử Việt Nam cổ trung đại</t>
  </si>
  <si>
    <t>Lý luận dạy học lịch sử (Những vấn đề chung)</t>
  </si>
  <si>
    <t>Học kỳ 1 oj2023-2024)</t>
  </si>
  <si>
    <t xml:space="preserve">Hệ thống các phương pháp dạy học lịch sử </t>
  </si>
  <si>
    <t>Lịch sử Việt Nam cận đại &amp; Thực tế chuyên môn</t>
  </si>
  <si>
    <t xml:space="preserve">Các hình thức tổ chức dạy học lịch sử </t>
  </si>
  <si>
    <t>Lịch sử Việt Nam hiện đại</t>
  </si>
  <si>
    <t>Chương trình, sách giáo khoa lịch sử</t>
  </si>
  <si>
    <t>Cô Duyên</t>
  </si>
  <si>
    <t>Đào tạo Trường Thực hành SP</t>
  </si>
  <si>
    <t>Cô Thường+ Cô Cẩm Vân</t>
  </si>
  <si>
    <t>Tên đơn vị : Khoa Sinh học</t>
  </si>
  <si>
    <t>Tên học phần hoặc chuyên đề; 
hướng dẫn luận văn, đồ án, luận án</t>
  </si>
  <si>
    <t>Số lượng sinh viên cả HP</t>
  </si>
  <si>
    <t>Kỳ dạy</t>
  </si>
  <si>
    <t>Giảng dạy ĐH chính quy</t>
  </si>
  <si>
    <t>KÌ II + học kì hè (năm học 2022-2023)</t>
  </si>
  <si>
    <t>Sinh học đại cương - BIO21002</t>
  </si>
  <si>
    <t>Động vật học -BIO30002</t>
  </si>
  <si>
    <t>Thực tập thiên nhiên- BIO30006</t>
  </si>
  <si>
    <t>Thực vật học- BIO30010</t>
  </si>
  <si>
    <t>Hóa sinh- Sinh học phân tử - BIO30004</t>
  </si>
  <si>
    <t>Đăng kí giảng dạy song ngữ</t>
  </si>
  <si>
    <t>KÌ I (năm học 2023-2024)</t>
  </si>
  <si>
    <t>Nhập môn sư phạm- PED20002</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</si>
  <si>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</si>
  <si>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</si>
  <si>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</si>
  <si>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</si>
  <si>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</si>
  <si>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</si>
  <si>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</si>
  <si>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hướng dẫn đồ án TN</t>
  </si>
  <si>
    <t>hướng dẫn khóa luận TN</t>
  </si>
  <si>
    <t>hướng dẫn thực tập</t>
  </si>
  <si>
    <t>hướng dẫn đi thực tế</t>
  </si>
  <si>
    <t>Giảng dạy Thạc sỹ</t>
  </si>
  <si>
    <t>Khoa Sinh học hiện có 4 CN đào tạo SĐH: Động vật học, Thực vật học, Sinh học Thực nghiệm, LL&amp;PPDH Sinh học</t>
  </si>
  <si>
    <t>Học phần Sinh học phân tử tế bào</t>
  </si>
  <si>
    <t>Học phần Sinh học phát triển</t>
  </si>
  <si>
    <t>Học phần Sinh học quần thể</t>
  </si>
  <si>
    <t>Học phần Phương pháp luận NCKH</t>
  </si>
  <si>
    <t>TC1 (Môn cơ sở ngành Sinh học)</t>
  </si>
  <si>
    <t>TC2 (Môn cơ sở ngành Sinh học)</t>
  </si>
  <si>
    <t>TC3 (Môn cơ sở ngành Sinh học)</t>
  </si>
  <si>
    <t>TC4 (Môn cơ sở ngành Sinh học)</t>
  </si>
  <si>
    <t>Môn bắt buộc 1 (chuyên ngành Động vật học)</t>
  </si>
  <si>
    <t>Chuyên ngành: Động vật học</t>
  </si>
  <si>
    <t>Môn bắt buộc 2 (chuyên ngành Động vật học)</t>
  </si>
  <si>
    <t>Môn bắt buộc 3 (chuyên ngành Động vật học)</t>
  </si>
  <si>
    <t>Môn tự chọn 1 (chuyên ngành Động vật học)</t>
  </si>
  <si>
    <t>Môn tự chọn 2 (chuyên ngành Động vật học)</t>
  </si>
  <si>
    <t>Môn bắt buộc 1 (chuyên ngành Thực vật học)</t>
  </si>
  <si>
    <t>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</si>
  <si>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</si>
  <si>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</si>
  <si>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</si>
  <si>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</si>
  <si>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</si>
  <si>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</si>
  <si>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</si>
  <si>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</si>
  <si>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</si>
  <si>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</si>
  <si>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</si>
  <si>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</si>
  <si>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</si>
  <si>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</si>
  <si>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</si>
  <si>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</si>
  <si>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Hướng dẫn luận văn cao học chuyên ngành LL&amp;PPGD Sinh học</t>
  </si>
  <si>
    <t>Hướng dẫn luận văn cao học chuyên ngành Động vật</t>
  </si>
  <si>
    <t>Hướng dẫn luận văn cao học chuyên ngành Thực vật</t>
  </si>
  <si>
    <t>Hướng dẫn luận văn cao học chuyên ngành SHTN</t>
  </si>
  <si>
    <t>Giải phẫu sinh lý trẻ em</t>
  </si>
  <si>
    <t>Tên đơn vị : Địa lí</t>
  </si>
  <si>
    <t>Khóa</t>
  </si>
  <si>
    <t>Khoa  Địa lí</t>
  </si>
  <si>
    <t>Học kì 2 + Học kì hè (2022 - 2023) (Từ tháng 1/2023 đến tháng 8/2023)</t>
  </si>
  <si>
    <t>SL đã chuẩn</t>
  </si>
  <si>
    <t>Học phần: Địa lí KT - XH Việt Nam</t>
  </si>
  <si>
    <t>Học phần: Địa lí tự nhiên Việt Nam</t>
  </si>
  <si>
    <t>a3</t>
  </si>
  <si>
    <t>Học phần: Thực địa ĐLTN K61</t>
  </si>
  <si>
    <t>Học phần: Thực địa và Đồ án Địa lí tự nhiên K62</t>
  </si>
  <si>
    <t>a5</t>
  </si>
  <si>
    <t>Địa lí tự nhiên lục địa</t>
  </si>
  <si>
    <t>Học phần: Lí luận và PPDH Địa lí</t>
  </si>
  <si>
    <t>Học phần: ĐLKT - XH thế giới 1</t>
  </si>
  <si>
    <t>Học phần: Tự chọn 1 (k63)</t>
  </si>
  <si>
    <t>Học phần: Bản đồ giáo khoa</t>
  </si>
  <si>
    <t>a10</t>
  </si>
  <si>
    <t>Địa lí tự nhiên đại cương 2 (k63)</t>
  </si>
  <si>
    <t>a11</t>
  </si>
  <si>
    <t>Học phần: Tự chọn 3 (k62)</t>
  </si>
  <si>
    <t>1.2.</t>
  </si>
  <si>
    <t>Học phần: Môi trường phát triển bền vững (k64)</t>
  </si>
  <si>
    <t>Học phần; Nhập môn ngành SP Địa lí (k64)</t>
  </si>
  <si>
    <t>Học phần: Địa lí tự nhiên đại cương 1 (k64)</t>
  </si>
  <si>
    <t>a16</t>
  </si>
  <si>
    <t>Học phần: Địa lí địa phương (k61)</t>
  </si>
  <si>
    <t>a17</t>
  </si>
  <si>
    <t>Học phần: Địa lí tự nhiên đại cương 2</t>
  </si>
  <si>
    <t>Học phần: Thực hành Gis và đồ án thành lập BĐ (k62)</t>
  </si>
  <si>
    <t>a19</t>
  </si>
  <si>
    <t>Lí luận và PPDH địa lí (k62)</t>
  </si>
  <si>
    <t>Học phần: Bản đồ giáo khoa (62)</t>
  </si>
  <si>
    <t>Học phần: Phân tích CT, SGK và tập giảng (K61)</t>
  </si>
  <si>
    <t>a22</t>
  </si>
  <si>
    <t>Bản đồ và hệ thống thông tin Gis (61)</t>
  </si>
  <si>
    <t>a23</t>
  </si>
  <si>
    <t>Địa lí KT - XH thế giới 2 (k61)</t>
  </si>
  <si>
    <t>a24</t>
  </si>
  <si>
    <t>Học phần Thực địa Địa lí KT - XH (đã tính ở phần thực địa ở biểu 4)</t>
  </si>
  <si>
    <t>a25</t>
  </si>
  <si>
    <t>Học phần: Bản đồ học (k63)</t>
  </si>
  <si>
    <t>a26</t>
  </si>
  <si>
    <t>a27</t>
  </si>
  <si>
    <t>a29</t>
  </si>
  <si>
    <t>a30</t>
  </si>
  <si>
    <t>a31</t>
  </si>
  <si>
    <t>a32</t>
  </si>
  <si>
    <t>a33</t>
  </si>
  <si>
    <t>a34</t>
  </si>
  <si>
    <t>Tổ BM Hướng dẫn luận văn TN</t>
  </si>
  <si>
    <t>Tổ BM hướng dẫn đồ án TN</t>
  </si>
  <si>
    <t>Tổ BM hướng dẫn khóa luận TN</t>
  </si>
  <si>
    <t>Tổ BM hướng dẫn thực tập</t>
  </si>
  <si>
    <t>Tổ BM hướng dẫn đi thực tế</t>
  </si>
  <si>
    <t>Một số vấn đề địa lí tự nhiên đại cương</t>
  </si>
  <si>
    <t>a2</t>
  </si>
  <si>
    <t>Một số vấn đề địa lí kinh tế - xã hội đại cương</t>
  </si>
  <si>
    <t>Lý luận và phương pháp dạy học địa lí</t>
  </si>
  <si>
    <t>Hệ thống thông tin địa lí (GIS) và ứng dụng trong địa lí</t>
  </si>
  <si>
    <t>Môn tự chọn 1</t>
  </si>
  <si>
    <t>Môn tự chọn 2</t>
  </si>
  <si>
    <t xml:space="preserve">Môn tự chọn 3 </t>
  </si>
  <si>
    <t>Môn tự chọn 4</t>
  </si>
  <si>
    <r>
      <rPr>
        <sz val="11"/>
        <color rgb="FF000000"/>
        <rFont val="&quot;Times New Roman&quot;"/>
      </rPr>
      <t>H</t>
    </r>
    <r>
      <rPr>
        <b/>
        <sz val="10"/>
        <color theme="1"/>
        <rFont val="Times New Roman"/>
        <family val="1"/>
      </rPr>
      <t>ọc kỳ 1 (2023-2024) tức từ tháng 9 đến tháng 12/2023</t>
    </r>
  </si>
  <si>
    <t>Phương pháp nghiên cứu địa lí kinh tế - xã hội</t>
  </si>
  <si>
    <t>Tổ chức lãnh thổ kinh tế</t>
  </si>
  <si>
    <t>Quần cư và đô thị hóa</t>
  </si>
  <si>
    <t>Hướng dẫn Luận văn</t>
  </si>
  <si>
    <t>Hướng dẫn luận văn Cao học K29</t>
  </si>
  <si>
    <t>Hướng dẫn Cao học khóa 30</t>
  </si>
  <si>
    <t>Đào tạo Nghiên cứu sinh (không có)</t>
  </si>
  <si>
    <t>Học phần: Địa lí KT - XH thế giới</t>
  </si>
  <si>
    <t xml:space="preserve"> Học phần Địa lí tự nhiên Việt Nam </t>
  </si>
  <si>
    <t xml:space="preserve">Tổng hợp toàn khoa </t>
  </si>
  <si>
    <t>SL chuẩn</t>
  </si>
  <si>
    <t>Đào tạo vừa học vừa làm</t>
  </si>
  <si>
    <t>KHOA GIÁO DỤC CHÍNH TRỊ</t>
  </si>
  <si>
    <t>Hệ số
môn học (Điền thông tin từ mục Hệ số học phí trong kho dữ liệu, theo khoa và khóa học tương ứng</t>
  </si>
  <si>
    <t>(9)
Môn lý thuyết (LT) = (3)*(5)*(6)*16,5;
Môn thực hành(TH) = (3)*(5)*(6)*15; Dạy học dự án(DA) = (3)*(7)*0.8; Môn hỗn hợp các hình thức trên = (3)*(5)*(6)*16,5* tỉ lệ LT +(3)*(5)*(6)*15*tỉ lệ TH + (3)*(7)*0.8* tỉ lệ dự án</t>
  </si>
  <si>
    <t>Khoa GDCT</t>
  </si>
  <si>
    <t>1,1</t>
  </si>
  <si>
    <t>HỌC kỳ 2 + Học kỳ Hè (2022-2023)</t>
  </si>
  <si>
    <t>Lịch sử ĐCSVN</t>
  </si>
  <si>
    <t>Triết học Mác - Lê nin</t>
  </si>
  <si>
    <t>Chủ nghĩa xã Hội khoa học</t>
  </si>
  <si>
    <t>Kinh tế chính trị - Mác Lênin</t>
  </si>
  <si>
    <t>Tư tưởng Hồ Chí Minh</t>
  </si>
  <si>
    <t>Logic hình thưc</t>
  </si>
  <si>
    <t>giới thiệu tác phẩm Mac - lenin</t>
  </si>
  <si>
    <t>Hệ thống chính trị Việt Nam</t>
  </si>
  <si>
    <t>Hội nhập kinh tế quốc tế của VN</t>
  </si>
  <si>
    <t>Tự chọn 2</t>
  </si>
  <si>
    <t>1,2</t>
  </si>
  <si>
    <t>Nhập môn ngành sư phạm</t>
  </si>
  <si>
    <t xml:space="preserve">chuyên đề chủ nghĩa xã hội </t>
  </si>
  <si>
    <t>Chuyên đề KTCT</t>
  </si>
  <si>
    <t>Chuyên đề LSĐ CSVN</t>
  </si>
  <si>
    <t>Chuyên đề triết học</t>
  </si>
  <si>
    <t>2,1</t>
  </si>
  <si>
    <t>a1</t>
  </si>
  <si>
    <t>Lý luận dạy học hiện đại</t>
  </si>
  <si>
    <t>PPLNCKH giáo dục</t>
  </si>
  <si>
    <t>vấn đề con người và quyền nghĩa vụ công dân</t>
  </si>
  <si>
    <t>a4</t>
  </si>
  <si>
    <t>QLGD và chính sách GD trong bối cảnh đổi mới và hội nhập</t>
  </si>
  <si>
    <t>nhũng vấn đề cơ bản của PPGD của các môn LLCT</t>
  </si>
  <si>
    <t>a6</t>
  </si>
  <si>
    <t>PPGD và phát triển chương trình GDCD trong chương trình THCS</t>
  </si>
  <si>
    <t>a7</t>
  </si>
  <si>
    <t>PPGD trong chương trình KT và PL trong chương trình GDPT</t>
  </si>
  <si>
    <t>Xây dựng KH bài dạy kiểm tra, đánh giá trong dạy học môn GDCD có ứng dụng CNTT</t>
  </si>
  <si>
    <t>Triết học Mác - Lê nin (khói ngành KHTN)</t>
  </si>
  <si>
    <t>Triết học Mác - Lê nin (khói ngành KHXH)</t>
  </si>
  <si>
    <r>
      <rPr>
        <i/>
        <sz val="10"/>
        <color rgb="FF000000"/>
        <rFont val="Times New Roman"/>
        <family val="1"/>
      </rPr>
      <t>H</t>
    </r>
    <r>
      <rPr>
        <b/>
        <i/>
        <sz val="10"/>
        <color rgb="FF000000"/>
        <rFont val="Times New Roman"/>
        <family val="1"/>
      </rPr>
      <t>ọc kỳ 1 (2023-2024)</t>
    </r>
  </si>
  <si>
    <t>PPGDLLCT</t>
  </si>
  <si>
    <t>Lịch sử ĐCSVN và TTHCM</t>
  </si>
  <si>
    <r>
      <rPr>
        <sz val="10"/>
        <color rgb="FF000000"/>
        <rFont val="Times New Roman"/>
        <family val="1"/>
      </rPr>
      <t>H</t>
    </r>
    <r>
      <rPr>
        <b/>
        <sz val="10"/>
        <color rgb="FF000000"/>
        <rFont val="Times New Roman"/>
        <family val="1"/>
      </rPr>
      <t>ọc kỳ 1 (2023-2024)</t>
    </r>
  </si>
  <si>
    <t>HỌC kỳ 2 + Học kỳ Hè (2021-2022)</t>
  </si>
  <si>
    <r>
      <rPr>
        <i/>
        <sz val="10"/>
        <color rgb="FF000000"/>
        <rFont val="Times New Roman"/>
        <family val="1"/>
      </rPr>
      <t>H</t>
    </r>
    <r>
      <rPr>
        <b/>
        <i/>
        <sz val="10"/>
        <color rgb="FF000000"/>
        <rFont val="Times New Roman"/>
        <family val="1"/>
      </rPr>
      <t>ọc kỳ 1 (2022-2023)</t>
    </r>
  </si>
  <si>
    <t xml:space="preserve">Lịch sử ĐCSVN </t>
  </si>
  <si>
    <t>Tên đơn vị : Khoa Giáo dục Tiểu học</t>
  </si>
  <si>
    <t>(2) (Thêm mã học phần)</t>
  </si>
  <si>
    <t>(4) (hệ số 1, lớp lí thuyết; thực hành trong trường 1.3; thực hành /rèn luyện/thưc tế 1.4;</t>
  </si>
  <si>
    <t>(hệ số 1 nếu SV&lt;70; hệ số 1.3 nếu SV&lt;120; hệ số 1.5 nếu SV&gt;119)(6)</t>
  </si>
  <si>
    <t>Học kì 2 + học kì hè năm học 2022-2023:</t>
  </si>
  <si>
    <t>Thực tập sư phạm EDU30088 k60</t>
  </si>
  <si>
    <t>Âm nhạc và phương pháp dạy học Âm nhạc EDU30046 k61</t>
  </si>
  <si>
    <t>Phương pháp dạy học Toán  EDU30048 k61</t>
  </si>
  <si>
    <t>Phương pháp dạy học Tự nhiên - Xã hội EDU30049 k61</t>
  </si>
  <si>
    <t>Rèn luyện nghiệp vụ sư phạm 2 EDU30054 k61</t>
  </si>
  <si>
    <t>Cơ sở hình học và thống kê EDU31030 TC2 k62</t>
  </si>
  <si>
    <t>Đại số sơ cấp EDU20015 k62 TC2</t>
  </si>
  <si>
    <t>Lịch sử và Địa lý địa phương EDU20018 k62 TC2</t>
  </si>
  <si>
    <t>Số học EDU31031 k62 TC2</t>
  </si>
  <si>
    <t>Văn học thiếu nhi EDU20009 k63</t>
  </si>
  <si>
    <t>Giáo dục sức khỏe EDU31033 k62</t>
  </si>
  <si>
    <t>Toán học 2 EDU30093 k62</t>
  </si>
  <si>
    <t>Học kì 1 năm học 2023-2024:</t>
  </si>
  <si>
    <t xml:space="preserve">Nhập môn ngành sư phạm k64
</t>
  </si>
  <si>
    <t>Kỹ Thuật và phương pháp dạy học kỹ thuật EDU30064 k61</t>
  </si>
  <si>
    <t>Mỹ Thuật và phương pháp dạy học Mỹ thuật EDU30066 k61</t>
  </si>
  <si>
    <t>Phát triển chương trình Giáo dục tiểu học EDU30068 k61</t>
  </si>
  <si>
    <t>Thực hành phương pháp dạy học bộ môn EDU30080 k61</t>
  </si>
  <si>
    <t>Bồi dưỡng năng lực cảm thụ văn học và tư duy toán học cho học sinh (EDU30007) TC3 k61</t>
  </si>
  <si>
    <t>Công tác chủ nhiệm lớp và sinh hoạt chuyên môn ở trường tiểu học EDU30009 TC3 k61</t>
  </si>
  <si>
    <t>Đánh giá kết quả học tập các môn Toán, Tiếng Việt và Tự nhiên - Xã hội EDU30011 tc3 k61</t>
  </si>
  <si>
    <t>Thực hành giải bài tập toán và tiếng Việt EDU30026 TC3 k61</t>
  </si>
  <si>
    <t>a.34</t>
  </si>
  <si>
    <t>Kỹ thuật dạy học tích cực và ứng dụng công nghệ thông tin trong dạy học EDU30020 TC3 k61</t>
  </si>
  <si>
    <t>a.35</t>
  </si>
  <si>
    <t>Rèn luyện nghiệp vụ sư phạm EDU31024 K62</t>
  </si>
  <si>
    <t>a.36</t>
  </si>
  <si>
    <t>Đạo đức và phương pháp dạy học Đạo đức EDU30032 K62</t>
  </si>
  <si>
    <t>a.37</t>
  </si>
  <si>
    <t>Phương pháp dạy học Tiếng Việt EDU30038 K62</t>
  </si>
  <si>
    <t>a.38</t>
  </si>
  <si>
    <t>Phương pháp dạy học Toán EDU30048 K62</t>
  </si>
  <si>
    <t>a.39</t>
  </si>
  <si>
    <t>Giáo dục học tiểu học EDU30014 K63</t>
  </si>
  <si>
    <t>a.40</t>
  </si>
  <si>
    <t>Tiếng Việt EDU31038 K63</t>
  </si>
  <si>
    <t>a.41</t>
  </si>
  <si>
    <t>a.42</t>
  </si>
  <si>
    <t>Đại cương văn học Việt Nam EDU20014 TC1 k63</t>
  </si>
  <si>
    <t>a.43</t>
  </si>
  <si>
    <t>Lý luận văn học EDU20019 TC1 k63</t>
  </si>
  <si>
    <t>a.44</t>
  </si>
  <si>
    <t>Ngữ dụng học EDU20025 TC1 k63</t>
  </si>
  <si>
    <t>a.45</t>
  </si>
  <si>
    <t>Từ Hán Việt EDU31005 TC1 k63</t>
  </si>
  <si>
    <t>a.46</t>
  </si>
  <si>
    <t>Cơ sở tự nhiên xã hội PRI31001 K64</t>
  </si>
  <si>
    <t>a.47</t>
  </si>
  <si>
    <t>Toán học 1 PRI31002 K64</t>
  </si>
  <si>
    <t>a.48</t>
  </si>
  <si>
    <t>a.49</t>
  </si>
  <si>
    <t>a.50</t>
  </si>
  <si>
    <t>a.51</t>
  </si>
  <si>
    <t>a.52</t>
  </si>
  <si>
    <t>a.53</t>
  </si>
  <si>
    <t>a.54</t>
  </si>
  <si>
    <t>a.55</t>
  </si>
  <si>
    <t>a.56</t>
  </si>
  <si>
    <t>a.57</t>
  </si>
  <si>
    <t>a.58</t>
  </si>
  <si>
    <t>Phát triển chương trình giáo dục tiểu học tiếp cận năng lực</t>
  </si>
  <si>
    <t>Ngữ pháp văn bản và việc dạy học tập làm văn ở tiểu học</t>
  </si>
  <si>
    <t>Cơ sở toán học của việc dạy học Toán ở tiểu học</t>
  </si>
  <si>
    <t>Đánh giá năng lực học sinh tiểu học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</si>
  <si>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</si>
  <si>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</si>
  <si>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</si>
  <si>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Hướng dẫn luận văn cao học Thạc sĩ khóa 29 chuyên ngành: GDTH</t>
  </si>
  <si>
    <t>c.1</t>
  </si>
  <si>
    <t>c.2</t>
  </si>
  <si>
    <t>c.3</t>
  </si>
  <si>
    <t>c.4</t>
  </si>
  <si>
    <t>c.5</t>
  </si>
  <si>
    <t>Giáo dục sức khỏe (K62)</t>
  </si>
  <si>
    <t>Tổ chức hoạt động trải nghiệm (K62)</t>
  </si>
  <si>
    <t>Phương pháp dạy học Tin học - Công Nghệ (K62)</t>
  </si>
  <si>
    <t>Phương pháp dạy học thể dục (K62)</t>
  </si>
  <si>
    <t>Cơ sở tự nhiên xã hội (K63)</t>
  </si>
  <si>
    <t>Toán học 1 (K63)</t>
  </si>
  <si>
    <t>Văn học thiếu nhi (K63)</t>
  </si>
  <si>
    <t>Tiếng Việt  (K63)</t>
  </si>
  <si>
    <t>Toán học 2 (K63)</t>
  </si>
  <si>
    <t>Đạo đức và phương pháp dạy học Đạo đức (K63)</t>
  </si>
  <si>
    <t>Âm nhạc và phương pháp dạy học Âm nhạc (K63)</t>
  </si>
  <si>
    <t>Tổ chức hoạt động trải nghiệm   (K63)</t>
  </si>
  <si>
    <t>Mỹ thuật và phương pháp dạy học Mỹ thuật (K63)</t>
  </si>
  <si>
    <t>Phương pháp dạy học Tin học và Công nghệ (K63)</t>
  </si>
  <si>
    <t>Tên đơn vị : Khoa Giáo dục Mầm non</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</si>
  <si>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</si>
  <si>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</si>
  <si>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Tên học phần hoặc chuyên đề; 
 hướng dẫn luận văn. đồ án. luận án</t>
  </si>
  <si>
    <t>Hệ số
  môn học (Điền thông tin từ mục Hệ số học phí trong kho dữ liệu. theo khoa và khóa học tương ứng</t>
  </si>
  <si>
    <t>(9)
  Môn lý thuyết (LT) = (3)*(5)*(6)*16.5;
  Môn thực hành(TH) = (3)*(5)*(6)*15; Dạy học dự án(DA) = (3)*(7)*0.8; Môn hỗn hợp các hình thức trên = (3)*(5)*(6)*16.5* tỉ lệ LT +(3)*(5)*(6)*15*tỉ lệ TH + (3)*(7)*0.8* tỉ lệ dự án</t>
  </si>
  <si>
    <t>GV trong đơn vị đảm nhận (10)</t>
  </si>
  <si>
    <t>GV khối HC Trường đảm nhận (11)</t>
  </si>
  <si>
    <t>GV thỉnh giảng (12)</t>
  </si>
  <si>
    <t>KHOA GIÁO DỤC MẦM NON</t>
  </si>
  <si>
    <t>K60</t>
  </si>
  <si>
    <t>Thực tập sư phạm EDU30087</t>
  </si>
  <si>
    <t>k61</t>
  </si>
  <si>
    <t>Phương pháp cho trẻ làm quen với tác phẩm văn học EDU: 30047</t>
  </si>
  <si>
    <t>Phương pháp giáo dục âm nhạc cho trẻ; EDU: 30050</t>
  </si>
  <si>
    <t>Phương pháp hình thành biểu tượng toán cho trẻ. EDY 30051</t>
  </si>
  <si>
    <t>rèn luyện nghiệp vụ sư phạm thường xuyên 1 EDU30055</t>
  </si>
  <si>
    <t>K62</t>
  </si>
  <si>
    <t>Âm nhạc EDU31001</t>
  </si>
  <si>
    <t>Rèn luyện nghiệp vụ sư phạm thường xuyên 1 EDU30055</t>
  </si>
  <si>
    <t>a8</t>
  </si>
  <si>
    <t>Tổ chức hoạt động vui chơi cho trẻ EDU30081</t>
  </si>
  <si>
    <t>a9</t>
  </si>
  <si>
    <t>k63</t>
  </si>
  <si>
    <t>Vệ sinh và phòng bệnh cho trẻ mầm non EDU31057</t>
  </si>
  <si>
    <t>b1</t>
  </si>
  <si>
    <t xml:space="preserve">Quản lí trường mầm non EDU30076
</t>
  </si>
  <si>
    <t>Bệnh học trẻ em EDU30058</t>
  </si>
  <si>
    <t>Phát triển chương trình Giáo dục mầm non EDU30067</t>
  </si>
  <si>
    <t>Rèn luyện NVSPTX 2 EDU30077</t>
  </si>
  <si>
    <t>Đánh giá trong giáo dục</t>
  </si>
  <si>
    <t>Tự chọn 3</t>
  </si>
  <si>
    <t>Phương pháp giáo dục âm nhạc cho trẻ mầm non EDU31050</t>
  </si>
  <si>
    <t>Văn học và tổ chức cho trẻ làm quen tác phẩm văn học EDU31047</t>
  </si>
  <si>
    <t>Nghệ thuật tạo hình và phương pháp tổ chức hoạt động tạo hình cho trẻ</t>
  </si>
  <si>
    <t>K63</t>
  </si>
  <si>
    <t>Dinh dưỡng học trẻ em EDU31012</t>
  </si>
  <si>
    <t>Tự chọn 1</t>
  </si>
  <si>
    <t>K64</t>
  </si>
  <si>
    <t>b13</t>
  </si>
  <si>
    <t>Nhập môn ngành sư phạm PED20002</t>
  </si>
  <si>
    <t>b14</t>
  </si>
  <si>
    <t>Toán cơ sở EDU20008</t>
  </si>
  <si>
    <t>b15</t>
  </si>
  <si>
    <t xml:space="preserve">Thiết kế đồ dùng, đồ chơi cho trẻ mầm non PRE30019
</t>
  </si>
  <si>
    <t>b16</t>
  </si>
  <si>
    <t xml:space="preserve">Giải phẫu sinh lý trẻ em BIO31003
</t>
  </si>
  <si>
    <t>Một số vấn đề cơ bản của giáo dục mầm non hiện đại</t>
  </si>
  <si>
    <t>Sự tăng trưởng và phát triển trẻ em</t>
  </si>
  <si>
    <t>Phương pháp nghiên cứu khoa học trẻ em</t>
  </si>
  <si>
    <t>Cơ sở ngôn ngữ học của việc phát triển ngôn ngữ cho trẻ</t>
  </si>
  <si>
    <t>Giáo dục trải nghiệm cho trẻ ở trường mầm non</t>
  </si>
  <si>
    <t>Chăm sóc. nuôi dưỡng và đảm bảo an toàn cho trẻ</t>
  </si>
  <si>
    <t>Một số vấn đề hiện đại của việc phát triển ngôn ngữ</t>
  </si>
  <si>
    <t>Phát triển tính tích cực nhận thức cho trẻ</t>
  </si>
  <si>
    <t>Luận văn K29 = 18 HV</t>
  </si>
  <si>
    <t>Hệ VLVH</t>
  </si>
  <si>
    <t>Năm học 2023</t>
  </si>
  <si>
    <t>Học phần "Toán cơ sở" EDU20008</t>
  </si>
  <si>
    <t>Học phần "Múa" GD172</t>
  </si>
  <si>
    <t>Học phần "Nghệ thuật tạo hình và làm đồ chơi cho trẻ" GD259</t>
  </si>
  <si>
    <t>Học phần "Phương pháp tổ chức hoạt động tạo hình" GD204</t>
  </si>
  <si>
    <t>Học phần "Phương pháp hình thành biểu tượng toán cho trẻ mầm non" GD181</t>
  </si>
  <si>
    <t>Học phần "Âm nhạc và phương pháp tổ chức hoạt động giáo dục âm nhạc" GD188</t>
  </si>
  <si>
    <t>Học phần "Tiếng Việt và phương pháp phát triển ngôn ngữ cho trẻ" GD189</t>
  </si>
  <si>
    <t>Học phần "Tiếng Việt và phương pháp phát triển ngôn ngữ cho trẻ" EDU31041</t>
  </si>
  <si>
    <t>Học phần "Văn học và phương pháp cho trẻ làm quen tác phẩm văn học" GD182</t>
  </si>
  <si>
    <t>Học phần "Phương pháp cho trẻ khám phá môi trường xung quanh" GD200</t>
  </si>
  <si>
    <t>Học phần "Bệnh học trẻ em" GD100</t>
  </si>
  <si>
    <t>Học phần "Dinh dưỡng học trẻ em" CT070</t>
  </si>
  <si>
    <t>Học phần "Dinh dưỡng học trẻ em" EDU31012</t>
  </si>
  <si>
    <t>Học phần "Phương pháp giáo dục thể chất cho trẻ" GD299</t>
  </si>
  <si>
    <t>Học phần "Vệ sinh và phòng bệnh cho trẻ mầm non" EDU31057</t>
  </si>
  <si>
    <t>Học phần "Nghệ thuật tạo hình và phương pháp tổ chức hoạt động tạo hình cho trẻ" EDU31002</t>
  </si>
  <si>
    <t>Học phần "Phương pháp giáo dục âm nhạc cho trẻ mầm non" EDU31050</t>
  </si>
  <si>
    <t>Học phần "Môi trường và tổ chức cho trẻ khám phá môi trường xung quanh" EDU31042</t>
  </si>
  <si>
    <t>Học phần "Tổ chức hoạt động giáo dục thể chất cho trẻ mầm non" EDU30089</t>
  </si>
  <si>
    <t>Học phần "Tổ chức hoạt động hình thành biểu tượng toán cho trẻ" EDU31051</t>
  </si>
  <si>
    <t>Học phần "Âm nhạc" EDU31004</t>
  </si>
  <si>
    <t>Học phần "Văn học và tổ chức cho trẻ làm quen tác phẩm văn học" EDU31047</t>
  </si>
  <si>
    <t>b.13</t>
  </si>
  <si>
    <t>b.15</t>
  </si>
  <si>
    <t>Học phần "Phát triển chương trình giáo dục mầm non" EDU31068</t>
  </si>
  <si>
    <t>-</t>
  </si>
  <si>
    <t>.-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t>
  </si>
  <si>
    <t>. - Không tổng hợp số giờ giảng dạy khác (đào tạo ngắn hạn cấp chứng chỉ. đào tạo khác) vào số giờ giảng dạy của Tổ bộ môn. Khoa</t>
  </si>
  <si>
    <t>- Tại cột (9).(10).(11): tùy thuộc vào giảng viên đảm nhiệm là GV trong đơn vị. khối hành chính và GV thỉnh giảng. lưu ý hệ số lớp đồng nhận thêm 1.3 đối với lớp trên 70 sinh viên</t>
  </si>
  <si>
    <t>- Đối với giảng viên không thuộc tổ nhưng thuộc đơn vị thì vẫn ghi ở cột số (9)</t>
  </si>
  <si>
    <t>- Các chỉ tiêu từ cột (12) -(16) thì lấy từ biểu 3</t>
  </si>
  <si>
    <t>- Việc tổng hợp toàn khoa. viện phải được tổng hợp cả theo từng loại hình đào tạo; các chi tiểu (6).(8).(9).(10).(11).(12).(13).(14).(15).(16) cần được tổng hợp theo khoa</t>
  </si>
  <si>
    <t>Tên đơn vị :Tâm lý - Giáo dục</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</si>
  <si>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</si>
  <si>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(9)=(3)x(5)x(6)</t>
  </si>
  <si>
    <t>Khoa Tâm Lý Giáo dục</t>
  </si>
  <si>
    <t>Đại cương quản lý giáo dục  (63)</t>
  </si>
  <si>
    <t>Giáo dục học (k63)</t>
  </si>
  <si>
    <t>Quản lý sự thay đổi trong giáo dục (63)</t>
  </si>
  <si>
    <t>Tiếp cận hiện đại trong QLGD (63)</t>
  </si>
  <si>
    <t>Kinh tế học giáo dục (62)</t>
  </si>
  <si>
    <t>Phát triển nguồn nhân lực trong giáo dục (62)</t>
  </si>
  <si>
    <t>Quản lí cơ sở giáo dục (61)</t>
  </si>
  <si>
    <t>Quản lí Nhà nước về giáo dục và đào tạo (61)</t>
  </si>
  <si>
    <t>Thực hành thực tế chuyên môn (61)</t>
  </si>
  <si>
    <t>Xây dựng kế hoạch phát triển giáo dục (61)</t>
  </si>
  <si>
    <t>Thực tập cuối khóa (60)</t>
  </si>
  <si>
    <t>Tâm lí học (k63)</t>
  </si>
  <si>
    <t>Tâm lý học giáo dục mầm non (63)</t>
  </si>
  <si>
    <t>Tâm lý học giáo dục tiểu học (63)</t>
  </si>
  <si>
    <t>Nhập môn ngành sư phạm (64)</t>
  </si>
  <si>
    <t>Tâm lý học (64)</t>
  </si>
  <si>
    <t>Các mô hình quản lý giáo dục hiện đại (63)</t>
  </si>
  <si>
    <t>Tâm lý học quản ý (63)</t>
  </si>
  <si>
    <t>Truyền thông trong quản lý giáo dục (63)</t>
  </si>
  <si>
    <t>Giao tiếp sư phạm(63)</t>
  </si>
  <si>
    <t>Đảm bảo chất lượng giáo dục (62)</t>
  </si>
  <si>
    <t>Đánh giá trong giáo dục (62)</t>
  </si>
  <si>
    <t>Hệ thống thông tin trong QLGD (62)</t>
  </si>
  <si>
    <t>Giáo dục vì sự phát triển bền vững (62)</t>
  </si>
  <si>
    <t>Kiểm tra và thanh tra giáo dục (61)</t>
  </si>
  <si>
    <t>Quản lý tài chính, cơ sở vật chất trong giáo dục (61)</t>
  </si>
  <si>
    <t>Quản lý hoạt động dạy học giáo dục (61)</t>
  </si>
  <si>
    <t>Quản lý giáo dục  nghề nghiệp (61)</t>
  </si>
  <si>
    <t>Tư vấn giáo dục</t>
  </si>
  <si>
    <t>1.17</t>
  </si>
  <si>
    <t>Tâm lý học thể dục thể thao (k62)</t>
  </si>
  <si>
    <t>Dự báo, quy hoạch và kế hoạch chiến lược PTCSGD</t>
  </si>
  <si>
    <t>Quản lý phát triển CTGD</t>
  </si>
  <si>
    <t>Quản lý GDMN</t>
  </si>
  <si>
    <t>Phát triển chương trình GD HSTH</t>
  </si>
  <si>
    <t>PP nghiên cứu KHQLGD</t>
  </si>
  <si>
    <t>Quản lý chất lượng GD</t>
  </si>
  <si>
    <t>PPNC khoa học GDTH</t>
  </si>
  <si>
    <t>PPNC khoa học GDMN</t>
  </si>
  <si>
    <t>QLGD và QL nhà trường</t>
  </si>
  <si>
    <t>Đổi mới QLCS GD trong bối cảnh hiện nay</t>
  </si>
  <si>
    <t>Đánh giá trong GDTH</t>
  </si>
  <si>
    <t>Đổi mới đánh giá trong GDMN</t>
  </si>
  <si>
    <t>Chuyên đề Xã hội học giáo dục (QLGD)</t>
  </si>
  <si>
    <t>Chuyên đề Các lý thuyết TLH dạy học hiện đại (GDHTH)</t>
  </si>
  <si>
    <t>Chuyên đề Công tác quản lý trường tiểu học (GDHTH)</t>
  </si>
  <si>
    <t>Chuyên đề Giáo dục hòa nhập trẻ khuyết tật ở trường mầm non (GDHMN)</t>
  </si>
  <si>
    <t>Chuyên đề Quản lý nguồn nhân lực trong giáo dục (QLGD)</t>
  </si>
  <si>
    <t>Chuyên đề Các lý thuyết TLH hiện đại trong giáo dục trẻ em (GDHMN)</t>
  </si>
  <si>
    <t>Chuyên đề Các lý thuyết TLH hiện đại trong QLGD (QLGD)</t>
  </si>
  <si>
    <t>Học phần Quản lí xây dựng văn hóa nhà trường</t>
  </si>
  <si>
    <t>Học phần Một số vấn đề giáo dục tiểu học hiện đại</t>
  </si>
  <si>
    <t>Học phần Một số vấn đề giáo dục mầm non hiện đại</t>
  </si>
  <si>
    <t>Học phần Một số vđ về DH TN _ XH ở tiểu học</t>
  </si>
  <si>
    <t>Học phần Lãnh đạo và QL sự thay đổi trong GD</t>
  </si>
  <si>
    <t>Học phần Giáo dục học so sánh</t>
  </si>
  <si>
    <r>
      <rPr>
        <sz val="10"/>
        <color theme="1"/>
        <rFont val="Times New Roman"/>
        <family val="1"/>
      </rPr>
      <t xml:space="preserve">Khóa 29: </t>
    </r>
    <r>
      <rPr>
        <sz val="10"/>
        <color rgb="FFFF0000"/>
        <rFont val="Times New Roman"/>
        <family val="1"/>
      </rPr>
      <t xml:space="preserve"> 178 </t>
    </r>
  </si>
  <si>
    <t>Chuyên đề Lãnh đạo cơ sở giáo dục trong bối cảnh hiện nay</t>
  </si>
  <si>
    <t>Chuyên đề Đổi mới quản lý chất lượng giáo dục</t>
  </si>
  <si>
    <t>Chuyên đề Chính sách phát triển giáo dục thời kỳ đổi mới</t>
  </si>
  <si>
    <t>Hướng dẫn chuyên đề (3 chuyên đề)</t>
  </si>
  <si>
    <t>Đại học Vừa làm vừa học</t>
  </si>
  <si>
    <t>Tâm lý học tiểu học</t>
  </si>
  <si>
    <t>Giáo dục học tiểu hoc</t>
  </si>
  <si>
    <t>Tâm lý học mầm non</t>
  </si>
  <si>
    <t>Giáo dục học mầm non</t>
  </si>
  <si>
    <t>Công tác quản lý trường tiêu học</t>
  </si>
  <si>
    <t>Công tác quản lý trường mầm non</t>
  </si>
  <si>
    <t>Phương pháp nghiên cứu khoa học giáo dục</t>
  </si>
  <si>
    <t>Biểu số 2A</t>
  </si>
  <si>
    <t>Tên đơn vị :</t>
  </si>
  <si>
    <t>KẾ HOẠCH ĐÀO TẠO. GIẢNG DẠY CỦA ĐƠN VỊ ĐÀO TẠO CÁC BẬC HỌC THPT VÀ THSP NĂM 2023</t>
  </si>
  <si>
    <t>(Bảng này dùng để thống kê chi tiết giảng dạy học kỳ II năm học 2022-2023 và học kỳ I năm học 2023-2024)</t>
  </si>
  <si>
    <t>Họ và tên</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</si>
  <si>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</si>
  <si>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</si>
  <si>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</si>
  <si>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</si>
  <si>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</si>
  <si>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</si>
  <si>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</si>
  <si>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</si>
  <si>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</si>
  <si>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</si>
  <si>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</si>
  <si>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</si>
  <si>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</si>
  <si>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</si>
  <si>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</si>
  <si>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</si>
  <si>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</si>
  <si>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</si>
  <si>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</si>
  <si>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</si>
  <si>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</si>
  <si>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</si>
  <si>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</si>
  <si>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</si>
  <si>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</si>
  <si>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</si>
  <si>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</si>
  <si>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THPT Chuyên do đơn vị tự đảm nhiệm</t>
  </si>
  <si>
    <t>Giảng dạy THSP do đơn vị tự đảm nhiệm</t>
  </si>
  <si>
    <t>Giáo viên thỉnh giảng</t>
  </si>
  <si>
    <t>Nghệ An, ngày       tháng       năm 2022</t>
  </si>
  <si>
    <t>TRƯỞNG ĐƠN VỊ</t>
  </si>
  <si>
    <t>Lưu ý:</t>
  </si>
  <si>
    <t>BỘ GIÁO DỤC VÀ ĐÀO TẠO</t>
  </si>
  <si>
    <t>CỘNG HOÀ XÃ HỘI CHỦ NGHĨA VIỆT NAM</t>
  </si>
  <si>
    <t>Độc lập - Tự do - Hạnh phúc</t>
  </si>
  <si>
    <t>PHỤ LỤC</t>
  </si>
  <si>
    <t>CHỈ TIÊU TUYỂN SINH ĐẠI HỌC CHÍNH QUY NĂM 2023</t>
  </si>
  <si>
    <t>Kèm theo Công văn số /ĐT-ĐHV ngày /11/2022 của Hiệu trưởng Trường Đại học Vinh</t>
  </si>
  <si>
    <t>Stt</t>
  </si>
  <si>
    <t>Khoa, viện, trường thuộc</t>
  </si>
  <si>
    <t>Ngành đào tạo chính quy</t>
  </si>
  <si>
    <t>Chỉ tiêu 
 Giao 
 năm 2022</t>
  </si>
  <si>
    <t>Kết quả
 Đạt
 năm 2022</t>
  </si>
  <si>
    <t>Chỉ tiêu
 dự kiến
 năm 2023</t>
  </si>
  <si>
    <t>Tổng</t>
  </si>
  <si>
    <t>Trường Sư phạm</t>
  </si>
  <si>
    <t>Khoa SP Ngoại ngữ</t>
  </si>
  <si>
    <t>Ngôn ngữ Anh</t>
  </si>
  <si>
    <t>Ngôn ngữ Anh (VB2)</t>
  </si>
  <si>
    <t>Sư phạm Tiếng Anh</t>
  </si>
  <si>
    <t>Sư phạm Tiếng Anh (lớp tài năng)</t>
  </si>
  <si>
    <t>Khoa GDQP &amp;AN</t>
  </si>
  <si>
    <t>Giáo dục Quốc phòng – An ninh</t>
  </si>
  <si>
    <t>Giáo dục Quốc phòng – An ninh (VB2)</t>
  </si>
  <si>
    <t>Khoa Giáo dục thể chất</t>
  </si>
  <si>
    <t>Giáo dục Thể chất</t>
  </si>
  <si>
    <t>MỨC MIỄN GIẢM CHỨC VỤ LÃNH ĐẠO QUẢN LÍ BẢN MỚI</t>
  </si>
  <si>
    <t>MỨC MIỄN GIẢM ĐI HỌC, NGHỈ SINH, CHỦ NHIỆM LỚP TIẾNG VIỆT (1585)</t>
  </si>
  <si>
    <t>Giảng viên được bổ nhiệm chức vụ lãnh đạo</t>
  </si>
  <si>
    <t>Mức giảm giờ dạy</t>
  </si>
  <si>
    <t>Mức giam NCKH</t>
  </si>
  <si>
    <t>Giảm HĐCM</t>
  </si>
  <si>
    <t>Đối tượng miễn giảm</t>
  </si>
  <si>
    <t>GIẢM GIỜ DẠY</t>
  </si>
  <si>
    <t>GIAMR NCKH</t>
  </si>
  <si>
    <t>GIẢM HĐCM</t>
  </si>
  <si>
    <t>hoặc kiêm nhiệm công tác quản lý, đảng, đoàn thể</t>
  </si>
  <si>
    <t>GV tại các đơn vị đào tạo không được miễn giảm</t>
  </si>
  <si>
    <t>Công tác tại các đơn vị hành chính (phòng ban trung tâm) giamgr 100%</t>
  </si>
  <si>
    <t>Trưởng phòng, Giám đốc NXB, Thư ký Hội đồng trường; Hiệu trưởng Trường thuộc/Viện trưởng Viện NC&amp;ĐTTT và tương đương</t>
  </si>
  <si>
    <t>QĐ 1181</t>
  </si>
  <si>
    <t>CBGD  đi  học  tập  trung ngoài trường và nước ngoài/ cao cấp chính trị tập trung</t>
  </si>
  <si>
    <t>Phó trưởng phòng, Phó GĐ NXB, Phó Hiệu trưởng Trường thuộc/Phó Viện trưởng Viện NC&amp;ĐTTT; Giám đốc trung tâm của Trường thuộc/Viện NC&amp;ĐTTT và tương đương</t>
  </si>
  <si>
    <t>CBGD đi học NCS tập trung tại trường, không tập trung ngoài trường/cao cấp-trung cấp chính trị không tập trung</t>
  </si>
  <si>
    <t>Phó Giám đốc trung tâm của Trường thuộc/Viện NC&amp;ĐTTT</t>
  </si>
  <si>
    <t>CBGD đi học cao học không tập trung trong và ngoài trường</t>
  </si>
  <si>
    <t>Trưởng khoa, Phó trưởng khoa</t>
  </si>
  <si>
    <t>CBGD nữ nghỉ sinh (trong thời gian nghỉ sinh theo quy định)</t>
  </si>
  <si>
    <t>Đối với khoa cấp 2 và cấp 3 có 40 giảng viên trở lên hoặc có quy mô 800 người học trở lên</t>
  </si>
  <si>
    <t>Nữ giảng viên nuôi con nhỏ dưới 12 tháng</t>
  </si>
  <si>
    <t>- Trưởng khoa và tương đương</t>
  </si>
  <si>
    <t>Giảng viên chủ nhiệm lớp tiếng Việt của lưu học sinh nước ngoài</t>
  </si>
  <si>
    <t>- Phó trưởng khoa và tương đương</t>
  </si>
  <si>
    <t>Đối với khoa cấp 2 và cấp 3 có dưới 40 giảng viên hoặc có quy mô dưới 800 người học</t>
  </si>
  <si>
    <t>Trưởng bộ môn</t>
  </si>
  <si>
    <t>Trưởng nhóm nghiên cứu</t>
  </si>
  <si>
    <t>Phó trưởng bộ môn, Trợ lý đào tạo, Cố vấn học tập</t>
  </si>
  <si>
    <t>Trợ lý đảm bảo chất lượng</t>
  </si>
  <si>
    <t>Trợ lý hỗ trợ đào tạo trực tuyến</t>
  </si>
  <si>
    <t>Bí thư Đảng ủy Trường</t>
  </si>
  <si>
    <t>Phó bí thư Đảng ủy Trường</t>
  </si>
  <si>
    <t>Bí thư chi bộ (gồm cả giảng viên là Bí thư chi bộ sinh viên), Chủ tịch hội cựu chiến binh và tương đương</t>
  </si>
  <si>
    <t>Phó bí thư chi bộ</t>
  </si>
  <si>
    <t>Giảng viên không giữ chức vụ quản lý, làm việc kiêm nhiệm tại các đơn vị hành chính</t>
  </si>
  <si>
    <t>Chủ tịch công đoàn của Trường thuộc/Viện NC&amp;ĐTTT</t>
  </si>
  <si>
    <t>Ủy viên Ban Chấp hành Công đoàn Trường, Trưởng các ban của Công đoàn Trường, Chủ tịch công đoàn bộ phận khoa và tương đương có từ 40 cán bộ, viên chức trở lên</t>
  </si>
  <si>
    <t>Chủ tịch công đoàn bộ phận khoa và tương đương có dưới 40 cán bộ, viên chức; Phó Chủ tịch Công đoàn bộ phận</t>
  </si>
  <si>
    <t>Chủ tịch công đoàn bộ phận các đơn vị cấp 3 của Trường thuộc/Viện NC&amp;ĐTTT</t>
  </si>
  <si>
    <t>Đối với cán bộ Đoàn thanh niên</t>
  </si>
  <si>
    <t>Bí thư Đoàn trường có trên 10.000 ĐVTN</t>
  </si>
  <si>
    <t>Phó Bí thư Đoàn trường có trên 10.000 ĐVTN</t>
  </si>
  <si>
    <t>Chủ tịch Hội sinh viên có trên 10.000 SV</t>
  </si>
  <si>
    <t>Ủy viên Ban Thường vụ, Trưởng các ban Đoàn trường có trên 10.000 ĐVTN, Bí thư Đoàn viện, Liên Chi đoàn có 1000 ĐVTN trở lên</t>
  </si>
  <si>
    <t>Ủy viên Ban Chấp hành Đoàn trường, Bí thư Đoàn viện, Liên Chi đoàn có dưới 1000 ĐVTN</t>
  </si>
  <si>
    <t>Phó Bí thư Đoàn trường thuộc, Đoàn trường THPT Chuyên trên 28 chi đoàn</t>
  </si>
  <si>
    <t>Trợ lí đào tạo chuyên trách là Giảng viên</t>
  </si>
  <si>
    <t>QĐ mới</t>
  </si>
  <si>
    <t>Biểu số 4</t>
  </si>
  <si>
    <t>KẾ HOẠCH  KINH PHÍ THỰC HÀNH - THÍ NGHIỆM, THỰC TẬP, RÈN NGHỀ VÀ CÁC HOẠT ĐỘNG KHÁC NĂM 2023</t>
  </si>
  <si>
    <t>(Biểu dùng  cho các đơn vị có nhu cầu vật tư, thực hành thí nghiệm trong năm lập kế hoạch)</t>
  </si>
  <si>
    <t>CÁC KHOA ĐÀO TẠO CĂN CỨ VÀO KẾ HOẠCH NĂM HỌC ĐÃ XÂY DỰNG ĐỂ CẬP NHẬT KẾT QỦA THỰC HIỆN VÀO Ô TƯƠNG ỨNG VỚI KHOA MÌNH</t>
  </si>
  <si>
    <t>Nội dung hoạt động giáo dục, đào tạo</t>
  </si>
  <si>
    <t xml:space="preserve">Trình độ, hình thức đào tạo </t>
  </si>
  <si>
    <t>Lớp đảm nhận</t>
  </si>
  <si>
    <t>Địa điểm đặt lớp (trong trường hay ngoài Trường)</t>
  </si>
  <si>
    <t>Số kinh phí đề nghị cấp năm 2022</t>
  </si>
  <si>
    <t>KẾ HOẠCH  KINH PHÍ THỰC HÀNH - THÍ NGHIỆM 2023</t>
  </si>
  <si>
    <t>Chênh lệch</t>
  </si>
  <si>
    <t>KHOA</t>
  </si>
  <si>
    <t>Kết quả thực hiện (đã được cấp/chưa được cấp/chưa xin...- lí do) đến T6/2023</t>
  </si>
  <si>
    <t>Hoạt động tại học kỳ</t>
  </si>
  <si>
    <t>Số tín chỉ (hoặc số tiết giảng dạy)</t>
  </si>
  <si>
    <t>Số kinh phí đề nghị cấp năm 2023</t>
  </si>
  <si>
    <t>Kế hoạch hóa chất, vật tư phục vụ thực hành thí nghiệm</t>
  </si>
  <si>
    <t>Thực hành Hóa học 1_CHE30016</t>
  </si>
  <si>
    <t>ĐHCQ</t>
  </si>
  <si>
    <t>K61SP</t>
  </si>
  <si>
    <t>Trong trường</t>
  </si>
  <si>
    <t>2 lớpx3 nhóm SVx3TC</t>
  </si>
  <si>
    <t xml:space="preserve">
Hóa học</t>
  </si>
  <si>
    <t>Thực hành Hoá học 2_CHE30024</t>
  </si>
  <si>
    <t>Hóa học</t>
  </si>
  <si>
    <t>Thực hành hóa học 1_CHE31016</t>
  </si>
  <si>
    <t>K62SP</t>
  </si>
  <si>
    <t>4 lớp THx3 nhóm x 2 TC</t>
  </si>
  <si>
    <t>Thực hành Hoá học 2_CHE31024</t>
  </si>
  <si>
    <t>4 lớpx3 nhóm SVx4TC</t>
  </si>
  <si>
    <t>Thực hành PPDH Hoá học_CHE30025</t>
  </si>
  <si>
    <t>2 (5)</t>
  </si>
  <si>
    <t>1 lớpx3 nhóm SVx2TC</t>
  </si>
  <si>
    <t>Hoá phân tích_FOT30029</t>
  </si>
  <si>
    <t>K62CNTP</t>
  </si>
  <si>
    <t>1 (2)</t>
  </si>
  <si>
    <t>1 lớpx3 nhóm SVx1TC</t>
  </si>
  <si>
    <t>Hoá phân tích_CHE20004</t>
  </si>
  <si>
    <t>K63 NLN</t>
  </si>
  <si>
    <t>4 lớpx 3 nhóm SVx1TC</t>
  </si>
  <si>
    <t>Hóa hữu cơ _FOT20001</t>
  </si>
  <si>
    <t>K63CNTP</t>
  </si>
  <si>
    <t>1 (1)</t>
  </si>
  <si>
    <t>Hoá học đại cương_CHE20002</t>
  </si>
  <si>
    <t>K64 KTCN</t>
  </si>
  <si>
    <t>1 (4)</t>
  </si>
  <si>
    <t>4 lớpx4 nhóm SVx1TC</t>
  </si>
  <si>
    <t>Giải phẫu sinh lý trẻ em - BIO31003</t>
  </si>
  <si>
    <t>64SPMN</t>
  </si>
  <si>
    <t>1 (3)</t>
  </si>
  <si>
    <t>50 nhóm SV</t>
  </si>
  <si>
    <t>63SPSH</t>
  </si>
  <si>
    <t>5 nhóm SV</t>
  </si>
  <si>
    <t>2 (4)</t>
  </si>
  <si>
    <t>62SPSH</t>
  </si>
  <si>
    <t>1 (5)</t>
  </si>
  <si>
    <t>4 nhóm SV</t>
  </si>
  <si>
    <t>Công nghệ sinh học và ứng dụng-BIO31011</t>
  </si>
  <si>
    <t>1(3)</t>
  </si>
  <si>
    <t>Máy cô quay chân không thí nghiệm (0.5-2 lít) eyela Nhật bản</t>
  </si>
  <si>
    <t>Máy</t>
  </si>
  <si>
    <t>Sinh học</t>
  </si>
  <si>
    <t>Máy ép hoa quả</t>
  </si>
  <si>
    <t>Cái</t>
  </si>
  <si>
    <t>Kính hiển vi quang học 2 mắt
 Hãng sản xuất: Leica (Đức)
 mã sản phẩm: Leica DM3000</t>
  </si>
  <si>
    <t>Hộp nhựa/kính để chụp bảo vệ kính hiển vi, kèm túi/hạt chống ẩm để bảo vệ kính hiển vi</t>
  </si>
  <si>
    <t>Hộp</t>
  </si>
  <si>
    <t>Hệ thống kính hiển vi 3 mắt kết nối máy ảnh, camera (hãng Olympus Nhật Bản, hoặc Leic-Đức</t>
  </si>
  <si>
    <t>Ống ly tâm Eppendorf 1.5ml (túi 500 chiếc)/1 túi</t>
  </si>
  <si>
    <t>Túi</t>
  </si>
  <si>
    <t>Giá đỡ ống ly tâm Eppendorf 1.5 ml, màu trắng (96 lỗ/1 giá)</t>
  </si>
  <si>
    <t>Hộp đựng ống ly tâm 1.5ml / 2.0ml chứa 64-100 lỗ</t>
  </si>
  <si>
    <t>Ống ly tâm nhựa 15ml tiệt trùng (50 cái/1 túi)</t>
  </si>
  <si>
    <t>Giá đỡ innox ống ly tâm 15 ml (60 lỗ/1 khay)</t>
  </si>
  <si>
    <t>Giá đỡ innox ống falcon 50 ml (21 lỗ/1 giá)</t>
  </si>
  <si>
    <t>Màng lọc vi khuẩn kích thước lỗ 0.2 Micromet (100 miếng/1 hộp)</t>
  </si>
  <si>
    <t>Môi trường TSB (Tryptone Soya Broth), 500 gram/1 hộp/</t>
  </si>
  <si>
    <t>Bình thủy tinh loại 5 lít có vòi</t>
  </si>
  <si>
    <t>Bình</t>
  </si>
  <si>
    <t>Các loại nguyên vật liệu và các test kiểm tra khác</t>
  </si>
  <si>
    <t>Peptone (hộp/500g)</t>
  </si>
  <si>
    <t>Cao thịt (hộp/500g)</t>
  </si>
  <si>
    <t>NaCl (hộp/500g)</t>
  </si>
  <si>
    <t>Thuốc thử Nessler (chai/125ml)</t>
  </si>
  <si>
    <t>Chai</t>
  </si>
  <si>
    <t>Thuốc thử Oxxidase (Hộp/50 test)</t>
  </si>
  <si>
    <t>Thuốc thử Kovac (chai/100ml)</t>
  </si>
  <si>
    <t>Ethanol tuyệt đối (Chai/500ml)</t>
  </si>
  <si>
    <t>Hệ thí nghiệm khảo sát tính chất phi tuyến của môi trường quang học</t>
  </si>
  <si>
    <t>SĐH, ĐHCQ</t>
  </si>
  <si>
    <t>K30</t>
  </si>
  <si>
    <t>ĐH Vinh</t>
  </si>
  <si>
    <t>1, 2</t>
  </si>
  <si>
    <t>Vật lý</t>
  </si>
  <si>
    <t>Bộ biến điệu âm quang (AMOM)</t>
  </si>
  <si>
    <t>Thí nghiệm Vật lý laser</t>
  </si>
  <si>
    <t>Thí nghiệm phổ học Laser</t>
  </si>
  <si>
    <t>Các thí nghiệm quan học hiện đại</t>
  </si>
  <si>
    <t>Thí nghiệm cơ nhiệt</t>
  </si>
  <si>
    <t>K61</t>
  </si>
  <si>
    <t>Thí nghiệm điện quang</t>
  </si>
  <si>
    <t>Thí nghiệm vật lý phổ thông</t>
  </si>
  <si>
    <t>Cơ học</t>
  </si>
  <si>
    <t>Quang học</t>
  </si>
  <si>
    <t>Điện từ học</t>
  </si>
  <si>
    <t>Quả cầu địa lý &gt; 30cm</t>
  </si>
  <si>
    <t>K62, k63</t>
  </si>
  <si>
    <t>Địa lý</t>
  </si>
  <si>
    <t>Quả cầu địa lý tự nhiên &gt; 30cm</t>
  </si>
  <si>
    <t>Bản đồ địa chất Việt Nam tỉ lệ 1:50.000</t>
  </si>
  <si>
    <t>Bản đồ địa hình Việt Nam tỉ lệ 1:50.000</t>
  </si>
  <si>
    <t>La bàn địa chất</t>
  </si>
  <si>
    <t>Cuốc, xẻng đào đất</t>
  </si>
  <si>
    <t>Thước dây 6m</t>
  </si>
  <si>
    <t>Búa địa chất</t>
  </si>
  <si>
    <t>Rựa (dao chặt)</t>
  </si>
  <si>
    <t>Múa</t>
  </si>
  <si>
    <t>có phụ lục kèm theo</t>
  </si>
  <si>
    <t>MN</t>
  </si>
  <si>
    <t>Vệ sinh và phòng bệnh cho trẻ mầm non-EDU31057</t>
  </si>
  <si>
    <t>63SPMN</t>
  </si>
  <si>
    <t>3 (4)</t>
  </si>
  <si>
    <t>Thực hành học phần Lập trình cho Robot</t>
  </si>
  <si>
    <t>60 CNTT</t>
  </si>
  <si>
    <t>Đại học Vinh</t>
  </si>
  <si>
    <t>Robot mBot (5 cái)</t>
  </si>
  <si>
    <t>Tin học</t>
  </si>
  <si>
    <t>Tổng ( hóa chất, vật tư phục vụ thực hành thí nghiệm)</t>
  </si>
  <si>
    <t>Công tác thực tập, kiến tập, thực tế, rèn nghề, hoạt động khác</t>
  </si>
  <si>
    <t>Thực tập</t>
  </si>
  <si>
    <t>Thực tập sư phạm phổ thông</t>
  </si>
  <si>
    <t>K60 các ngành SP</t>
  </si>
  <si>
    <t>Ngoài  trường</t>
  </si>
  <si>
    <t>KP năm 2022: 1.922.500đ/SV</t>
  </si>
  <si>
    <t>Thực tập sư phạm tiểu học</t>
  </si>
  <si>
    <t>Thực tập sư phạm mầm non</t>
  </si>
  <si>
    <t>Thực địa địa lí tự nhiên</t>
  </si>
  <si>
    <t>K61 + K62</t>
  </si>
  <si>
    <t>Ngoài trường</t>
  </si>
  <si>
    <t>Đã chỉnh sửa lại</t>
  </si>
  <si>
    <t>Địa lí</t>
  </si>
  <si>
    <t>Thực địa địa lí kinh tế - xã hội</t>
  </si>
  <si>
    <t>K61 Địa lý</t>
  </si>
  <si>
    <t>1.6</t>
  </si>
  <si>
    <t>Thực tế chuyên môn</t>
  </si>
  <si>
    <t>K62 Lịch sử</t>
  </si>
  <si>
    <t>1.7</t>
  </si>
  <si>
    <t>K62SP Sinh</t>
  </si>
  <si>
    <t>5 nhóm SV đi thực tế tự nhiên</t>
  </si>
  <si>
    <t>Thực tế chuyên môn cho  giảng viên LLCT</t>
  </si>
  <si>
    <t>GVLLCT</t>
  </si>
  <si>
    <t>hè</t>
  </si>
  <si>
    <t>Dự toán ở Phụ lục B4</t>
  </si>
  <si>
    <t>ngay 5/7/2023 thu hien</t>
  </si>
  <si>
    <t>Tập huấn chuyên môn LLCT</t>
  </si>
  <si>
    <t>Theo QCCTNB</t>
  </si>
  <si>
    <t>cho cong van cua bo</t>
  </si>
  <si>
    <t>Kiến tập</t>
  </si>
  <si>
    <t>Rèn nghề</t>
  </si>
  <si>
    <t>da thu c hien</t>
  </si>
  <si>
    <t>K64 các ngành SP</t>
  </si>
  <si>
    <t>Kinh phí trung bình: 65.000/sv</t>
  </si>
  <si>
    <t>RLNVSP 1 K 61</t>
  </si>
  <si>
    <t>K61 GDMN</t>
  </si>
  <si>
    <t>2 nhóm Trong và 9 nhóm ngoài trường</t>
  </si>
  <si>
    <t>2TC</t>
  </si>
  <si>
    <t>RLNVSP 2 K 61</t>
  </si>
  <si>
    <t>RLNVSP 1 K 62</t>
  </si>
  <si>
    <t>K62 GDMN</t>
  </si>
  <si>
    <t>2 nhóm Trong và 10 nhóm ngoài trường</t>
  </si>
  <si>
    <t>K61 GDTH</t>
  </si>
  <si>
    <t>11 nhóm ngoài trường</t>
  </si>
  <si>
    <t>Hoàn thành</t>
  </si>
  <si>
    <t>RLNVSP  K 62</t>
  </si>
  <si>
    <t>K62 GDTH</t>
  </si>
  <si>
    <t>1 nhóm trong trường, 14 nhóm ngoài trường</t>
  </si>
  <si>
    <t>Các hoạt động khác (Cần liệt kê chi tiết tên hoạt động, nội dung hoạt động, ….)</t>
  </si>
  <si>
    <t>Hoạt động rèn luyện kỹ năng nghề nghiệp và Hội thi NVSP cho sinh viên sư phạm</t>
  </si>
  <si>
    <t>Khoá 60,61,62,63 các ngành SP</t>
  </si>
  <si>
    <t>Trong và ngoài trường</t>
  </si>
  <si>
    <t>Cả năm</t>
  </si>
  <si>
    <t>Hội thi Năng khiếu nghệ thuật</t>
  </si>
  <si>
    <t>K61,62,63,64 GDMN</t>
  </si>
  <si>
    <t>Hội Thi Giải toán nhanh - Viết chữ đẹp</t>
  </si>
  <si>
    <t>K61,62,63 GDTH</t>
  </si>
  <si>
    <t>Kinh phí tổ chức thi Olympic Toán học sinh viên Trường Đại học Vinh và tham gia thi Olympic Toán học sinh viên toàn quốc</t>
  </si>
  <si>
    <t>K61,62,63,64 SP Toán</t>
  </si>
  <si>
    <t>Cấp Trường</t>
  </si>
  <si>
    <t>Bổ sung nội dung đề xuất tham gia thi Olympic Toán học sinh viên toàn quốc tại Đại học Huế</t>
  </si>
  <si>
    <t>Đã hoàn thành (tổ chức thi OLP cấp Trường ngày 05/2/2023, lựa chọn và bồi dưỡng đội tuyển, đưa đoàn thi Olympic Toán học sinh viên toàn quốc tại Đại học Huế từ 2/4/2023 đến 8/4/2023). 
Kết quả: 01 giải Nhì và 06 giải Ba.
Tổng kinh phí: 69.414.000 đồng.</t>
  </si>
  <si>
    <t>Tổ chức hoạt động Câu lạc bộ Toán Tiếng Anh E4M</t>
  </si>
  <si>
    <t>Trong Trường</t>
  </si>
  <si>
    <t>cả năm</t>
  </si>
  <si>
    <t>Tổ chức sinh hoạt thường xuyên CLB Toán Tiếng Anh E4M do PGS.TS. Nguyễn Chiến Thắng - phó trưởng khoa trực tiếp phụ trách</t>
  </si>
  <si>
    <t>Mời chuyên gia về nói chuyện, trao đổi chuyên môn với cán bộ, sinh viên và học viên ngành Toán</t>
  </si>
  <si>
    <t>Đã mời PGS. TS. Đinh Trung Hoà ở Troy University (Mỹ) báo cáo seminar ngày 18/6/2023.</t>
  </si>
  <si>
    <t>Kinh phí tham gia thi Olympic Sinh viên môn Hóa học tại Sài gòn</t>
  </si>
  <si>
    <t>K61,62,63,64 SP Hoá</t>
  </si>
  <si>
    <t>Khoa Hóa Học</t>
  </si>
  <si>
    <t>Kinh phí mời chuyên gia, GVPT tham gia Hội đồng chấm đồ án</t>
  </si>
  <si>
    <t>DHCQ</t>
  </si>
  <si>
    <t>Khóa 62</t>
  </si>
  <si>
    <t>Khoa Địa lí</t>
  </si>
  <si>
    <t>Kinh phí tổ chức Hội nghị sinh viên nghiên cứu khoa học</t>
  </si>
  <si>
    <t>K61,62,63,64 các ngành SP</t>
  </si>
  <si>
    <t>Khoa Toán dự kiến tổ chức vào Tháng 9, 10 năm 2023</t>
  </si>
  <si>
    <t>Tổ chức thành lập Khoa Địa lí  20 năm và tổ chức Hội thảo quốc gia</t>
  </si>
  <si>
    <t>Tổng cộng:</t>
  </si>
  <si>
    <t>.</t>
  </si>
  <si>
    <t xml:space="preserve">Ghi chú: </t>
  </si>
  <si>
    <t>hiệu trưởng</t>
  </si>
  <si>
    <r>
      <rPr>
        <b/>
        <sz val="11"/>
        <color theme="1"/>
        <rFont val="Times New Roman"/>
        <family val="1"/>
      </rPr>
      <t xml:space="preserve"> -</t>
    </r>
    <r>
      <rPr>
        <sz val="11"/>
        <color theme="1"/>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</si>
  <si>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</si>
  <si>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ĐƠN VỊ LẬP KH    </t>
  </si>
  <si>
    <t xml:space="preserve">PHÒNG KH-TC </t>
  </si>
  <si>
    <t>Mục 1.2</t>
  </si>
  <si>
    <t>BẢN DỰ TRÙ KINH PHÍ TTSP NGÀNH GDTH NĂM HỌC 2022 - 2023 (K60)</t>
  </si>
  <si>
    <t>Tại 13 trường tiểu học</t>
  </si>
  <si>
    <t>Nội dung chi</t>
  </si>
  <si>
    <t>Số lượng</t>
  </si>
  <si>
    <t>Đơn giá</t>
  </si>
  <si>
    <t>Kinh phí</t>
  </si>
  <si>
    <r>
      <rPr>
        <b/>
        <sz val="10"/>
        <color theme="1"/>
        <rFont val="Times New Roman"/>
        <family val="1"/>
      </rPr>
      <t>HƯỚNG DẪN THỰC TẬP</t>
    </r>
    <r>
      <rPr>
        <sz val="10"/>
        <color theme="1"/>
        <rFont val="Times New Roman"/>
        <family val="1"/>
      </rPr>
      <t xml:space="preserve">:  </t>
    </r>
  </si>
  <si>
    <t xml:space="preserve"> Hướng dẫn thực tập giảng dạy: </t>
  </si>
  <si>
    <t>tiết</t>
  </si>
  <si>
    <t>10 tiết x 260 SV</t>
  </si>
  <si>
    <t xml:space="preserve">Hướng dẫn thực tập giáo dục:   </t>
  </si>
  <si>
    <t>8 tiết x 260 SV</t>
  </si>
  <si>
    <t xml:space="preserve"> BỒI DƯỠNG BAN CHỈ ĐẠO TRƯỜNG</t>
  </si>
  <si>
    <t>Trưởng ban</t>
  </si>
  <si>
    <t xml:space="preserve">25.000 đ x 5 tiết x 8 tuần x 13 đoàn </t>
  </si>
  <si>
    <t>Phó ban</t>
  </si>
  <si>
    <t xml:space="preserve">22.000 đ x 3 tiết x 8 tuần x 2 người x 13 đoàn </t>
  </si>
  <si>
    <t>Tổng phụ trách Đội</t>
  </si>
  <si>
    <t xml:space="preserve">25.000đ/tiết  x  1 tiết/tuần  x  8  tuần x 13 đoàn </t>
  </si>
  <si>
    <t xml:space="preserve">Nhóm trưởng bộ môn </t>
  </si>
  <si>
    <t>đoàn</t>
  </si>
  <si>
    <t>300,000đ/đoàn  x 13 đoàn</t>
  </si>
  <si>
    <t>Bồi dưỡng báo cáo viên</t>
  </si>
  <si>
    <t>cái</t>
  </si>
  <si>
    <t xml:space="preserve">100.000 đồng x 2 báo cáo x 13 đoàn </t>
  </si>
  <si>
    <t>Văn phòng phẩm</t>
  </si>
  <si>
    <t xml:space="preserve">200.000 đồng x 13 đoàn </t>
  </si>
  <si>
    <t>Chuẩn bị văn bản, liên hệ đón tiếp SV</t>
  </si>
  <si>
    <t xml:space="preserve">150.000 đồng x 13 đoàn </t>
  </si>
  <si>
    <t>BỒI DƯỠNG BCĐ PHÒNG GIÁO DỤC</t>
  </si>
  <si>
    <t>Cán bộ phòng Giáo dục</t>
  </si>
  <si>
    <t>Trưởng phó phòng Giáo dục</t>
  </si>
  <si>
    <t>người</t>
  </si>
  <si>
    <t xml:space="preserve">300.000 đồng x 2 người </t>
  </si>
  <si>
    <t>KINH PHÍ CHO CÁC ĐOÀN THỰC TẬP</t>
  </si>
  <si>
    <t>Sinh hoạt tập thể</t>
  </si>
  <si>
    <t xml:space="preserve">10.000 đồng x 260 sinh viên </t>
  </si>
  <si>
    <t>Bồi dưỡng Trưởng, phó đoàn</t>
  </si>
  <si>
    <t>Trưởng đoàn</t>
  </si>
  <si>
    <t xml:space="preserve">150.000 đồng x 6 đoàn </t>
  </si>
  <si>
    <t xml:space="preserve">Phó đoàn     </t>
  </si>
  <si>
    <t xml:space="preserve">100.000 đồng x 6 đoàn </t>
  </si>
  <si>
    <t>V</t>
  </si>
  <si>
    <t>KP LIÊN HỆ ĐỊA BÀN TH/TẬP, HỘI NGHỊ TRIỂN KHAI, SƠ KẾT, TỔNG KẾT</t>
  </si>
  <si>
    <t>Liên hệ</t>
  </si>
  <si>
    <t>Phòng GD</t>
  </si>
  <si>
    <t>Phòng</t>
  </si>
  <si>
    <t xml:space="preserve">500.000 đồng x 1 phòng GD </t>
  </si>
  <si>
    <t>Trường</t>
  </si>
  <si>
    <t>trường</t>
  </si>
  <si>
    <t xml:space="preserve">100.000 đồng x 13 trường         </t>
  </si>
  <si>
    <t>Hội nghị</t>
  </si>
  <si>
    <t xml:space="preserve">50.000 đồng x 18 đại biểu x 13 hội nghị </t>
  </si>
  <si>
    <t>50.000 đồng x 15 đại biểu x  13 hội nghị</t>
  </si>
  <si>
    <t>500.000 đồng x 1 phòng GD x 13 hội nghị</t>
  </si>
  <si>
    <t>Cộng</t>
  </si>
  <si>
    <t>Mục 1.3</t>
  </si>
  <si>
    <t>BẢN DỰ TRÙ KINH PHÍ TTSP NGÀNH GDMN NĂM HỌC 2022 - 2023(K60 và K59)</t>
  </si>
  <si>
    <t>Tại trường MN THSP ĐHV Cơ sở 1, 2, Quang Trung 2, Bình Minh, Hoa Sen, Quang Trung 1, Hưng Bình, Việt Lào, Bến Thủy</t>
  </si>
  <si>
    <t>HƯỚNG DẪN THỰC TẬP:</t>
  </si>
  <si>
    <t>Hướng dẫn thực tập chăm sóc - nuôi dưỡng:</t>
  </si>
  <si>
    <t>Hướng dẫn thực tập giáo dục:</t>
  </si>
  <si>
    <t>BỒI DƯỠNG BAN CHỈ ĐẠO TRƯỜNG</t>
  </si>
  <si>
    <t>Bí thư Đoàn Thanh niên</t>
  </si>
  <si>
    <t>Nhóm trưởng bộ môn và hỗ trợ ĐDDH</t>
  </si>
  <si>
    <t>Phó đoàn</t>
  </si>
  <si>
    <t>VI</t>
  </si>
  <si>
    <t>Mục 1.6</t>
  </si>
  <si>
    <t>DỰ TOÁN KINH PHÍ</t>
  </si>
  <si>
    <t>Nội dung: GIẢNG VIÊN GIẢNG DẠY LÝ LUẬN CHÍNH TRỊ ĐI THỰC TẾ CHUYÊN MÔN</t>
  </si>
  <si>
    <t xml:space="preserve">Địa điểm thực tế: Sơn La - Điện Biên </t>
  </si>
  <si>
    <t>Dự kiến thời gian từ ngày 20 tháng 7 đến ngày 26 tháng 7 năm 2023</t>
  </si>
  <si>
    <t>NỘI DUNG</t>
  </si>
  <si>
    <t>Thành tiền</t>
  </si>
  <si>
    <t>Văn bản
áp dụng</t>
  </si>
  <si>
    <t>Chứng Từ Thanh toán</t>
  </si>
  <si>
    <t>TỔNG THU</t>
  </si>
  <si>
    <t>Theo quy định về việc đi thực tế chuyên môn đối với giảng viên lý luận chính trị</t>
  </si>
  <si>
    <t>Cán bộ</t>
  </si>
  <si>
    <t xml:space="preserve">Điều 48, QCCTNB; Tr 70 </t>
  </si>
  <si>
    <t>Quyết định cử đoàn đi thực tế chuyên môn</t>
  </si>
  <si>
    <t>DỰ TOÁN CHI:
- Tối đa = 24 CB x 3,500,000
Tối đa được chi = 84,000,000 đồng</t>
  </si>
  <si>
    <t>Kinh phí đi lại</t>
  </si>
  <si>
    <t>Ngày</t>
  </si>
  <si>
    <t>Hợp đồng, Hóa đơn</t>
  </si>
  <si>
    <t>Công tác phí</t>
  </si>
  <si>
    <t>Tiền khách sạn: 12 phòng x 6 đêm x 400,000</t>
  </si>
  <si>
    <t>Đêm</t>
  </si>
  <si>
    <t>Tr 29, QCCTNB</t>
  </si>
  <si>
    <t>Hóa đơn GTGT</t>
  </si>
  <si>
    <t>Tiền lưu trú:
 7 ngày x 24 người</t>
  </si>
  <si>
    <t>Ngày người</t>
  </si>
  <si>
    <t xml:space="preserve">Lễ viếng </t>
  </si>
  <si>
    <t>nhà tù sơn la</t>
  </si>
  <si>
    <t>Vòng hoa</t>
  </si>
  <si>
    <t>Chấm dấu xác nhận tại địa điểm di tích</t>
  </si>
  <si>
    <t>thủy điện sơn la</t>
  </si>
  <si>
    <t>Nông trường Mọc châu</t>
  </si>
  <si>
    <t>điên biên Phủ</t>
  </si>
  <si>
    <t>Tổng chi</t>
  </si>
  <si>
    <t>Mục 4.2</t>
  </si>
  <si>
    <t>BẢNG DỰ TOÁN KINH PHÍ</t>
  </si>
  <si>
    <t>Rèn luyện nghiệp vụ sư phạm thường xuyên 2, ngành GDMN (2022- 2023)</t>
  </si>
  <si>
    <t>Số TC/số tiết</t>
  </si>
  <si>
    <t>Đơn giá/ tín chỉ</t>
  </si>
  <si>
    <t>Hệ số học phí</t>
  </si>
  <si>
    <t>Yêu cầu chứng từ thanh toán</t>
  </si>
  <si>
    <t>Văn bản áp dụng</t>
  </si>
  <si>
    <t>Tổng thu HP: RLNVSPTX 1 - Khóa 61</t>
  </si>
  <si>
    <t>SV sư phạm không đóng HP</t>
  </si>
  <si>
    <t>DỰ TOÁN CHI (Tối đa: 80%)</t>
  </si>
  <si>
    <t>Chi cho Giảng viên</t>
  </si>
  <si>
    <t>Hướng dẫn RLNVSPTX</t>
  </si>
  <si>
    <t>TS. Trần Thị Hoàng Yến. HSL: 4,42</t>
  </si>
  <si>
    <t>Tính vào giờ dạy, không chi</t>
  </si>
  <si>
    <t>Nhóm 1 - K61</t>
  </si>
  <si>
    <t>Tiết</t>
  </si>
  <si>
    <t>trả trực tiếp.</t>
  </si>
  <si>
    <t>TS Phạm Thị Hải Châu</t>
  </si>
  <si>
    <t>Nhóm 2 - K61</t>
  </si>
  <si>
    <t>Quyết định thành lập đoàn</t>
  </si>
  <si>
    <t>Nhóm 3- K61</t>
  </si>
  <si>
    <t>Ts Nguyễn Thị Thu Hạnh</t>
  </si>
  <si>
    <t>Nhóm 4- K61</t>
  </si>
  <si>
    <t>Nhóm 5 - K61</t>
  </si>
  <si>
    <t>Nhóm 6 - K61</t>
  </si>
  <si>
    <t>Ths Trần Thị Thúy Nga</t>
  </si>
  <si>
    <t>Nhóm 7- K61</t>
  </si>
  <si>
    <t>Ths Nguyễn Thị Kỳ</t>
  </si>
  <si>
    <t>Nhóm 8- K61</t>
  </si>
  <si>
    <t>Ths. Phan Huy Hà</t>
  </si>
  <si>
    <t>Tính vào giờ dạy</t>
  </si>
  <si>
    <t>Nhóm 9- K61</t>
  </si>
  <si>
    <t>Ths Phan Thị Quỳnh Trang</t>
  </si>
  <si>
    <t>Nhóm 10 - K61</t>
  </si>
  <si>
    <t>Nhóm 11 - K61</t>
  </si>
  <si>
    <t>Chấm bài tập thực hành</t>
  </si>
  <si>
    <t>Bài tập của khóa 61 GDMN</t>
  </si>
  <si>
    <t>Bài/SV</t>
  </si>
  <si>
    <t>Danh sách ký nhận</t>
  </si>
  <si>
    <t>Kinh phí hướng dẫn các trường THSP ĐHVinh, Bến Thủy, Việt Lào</t>
  </si>
  <si>
    <t>RLNVTX 1-  K61 GDMN</t>
  </si>
  <si>
    <t>nhóm 1</t>
  </si>
  <si>
    <t>Ban chỉ đạo</t>
  </si>
  <si>
    <t>Đoàn</t>
  </si>
  <si>
    <t>Phiếu thu tiền của Trường THSP</t>
  </si>
  <si>
    <t>Báo cáo viên</t>
  </si>
  <si>
    <t>Báo cáo</t>
  </si>
  <si>
    <t>BD Giáo viên CN</t>
  </si>
  <si>
    <t>SV</t>
  </si>
  <si>
    <t>Hướng dẫn quản lý nhóm lớp</t>
  </si>
  <si>
    <t>Hướng dẫn các hoạt động chăm sóc</t>
  </si>
  <si>
    <t>Hướng dẫn soạn Giáo án</t>
  </si>
  <si>
    <t>Giáo án</t>
  </si>
  <si>
    <t>Kinh phí tập giảng</t>
  </si>
  <si>
    <t>Bồi dưỡng tổ trưởng CM</t>
  </si>
  <si>
    <t>Tổ</t>
  </si>
  <si>
    <t>nhóm 2</t>
  </si>
  <si>
    <t>nhóm 3</t>
  </si>
  <si>
    <t>nhóm 4</t>
  </si>
  <si>
    <t>nhóm 5</t>
  </si>
  <si>
    <t>nhóm 6</t>
  </si>
  <si>
    <t>Phiếu thu tiền của Trường MN</t>
  </si>
  <si>
    <t>Nhóm 7</t>
  </si>
  <si>
    <t>Nhóm 8</t>
  </si>
  <si>
    <t>Nhóm 9</t>
  </si>
  <si>
    <t>Nhóm 10</t>
  </si>
  <si>
    <t>Nhóm 11</t>
  </si>
  <si>
    <t>TỔNG CHI</t>
  </si>
  <si>
    <t>CHÊNH LỆCH THU CHI</t>
  </si>
  <si>
    <t>Mục 4.3</t>
  </si>
  <si>
    <t>Mục 4.4</t>
  </si>
  <si>
    <t>Rèn luyện nghiệp vụ sư phạm thường xuyên 1, ngành GDMN (2022- 2023) K 62 A GDMN</t>
  </si>
  <si>
    <t>Tổng thu HP: RLNVSPTX 1 - Khóa 62</t>
  </si>
  <si>
    <t>Nhóm 1 - K62</t>
  </si>
  <si>
    <t>Nhóm 2 - K62</t>
  </si>
  <si>
    <t>Nhóm 3- K62</t>
  </si>
  <si>
    <t>Nhóm 4- K62</t>
  </si>
  <si>
    <t>Nhóm 5 - K62</t>
  </si>
  <si>
    <t>Nhóm 6 - K62</t>
  </si>
  <si>
    <t>Nhóm 7- K62</t>
  </si>
  <si>
    <t>Nhóm 8- K62</t>
  </si>
  <si>
    <t>Nhóm 9- K62</t>
  </si>
  <si>
    <t>Nhóm 10 - K62</t>
  </si>
  <si>
    <t>Nhóm 11 - K62</t>
  </si>
  <si>
    <t>nhóm 12 - k62</t>
  </si>
  <si>
    <t>Kinh phí hướng dẫn các trường MN TRƯỜNG THI, HƯNG DŨNG 1, HƯNG DŨNG 2</t>
  </si>
  <si>
    <t>RLNVTX 1-  K62 GDMN</t>
  </si>
  <si>
    <t>Nhóm 12</t>
  </si>
  <si>
    <t>Mục 4.5</t>
  </si>
  <si>
    <t xml:space="preserve">                            BẢNG DỰ TOÁN  KINH PHÍ THỰC HÀNH NVSP CHO SINH VIÊN </t>
  </si>
  <si>
    <t xml:space="preserve">    </t>
  </si>
  <si>
    <t xml:space="preserve">           NGÀNH GDTH, KÌ 2, NĂM HỌC 2022-2023</t>
  </si>
  <si>
    <t>TRƯỜNG RLNVSP</t>
  </si>
  <si>
    <t xml:space="preserve">LỚP TÍN CHỈ </t>
  </si>
  <si>
    <t xml:space="preserve">SỐ LƯỢNG SV  </t>
  </si>
  <si>
    <t>SỐ NHÓM</t>
  </si>
  <si>
    <t xml:space="preserve">B/DƯỠNG BCĐ </t>
  </si>
  <si>
    <t>B/D  B/CÁO VIÊN</t>
  </si>
  <si>
    <t>B/D. GVHD C/NHIỆM</t>
  </si>
  <si>
    <t>B/D. GV DẠY MẪU</t>
  </si>
  <si>
    <t>B/D. HD SOẠN -G/ÁN</t>
  </si>
  <si>
    <t>KP TẬP GIẢNG</t>
  </si>
  <si>
    <t>B/D.TỔ TRƯỞNG C/MÔN</t>
  </si>
  <si>
    <t>TỔNG SỐ TIỀN</t>
  </si>
  <si>
    <t xml:space="preserve">450.000đ/đoàn  </t>
  </si>
  <si>
    <t>50000đ/bc*4 bc</t>
  </si>
  <si>
    <t xml:space="preserve">30.000đ/sv  </t>
  </si>
  <si>
    <t xml:space="preserve">50.000đ/tiết    </t>
  </si>
  <si>
    <t>40.000đ/b/ nhóm</t>
  </si>
  <si>
    <t>30.000đ/sv</t>
  </si>
  <si>
    <t>50.000đ/tổ</t>
  </si>
  <si>
    <t>Tiểu học Đội Cung</t>
  </si>
  <si>
    <t>62A1-01-TH</t>
  </si>
  <si>
    <t>62A1-02-TH</t>
  </si>
  <si>
    <t>Tiểu học Trường Thi</t>
  </si>
  <si>
    <t>Tiểu học Quang Trung</t>
  </si>
  <si>
    <t>Tiểu học Vinh Tân</t>
  </si>
  <si>
    <t>Tiểu học Hưng Dũng 2</t>
  </si>
  <si>
    <t>Tiểu học Hà Huy Tập 2</t>
  </si>
  <si>
    <t>Tiểu học Hưng Dũng 1</t>
  </si>
  <si>
    <t>Tiểu học Bến Thuỷ</t>
  </si>
  <si>
    <t>Tiểu học Trung Đô</t>
  </si>
  <si>
    <t>Tiểu học Hưng Bình</t>
  </si>
  <si>
    <t>Tiểu học Lê Mao</t>
  </si>
  <si>
    <t>Tiểu học Lê Lợi</t>
  </si>
  <si>
    <t>Tiểu học Nguyễn Trãi</t>
  </si>
  <si>
    <t>Tiểu học Hưng Đông</t>
  </si>
  <si>
    <t>Tiểu học Hưng Phúc</t>
  </si>
  <si>
    <t>Mục 4.6</t>
  </si>
  <si>
    <t>Nội dung công việc: Kinh phí RLNVSPTX ngành GDTH Khóa  62 - Kì 1 năm học 2023- 2024</t>
  </si>
  <si>
    <t>Đơn vị
tính</t>
  </si>
  <si>
    <t>Số tín chỉ/
Số tiết</t>
  </si>
  <si>
    <t>Số
lượng</t>
  </si>
  <si>
    <t>Đơn giá/
tiết</t>
  </si>
  <si>
    <t>Hệ số
học phí</t>
  </si>
  <si>
    <t>(5)=(1)*(2)*(3)*(4)</t>
  </si>
  <si>
    <t>Tổng thu học phần: "RLNVSP TX" - khóa 62 - CQ</t>
  </si>
  <si>
    <t>Ngành SP GDTH không thu HP, xác nhận của kế toán theo dõi học phí;</t>
  </si>
  <si>
    <t>Hệ số học phí theo QĐ 2792</t>
  </si>
  <si>
    <t>DỰ TOÁN CHI
(Tối đa = 80% x 296,100,000 = 302,000,000)</t>
  </si>
  <si>
    <t>Điều 50, QCCTNB (VB Bổ sung)</t>
  </si>
  <si>
    <t>Bồi dưỡng cho giảng viên Đại học Vinh
(=1+2+3)</t>
  </si>
  <si>
    <t>Giảng viên hướng dẫn RLNVSP</t>
  </si>
  <si>
    <t>Hướng dẫn RLNVSP tại các trường TH</t>
  </si>
  <si>
    <t>ThS. Nguyễn Thị Phương Nhung - HSL:3</t>
  </si>
  <si>
    <t xml:space="preserve">
 - Lịch RLNVSPTX chi tiết;
- Tính vào giờ dạy, không chi trả bằng tiền mặt;
 - QĐ 3465/QĐ-ĐHV ngày 21/9/2017v/v thành lập đoàn RLNVSPTX;</t>
  </si>
  <si>
    <r>
      <rPr>
        <b/>
        <u/>
        <sz val="12"/>
        <color theme="1"/>
        <rFont val="Times New Roman"/>
        <family val="1"/>
      </rPr>
      <t xml:space="preserve">Ghi chú: </t>
    </r>
    <r>
      <rPr>
        <sz val="12"/>
        <color theme="1"/>
        <rFont val="Times New Roman"/>
        <family val="1"/>
      </rPr>
      <t>Đối với</t>
    </r>
    <r>
      <rPr>
        <b/>
        <u/>
        <sz val="12"/>
        <color theme="1"/>
        <rFont val="Times New Roman"/>
        <family val="1"/>
      </rPr>
      <t xml:space="preserve"> </t>
    </r>
    <r>
      <rPr>
        <sz val="12"/>
        <color theme="1"/>
        <rFont val="Times New Roman"/>
        <family val="1"/>
      </rPr>
      <t>K 62 Chương trình đào tạo theo tiếp cận CDIO, Rèn luyện NVSPTX: 02 Tín chỉ ;                               - Phụ lục 08, QCCTNB</t>
    </r>
  </si>
  <si>
    <t>ThS Phan Anh Tuấn</t>
  </si>
  <si>
    <t>TS. Nguyễn Thị Phương Nhung  - HSL:3.66</t>
  </si>
  <si>
    <t>ThS. Dương Thị Linh  - HSL:3.66</t>
  </si>
  <si>
    <t>TS. Nguyễn Tiến Dũng</t>
  </si>
  <si>
    <t>TS. Nguyễn Thị Châu Giang</t>
  </si>
  <si>
    <t>ThS Thái Thị Đào</t>
  </si>
  <si>
    <t>ThS. Nguyễn Trung Kiền</t>
  </si>
  <si>
    <t>Chấm, nhập điểm bài tập thực hành</t>
  </si>
  <si>
    <t>Nhật kí RLNVSP</t>
  </si>
  <si>
    <t xml:space="preserve">bài </t>
  </si>
  <si>
    <t>Danh sách ký nhận tiền</t>
  </si>
  <si>
    <t>Bài tập NCKH</t>
  </si>
  <si>
    <t>Vở Luyện viết chữ đẹp</t>
  </si>
  <si>
    <t>Đồ án</t>
  </si>
  <si>
    <t>Phiếu trắc nghiệm</t>
  </si>
  <si>
    <t>Tổ chức họp, hướng dẫn RLNVSP</t>
  </si>
  <si>
    <t>đợt</t>
  </si>
  <si>
    <t>Liên hệ Phòng GD&amp;ĐT TP. Vinh</t>
  </si>
  <si>
    <t>BCĐ, GV kiểm tra, đánh giá</t>
  </si>
  <si>
    <t>Kinh phí chi cho cơ sở RLNVSPTX</t>
  </si>
  <si>
    <t xml:space="preserve"> - Giấy biên nhận tiền của trường</t>
  </si>
  <si>
    <t xml:space="preserve"> TH; Có xác nhận của cơ quan;</t>
  </si>
  <si>
    <t>Tiểu họcTrung Đô</t>
  </si>
  <si>
    <t>Mục 4.7</t>
  </si>
  <si>
    <t>DỰ TOÁN KINH PHÍ HỘI THI "NGHIỆP VỤ SƯ PHẠM"</t>
  </si>
  <si>
    <t>KHOA GIÁO DỤC MẦM NON, NĂM HỌC 2022 - 2023</t>
  </si>
  <si>
    <t>Khóa: 60, 61, 62, 63</t>
  </si>
  <si>
    <t>Ban tổ chức hội thi</t>
  </si>
  <si>
    <t>Thư ký</t>
  </si>
  <si>
    <t>Dẫn chương trình</t>
  </si>
  <si>
    <t>Ủy viên</t>
  </si>
  <si>
    <t>Ban giám khảo</t>
  </si>
  <si>
    <t>Giải thưởng</t>
  </si>
  <si>
    <t>Sân khấu sư phạm</t>
  </si>
  <si>
    <t>Giải Nhất</t>
  </si>
  <si>
    <t>đội</t>
  </si>
  <si>
    <t>Giải Nhì</t>
  </si>
  <si>
    <t>Giải Ba</t>
  </si>
  <si>
    <t>Giải nội dung</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</si>
  <si>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</si>
  <si>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</si>
  <si>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</si>
  <si>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</si>
  <si>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</si>
  <si>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</si>
  <si>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</si>
  <si>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</si>
  <si>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</si>
  <si>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</si>
  <si>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</si>
  <si>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Chi khác</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</si>
  <si>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</si>
  <si>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</si>
  <si>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</si>
  <si>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</si>
  <si>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</si>
  <si>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</si>
  <si>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</si>
  <si>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</si>
  <si>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</si>
  <si>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</si>
  <si>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bộ</t>
  </si>
  <si>
    <t>Quà tặng khán giả</t>
  </si>
  <si>
    <t>Giấy chứng nhận, khung kính</t>
  </si>
  <si>
    <t>Mục 5.1</t>
  </si>
  <si>
    <t>DỰ TOÁN KINH PHÍ HỘI THI "NĂNG KHIẾU NGHỆ THUẬT"</t>
  </si>
  <si>
    <t>Hát</t>
  </si>
  <si>
    <t>Đàn</t>
  </si>
  <si>
    <t>Giải tập thể</t>
  </si>
  <si>
    <t>Giải khuyến khích</t>
  </si>
  <si>
    <t>Mục 5.2</t>
  </si>
  <si>
    <t>DỰ TOÁN KINH PHÍ HỘI THI "VIẾT CHỮ ĐẸP - GIẢI TOÁN NHANH"</t>
  </si>
  <si>
    <t>KHOA GIÁO DỤC, NĂM HỌC 2023-2024,  NGÀNH GIÁO DỤC TIẺU HỌC</t>
  </si>
  <si>
    <t>2.3</t>
  </si>
  <si>
    <t>3.1</t>
  </si>
  <si>
    <t>Giải  Nhất</t>
  </si>
  <si>
    <t>3.2</t>
  </si>
  <si>
    <t>3.3</t>
  </si>
  <si>
    <t>Giải Khuyến khích</t>
  </si>
  <si>
    <t>Giải toán nhanh</t>
  </si>
  <si>
    <t>Viết chữ đẹp</t>
  </si>
  <si>
    <t>bình</t>
  </si>
  <si>
    <t xml:space="preserve">bộ </t>
  </si>
  <si>
    <t>Mục 5.3</t>
  </si>
  <si>
    <t>DỰ TOÁN KINH PHÍ TỔ CHỨC KỲ THI OLYMPIC TOÁN HỌC SINH VIÊN TRƯỜNG ĐẠI HỌC VINH 
VÀ THAM GIA KỲ THI OLYMPIC TOÁN HỌC SINH VIÊN TOÀN QUỐC NĂM 2023</t>
  </si>
  <si>
    <t>Hệ số dạy</t>
  </si>
  <si>
    <t>Thành tiền
 (đơn vị: VN đồng)</t>
  </si>
  <si>
    <t>Chứng từ</t>
  </si>
  <si>
    <t>Công tác chuẩn bị</t>
  </si>
  <si>
    <t>Họp ban tổ chức phân công nhiệm vụ</t>
  </si>
  <si>
    <t>Người</t>
  </si>
  <si>
    <t>Biên bản cuộc họp
DS kí nhận</t>
  </si>
  <si>
    <t>Thông báo, tổ chức đăng ký tham dự</t>
  </si>
  <si>
    <t>Minh chứng thông báo, đăng ký
 DS kí nhận</t>
  </si>
  <si>
    <t>Tổ chức kỳ thi cấp Trường</t>
  </si>
  <si>
    <t>Ra đề thi và làm đáp án (2 môn thi: Đại số và Giải tích)</t>
  </si>
  <si>
    <t>Bộ đề</t>
  </si>
  <si>
    <t>DS kí nhận</t>
  </si>
  <si>
    <t>Chấm thi</t>
  </si>
  <si>
    <t>Bài</t>
  </si>
  <si>
    <t>Điểm 5, điều 45</t>
  </si>
  <si>
    <t>Coi thi: 4 phòng/môn x 2 môn x 2 CB/phòng</t>
  </si>
  <si>
    <t>Giải thưởng (1 nhất, 2 nhì, 2 ba)/1môn</t>
  </si>
  <si>
    <t>Phụ lục 04</t>
  </si>
  <si>
    <t>Giải nhất: 1 giải / môn x 2 môn</t>
  </si>
  <si>
    <t>Giải</t>
  </si>
  <si>
    <t>Giải nhì: 2 giải / môn x 2 môn</t>
  </si>
  <si>
    <t>Giải ba: 2 giải / môn x 2 môn</t>
  </si>
  <si>
    <t>Ôn thi cho 2 đội tuyển Đại số và Giải tích</t>
  </si>
  <si>
    <t>Chi công tác giảng dạy đội dự tuyển (Quy đổi theo tiết chuẩn, hệ số 2, DS giảng dạy, thời khóa biểu)</t>
  </si>
  <si>
    <t>DS kí nhận, lịch học</t>
  </si>
  <si>
    <t>Điểm 2, Điều 42</t>
  </si>
  <si>
    <t>PGS.TS. Nguyễn Văn Đức</t>
  </si>
  <si>
    <t>TS. Dương Xuân Giáp</t>
  </si>
  <si>
    <t>PGS.TS. Nguyễn Thị Hồng Loan</t>
  </si>
  <si>
    <t>Sưu tầm, photocopy in ấn tài liệu, giáo trình phục vụ cho ôn luyện.</t>
  </si>
  <si>
    <t>Hóa đơn tài chính</t>
  </si>
  <si>
    <t>Thực tế</t>
  </si>
  <si>
    <t>Tham gia kỳ thi toàn quốc (10 người)</t>
  </si>
  <si>
    <t>Đồng phục đội tuyển</t>
  </si>
  <si>
    <t>Đi lại (10 người Vinh-Huế x 2 chiều)</t>
  </si>
  <si>
    <t>vé</t>
  </si>
  <si>
    <t>Vé tàu</t>
  </si>
  <si>
    <t>Tiền 2 đầu ga</t>
  </si>
  <si>
    <t>DS ký nhận</t>
  </si>
  <si>
    <t>Lưu trú (10 người x 7 ngày)</t>
  </si>
  <si>
    <t>Ngày/người</t>
  </si>
  <si>
    <t>Tiền phòng nghỉ tại nơi công tác (5 phòng x 7 ngày)</t>
  </si>
  <si>
    <t>phòng</t>
  </si>
  <si>
    <t>Kinh phí tham dự (Nộp theo thông báo của BTC: 600.000đ/sv nếu sinh viên dự thi 1 môn, 800.000đ/1sv nếu sv dự thi 2 môn)</t>
  </si>
  <si>
    <t>Giấy biên nhận của BTC</t>
  </si>
  <si>
    <t>Tổng cộng ( I + II+III+IV)</t>
  </si>
  <si>
    <t>Mục 5.4</t>
  </si>
  <si>
    <t>DỰ TOÁN KINH PHÍ TỔ CHỨC HOẠT ĐỘNG CÂU LẠC BỘ E4M NĂM 2023</t>
  </si>
  <si>
    <t>Văn phòng phẩm tổ chức các hoạt động</t>
  </si>
  <si>
    <t>Thực chi</t>
  </si>
  <si>
    <t>Quà tặng cho các hoạt động</t>
  </si>
  <si>
    <t>Tổng cộng (I + II + III )</t>
  </si>
  <si>
    <t>Mục 5.5</t>
  </si>
  <si>
    <t>DỰ TOÁN KINH PHÍ MỜI CHUYÊN GIA VỀ NÓI CHUYỆN, TRAO ĐỔI CHUYÊN MÔN 
 VỚI CÁN BỘ, SINH VIÊN VÀ HỌC VIÊN NGÀNH TOÁN NĂM 2023</t>
  </si>
  <si>
    <t>Nước uống, hoa quả tại các buổi nói chuyện, trao đổi chuyên môn: 
 10.000 đ/người/buổi x 150 người = 1.500.000đ/buổi</t>
  </si>
  <si>
    <t>Buổi</t>
  </si>
  <si>
    <t>Ăn trưa/tối</t>
  </si>
  <si>
    <t>Kinh phí nói chuyện, giảng bài, trao đổi chuyên môn</t>
  </si>
  <si>
    <t>XII</t>
  </si>
  <si>
    <t>Biểu 4a - Mục 5 - Tiểu mục 5.6</t>
  </si>
  <si>
    <t>DỰ TOÁN KINH PHÍ THÀNH LẬP VÀ ĐƯA ĐỘI TUYỂN OLYMPIC HÓA HỌC SV 
THAM DỰ KỲ THI OLYMPIC HÓA HỌC SV TOÀN QUỐC 2023</t>
  </si>
  <si>
    <t xml:space="preserve">Đơn giá </t>
  </si>
  <si>
    <t>hệ số dạy</t>
  </si>
  <si>
    <t xml:space="preserve">Chứng từ </t>
  </si>
  <si>
    <t>Tổ chức kỳ thi OLP cấp Trường và chọn đội tuyển chính thức đi thi Toàn Quốc</t>
  </si>
  <si>
    <t>Ra đề thi và làm đáp án</t>
  </si>
  <si>
    <t>Coi thi: 2 phòng x 2 CB/phòng</t>
  </si>
  <si>
    <t xml:space="preserve">Phụ lục 04 </t>
  </si>
  <si>
    <t xml:space="preserve"> -</t>
  </si>
  <si>
    <t>Giải nhất: 1 giải</t>
  </si>
  <si>
    <t xml:space="preserve">Giải nhì: 2 giải </t>
  </si>
  <si>
    <t>Giải ba: 2 giải</t>
  </si>
  <si>
    <t>Ôn thi cho Đội tuyển</t>
  </si>
  <si>
    <t>Đội dự tuyển 10SV
Ôn 2 tháng chọn 5 SV</t>
  </si>
  <si>
    <t xml:space="preserve">Chi công tác giảng dạy các đội dự tuyển </t>
  </si>
  <si>
    <t>DS giảng dạy, thời khóa biểu
DS kí nhận, lịch học</t>
  </si>
  <si>
    <t xml:space="preserve">Điểm 2, Điều 43      </t>
  </si>
  <si>
    <t>PGS.TS. Lê Đức Giang</t>
  </si>
  <si>
    <t>PGS.TS. Nguyễn Xuân Dũng</t>
  </si>
  <si>
    <t>PGS.TS. Phan Thị Hồng Tuyết</t>
  </si>
  <si>
    <t>Tài liệu, giáo trình phục vụ cho ôn luyện.</t>
  </si>
  <si>
    <t xml:space="preserve"> Hóa đơn tài chính</t>
  </si>
  <si>
    <t>Tham gia kỳ thi toàn quốc 
(7 người: 2 CB và 5SV)</t>
  </si>
  <si>
    <t xml:space="preserve"> Công lệnh</t>
  </si>
  <si>
    <t>Đi lại (7 người Vinh-TP HCM x 2 chiều)</t>
  </si>
  <si>
    <t>Vé máy bay</t>
  </si>
  <si>
    <t>Phòng HCTH đặt mua</t>
  </si>
  <si>
    <t xml:space="preserve"> DS kí nhận</t>
  </si>
  <si>
    <t xml:space="preserve"> Điều 23 - Quy chế chi tiêu nội bộ</t>
  </si>
  <si>
    <t>Lưu trú ( 7 người * 7 ngày)</t>
  </si>
  <si>
    <t>Ngày/ người</t>
  </si>
  <si>
    <t>Tiền phòng nghỉ tại nơi công tác (4 phòng * 6 ngày)</t>
  </si>
  <si>
    <t xml:space="preserve"> Hóa đơn thực tế</t>
  </si>
  <si>
    <t>Kinh phí tham dự (2000000/1 SV)</t>
  </si>
  <si>
    <t xml:space="preserve"> Giấy biên nhận / Hóa đơn</t>
  </si>
  <si>
    <t>Tổng cộng ( I + II + III)</t>
  </si>
  <si>
    <t xml:space="preserve">ĐƠN VỊ LẬP KH  </t>
  </si>
  <si>
    <t>KINH PHÍ PHÒNG THỰC HÀNH MÔN MÚA VÀ VỆ SINH PHÒNG BỆNH CHO TRẺ MẦM NON</t>
  </si>
  <si>
    <t>Trình độ, hình thức đào tạo</t>
  </si>
  <si>
    <t>KẾ HOẠCH KINH PHÍ THỰC HÀNH - THÍ NGHIỆM 2023</t>
  </si>
  <si>
    <t>_x0008_KHOA</t>
  </si>
  <si>
    <t>Kế hoạch hóa chất, vật tư phục vụ thực hành thí nghiệm (thực hành học phần nào)</t>
  </si>
  <si>
    <t>Gióng gỗ</t>
  </si>
  <si>
    <t>ĐH hệ CQ</t>
  </si>
  <si>
    <t>K63 GDMN</t>
  </si>
  <si>
    <t>Sàn gỗ</t>
  </si>
  <si>
    <t>Loa, âm ly, đầu đĩa</t>
  </si>
  <si>
    <t>1 màn hình ti vi 60 inch gắn tường</t>
  </si>
  <si>
    <t>Mic không dây</t>
  </si>
  <si>
    <t>Tủ đựng đồ</t>
  </si>
  <si>
    <t>Gương</t>
  </si>
  <si>
    <t>Máy tính</t>
  </si>
  <si>
    <t>Điều hòa</t>
  </si>
  <si>
    <t>Bộ bàn ghế để máy tính</t>
  </si>
  <si>
    <t>Máy nước lọc</t>
  </si>
  <si>
    <t>Tường, cửa cách âm</t>
  </si>
  <si>
    <t>Bục gỗ</t>
  </si>
  <si>
    <t>Ổ cắm kéo dài</t>
  </si>
  <si>
    <t>Quạt múa (Loại vải 40 cm)</t>
  </si>
  <si>
    <t>Khăn voan (60 cm2)</t>
  </si>
  <si>
    <t>Chuông đeo tay (dân tộc tày)</t>
  </si>
  <si>
    <t>Trống cơm</t>
  </si>
  <si>
    <t>Tổng môn múa</t>
  </si>
  <si>
    <t>Trang thiết bị cho môn Vệ sinh và phòng bệnh cho trẻ mầm non</t>
  </si>
  <si>
    <t>Máy đo huyết áp đồng hồ</t>
  </si>
  <si>
    <t>Máy đo huyết áp thủy ngân</t>
  </si>
  <si>
    <t>Máy đo huyết áp điện tử</t>
  </si>
  <si>
    <t>Đồng hồ̀ bấm giây</t>
  </si>
  <si>
    <t>Màn hình projector</t>
  </si>
  <si>
    <t>Projector</t>
  </si>
  <si>
    <t>Giường sắt 1m2</t>
  </si>
  <si>
    <t>Nhiêt kế thủy ngân</t>
  </si>
  <si>
    <t>Nhiêt kế điện tử</t>
  </si>
  <si>
    <t>Nhiệt kế hồng ngoại</t>
  </si>
  <si>
    <t>Mô hình sơ cấp cứu ban đầu</t>
  </si>
  <si>
    <t>Kéo dùng để cắt gạc</t>
  </si>
  <si>
    <t>Panh</t>
  </si>
  <si>
    <t>kéo loại nhỏ</t>
  </si>
  <si>
    <t>Bộ nẹp gỗ sơ cứu gãy xương chi</t>
  </si>
  <si>
    <t>Khay quả đậu</t>
  </si>
  <si>
    <t>Mô hìnhthực hành ép tim thổi ngạt 170cm</t>
  </si>
  <si>
    <t>Mô hình PCR cấp cứu trẻ em</t>
  </si>
  <si>
    <t>Mô hình hướng dẫn chăm sóc răng miệng</t>
  </si>
  <si>
    <t>Mô hình sơ cứu hóc dị vật trên trẻ em</t>
  </si>
  <si>
    <t>Bông gò tiệt trùng</t>
  </si>
  <si>
    <t>Găng tay y tế</t>
  </si>
  <si>
    <t>Khẩu trang y tế</t>
  </si>
  <si>
    <t>Mặt nạ thực hành hà hơi thổi ngạt</t>
  </si>
  <si>
    <t>dung dịch rửa tay lifeboy</t>
  </si>
  <si>
    <t>Dung dịch cồn sát khuẩn 70 độ có glycerin</t>
  </si>
  <si>
    <t>dung dịch povidone iondine 10%</t>
  </si>
  <si>
    <t>Nước muối sinh lý</t>
  </si>
  <si>
    <t>Gạc miếng vô trùng</t>
  </si>
  <si>
    <t>Bộ băng chun các loại</t>
  </si>
  <si>
    <t>Băng dán cá nhân</t>
  </si>
  <si>
    <t>Băng dính y tế</t>
  </si>
  <si>
    <t>Băng tam giác</t>
  </si>
  <si>
    <t>Băng gạc cuộn</t>
  </si>
  <si>
    <t>Khăn tay</t>
  </si>
  <si>
    <t>tổng số tiền cho trang thiết bị thực hành môn vệ sinh phòng bệnh</t>
  </si>
  <si>
    <t>Biểu số 3</t>
  </si>
  <si>
    <t>TỔNG HỢP SỐ GIỜ QUY CHUẨN ĐƠN VỊ PHẢI ĐẢM NHẬN GIẢNG DẠY NĂM 2023</t>
  </si>
  <si>
    <t>Tổ bộ môn và họ tên giảng viên</t>
  </si>
  <si>
    <t>Điều kiện miễn giảm giờ chuẩn ( đánh số như trong phụ lục miễn giảm giờ chuẩn)</t>
  </si>
  <si>
    <t>Số giờ chuẩn theo định mức</t>
  </si>
  <si>
    <t>Số giờ chuẩn được miễn giảm</t>
  </si>
  <si>
    <t>Số giờ chuẩn còn phải đảm nhận</t>
  </si>
  <si>
    <t>Ghi chú 
(Về lý do giảm, tỷ lệ giảm, thời gian giảm, …)</t>
  </si>
  <si>
    <t xml:space="preserve">Nhóm (Ví dụ: N2)- Chọn nhóm theo quy ước trong QC CTNB 1181 </t>
  </si>
  <si>
    <t>Hệ số lương cơ bản (ví dụ: 6,56)</t>
  </si>
  <si>
    <t>Lãnh đạo đảng, đoàn thể (chỉ tính mức được miễn giảm cao nhất) - kí hiệu số tương ứng từ 1 đến 25 theo phụ lục miễn giảm giờ chuẩn B3</t>
  </si>
  <si>
    <t>Hệ số miễn giảm tương ứng</t>
  </si>
  <si>
    <t>Đi học (A, B, C)</t>
  </si>
  <si>
    <t>Nghỉ sinh (D, E, F)</t>
  </si>
  <si>
    <t>Giờ giảng dạy</t>
  </si>
  <si>
    <t>Giờ NCKH</t>
  </si>
  <si>
    <t>Giờ HĐCM khác</t>
  </si>
  <si>
    <t>Thống kê tổng số giờ đã dạy tại HK2 2023</t>
  </si>
  <si>
    <t>(9)</t>
  </si>
  <si>
    <t>Tổng số cán bộ của đơn vị: 171, trong đó:</t>
  </si>
  <si>
    <t>Cán bộ hành chính 14</t>
  </si>
  <si>
    <t>Cán bộ giảng dạy: 149, gồm:</t>
  </si>
  <si>
    <t>CBGD đảm nhận ĐM giờ tập sự (thử việc): 1</t>
  </si>
  <si>
    <t>CBGD đảm nhận ĐM giờ giảng viên trở lên: 148</t>
  </si>
  <si>
    <t>CBGD đảm nhận ĐM giờ giáo viên: 0</t>
  </si>
  <si>
    <t>KHOA TOÁN</t>
  </si>
  <si>
    <t>Dạy đại học chính quy: 79 lớp với 5.564 (giờ chuẩn).
Dạy hệ VLVH: 30 lớp HP với 105 tín chỉ, tổng giờ chuẩn quy đổi: 1.228.</t>
  </si>
  <si>
    <t>Tổng số cán bộ của đơn vị: 26, trong đó:</t>
  </si>
  <si>
    <t>Cán bộ hành chính: 0</t>
  </si>
  <si>
    <t>Cán bộ giảng dạy: 26, gồm:</t>
  </si>
  <si>
    <t>CBGD đảm nhận ĐM giờ tập sự (thử việc): 0</t>
  </si>
  <si>
    <t>CBGD đảm nhận ĐM giờ giảng viên trở lên: 26</t>
  </si>
  <si>
    <t>Họ và tên : Nguyễn Thị Hồng Loan</t>
  </si>
  <si>
    <t>N3</t>
  </si>
  <si>
    <t>Họ và tên : Nguyễn Thị Ngọc Diệp</t>
  </si>
  <si>
    <t>Họ và tên : Đào Thị Thanh Hà</t>
  </si>
  <si>
    <t>N1</t>
  </si>
  <si>
    <t>4.98</t>
  </si>
  <si>
    <t>Họ và tên : Nguyễn Thành Quang</t>
  </si>
  <si>
    <t>7.64</t>
  </si>
  <si>
    <t>Họ và tên : Nguyễn Quốc Thơ</t>
  </si>
  <si>
    <t>N2</t>
  </si>
  <si>
    <t>4.65</t>
  </si>
  <si>
    <t>11</t>
  </si>
  <si>
    <t>Họ và tên : Nguyễn Duy Bình</t>
  </si>
  <si>
    <t>6.78</t>
  </si>
  <si>
    <t>Họ và tên : Nguyễn Ngọc Bích</t>
  </si>
  <si>
    <t>Họ và tên : Nguyễn Hữu Quang</t>
  </si>
  <si>
    <t>Họ và tên : Đinh Thanh Giang</t>
  </si>
  <si>
    <t>Họ và tên : Nguyễn Văn Đức</t>
  </si>
  <si>
    <t>Họ và tên : Nguyễn Huy Chiêu</t>
  </si>
  <si>
    <t>Họ và tên : Đinh Huy Hoàng</t>
  </si>
  <si>
    <t>Họ và tên : Vũ Thị Hồng Thanh</t>
  </si>
  <si>
    <t>4.74</t>
  </si>
  <si>
    <t>Họ và tên : Nguyễn Thị Quỳnh Trang</t>
  </si>
  <si>
    <t>Họ và tên : Đậu Hồng Quân</t>
  </si>
  <si>
    <t>Họ và tên : Nguyễn Thị Thế</t>
  </si>
  <si>
    <t>Họ và tên : Dương Xuân Giáp</t>
  </si>
  <si>
    <t>3.66</t>
  </si>
  <si>
    <t>Họ và tên : Trần Anh Nghĩa</t>
  </si>
  <si>
    <t>Họ và tên : Nguyễn Văn Quảng</t>
  </si>
  <si>
    <t>Họ và tên : Lê Văn Thành</t>
  </si>
  <si>
    <t>6.56</t>
  </si>
  <si>
    <t>Họ và tên : Võ Thị Hồng Vân</t>
  </si>
  <si>
    <t>Họ và tên : Nguyễn Trần Thuận</t>
  </si>
  <si>
    <t>3.33</t>
  </si>
  <si>
    <t>Họ và tên : Trương Thị Dung</t>
  </si>
  <si>
    <t>Họ và tên : Nguyễn Chiến Thắng</t>
  </si>
  <si>
    <t>Họ và tên : Nguyễn Thị Mỹ Hằng</t>
  </si>
  <si>
    <t>Họ và tên : Thái Thị Hồng Lam</t>
  </si>
  <si>
    <t>5.42</t>
  </si>
  <si>
    <t>Tổng cộng toàn đơn vị:</t>
  </si>
  <si>
    <t xml:space="preserve">2. </t>
  </si>
  <si>
    <t xml:space="preserve"> Khoa Vật lý</t>
  </si>
  <si>
    <t>Tổng số cán bộ của đơn vị: 11, trong đó:</t>
  </si>
  <si>
    <t>Hệ số LCB</t>
  </si>
  <si>
    <t>Cán bộ hành chính 0</t>
  </si>
  <si>
    <t>Cán bộ giảng dạy: 11 gồm:</t>
  </si>
  <si>
    <t xml:space="preserve"> GS.TS.Đinh Xuân Khoa</t>
  </si>
  <si>
    <t>7.76</t>
  </si>
  <si>
    <t>PGS.TS. Chu Văn Lanh</t>
  </si>
  <si>
    <t>TS. Nguyễn Thành Công</t>
  </si>
  <si>
    <t>TS. Lê Văn Đoài</t>
  </si>
  <si>
    <t>TS. Đỗ Thanh Thùy</t>
  </si>
  <si>
    <t>Ths. Đoàn Thế Ngô Vinh</t>
  </si>
  <si>
    <t>TS. Lê Cảnh Trung</t>
  </si>
  <si>
    <t>TS. Hoàng Văn Thụy</t>
  </si>
  <si>
    <t>PGS.TS.Nguyễn Thị Nhị</t>
  </si>
  <si>
    <t>ThS. Lê Văn Vinh</t>
  </si>
  <si>
    <t>Tổng số giờ của đơn vị</t>
  </si>
  <si>
    <t>KHOA HOÁ HỌC</t>
  </si>
  <si>
    <t>Tổng số cán bộ của đơn vị: 13, trong đó:</t>
  </si>
  <si>
    <t>Cán bộ giảng dạy: 13., gồm:</t>
  </si>
  <si>
    <t>CBGD đảm nhận ĐM giờ tập sự (thử việc): 01</t>
  </si>
  <si>
    <t>CBGD đảm nhận ĐM giờ giảng viên trở lên: 12</t>
  </si>
  <si>
    <t>CBGD đảm nhận ĐM giờ giáo viên: ….</t>
  </si>
  <si>
    <t>Phan Minh Huyền</t>
  </si>
  <si>
    <t>Lê Đức Giang</t>
  </si>
  <si>
    <t>Phan Thị Hồng Tuyết</t>
  </si>
  <si>
    <t>Cao Cự Giác</t>
  </si>
  <si>
    <t>Đinh Thị Trường Giang</t>
  </si>
  <si>
    <t>Đậu Xuân Đức</t>
  </si>
  <si>
    <t>Nguyễn Thị Chung</t>
  </si>
  <si>
    <t>Nguyễn Thị Diễm Hằng</t>
  </si>
  <si>
    <t>Nguyễn Hoàng Hào</t>
  </si>
  <si>
    <t>Phan Thị Thuỳ</t>
  </si>
  <si>
    <t>Đinh Thị Huyền Trang</t>
  </si>
  <si>
    <t>Trương Thị Bình Giang</t>
  </si>
  <si>
    <t>Nguyễn Thị Phương Thảo</t>
  </si>
  <si>
    <t>Tập sự</t>
  </si>
  <si>
    <t>4</t>
  </si>
  <si>
    <t xml:space="preserve">Cán bộ giảng dạy: 13, gồm: </t>
  </si>
  <si>
    <t>Đào Thị Minh Châu</t>
  </si>
  <si>
    <t>Phạm Thị Như Quỳnh</t>
  </si>
  <si>
    <t>Nguyễn Thị Thảo</t>
  </si>
  <si>
    <t>Lê Quang Vượng</t>
  </si>
  <si>
    <t>Nguyễn Đình Nhâm</t>
  </si>
  <si>
    <t>Nguyễn Thị Giang An</t>
  </si>
  <si>
    <t>Ông Vĩnh An</t>
  </si>
  <si>
    <t>Hồ Anh Tuấn</t>
  </si>
  <si>
    <t>Nguyễn Thị Việt</t>
  </si>
  <si>
    <t>Lê Thị Thúy Hà</t>
  </si>
  <si>
    <t>Trần Thị Gái</t>
  </si>
  <si>
    <t>Lê Thị Hương</t>
  </si>
  <si>
    <t>Trần Huyền Trang</t>
  </si>
  <si>
    <t>Phân Xuân Thiệu</t>
  </si>
  <si>
    <t>Tôn Thị Bích Hoài</t>
  </si>
  <si>
    <t xml:space="preserve"> Tổng số cán bộ của đơn vị: 5, trong đó: </t>
  </si>
  <si>
    <t xml:space="preserve"> Cán bộ hành chính: 0 </t>
  </si>
  <si>
    <t xml:space="preserve"> Cán bộ giảng dạy: 5, gồm: </t>
  </si>
  <si>
    <t xml:space="preserve"> CBGD đảm nhận ĐM giờ tập sự (thử việc): 0 </t>
  </si>
  <si>
    <t xml:space="preserve"> CBGD đảm nhận ĐM giờ giảng viên trở lên: 5</t>
  </si>
  <si>
    <t xml:space="preserve"> CBGD đảm nhận ĐM giờ giáo viên: 0 </t>
  </si>
  <si>
    <t>Họ và tên : Trần Thị Kim Oanh</t>
  </si>
  <si>
    <t>Họ và tên : Nguyễn Bùi Hậu</t>
  </si>
  <si>
    <t>Họ và tên : Phan Lê Na</t>
  </si>
  <si>
    <t>Họ và tên: Trần Xuân Hào</t>
  </si>
  <si>
    <t>Họ và tên : Phạm Thị Thu Hiền</t>
  </si>
  <si>
    <t>KHOA NGỮ VĂN</t>
  </si>
  <si>
    <t>Tổng số cán bộ của đơn vị: 18, trong đó:</t>
  </si>
  <si>
    <t>Cán bộ giảng dạy: 18, gồm:</t>
  </si>
  <si>
    <t>CBGD đảm nhận ĐM giờ giảng viên trở lên: 18</t>
  </si>
  <si>
    <t>Lê Thị Hồ Quang</t>
  </si>
  <si>
    <t>Nguyễn Thị Ngọc Hà</t>
  </si>
  <si>
    <t>Ngô Thị Quỳnh Nga</t>
  </si>
  <si>
    <t>Hồ Thị Vân Anh</t>
  </si>
  <si>
    <t>Nguyễn Thị Khánh Chi</t>
  </si>
  <si>
    <t>Nguyễn Thị Hoa Lê</t>
  </si>
  <si>
    <t>Lê Thị Sao Chi</t>
  </si>
  <si>
    <t>Trần Thị Ly Na</t>
  </si>
  <si>
    <t xml:space="preserve"> Hoàng Trọng Canh</t>
  </si>
  <si>
    <t>Nguyễn Thị Thanh Hiếu</t>
  </si>
  <si>
    <t>Biện Thị Quỳnh Nga</t>
  </si>
  <si>
    <t>Nguyễn Thị Thanh Trâm</t>
  </si>
  <si>
    <t>Biện Minh Điền</t>
  </si>
  <si>
    <t>Lưu Thị Trường Giang</t>
  </si>
  <si>
    <t>Đặng Hoàng Oanh</t>
  </si>
  <si>
    <t>Nguyễn Thị Xuân Quỳnh</t>
  </si>
  <si>
    <t>Lê Thanh Nga</t>
  </si>
  <si>
    <t>Nguyễn Thị Hoài Thu</t>
  </si>
  <si>
    <t>7</t>
  </si>
  <si>
    <t>KHOA LỊCH SỬ</t>
  </si>
  <si>
    <r>
      <rPr>
        <sz val="10"/>
        <color theme="1"/>
        <rFont val="Times New Roman"/>
        <family val="1"/>
      </rPr>
      <t>Tổng số cán bộ của đơn vị: 12</t>
    </r>
    <r>
      <rPr>
        <sz val="10"/>
        <color rgb="FFFF0000"/>
        <rFont val="Times New Roman"/>
        <family val="1"/>
      </rPr>
      <t xml:space="preserve"> </t>
    </r>
    <r>
      <rPr>
        <sz val="10"/>
        <color theme="1"/>
        <rFont val="Times New Roman"/>
        <family val="1"/>
      </rPr>
      <t>trong đó:</t>
    </r>
  </si>
  <si>
    <t>Cán bộ giảng dạy: 12, gồm:</t>
  </si>
  <si>
    <t>CBGD đảm nhận ĐM giờ giảng viên trở lên: 11</t>
  </si>
  <si>
    <t>CBGD đảm nhận ĐM giờ giáo viên: 1</t>
  </si>
  <si>
    <t>Lê Thế Cường</t>
  </si>
  <si>
    <t>Nguyễn Văn Tuấn</t>
  </si>
  <si>
    <t>Hoang Thị Hải Yến</t>
  </si>
  <si>
    <t>Tôn Nữ Hải Yến</t>
  </si>
  <si>
    <t xml:space="preserve">Phan Thị Cẩm Vân </t>
  </si>
  <si>
    <t>Nguyễn Quang Hồng</t>
  </si>
  <si>
    <t>Mai Phương Ngọc</t>
  </si>
  <si>
    <t>Mai Thị Thanh Nga</t>
  </si>
  <si>
    <t>Dương Thị Thanh Hải</t>
  </si>
  <si>
    <t>Đặng Như Thường</t>
  </si>
  <si>
    <t>Nguyễn Thị Hà</t>
  </si>
  <si>
    <t>Nguyễn Thị Duyên</t>
  </si>
  <si>
    <t>Tổng số giờ toàn đơn vị</t>
  </si>
  <si>
    <t>8</t>
  </si>
  <si>
    <t>KHOA ĐỊA LÝ</t>
  </si>
  <si>
    <t>Tổng số cán bộ của đơn vị: 8, trong đó:</t>
  </si>
  <si>
    <t>Cán bộ hành chính ……………………….0</t>
  </si>
  <si>
    <t>Cán bộ giảng dạy: 8, gồm:</t>
  </si>
  <si>
    <t>CBGD đảm nhận ĐM giờ tập sự (thử việc): 0 GV</t>
  </si>
  <si>
    <t>CBGD đảm nhận ĐM giờ giảng viên trở lên: 09 GV</t>
  </si>
  <si>
    <t>CBGD đảm nhận ĐM giờ giáo viên: 0 GV</t>
  </si>
  <si>
    <t>Khoa: Địa lí</t>
  </si>
  <si>
    <t>Phạm Vũ Chung</t>
  </si>
  <si>
    <t>Nguyễn Văn Đông</t>
  </si>
  <si>
    <t>Nguyễn Thị Việt Hà</t>
  </si>
  <si>
    <t>Võ Thị Thu Hà</t>
  </si>
  <si>
    <t>Võ Thị Vinh</t>
  </si>
  <si>
    <t>Nguyễn Thị Hoài</t>
  </si>
  <si>
    <t>Nguyễn Thị Trang Thanh</t>
  </si>
  <si>
    <t>Lương Thị Thành Vinh</t>
  </si>
  <si>
    <t>9</t>
  </si>
  <si>
    <t>Tổng số cán bộ của đơn vị: 15 trong đó:</t>
  </si>
  <si>
    <t>Cán bộ hành chính ……………………….</t>
  </si>
  <si>
    <t>Cán bộ giảng dạy: 14  gồm:</t>
  </si>
  <si>
    <t>CBGD đảm nhận ĐM giờ giảng viên trở lên: 14</t>
  </si>
  <si>
    <t>Đơn vị cấp 3</t>
  </si>
  <si>
    <t>Trần Cao Nguyên</t>
  </si>
  <si>
    <t>Trần Thị Hạnh</t>
  </si>
  <si>
    <t xml:space="preserve">Dương Thị Mai Hoa </t>
  </si>
  <si>
    <t>Nguyễn Thái Sơn</t>
  </si>
  <si>
    <t>Nguyễn Văn Sang</t>
  </si>
  <si>
    <t>Phan Huy Chính</t>
  </si>
  <si>
    <t>Lê Thị Nam An</t>
  </si>
  <si>
    <t>TS. Bùi Thị Cần</t>
  </si>
  <si>
    <t>Th.s. Hoàng Thị Nga</t>
  </si>
  <si>
    <t>Th.s. Nguyễn Thị Kim Thi</t>
  </si>
  <si>
    <t>Th.s. Nguyễn Thị Kim Chi</t>
  </si>
  <si>
    <t>Nguyễn Thị Diệp</t>
  </si>
  <si>
    <t>Nguyễn Thị Mỹ Hương</t>
  </si>
  <si>
    <t>Nguyễn Thị Hải Yến</t>
  </si>
  <si>
    <t>10</t>
  </si>
  <si>
    <t>Tổng số cán bộ của đơn vị: 08, trong đó:</t>
  </si>
  <si>
    <t xml:space="preserve">Cán bộ giảng dạy: 08 gồm: </t>
  </si>
  <si>
    <t>CBGD đảm nhận ĐM giờ giảng viên trở lên: 08</t>
  </si>
  <si>
    <t xml:space="preserve"> Phạm Thị Hải Châu</t>
  </si>
  <si>
    <t>Phan Huy Hà</t>
  </si>
  <si>
    <t>Nguyễn Thị Thu Hạnh</t>
  </si>
  <si>
    <t xml:space="preserve"> Nguyễn Thị Kỳ</t>
  </si>
  <si>
    <t>Trần Thị Thúy Nga</t>
  </si>
  <si>
    <t xml:space="preserve"> Phan Thị Quỳnh Trang</t>
  </si>
  <si>
    <t>Võ Trọng Vinh</t>
  </si>
  <si>
    <t>Trần Thị Hoàng Yến</t>
  </si>
  <si>
    <t>KHOA GIÁO DỤC TIỂU HỌC</t>
  </si>
  <si>
    <r>
      <rPr>
        <sz val="10"/>
        <color theme="1"/>
        <rFont val="Times New Roman"/>
        <family val="1"/>
      </rPr>
      <t xml:space="preserve">Tổng số cán bộ của đơn vị: </t>
    </r>
    <r>
      <rPr>
        <b/>
        <sz val="10"/>
        <color rgb="FFFF0000"/>
        <rFont val="Times New Roman"/>
        <family val="1"/>
      </rPr>
      <t>11</t>
    </r>
    <r>
      <rPr>
        <sz val="10"/>
        <color theme="1"/>
        <rFont val="Times New Roman"/>
        <family val="1"/>
      </rPr>
      <t>, trong đó:</t>
    </r>
  </si>
  <si>
    <r>
      <rPr>
        <sz val="10"/>
        <color theme="1"/>
        <rFont val="Times New Roman"/>
        <family val="1"/>
      </rPr>
      <t xml:space="preserve">Cán bộ hành chính: </t>
    </r>
    <r>
      <rPr>
        <b/>
        <sz val="10"/>
        <color rgb="FFFF0000"/>
        <rFont val="Times New Roman"/>
        <family val="1"/>
      </rPr>
      <t>01</t>
    </r>
  </si>
  <si>
    <t>Cán bộ giảng dạy: 10, bao gồm:</t>
  </si>
  <si>
    <t>CBGD đảm nhận ĐM giờ giảng viên trở lên: 09</t>
  </si>
  <si>
    <t>CBGD đảm nhận ĐM giờ giáo viên: 01</t>
  </si>
  <si>
    <t>Chu Thị Thủy An</t>
  </si>
  <si>
    <t>Nguyễn Thị Châu Giang</t>
  </si>
  <si>
    <t>Chu Thị Hà Thanh</t>
  </si>
  <si>
    <t>Nguyễn Tiến Dũng</t>
  </si>
  <si>
    <t>Nguyễn Thị Phương Nhung (A)</t>
  </si>
  <si>
    <t>Nguyễn Thị Phương Nhung (B)</t>
  </si>
  <si>
    <t>Nguyễn Thị Thanh Giang</t>
  </si>
  <si>
    <t>Thái Mạnh Thủy</t>
  </si>
  <si>
    <t>Thái Thị Đào</t>
  </si>
  <si>
    <t>Phan Anh Tuấn</t>
  </si>
  <si>
    <t>12</t>
  </si>
  <si>
    <t>KHOA TÂM LÝ GIÁO DỤC</t>
  </si>
  <si>
    <r>
      <rPr>
        <sz val="10"/>
        <color theme="1"/>
        <rFont val="Times New Roman"/>
        <family val="1"/>
      </rPr>
      <t xml:space="preserve">Tổng số cán bộ của đơn vị: </t>
    </r>
    <r>
      <rPr>
        <b/>
        <sz val="10"/>
        <color rgb="FFFF0000"/>
        <rFont val="Times New Roman"/>
        <family val="1"/>
      </rPr>
      <t>16</t>
    </r>
    <r>
      <rPr>
        <sz val="10"/>
        <color theme="1"/>
        <rFont val="Times New Roman"/>
        <family val="1"/>
      </rPr>
      <t>, trong đó:</t>
    </r>
  </si>
  <si>
    <t>Chức danh (ghi các chức vụ hiện tại)</t>
  </si>
  <si>
    <r>
      <rPr>
        <sz val="10"/>
        <color theme="1"/>
        <rFont val="Times New Roman"/>
        <family val="1"/>
      </rPr>
      <t xml:space="preserve">Cán bộ hành chính: </t>
    </r>
    <r>
      <rPr>
        <b/>
        <sz val="10"/>
        <color rgb="FFFF0000"/>
        <rFont val="Times New Roman"/>
        <family val="1"/>
      </rPr>
      <t>0</t>
    </r>
  </si>
  <si>
    <t>Hệ số LCB (hệ số lương của GV)</t>
  </si>
  <si>
    <t>Cán bộ giảng dạy: 16, bao gồm:</t>
  </si>
  <si>
    <t>CBGD đảm nhận ĐM giờ giảng viên trở lên: 16</t>
  </si>
  <si>
    <t>Giảng viên Nguyễn Như An</t>
  </si>
  <si>
    <t>Giảng viên Phạm Lê Cường</t>
  </si>
  <si>
    <t>Giảng viên Nguyễn Thị Thu Hằng</t>
  </si>
  <si>
    <t>Giảng viên Bùi Văn Hùng</t>
  </si>
  <si>
    <t>Giảng viên Chế Thị Hải Linh</t>
  </si>
  <si>
    <t>Giảng viên Nguyễn Việt Phương</t>
  </si>
  <si>
    <t>Dương Thị Thanh Thanh</t>
  </si>
  <si>
    <t>Lê Thục Anh</t>
  </si>
  <si>
    <t>Dương Thị Linh</t>
  </si>
  <si>
    <t>Trần Hằng Ly</t>
  </si>
  <si>
    <t>Nguyễn Thị Hường</t>
  </si>
  <si>
    <t>Nguyễn Thị Quỳnh Anh</t>
  </si>
  <si>
    <t>Nguyễn Thị Nhân</t>
  </si>
  <si>
    <t>Nguyễn Trung Kiền</t>
  </si>
  <si>
    <t>Bùi Thị Thùy Dương</t>
  </si>
  <si>
    <t>Trần Mỹ Linh</t>
  </si>
  <si>
    <t>TỔ VĂN PHÒNG</t>
  </si>
  <si>
    <t>TRUNG TÂM BDNVSP</t>
  </si>
  <si>
    <t>Nguyễn Thanh Mỹ</t>
  </si>
  <si>
    <t>TỔNG TOÀN TRƯỜNG SP</t>
  </si>
  <si>
    <t>Nghệ An, ngày ….. tháng 12 năm 2022</t>
  </si>
  <si>
    <t xml:space="preserve">        TRƯỞNG ĐƠN VỊ</t>
  </si>
  <si>
    <t>Biểu số 5</t>
  </si>
  <si>
    <t>KẾ HOẠCH MUA SẮM, SỬA CHỮA, BỔ SUNG GIÁO TRÌNH TÀI LIỆU THƯ VIỆN NĂM 2023</t>
  </si>
  <si>
    <t>Đơn vị tính: nghìn đồng</t>
  </si>
  <si>
    <t>Các nội dung cần mua sắm tài sản</t>
  </si>
  <si>
    <t>Mục đích sử dụng</t>
  </si>
  <si>
    <t>Địa chỉ đặt thiết bị / 
Địa chỉ sử dụng thiết bị</t>
  </si>
  <si>
    <t xml:space="preserve">
Khoa</t>
  </si>
  <si>
    <t>Kết quả thực hiện (đã mua/đã được cấp/ chưa được cấp - lí do))</t>
  </si>
  <si>
    <t>MUA SẮM = 1+2+3</t>
  </si>
  <si>
    <t>Mua sắm trang thiết bị</t>
  </si>
  <si>
    <t>Máy tính bàn</t>
  </si>
  <si>
    <t>Trợ lý đào tạo chính quy , VLVH,  Đảng-Công đoàn- Đoàn thanh niên</t>
  </si>
  <si>
    <t>Văn phòng các khoa</t>
  </si>
  <si>
    <t>Đã được cấp 2 bộ cho công tác đào tạo</t>
  </si>
  <si>
    <t>Bộ chuyển nguồn điện đàn Ocgan</t>
  </si>
  <si>
    <t>Dạy môn Âm nhạc ngành GDMN và GDTH</t>
  </si>
  <si>
    <t>Phòng thực hành đàn</t>
  </si>
  <si>
    <t>Máy in</t>
  </si>
  <si>
    <t>Trợ lý đào tạo chính quy , VLVH, Đảng-Công đoàn- Đoàn thanh niên</t>
  </si>
  <si>
    <t>Đã cấp 2 máy in cho công tác đào tạo</t>
  </si>
  <si>
    <t>Máy Scan</t>
  </si>
  <si>
    <t>Scan văn bản đến và đi (Khoa Sinh học, Khoa Vật lý)</t>
  </si>
  <si>
    <t>Khoa Sinh học, Khoa Vật lý</t>
  </si>
  <si>
    <t>1 bộ máy chiếu + màn hình máy chiếu</t>
  </si>
  <si>
    <t>Dùng trong sinh hoạt chuyên môn khoa Sinh học</t>
  </si>
  <si>
    <t>Văn phòng Khoa Sinh học</t>
  </si>
  <si>
    <t>Máy tính xách tay</t>
  </si>
  <si>
    <t>Trợ lí đào tạo chuyên trách</t>
  </si>
  <si>
    <t>Văn phòng trường SP</t>
  </si>
  <si>
    <t>Trường SP</t>
  </si>
  <si>
    <t>Danh mục giáo trình, tài liệu đề nghị mua</t>
  </si>
  <si>
    <t>Sách và giáo trình ngành Sư phạm Hoá học</t>
  </si>
  <si>
    <t>Đào tạo ĐH và SĐH</t>
  </si>
  <si>
    <t>Thư viện Nguyễn Thúc Hào</t>
  </si>
  <si>
    <t>Cơ sở văn hoá Việt Nam, Chu Xuân Diên, NXB ĐH Quốc qia, 2008</t>
  </si>
  <si>
    <t>Giáo trình phục vụ dạy học</t>
  </si>
  <si>
    <t>Cuốn</t>
  </si>
  <si>
    <t>Giáo trình Thể loại và tác gia tiêu biểu văn học phương Đông</t>
  </si>
  <si>
    <t>Nguyễn Việt Hà, tiểu thuyết Ba ngôi của người</t>
  </si>
  <si>
    <t>Nguyễn Bình Phương: tiểu thuyết  Mình và họ</t>
  </si>
  <si>
    <t>Nguyễn Đình Tú,  tiểu thuyết Hoang tâm</t>
  </si>
  <si>
    <t>Nguyễn Đình Tú, tiểu thuyết Xác phàm</t>
  </si>
  <si>
    <t>Uông Triều, tiểu thuyết Sương mù tháng giêng</t>
  </si>
  <si>
    <t>Nguyễn Bình Phương: Tiểu thuyết Một ví dụ xoàng</t>
  </si>
  <si>
    <t>Tổng Tập Văn Học Dân Gian Nam Bộ - Tập 1 Truyện Kể Dân Gian Nam Bộ Quyển 1,2</t>
  </si>
  <si>
    <t>Sinh học Campbell (Dịch theo sách xuất bản lần thứ 8 hoặc 9)</t>
  </si>
  <si>
    <t>Sách tham khảo dành cho giảng viên và sinh viên</t>
  </si>
  <si>
    <t>Thư viện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</si>
  <si>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</si>
  <si>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</si>
  <si>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</si>
  <si>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</si>
  <si>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</si>
  <si>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</si>
  <si>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Sách và giáo trình ngành Sư phạm Vật lý</t>
  </si>
  <si>
    <t>Sách và giáo trình ngành GDMN</t>
  </si>
  <si>
    <t>Khoa GDMN</t>
  </si>
  <si>
    <t>Lịch sử Đông Nam Á, NXB Chính trị quốc gia 2015</t>
  </si>
  <si>
    <t>Lịch sử</t>
  </si>
  <si>
    <t>Sách giáo khoa Tiểu học(3 bộ: Cánh diều, Kết nối tri thức với cuộc sống, Chân trời sáng tạo)</t>
  </si>
  <si>
    <t>Đào tạo ĐH chính quy</t>
  </si>
  <si>
    <t>Sách giáo khoa Địa lí lớp 10, 11(3 bộ: Cánh diều, Kết nối tri thức với cuộc sống, Chân trời sáng tạo)</t>
  </si>
  <si>
    <t>Sách giáo khoa Lịch Sử và Địa lí lớp 6 và 7</t>
  </si>
  <si>
    <t>Mua Văn phòng phẩm</t>
  </si>
  <si>
    <t>Kinh phí văn phòng phẩm khoán cho Trường, Khoa, Viện nhận</t>
  </si>
  <si>
    <t>Hộp đựng tài liệu</t>
  </si>
  <si>
    <t>Lưu công văn, tài liệu</t>
  </si>
  <si>
    <t xml:space="preserve">VPK </t>
  </si>
  <si>
    <t>Giấy in</t>
  </si>
  <si>
    <t>In tài liệu, văn bản</t>
  </si>
  <si>
    <t>Ram</t>
  </si>
  <si>
    <t>Mực in</t>
  </si>
  <si>
    <t>In tài liệu văn bản</t>
  </si>
  <si>
    <t>Kẹp giấy, gim, ... (Văn phòng phẩm)</t>
  </si>
  <si>
    <t>Tài liệu, văn bản</t>
  </si>
  <si>
    <t>Tiền khoán văn phòng phẩm cho cán bộ các khoa đào tạo (Trừ các cán bộ đang đi học tập trung)</t>
  </si>
  <si>
    <t>Điều 27 QC CTNB, khoản 1</t>
  </si>
  <si>
    <t>Tổ văn phòng</t>
  </si>
  <si>
    <t>Tiền khoán văn phòng phẩm tính theo sinh viên hệ chính quy học tập trung tại trường</t>
  </si>
  <si>
    <t>Người học</t>
  </si>
  <si>
    <t>Điều 27 QC CTNB</t>
  </si>
  <si>
    <t>Tiền phấn cho giảng  viên</t>
  </si>
  <si>
    <t>Các loại mua sắm khác</t>
  </si>
  <si>
    <t>SỬA CHỮA, BẢO TRÌ, BẢO DƯỠNG TÀI SẢN, TRANG THIẾT BỊ</t>
  </si>
  <si>
    <t>Đàn Ocgan Yamaha</t>
  </si>
  <si>
    <t>Dạy học phần Đàn cho ngành GDMN và GDTH</t>
  </si>
  <si>
    <t>Máy tính để bàn</t>
  </si>
  <si>
    <t>Sử dụng cho mục đích văn bản</t>
  </si>
  <si>
    <t>VPK Hóa học</t>
  </si>
  <si>
    <t>Thiết bị nung</t>
  </si>
  <si>
    <t>Thí nghiệm</t>
  </si>
  <si>
    <t>PTN 409</t>
  </si>
  <si>
    <t>Thiết bị sấy</t>
  </si>
  <si>
    <t>PTN409</t>
  </si>
  <si>
    <t>Tổng cộng = I + II</t>
  </si>
  <si>
    <t>Nghệ An, ngày      tháng   12  năm 2022</t>
  </si>
  <si>
    <t>ĐƠN VỊ LẬP KẾ HOẠCH KH            QUẢN TRỊ VÀ ĐẦU TƯ                             PHÒNG KH-TC                            HIỆU TRƯỞNG</t>
  </si>
  <si>
    <t xml:space="preserve">    TRƯỜNG ĐẠI HỌC VINH</t>
  </si>
  <si>
    <t>CỘNG HÒA XÃ HỘI CHỦ NGHĨA VIỆT NAM</t>
  </si>
  <si>
    <t>ĐƠN VỊ: TRƯỜNG SƯ PHẠM</t>
  </si>
  <si>
    <t>KẾ HOẠCH TUYỂN DỤNG, ĐÀO TẠO, BỒI DƯỠNG, PHÁT TRIỂN ĐỘI NGŨ NĂM 2022</t>
  </si>
  <si>
    <t>KẾ HOẠCH TUYỂN DỤNG, BỔ SUNG NGƯỜI LÀM VIỆC</t>
  </si>
  <si>
    <t>KẾT QUẢ THỰC HIỆN ĐẾN THÁNG 6/2023</t>
  </si>
  <si>
    <t>Thực trạng đội ngũ hiện tại</t>
  </si>
  <si>
    <t>Đội ngũ theo yêu cầu, điều kiện đảm bảo chất lượng còn thiếu</t>
  </si>
  <si>
    <t>Đề xuất tuyển mới</t>
  </si>
  <si>
    <t>Tổng số CBGV</t>
  </si>
  <si>
    <t>Số lượng GS, PGS</t>
  </si>
  <si>
    <t>Số lượng TS</t>
  </si>
  <si>
    <t>Số lượng ThS</t>
  </si>
  <si>
    <t>Số lượng tuyển mới</t>
  </si>
  <si>
    <t>Trình độ</t>
  </si>
  <si>
    <t>Ngành/Chuyên ngành</t>
  </si>
  <si>
    <t>Tiêu chuẩn/Điều kiện khác</t>
  </si>
  <si>
    <t>Ngành đào tạo 1: Sư phạm Toán học
Ngành đào tạo 2: Sư phạm Toán học CLC</t>
  </si>
  <si>
    <t>Kinh</t>
  </si>
  <si>
    <t>NCS/TS</t>
  </si>
  <si>
    <t>Xác suất và Thống kê: 01;
Giải tích: 01.</t>
  </si>
  <si>
    <t>+ Tốt nghiệp đại học loại giỏi trở lên hoặc có bằng tiến sĩ.
+ Tiếng Anh B2 trở lên theo chuẩn sát hạch quốc tế (hoặc tương đương).
+ Được hội đồng chuyên môn của khoa Toán thông qua (qua vòng phỏng vấn cấp Khoa).</t>
  </si>
  <si>
    <t>1GS</t>
  </si>
  <si>
    <t>Lý luận và PPDH bộ môn Vật lý</t>
  </si>
  <si>
    <t>4 PGS</t>
  </si>
  <si>
    <t>Khoa Hoá học</t>
  </si>
  <si>
    <t>Hóa hữu cơ</t>
  </si>
  <si>
    <t>SP Sinh học</t>
  </si>
  <si>
    <t>2PGS</t>
  </si>
  <si>
    <t>Sinh lý người và Động vật; LL&amp;PP DH bộ môn Sinh học</t>
  </si>
  <si>
    <t>ThS/NCS/TS</t>
  </si>
  <si>
    <t>- LL&amp;PPDH bộ môn Tin học 
- Công nghệ thông tin</t>
  </si>
  <si>
    <t>Tạo nguồn sinh viên tốt nghiệp loại giỏi trở lên các ngành SP Tin học, CNTT, Sư phạm Toán học.</t>
  </si>
  <si>
    <t>Khoa Ngữ Văn</t>
  </si>
  <si>
    <t>SP Ngữ văn</t>
  </si>
  <si>
    <t>ThS</t>
  </si>
  <si>
    <t>LL&amp;PPDH bộ môn Ngữ văn</t>
  </si>
  <si>
    <t>VII</t>
  </si>
  <si>
    <t>LL&amp;PPDH bộ môn Lịch sử</t>
  </si>
  <si>
    <t>VIII</t>
  </si>
  <si>
    <t>Ngành Sư phạm Địa lí</t>
  </si>
  <si>
    <t>1 Ths</t>
  </si>
  <si>
    <t>Ngành Địa lí kinh tế - xã hội</t>
  </si>
  <si>
    <t>IX</t>
  </si>
  <si>
    <t>Ngành sư phạm</t>
  </si>
  <si>
    <t>Ths</t>
  </si>
  <si>
    <t>Kinh tế chính trị và lịch sử đảng cộng sản Việt Nam</t>
  </si>
  <si>
    <t>X</t>
  </si>
  <si>
    <t>Khoa Giáo dục tiểu học</t>
  </si>
  <si>
    <t>Sư phạm Giáo dục Tiểu học ĐH</t>
  </si>
  <si>
    <t>01 Thạc sĩ Ngôn ngữ học; 01 ThS Âm nhạc hoặc Mỹ thuật; 01 CN Giáo dục tiểu học</t>
  </si>
  <si>
    <t>Giáo dục học (Giáo dục Tiểu học) (Cao học)</t>
  </si>
  <si>
    <t>XI</t>
  </si>
  <si>
    <t>Sư phạm Giáo dục Mầm non</t>
  </si>
  <si>
    <t>NCS/TS/Ths</t>
  </si>
  <si>
    <t>Giáo dục học (Giáo dục Mầm non)</t>
  </si>
  <si>
    <t>Khoa Tâm lí - giáo dục</t>
  </si>
  <si>
    <t>Quản lý giáo dục (Đại học)</t>
  </si>
  <si>
    <t>Ths/ hoặc đang học cao học</t>
  </si>
  <si>
    <t>Giáo dục học/Tâm lý giáo dục</t>
  </si>
  <si>
    <t>Ngoài tiêu chuẩn chung cần thêm: người có bằng Thạc sĩ  hoặc đang học thạc sĩ phải Tốt nghiệp Đại học  chính quy loại khá trở lên.</t>
  </si>
  <si>
    <t>Quản lý giáo dục (Thạc sĩ)</t>
  </si>
  <si>
    <t>Lý luận và lịch sử giáo dục</t>
  </si>
  <si>
    <t>Tốt nghiệp chính quy Đại học sư phạm</t>
  </si>
  <si>
    <t>XIII</t>
  </si>
  <si>
    <t xml:space="preserve">Trung tâm Bồi dưỡng NVSP </t>
  </si>
  <si>
    <t>ThS/ hoặc đang học cao học</t>
  </si>
  <si>
    <t>TN ĐH loại khá trở lên, ưu tiên loại giỏi</t>
  </si>
  <si>
    <t>XIV</t>
  </si>
  <si>
    <t>Tổ Văn phòng trường Sư phạm</t>
  </si>
  <si>
    <t>KẾ HOẠCH NGHỈ HƯU, TINH GIẢN BIÊN CHẾ, KÉO DÀI THỜI GIAN CÔNG TÁC</t>
  </si>
  <si>
    <t>Ngày sinh</t>
  </si>
  <si>
    <t>Khoa/Bộ môn/Tổ</t>
  </si>
  <si>
    <t>Chuyên ngành
 đào tạo</t>
  </si>
  <si>
    <t>Chức vụ</t>
  </si>
  <si>
    <t>Thời gian nghỉ hưu /kéo dài</t>
  </si>
  <si>
    <t>Nam</t>
  </si>
  <si>
    <t>Nữ</t>
  </si>
  <si>
    <t>Đinh Huy Hoàng</t>
  </si>
  <si>
    <t>Giải tích</t>
  </si>
  <si>
    <t>Phó giáo sư</t>
  </si>
  <si>
    <t>GVCC</t>
  </si>
  <si>
    <t>Kéo dài thời gian công tác đến tháng 11 năm 2023 nghỉ hưu</t>
  </si>
  <si>
    <t>Nguyễn Văn Quảng</t>
  </si>
  <si>
    <t>Xác suất và Thống kê</t>
  </si>
  <si>
    <t>Giáo sư</t>
  </si>
  <si>
    <t>Kéo dài đến năm 2025</t>
  </si>
  <si>
    <t>Nguyễn Thành Quang</t>
  </si>
  <si>
    <t>Đại số và lý thuyết số</t>
  </si>
  <si>
    <t>Nguyễn Duy Bình</t>
  </si>
  <si>
    <t>Hình học và Tôpô</t>
  </si>
  <si>
    <t>GVC</t>
  </si>
  <si>
    <t>Kéo dài đến năm 2024</t>
  </si>
  <si>
    <t>Đinh Xuân Khoa</t>
  </si>
  <si>
    <t>GS.TS</t>
  </si>
  <si>
    <t xml:space="preserve">Kéo dài thời gian công tác </t>
  </si>
  <si>
    <t xml:space="preserve">Nguyễn Đình Nhâm
</t>
  </si>
  <si>
    <t>PPDH Sinh học</t>
  </si>
  <si>
    <t>LL&amp;PPDH Sinh học</t>
  </si>
  <si>
    <t>Giảng viên</t>
  </si>
  <si>
    <t>Tiến sỹ</t>
  </si>
  <si>
    <t>2 năm (đến 2024)</t>
  </si>
  <si>
    <t>Phan Lê Na</t>
  </si>
  <si>
    <t>Toán học</t>
  </si>
  <si>
    <t>Không</t>
  </si>
  <si>
    <t>TS</t>
  </si>
  <si>
    <t>Biện Văn Điền</t>
  </si>
  <si>
    <t>Văn học</t>
  </si>
  <si>
    <t>Văn học Việt Nam</t>
  </si>
  <si>
    <t>PGS</t>
  </si>
  <si>
    <t>T6/2023</t>
  </si>
  <si>
    <t>Hoàng Trọng Canh</t>
  </si>
  <si>
    <t>Ngôn ngữ</t>
  </si>
  <si>
    <t>Ngôn ngữ Việt Nam</t>
  </si>
  <si>
    <t>T9/2023</t>
  </si>
  <si>
    <t>PGS.TS. Nguyễn Thị Hường</t>
  </si>
  <si>
    <t>KẾ HOẠCH NGHỈ PHÉP, NGHỈ KHÔNG LƯƠNG, THAI SẢN</t>
  </si>
  <si>
    <t>Thời gian nghỉ</t>
  </si>
  <si>
    <t>Đinh Thanh Giang</t>
  </si>
  <si>
    <t>Cả năm 2023</t>
  </si>
  <si>
    <t>Có con nhỏ, đang ở cùng chồng (làm postdoc) tại CHLB Đức đến hết năm 2023</t>
  </si>
  <si>
    <t>Nguyễn Thị Phương Nhung</t>
  </si>
  <si>
    <t>Lý Luận và Phương pháp dạy học Toán</t>
  </si>
  <si>
    <t>bắt đầu từ 14/11/2022</t>
  </si>
  <si>
    <t>Nghỉ sinh</t>
  </si>
  <si>
    <t>14/5 bắt đầu làm việc bình thường</t>
  </si>
  <si>
    <t>Nguyễn Thị Thu Hằng</t>
  </si>
  <si>
    <t>QLGD</t>
  </si>
  <si>
    <t>Bắt đầu từ  01/01/2023</t>
  </si>
  <si>
    <t>KẾ HOẠCH ĐÀO TẠO NÂNG CAO TRÌNH ĐỘ CHUYÊN MÔN</t>
  </si>
  <si>
    <t>CHUYÊN MÔN</t>
  </si>
  <si>
    <t>Kế hoạch đào tạo</t>
  </si>
  <si>
    <t>Trình độ (TS, ThS)</t>
  </si>
  <si>
    <t>Chức danh (GS, PGS, GVC...)</t>
  </si>
  <si>
    <t>Ngành/Chuyên ngành đang giảng dạy (Đánh dấu vào trình độ mã ngành đang đào tạo)</t>
  </si>
  <si>
    <t>Bậc đào tạo</t>
  </si>
  <si>
    <t>Ngành/ Chuyên ngành</t>
  </si>
  <si>
    <t>Nơi đào tạo (Cụ thể tên trường)</t>
  </si>
  <si>
    <t>Thời gian dự kiến</t>
  </si>
  <si>
    <t>Tình trạng đào tạo</t>
  </si>
  <si>
    <t>Kinh phí dự trù</t>
  </si>
  <si>
    <t>Cử nhân</t>
  </si>
  <si>
    <t>Trong nước</t>
  </si>
  <si>
    <t>Ngoài nước</t>
  </si>
  <si>
    <t>Đang đào tạo</t>
  </si>
  <si>
    <t>Dự kiến</t>
  </si>
  <si>
    <t xml:space="preserve">Phan Thị Minh Huyền </t>
  </si>
  <si>
    <t>GV</t>
  </si>
  <si>
    <t>Hóa vô cơ</t>
  </si>
  <si>
    <t>Viện hàn lâm</t>
  </si>
  <si>
    <t>2023-2027</t>
  </si>
  <si>
    <t>Lý luận PPGD</t>
  </si>
  <si>
    <t>Đang xác định</t>
  </si>
  <si>
    <t>Nguyễn Bùi Hậu</t>
  </si>
  <si>
    <t>Lý luận PPGD Tin học</t>
  </si>
  <si>
    <t>Đại học Sư phạm Hà Nội</t>
  </si>
  <si>
    <t>2022-2025</t>
  </si>
  <si>
    <t>Nguyễn Thị Kim Chi</t>
  </si>
  <si>
    <t>TTHCM</t>
  </si>
  <si>
    <t>2023-2026</t>
  </si>
  <si>
    <t>Đậu Hồng Quân</t>
  </si>
  <si>
    <t>Toán giải tích</t>
  </si>
  <si>
    <t>Ba Lan</t>
  </si>
  <si>
    <t>2020-2024</t>
  </si>
  <si>
    <t>Dương Thị Mai Hoa</t>
  </si>
  <si>
    <t>Lí luận và PPDH bộ môn Văn, Tiếng Việt</t>
  </si>
  <si>
    <t>2021-2024</t>
  </si>
  <si>
    <t>Khoa Văn</t>
  </si>
  <si>
    <t>Phan Thị Nhuần</t>
  </si>
  <si>
    <t>Nguyễn Thị Kim Thi</t>
  </si>
  <si>
    <t xml:space="preserve"> Phan Hữu Tiệp</t>
  </si>
  <si>
    <t>CN</t>
  </si>
  <si>
    <t>Nguyễn Thị Mai Lan</t>
  </si>
  <si>
    <t>Chức vụ hiện tại</t>
  </si>
  <si>
    <t>Chức danh lãnh đạo quản lý trong quy hoạch</t>
  </si>
  <si>
    <t>Hình thức đào tạo</t>
  </si>
  <si>
    <t>Thời gian
(dự kiến từ năm … đến năm ...)</t>
  </si>
  <si>
    <t xml:space="preserve">Kinh phí dự trù
</t>
  </si>
  <si>
    <t>Tập trung</t>
  </si>
  <si>
    <t>Không tập trung</t>
  </si>
  <si>
    <t>Dự kiến 2023</t>
  </si>
  <si>
    <t>Trung cấp LLCT</t>
  </si>
  <si>
    <t>Lê Văn Đoài</t>
  </si>
  <si>
    <t>2023 - 2024</t>
  </si>
  <si>
    <t>Lê Văn Vinh</t>
  </si>
  <si>
    <t>Đặng Như Thường - K Sử</t>
  </si>
  <si>
    <t>PTK</t>
  </si>
  <si>
    <t>2023-2024</t>
  </si>
  <si>
    <t>Nguyễn Thị Duyên - K Sử</t>
  </si>
  <si>
    <t>1.5</t>
  </si>
  <si>
    <t>Tôn Nữ Hải Yến- K Sử</t>
  </si>
  <si>
    <t>TLĐT chuyên trách</t>
  </si>
  <si>
    <t>TK, PTK</t>
  </si>
  <si>
    <t>Khoa GDTH</t>
  </si>
  <si>
    <t>Bắt đầu đi học từ tháng 2/2023</t>
  </si>
  <si>
    <t>2022-2023</t>
  </si>
  <si>
    <t>1.8</t>
  </si>
  <si>
    <t>1.9</t>
  </si>
  <si>
    <t>Cao Cấp LLCT</t>
  </si>
  <si>
    <t>Phó Trưởng khoa</t>
  </si>
  <si>
    <t>Phan Thị Quỳnh Trang</t>
  </si>
  <si>
    <t>Bí thư đoàn trường SP</t>
  </si>
  <si>
    <t>2024 - 2024</t>
  </si>
  <si>
    <t xml:space="preserve">Bí thư CB </t>
  </si>
  <si>
    <t>TK</t>
  </si>
  <si>
    <t>Chu Văn Lanh</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</si>
  <si>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</si>
  <si>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</si>
  <si>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</si>
  <si>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</si>
  <si>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</si>
  <si>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</si>
  <si>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Tại
ĐHV</t>
  </si>
  <si>
    <t>ĐH Vinh chi trả</t>
  </si>
  <si>
    <t>Phan Thị Cẩm Vân - Khoa Lịch sử</t>
  </si>
  <si>
    <t>da thi va dat ket qua GVC</t>
  </si>
  <si>
    <t>Đỗ Thanh Thùy</t>
  </si>
  <si>
    <t>Lê Cảnh Trung</t>
  </si>
  <si>
    <t xml:space="preserve"> Nguyễn Tiến Dũng</t>
  </si>
  <si>
    <t>Chưa dự thi</t>
  </si>
  <si>
    <t>KẾ HOẠCH THAM GIA HỘI NGHỊ, HỘI THẢO, TẬP HUẤN, THỰC TẬP SINH, HỢP TÁC KHOA HỌC</t>
  </si>
  <si>
    <t>Tiêu đề/Nội dung</t>
  </si>
  <si>
    <t>Thời lượng</t>
  </si>
  <si>
    <t>Nơi tổ chức</t>
  </si>
  <si>
    <t>Nguyễn Thị Nhị</t>
  </si>
  <si>
    <t>Hội thảo/ tập huấn</t>
  </si>
  <si>
    <t>5 ngày</t>
  </si>
  <si>
    <t>ĐHV+ TP-HCM</t>
  </si>
  <si>
    <t>06 - 08/2023</t>
  </si>
  <si>
    <t>ĐHV</t>
  </si>
  <si>
    <t>Chu Van Lanh</t>
  </si>
  <si>
    <t>Thực tập sinh</t>
  </si>
  <si>
    <t>3 tháng</t>
  </si>
  <si>
    <t>07- 10/2023</t>
  </si>
  <si>
    <t>Khác</t>
  </si>
  <si>
    <t>Chu Vaăn Lanh</t>
  </si>
  <si>
    <t>15 ngày</t>
  </si>
  <si>
    <t>ĐHV+ TP-HCM+ Hà nội</t>
  </si>
  <si>
    <t>Lưu Tiến Hưng</t>
  </si>
  <si>
    <t>10- 12/2023</t>
  </si>
  <si>
    <t>Đoàn Thế  Ngô Vinh</t>
  </si>
  <si>
    <t>Nguyễn Thành công</t>
  </si>
  <si>
    <t>Đoỗ Thanh Thùy</t>
  </si>
  <si>
    <t>Châu âu</t>
  </si>
  <si>
    <t>07- 12/2023</t>
  </si>
  <si>
    <t>Hội thảo/ tập huấn/ Hội nghị</t>
  </si>
  <si>
    <t>3 ngày</t>
  </si>
  <si>
    <t xml:space="preserve">Hà Nội+ TP-HCM+Quy Nhơn </t>
  </si>
  <si>
    <t>2 buổi</t>
  </si>
  <si>
    <t>ĐHV+ Hà nội</t>
  </si>
  <si>
    <t>Phan  Thị Thùy</t>
  </si>
  <si>
    <t>Đại hội Toán học Việt Nam lần thứ 10</t>
  </si>
  <si>
    <t>Đà Nẵng</t>
  </si>
  <si>
    <t>Dương Xuân Giáp</t>
  </si>
  <si>
    <t>Nguyễn Thị Hồng Loan</t>
  </si>
  <si>
    <t>Nguyễn Ngọc Bích</t>
  </si>
  <si>
    <t>Nguyễn Văn Đức</t>
  </si>
  <si>
    <t>Nguyễn Chiến Thắng</t>
  </si>
  <si>
    <t>Lê Văn Thành</t>
  </si>
  <si>
    <t>Nguyễn Thị Thế</t>
  </si>
  <si>
    <t>Bùi Văn Hùng</t>
  </si>
  <si>
    <t>Hội thảo/tập huấn</t>
  </si>
  <si>
    <t>Nguyễn Như An</t>
  </si>
  <si>
    <t>ĐHV/Hà Nội</t>
  </si>
  <si>
    <t>Chế Thị Hải Linh</t>
  </si>
  <si>
    <t>Nguyễn Việt Phương</t>
  </si>
  <si>
    <t>Trần Thị Mỹ Linh</t>
  </si>
  <si>
    <t xml:space="preserve">5 ngày </t>
  </si>
  <si>
    <t>Bùi Thị Cần</t>
  </si>
  <si>
    <t>5ngày</t>
  </si>
  <si>
    <t>Hoàng Thị Nga</t>
  </si>
  <si>
    <t>2 ngày</t>
  </si>
  <si>
    <t>ĐHV/Đà Nẵng</t>
  </si>
  <si>
    <t>Đã tham dự Hội thảo đúng kế hoạch</t>
  </si>
  <si>
    <t>DHV</t>
  </si>
  <si>
    <t>Tháng 10 năm 2023</t>
  </si>
  <si>
    <t>Chu Thi Hà Thanh</t>
  </si>
  <si>
    <t>ĐHV/Huế</t>
  </si>
  <si>
    <t>KẾ HOẠCH BỔ NHIỆM GS, PGS VÀ THAY ĐỔI CHỨC DANH NGHỀ NGHIỆP</t>
  </si>
  <si>
    <t>Dân tộc</t>
  </si>
  <si>
    <t>Ngành/chuyên ngành</t>
  </si>
  <si>
    <t>Chức danh hiện tại</t>
  </si>
  <si>
    <t>Chức danh đề nghị 
bổ nhiệm/thay đổi</t>
  </si>
  <si>
    <t>GVCC/ PGS</t>
  </si>
  <si>
    <t>Lý thuyết xác suất và Thống kê Toán học</t>
  </si>
  <si>
    <t>GVCC/GVC</t>
  </si>
  <si>
    <t>Nguyễn Thị Ngọc Diệp</t>
  </si>
  <si>
    <t>Lý luận và phương pháp dạy học Toán</t>
  </si>
  <si>
    <t>Khoa TL-GD</t>
  </si>
  <si>
    <t>Phạm Lê Cường</t>
  </si>
  <si>
    <t>Lý luận và phương pháp dạy học Sinh học</t>
  </si>
  <si>
    <t>TTBDNVSP</t>
  </si>
  <si>
    <t>Thực vật học</t>
  </si>
  <si>
    <t>Động vật học</t>
  </si>
  <si>
    <t>Văn học nước ngoài</t>
  </si>
  <si>
    <t>Hán Nôm</t>
  </si>
  <si>
    <t>Tổng hợp kinh phí</t>
  </si>
  <si>
    <t>Trung cấp</t>
  </si>
  <si>
    <t>Cao cấp</t>
  </si>
  <si>
    <t>Bồi dưỡng</t>
  </si>
  <si>
    <t>Hội thảo</t>
  </si>
  <si>
    <t>Biểu số 7</t>
  </si>
  <si>
    <t>KẾ HOẠCH ĐĂNG KÝ NHIỆM VỤ NGHIÊN CỨU KHOA HỌC NĂM TÀI CHÍNH 2023</t>
  </si>
  <si>
    <t>NHIỆM VỤ KHOA HỌC CÔNG NGHỆ</t>
  </si>
  <si>
    <t>Chủ trì đề tài, dự án</t>
  </si>
  <si>
    <t>Tổng Số kinh phí của năm lập kế hoạch, trong đó:</t>
  </si>
  <si>
    <t>KẾT QUÁ THỰC HIỆN ĐẾT THÁNG 6/2023</t>
  </si>
  <si>
    <t>Kinh phí ngân sách cấp</t>
  </si>
  <si>
    <t>Kinh phí từ quỹ trích lập thực hiện nhiệm vụ KHCN cấp Trường</t>
  </si>
  <si>
    <t>Kinh phí từ các tổ chức khác</t>
  </si>
  <si>
    <t>ĐỀ TÀI CÓ SỬ DỤNG NGUỒN KINH PHÍ NGÂN SÁCH CẤP QUA GIAO DỰ TOÁN CỦA BỘ GIÁO DỤC VÀ ĐÀO TẠO</t>
  </si>
  <si>
    <t>Các đề tài, dự án cấp Nhà nước</t>
  </si>
  <si>
    <t>1.1.1</t>
  </si>
  <si>
    <t>Nghiên cứu các đại lượng đặc trưng của sợi tinh thể quang tử được thẩm thấu các chất lỏng khác nhau ứng dụng cho phát siêu liên tục</t>
  </si>
  <si>
    <t>Các đề tài, dự án cấp Bộ</t>
  </si>
  <si>
    <t>1.2.1</t>
  </si>
  <si>
    <t xml:space="preserve">Phát triển chương trình giáo dục mầm non theo tiếp cận phù hợp với bối cảnh địa phương </t>
  </si>
  <si>
    <t>Nguyễn Thị Thu Hạnh, Trần Thị Thúy Nga, Nguyễn Thị Kỳ, Trần Thị Hoàng Yến</t>
  </si>
  <si>
    <t>1.2.2</t>
  </si>
  <si>
    <t>Nghiên cứu tổng hợp xúc tác dị hợp N-CeO2 ứng dụng cho phản ứng quan phân huỷ các chất hữu cơ độc hại khó phân huỷ trong môi trường nước bằng ánh sáng khả kiến( B2002-TDV 06)</t>
  </si>
  <si>
    <t>Khoa Hóa  Học</t>
  </si>
  <si>
    <t>1.2.3</t>
  </si>
  <si>
    <t>Phát triển năng lực thực hành thí nghiệm cho sinh viên sư phạm hoá học theo tiếp cận CDIO (B2002-TDV-02)</t>
  </si>
  <si>
    <t>1.2.4</t>
  </si>
  <si>
    <t>Nghiên cứu thiết kế các sợi tinh thể quang tử phi tuyến với các loại mạng khác nhau ứng dụng cho phát siêu liên tục</t>
  </si>
  <si>
    <t>1.2.5</t>
  </si>
  <si>
    <t>Nghiên cứu ảnh hưởng của tán sắc bậc cao và từ trường ngoài lên cách tử cảm ứng điện từ</t>
  </si>
  <si>
    <t>1.2.6</t>
  </si>
  <si>
    <t>Nghiên cứu tính đa dạng thực vật, phân tích thành phần hoá học tinh dầu, đánh giá hoạt tính sinh học của một số loài thuộc chi Trâm (Syzygium Gaertn) phân bố ở khu vực Bắc Trung Bộ</t>
  </si>
  <si>
    <t>1.2.7</t>
  </si>
  <si>
    <t>Nghiên cứu biến động đa dạng chức năng của thực vật bậc cao theo sinh cảnh sống</t>
  </si>
  <si>
    <t>1.2.8</t>
  </si>
  <si>
    <t>Đề tài cấp bộ</t>
  </si>
  <si>
    <t>Khoa Chính trị</t>
  </si>
  <si>
    <t>1.2.9</t>
  </si>
  <si>
    <t>Phát triển năng lực dạy học tích hợp trong môn Toán cho sinh viên ngành Giáo dục Tiểu học B2022-TDV-03</t>
  </si>
  <si>
    <t>1.2.10</t>
  </si>
  <si>
    <t>Giải pháp nâng cao hiệu quả dạy học môn Lịch sử, Địa lý cho học sinh miền núi vùng khó khăn đáp ứng yêu cầu chương trình GDPT 2018</t>
  </si>
  <si>
    <t>1.2.11</t>
  </si>
  <si>
    <t>Tính chất định tính của phương trình vi tích phân ngẫu nhiên và ứng dụng</t>
  </si>
  <si>
    <t>1.2.12</t>
  </si>
  <si>
    <t>Luật mạnh số lớn Kolmogorov-Marcinkiewicz-Zygmund: Một số hướng mở rộng, phát triển và ứng dụng</t>
  </si>
  <si>
    <t>1.2.13</t>
  </si>
  <si>
    <t>Toán Giải tích (đăng ký mới)</t>
  </si>
  <si>
    <t>1.2.14</t>
  </si>
  <si>
    <t>Một số kết quả về luật số lớn và định lý ergodic</t>
  </si>
  <si>
    <t>1.2.15</t>
  </si>
  <si>
    <t>Biện pháp nâng cao mức độ thích ứng
với hoạt động học tập của học sinh dân tộc thiểu số vùng
đặc biệt khó khăn ở các tỉnh Bắc Trung Bộ.</t>
  </si>
  <si>
    <t>Khoa Tâm Lý- Giáo dục</t>
  </si>
  <si>
    <t>Hội thảo, hội nghị</t>
  </si>
  <si>
    <t>1.3.1</t>
  </si>
  <si>
    <t>Hội thảo KH Địa lí, thành lập khoa năm tháng 11/2023</t>
  </si>
  <si>
    <t>Khoa Địa  lí</t>
  </si>
  <si>
    <t>1.3.2</t>
  </si>
  <si>
    <t>Cách tử cảm ứng điện từ dựa vào hiệu ứng trong suốt cảm ứng điện từ</t>
  </si>
  <si>
    <t>1.3.3</t>
  </si>
  <si>
    <t>Hội Thảo Khoa học, Nghiên cứu, ứng dụng khoa học giáo dục trong đào tạo, bồi dưỡng nhà giáo và cán bộ quản lý giáo dục</t>
  </si>
  <si>
    <t>Khoa Tâm lý- Giáo dục</t>
  </si>
  <si>
    <t>NHIỆM VỤ KHOA HỌC CÔNG NGHỆ SỬ DỤNG NGUỒN KINH PHÍ TRƯỜNG ĐẠI HỌC VINH</t>
  </si>
  <si>
    <t>Đề tài cấp Bộ sử dụng nguồn kinh phí Trường</t>
  </si>
  <si>
    <t>2.1.1</t>
  </si>
  <si>
    <t>Nâng cao chất lượng giảng dạy nội dung Giáo dục đia phương theo CTGDPT 2018 ở các tỉnh Thanh Hoá, Nghệ An, Hà Tĩnh</t>
  </si>
  <si>
    <t>2.1.2</t>
  </si>
  <si>
    <t>Những vấn đề xã hội đặt ra ở các huyện miền núi Nghệ An trong bối cảnh đẩy mạnh công nghiệp hóa, hiện đại hóa</t>
  </si>
  <si>
    <t>Đề tài Nghiên cứu khoa học cấp Trường của Giảng viên</t>
  </si>
  <si>
    <t>2.2.1</t>
  </si>
  <si>
    <t>Dạy học dự án học phần Cơ học</t>
  </si>
  <si>
    <t>2.2.2</t>
  </si>
  <si>
    <t xml:space="preserve">Xây dựng và rà soát chương trình đào tạo Sau đại học chuyên ngành quang học </t>
  </si>
  <si>
    <t>2.2.3</t>
  </si>
  <si>
    <t xml:space="preserve">Rà soát phát triển chương trình đào tạo Sau đại học chuyên ngành Lý luận và Phương pháp dạy học môn Vật lý </t>
  </si>
  <si>
    <t>2.2.4</t>
  </si>
  <si>
    <t xml:space="preserve">Xây dựng và rà soát chương trình đào tạo Sau đại học chuyên ngành Lịch sử thế giới </t>
  </si>
  <si>
    <t>2.2.5</t>
  </si>
  <si>
    <t>Xây dựng và rà soát chương trình đào tạo Sau đại học chuyên ngành Lịch sử Việt Nam</t>
  </si>
  <si>
    <t>2.2.6</t>
  </si>
  <si>
    <t xml:space="preserve">Xây dựng và rà soát chương trình đào tạo Sau đại học chuyên ngành Địa lí học </t>
  </si>
  <si>
    <t>2.2.7</t>
  </si>
  <si>
    <t>Xây dựng và rà soát chương trình đào tạo Sau đại học chuyên ngành phương pháp GDLLCT</t>
  </si>
  <si>
    <t>2.2.8</t>
  </si>
  <si>
    <t xml:space="preserve">Những giải pháp nâng cao chất lượng dạy học tiếng Việt cho người </t>
  </si>
  <si>
    <t>2.2.9</t>
  </si>
  <si>
    <t>Những giải pháp nâng cao chất lượng dạy học tiếng Việt cho người nước ngoài tại truờng Đại học Vinh</t>
  </si>
  <si>
    <t>2.2.10</t>
  </si>
  <si>
    <t>Xây dựng và rà soát chương trình đào tạo Sau đại học chuyên ngành Văn học Việt Nam</t>
  </si>
  <si>
    <t>2.2.11</t>
  </si>
  <si>
    <t>Xây dựng và rà soát chương trình đào tạo Sau đại học chuyên ngành Lí luận và phương pháp dạy học bộ môn Ngữ văn</t>
  </si>
  <si>
    <t>2.2.12</t>
  </si>
  <si>
    <t>Xây dựng và rà soát chương trình đào tạo Sau đại học chuyên ngành Lí luận văn học</t>
  </si>
  <si>
    <t>2.2.13</t>
  </si>
  <si>
    <t>Xây dựng học phần Lí luận văn học theo hình thức dạy học đồ án/dự án</t>
  </si>
  <si>
    <t>2.2.14</t>
  </si>
  <si>
    <t>Xây dựng học phần Tổ chức dạy học và kiểm tra đánh giá theo hình thức dạy học đồ án/dự án</t>
  </si>
  <si>
    <t>2.2.15</t>
  </si>
  <si>
    <t>Xây dựng học phần Ngữ pháp và ngữ pháp văn bản theo hình thức dạy học đồ án/dự án</t>
  </si>
  <si>
    <t>2.2.16</t>
  </si>
  <si>
    <t>Xây dựng học phần Văn học châu Âu theo hình thức dạy học đồ án/dự án</t>
  </si>
  <si>
    <t>2.2.17</t>
  </si>
  <si>
    <t>Xây dựng và rà soát chương trình đào tạo Sau Đại học chuyên ngành Giáo dục học (Giáo dục Mầm non)</t>
  </si>
  <si>
    <t>2.2.18</t>
  </si>
  <si>
    <t>Năng cao năng lực giáo viên trong tổ chức các hoạt động phát triển vận động cho trẻ mầm non phù hợp với bối cảnh địa phương</t>
  </si>
  <si>
    <t>2.2.19</t>
  </si>
  <si>
    <t>Tổng hợp các benzoxazole với xúc tác [Bmim]PF6 trong điều kiện không dung môi và hỗ trợ của vi sóng</t>
  </si>
  <si>
    <t>2.2.20</t>
  </si>
  <si>
    <t>Nghiên cứu đổi mới nội dung, phương pháp giảng dạy và đánh giá học phần đồ án Lý luận và phương pháp dạy học Tin học theo tiếp cận CDIO</t>
  </si>
  <si>
    <t>2.2.21</t>
  </si>
  <si>
    <t>Nghiên cứu đổi mới nội dung, phương pháp giảng dạy và đánh giá học phần đồ án Phân tích và thiết kế thuật toán theo tiếp cận CDIO</t>
  </si>
  <si>
    <t>Trần Xuân Hào</t>
  </si>
  <si>
    <t>2.2.22</t>
  </si>
  <si>
    <t>Xây dựng học liệu số bằng tiếng Anh cho học phần Hóa sinh - Sinh học phân tử, ngành Sư phạm Sinh học</t>
  </si>
  <si>
    <t>Tổ chức dạy học theo dự án học phần "Vi sinh vật học" trong chương trình đào tạo cử nhân sư phạm Sinh học</t>
  </si>
  <si>
    <t>TS. Trần Huyền Trang</t>
  </si>
  <si>
    <t>Xây dựng và rà soát chương trình Đào tạo Sau đại học chuyên ngành Động vật học</t>
  </si>
  <si>
    <t>GV chuyên ngành ĐV</t>
  </si>
  <si>
    <t>Xây dựng và rà soát chương trình Đào tạo Sau đại học chuyên ngành Thực vật học</t>
  </si>
  <si>
    <t>GV chuyên ngành TV</t>
  </si>
  <si>
    <t>Xây dựng và rà soát chương trình Đào tạo Sau đại học chuyên ngành Sinh học thực nghiệm</t>
  </si>
  <si>
    <t>GV chuyên ngành SHTN</t>
  </si>
  <si>
    <t>Xây dựng và rà soát chương trình Đào tạo Sau đại học chuyên ngành LL&amp;PPDH</t>
  </si>
  <si>
    <t>GV chuyên ngành LL&amp;PPDH</t>
  </si>
  <si>
    <t>Xây dựng và rà soát chương trình đào tạo Sau đại học chuyên ngành Quản lý giáo dục</t>
  </si>
  <si>
    <t xml:space="preserve"> Khoa Tâm lý- Giáo dục </t>
  </si>
  <si>
    <t>Những giải pháp nâng cao chất lượng dạy học Giáo dục học tiểu học</t>
  </si>
  <si>
    <t>Nâng cao năng lực sư phạm cho đội ngũ giảng viên Trường Đại học Vinh (đề tài trọng điểm cấp trường)</t>
  </si>
  <si>
    <t>Trung tâm BDNVSP</t>
  </si>
  <si>
    <t>Xây dựng hệ thống công cụ đánh giá trong học phần "Thực địa và đồ án địa lí tự nhiên"</t>
  </si>
  <si>
    <t>Xây dựng hệ thống công cụ đánh giá năng lực thành hành nghề nghiệp cho SV ngành SP Địa lí</t>
  </si>
  <si>
    <t>Rèn luyện năng lực dạy học STEM cho sinh viên ngành SP Địa lí</t>
  </si>
  <si>
    <t>Các công bố khoa học</t>
  </si>
  <si>
    <t>2.4</t>
  </si>
  <si>
    <t>Các nhiệm vụ khoa học từ các nhóm nghiên cứu</t>
  </si>
  <si>
    <t>2.4.1</t>
  </si>
  <si>
    <t>Đổi mới chương trình đào tạo trình độ thạc sĩ chuyên ngành Giáo dục học (Giáo dục mầm non) theo hướng ứng dụng</t>
  </si>
  <si>
    <t>Nhóm nghiên cưu: Trần Thị Hoàng Yến, Nguyễn Thị Thu Hạnh, Phạm Thị Hải Châu, Trần Thị Thúy Nga, Nguyễn Thị Kỳ, Phan Huy Hà, Võ Trọng Vinh</t>
  </si>
  <si>
    <t xml:space="preserve">Khoa GDMN </t>
  </si>
  <si>
    <t>2.4.2</t>
  </si>
  <si>
    <t>Nghiên cứu các PCF phi tuyến với các mạng khác nhau (mạng tròn, vuông và lục giác), các đại lượng đặc trưng của PCF (chiết suất hiệu dụng, diện tích mode hiệu dụng, tán sắc và giam giữ mất mát)</t>
  </si>
  <si>
    <t>Nhóm Quang tử: Chu Văn lanh, Lê Cảnh Trung,...</t>
  </si>
  <si>
    <t>2.4.3</t>
  </si>
  <si>
    <t>Nghiên cứu đặc trưng hấp thụ và tán sắc của môi trường Quang học</t>
  </si>
  <si>
    <t>Lê cảnh Trung</t>
  </si>
  <si>
    <t>2.4.4</t>
  </si>
  <si>
    <t>Nghiên cứu lý thuyết và thực nghiệm về điều khiển các tính chất quang nguyên tử dựa trên hiệu ứng trong suốt cảm ứng điện từ đa tần số trong suốt</t>
  </si>
  <si>
    <t>Lê văn Đoài</t>
  </si>
  <si>
    <t>2.4.5</t>
  </si>
  <si>
    <t>Nghiên cứu phát triển năng lực dạy học trải nghiệm cho sinh viên sư phạm vật lý</t>
  </si>
  <si>
    <t>2.4.6</t>
  </si>
  <si>
    <t>Nghiên cứu về lĩnh vực Đại số và Lý thuyết số</t>
  </si>
  <si>
    <r>
      <rPr>
        <sz val="11"/>
        <color theme="1"/>
        <rFont val="Times New Roman"/>
        <family val="1"/>
      </rPr>
      <t xml:space="preserve">Nhóm nghiên cứu chuyên ngành </t>
    </r>
    <r>
      <rPr>
        <i/>
        <sz val="11"/>
        <color theme="1"/>
        <rFont val="Times New Roman"/>
        <family val="1"/>
      </rPr>
      <t>Đại số và Lý thuyết số</t>
    </r>
  </si>
  <si>
    <t>2.4.7</t>
  </si>
  <si>
    <t>Nghiên cứu về lĩnh vực Toán giải tích</t>
  </si>
  <si>
    <r>
      <rPr>
        <sz val="11"/>
        <color theme="1"/>
        <rFont val="Times New Roman"/>
        <family val="1"/>
      </rPr>
      <t xml:space="preserve">Nhóm nghiên cứu chuyên ngành </t>
    </r>
    <r>
      <rPr>
        <i/>
        <sz val="11"/>
        <color theme="1"/>
        <rFont val="Times New Roman"/>
        <family val="1"/>
      </rPr>
      <t>Toán giải tích</t>
    </r>
  </si>
  <si>
    <t>2.4.8</t>
  </si>
  <si>
    <t>Nghiên cứu về lĩnh vực Lý thuyết xác suất và Thống kê toán học</t>
  </si>
  <si>
    <r>
      <rPr>
        <sz val="11"/>
        <color theme="1"/>
        <rFont val="Times New Roman"/>
        <family val="1"/>
      </rPr>
      <t xml:space="preserve">Nhóm nghiên cứu mạnh chuyên ngành </t>
    </r>
    <r>
      <rPr>
        <i/>
        <sz val="11"/>
        <color theme="1"/>
        <rFont val="Times New Roman"/>
        <family val="1"/>
      </rPr>
      <t>Lý thuyết xác suất và Thống kê toán học</t>
    </r>
  </si>
  <si>
    <t>2.4.9</t>
  </si>
  <si>
    <t>Nghiên cứu về lĩnh vực Lí luận và Phương pháp dạy học bộ môn Toán</t>
  </si>
  <si>
    <r>
      <rPr>
        <sz val="11"/>
        <color theme="1"/>
        <rFont val="Times New Roman"/>
        <family val="1"/>
      </rPr>
      <t xml:space="preserve">Nhóm nghiên cứu chuyên ngành </t>
    </r>
    <r>
      <rPr>
        <i/>
        <sz val="11"/>
        <color theme="1"/>
        <rFont val="Times New Roman"/>
        <family val="1"/>
      </rPr>
      <t>Lí luận và Phương pháp dạy học bộ môn Toán</t>
    </r>
  </si>
  <si>
    <t>2.4.10</t>
  </si>
  <si>
    <t>Nghiên cứu quy luật biến động đặc điểm chức năng của thực vật nhằm thích ứng với sự thay đổi của môi trường sống</t>
  </si>
  <si>
    <t>Nhóm nghiên cứu chuyên ngành thực vật</t>
  </si>
  <si>
    <t>Nghiên cứu hoạt tính kháng vi khuẩn của một số dịch chiết thực vật</t>
  </si>
  <si>
    <t>Trần Huyền Trang-Nhóm nghiên cứu Vi sinh vật + thực vật</t>
  </si>
  <si>
    <t>Nghiên cứu sự thay đổi của cộng đồng vi sinh vật trong quá trình sản xuất một số loại nước mắm bằng kĩ thuật giải trình tự Metagenomics</t>
  </si>
  <si>
    <t>Trần Huyền Trang -Nhóm nghiên cứu Vi sinh vật</t>
  </si>
  <si>
    <t>2.5</t>
  </si>
  <si>
    <t>Các hội nghị, hội thảo khoa học</t>
  </si>
  <si>
    <t>2.5.1</t>
  </si>
  <si>
    <t>Hội thảo khoa học</t>
  </si>
  <si>
    <t>Đổit mới chương trình đào tạo trình độ thạc sĩ chuyên ngành Giáo dục học (Giáo dục mầm non) theo hướng ứng dụng</t>
  </si>
  <si>
    <t>2.5.2</t>
  </si>
  <si>
    <t>Hội nghị sinh viên NCKH</t>
  </si>
  <si>
    <t>2.5.3</t>
  </si>
  <si>
    <t>Hội thảo Phật giáo Hà Tĩnh trong dòng chảy lịch sử- văn hoá Phật Giáo Việt Nam (3/2023)</t>
  </si>
  <si>
    <t>2.5.4</t>
  </si>
  <si>
    <t>2.5.5</t>
  </si>
  <si>
    <t>Hội thảo Về sợi tinh thế quang tử phi tuyến</t>
  </si>
  <si>
    <t>2.5.6</t>
  </si>
  <si>
    <t>2.5.7</t>
  </si>
  <si>
    <t>Hội thảo kỷ niệm 55 năm thành lập khoa Lịch sử (10.2023)</t>
  </si>
  <si>
    <t>2.5.8</t>
  </si>
  <si>
    <t>Hội thảo khoa học "Nghiên cứu và ứng dụng Toán học"</t>
  </si>
  <si>
    <t>2.6</t>
  </si>
  <si>
    <t>Các hoạt động KHCN khác</t>
  </si>
  <si>
    <t>2.7</t>
  </si>
  <si>
    <t>Đề tài Nghiên cứu khoa học cấp Trường của Người học</t>
  </si>
  <si>
    <t>2.7.1</t>
  </si>
  <si>
    <t>Nghiên cứu khoa học sinh viên</t>
  </si>
  <si>
    <t>sinh viên khóa 61,62,63</t>
  </si>
  <si>
    <t>2.7.2</t>
  </si>
  <si>
    <t>Sinh viên các trường đại học trên địa bàn tỉnh Nghệ An học tập và làm theo tư tưởng, đạo đức, phong cách Hồ Chí Minh về ý chí tự lực, tự cường và khát vọng phát triển đất nước phồn vinh, hạnh phúc (Đề xuất thêm)</t>
  </si>
  <si>
    <t>sinh viên khóa 62,63</t>
  </si>
  <si>
    <t>2.7.3</t>
  </si>
  <si>
    <t>Một số biện pháp nâng cao chất lượng tổ chức các hoạt động phát triển vận động cho trẻ mầm non phù hợp với bối cảnh địa phương. Đề tài SV NCKH k61 của học phần PP GDTC cho trẻ MN( học phần thường)</t>
  </si>
  <si>
    <t>2.7.4</t>
  </si>
  <si>
    <t>Giáo dục kỹ năng xã hội cho trẻ 5 – 6 tuổi thông qua tổ chức hoạt động khám phá môi trường xung quanh. Đề tài SV NCKH - K61 học phần đồ án PP tổ chức cho trẻ khám phá môi trường xung quanh (đề xuất thêm)</t>
  </si>
  <si>
    <t>sinh viên khóa 61,62</t>
  </si>
  <si>
    <t>2.7.5</t>
  </si>
  <si>
    <t>Nghiên cứu cách thức tổ chức các hoạt động nuôi dưỡng, chăm sóc sức khỏe cho trẻ mầm non phù hợp với bối cảnh địa phương. Đề tài NCKH của sv K63 học phần đồ án Vệ sinh và phòng bệnh cho trẻ mầm non</t>
  </si>
  <si>
    <t>2.7.6</t>
  </si>
  <si>
    <t>"Nghiên cứu thành phần hóa học và hoạt tính sinh học của tinh dầu cây tía tô (Perllia Frutescens)"-Đề tài NCKH SV K62 theo học phần đồ án "Hóa hữu cơ 2" - HK1 năm 2023</t>
  </si>
  <si>
    <t>Sinh viên K62</t>
  </si>
  <si>
    <t>2.7.7</t>
  </si>
  <si>
    <t>"Nghiên cứu cấu trúc, tính chất một số hợp chất hữu cơ bằng phương pháp hóa lượng tử" theo học phần đồ án " Hóa lý 2" - K62, HK2 năm 2023</t>
  </si>
  <si>
    <t>Sinh Viên K62, K61</t>
  </si>
  <si>
    <t>2.7.8</t>
  </si>
  <si>
    <t>"Nghiên cứu biến tính CeO2 làm xúc tác  cho phản ứng quang hóa xử lý chất ô nhiễm hữu cơ"- Theo học phần đồ án " Hóa lý 2" - K62, HK2 năm 2023</t>
  </si>
  <si>
    <t>Sinh viên K62,K63</t>
  </si>
  <si>
    <t>2.7.9</t>
  </si>
  <si>
    <t>"Nghiên cứu xác định hàm lượng kim loại trong một số thực phẩm chức năng có tác dụng chữa ho" Đề tài KH của nhóm SV bao gồm cả K61 và K63 theo HP đồ án " Hóa Kỹ thuật và môi trường"- HK2 năm học 2023- 2024</t>
  </si>
  <si>
    <t>Sinh viên K61, K63</t>
  </si>
  <si>
    <t>2.7.10</t>
  </si>
  <si>
    <t xml:space="preserve">Đề tài NCKH của SV Lịch sử </t>
  </si>
  <si>
    <t>2.7.11</t>
  </si>
  <si>
    <t xml:space="preserve">Đề tài NCKH của SV Vật lý </t>
  </si>
  <si>
    <t>Sinh viên K61</t>
  </si>
  <si>
    <t>2.7.12</t>
  </si>
  <si>
    <t>Đề tài NCKH của SV Vật lý theo môn học đồ án "Quang học" K62 kì 1 năm học 2023-2024</t>
  </si>
  <si>
    <t>2.7.13</t>
  </si>
  <si>
    <t>Đề tài NCKH của SV Vật lý theo môn học đồ án "Điên từ học" K62 kì 2 năm học 2022-2023</t>
  </si>
  <si>
    <t xml:space="preserve">Đề tài NCKH của SV Vật lý theo môn học đồ án "Phương pháp dạy học Vật lý phổ thông" K62 </t>
  </si>
  <si>
    <t>Đề tài NCKH của SV Vật lý theo môn học đồ án "Cơ học" K63 kì 2 năm học 2022-2023</t>
  </si>
  <si>
    <t>Sinh viên K63</t>
  </si>
  <si>
    <t>Xây dựng hệ thống trò chơi hỗ trợ phương pháp dạy học thông qua trò chơi  trong dạy học môn Tin học THPT</t>
  </si>
  <si>
    <t xml:space="preserve">Đề tài NCKH  thứ nhất của SV ngành SP Toán Tin học, theo môn học đồ án "Lập trình hướng đối tượng" dạy K63 học kì 2 năm học 2022-2023 </t>
  </si>
  <si>
    <t>Đề tài NCKH  thứ 2 của SV ngành SP Toán Tin học, theo môn học đồ án "Ứng dụng ICT trong giáo dục" dạy K63 học kì 1 năm học 2023-2024</t>
  </si>
  <si>
    <t xml:space="preserve">Đề tài NCKH  thứ 3 của SV ngành SP Toán Tin học, theo môn học đồ án "Lập trình hướng đối tượng" dạy K63 học kì 2 năm học 2022-2023 </t>
  </si>
  <si>
    <t>Đề tài NCKH thứ 4 của SV ngành SP Toán Tin học, theo môn học đồ án "Ứng dụng ICT trong giáo dục" dạy K63 học kì 1 năm học 2023-2024</t>
  </si>
  <si>
    <t>Xây dựng một số bài giảng, học liệu số phục vụ giảng dạy chương trình sinh học 10 đáp ứng đổi giáo dục phổ thông, theo môn học đồ án "Nhập môn ngành Sư phạm" dạy K63 học kì 1 năm học 2023-2024</t>
  </si>
  <si>
    <t>Sinh viên K63 và Câu lạc bộ sinh viên khởi nghiệp sáng tạo trong nghiên cứu và giảng dạy Sinh học</t>
  </si>
  <si>
    <t xml:space="preserve">Đề tài NCKH của SV  ngành SP Sinh học,  theo môn học đồ án "Vi sinh học" dạy K63 học kì 1 năm học 2023-2024 </t>
  </si>
  <si>
    <t>Đề tài NCKH của SV ngành SP Sinh học,  theo môn học đồ án "Công nghệ Sinh học và ứng dụng" dạy K62 học kì 1 năm học 2023-2024 , phần Công nghệ Sinh học Người và Động vật</t>
  </si>
  <si>
    <t>Đề tài NCKH của SV ngành SP Sinh học,  theo môn học đồ án "Công nghệ Sinh học và ứng dụng" dạy K62 học kì 1 năm học 2023-2024, phần Công nghệ Sinh học Thực vật</t>
  </si>
  <si>
    <t>Đề tài NCKH của SV ngành SP Sinh học,  theo môn học "Động vật học" dạy K62 học kì 2 năm học 2022-2023</t>
  </si>
  <si>
    <t xml:space="preserve">Đề tài NCKH của SV ngành SP Toán học, theo môn học đồ án "Số học" dạy K62 học kì 2 năm học 2022-2023 </t>
  </si>
  <si>
    <t>SV ngành SP Toán học</t>
  </si>
  <si>
    <t>Đề tài NCKH của SV ngành SP Toán học, theo môn học đồ án "Giải tích hàm" dạy K62 học kì 1 năm học 2023-2024</t>
  </si>
  <si>
    <t>Đề tài NCKH của SV ngành SP Toán chất lượng cao, theo môn học đồ án "Số học" dạy K62 CLC học kì 2 năm học 2022-2023</t>
  </si>
  <si>
    <t>SV SP Toán học chất lượng cao</t>
  </si>
  <si>
    <t>Đề tài NCKH của SV ngành SP Toán chất lượng cao, theo môn học đồ án "Cơ sở lý thuyết xác suất (Foundations of Probability Theory" dạy K62 CLC học kì 1 năm học 2023-2024</t>
  </si>
  <si>
    <t>Đề tài NCKH của SV khoa Tâm lý - Giáo dục theo môn học: " Quản lý hoạt động dạy học, giáo dục" dạy k62 kỳ 1 năm học 2023-2024</t>
  </si>
  <si>
    <t>Sinh viên k62</t>
  </si>
  <si>
    <t>Tâm lý - Giáo dục</t>
  </si>
  <si>
    <t>Đề tài NCKH của SV khoa Tâm lý - Giáo dục theo môn học " Truyền thông trong quản lý giáo dục" dạy k64 kỳ 1 năm 2023-2024</t>
  </si>
  <si>
    <t xml:space="preserve">Sinh viên </t>
  </si>
  <si>
    <t>Đề tài NCKH của SV ngành SP Ngữ văn, theo môn học đồ án "Tổ chức dạy học và kiểm tra đánh giá" dạy K62 học kì 2 năm học 2022-2023</t>
  </si>
  <si>
    <t>SV ngành SP Ngữ văn</t>
  </si>
  <si>
    <t>Ngữ văn</t>
  </si>
  <si>
    <t>Đề tài NCKH của SV ngành SP Ngữ văn, theo môn học đồ án "Văn học châu Âu" dạy K62 học kì 1 năm học 2023-2024</t>
  </si>
  <si>
    <t>Đề tài NCKH của SV ngành SP 63, theo môn học đồ án "Lịch sử thế giới cổ trung đại" dạy K62 học kì 1 năm học 2023-2024</t>
  </si>
  <si>
    <t>Đề tài NCKH của SV ngành SP 63, theo môn học đồ án "Phương pháp luận sử học" dạy K62 học kì 1 năm học 2023-2024</t>
  </si>
  <si>
    <t>Đề tài NCKH của SV ngành SP 61, theo môn học đồ án "Phương pháp dạy học toán tiểu học" dạy K61 học kì 2 năm học 2022-2023</t>
  </si>
  <si>
    <t xml:space="preserve"> Sinh viên K61</t>
  </si>
  <si>
    <t>Đề tài NCKH của SV ngành SP 61,62,63</t>
  </si>
  <si>
    <t xml:space="preserve"> Sinh viên K61,62,63</t>
  </si>
  <si>
    <t>CÁC NHIỆM VỤ KHCN ĐƯỢC TỔ CHỨC KHÁC CẤP KINH PHÍ</t>
  </si>
  <si>
    <t>Nghiên cứu điều khiển ánh sáng bởi ánh sáng dựa trên hiệu ứng trong suốt cảm ứng điện từ đa tần số trong suốt</t>
  </si>
  <si>
    <t>Vingroup</t>
  </si>
  <si>
    <t>Tổng cộng = I+II+III</t>
  </si>
  <si>
    <t>Biểu 7b - Kế hoạch công bố NCKH</t>
  </si>
  <si>
    <t>KẾ HOẠCH ĐĂNG KÝ VỀ CÔNG BỐ KHOA HỌC NĂM 2023</t>
  </si>
  <si>
    <t>Đơn vị đăng ký</t>
  </si>
  <si>
    <t>Số lượng công bố trên WoS</t>
  </si>
  <si>
    <t>1.10</t>
  </si>
  <si>
    <t>1.11</t>
  </si>
  <si>
    <t>Khoa Giáo dục mầm non</t>
  </si>
  <si>
    <t>1.12</t>
  </si>
  <si>
    <t>Khoa Tâm lý - Giáo dục</t>
  </si>
  <si>
    <t>Số lượng công bố trên Scopus</t>
  </si>
  <si>
    <t>2.8</t>
  </si>
  <si>
    <t>2.9</t>
  </si>
  <si>
    <t>2.10</t>
  </si>
  <si>
    <t>2.11</t>
  </si>
  <si>
    <t>2.12</t>
  </si>
  <si>
    <t>Số lượng công bố trên tạp chí khoa học, kỷ yếu hội nghị, hội thảo quốc tế khác</t>
  </si>
  <si>
    <t>3.4</t>
  </si>
  <si>
    <t>3.5</t>
  </si>
  <si>
    <t>3.6</t>
  </si>
  <si>
    <t>3.7</t>
  </si>
  <si>
    <t>3.8</t>
  </si>
  <si>
    <t>3.9</t>
  </si>
  <si>
    <t>3.10</t>
  </si>
  <si>
    <t>3.11</t>
  </si>
  <si>
    <t>3.12</t>
  </si>
  <si>
    <t>Số lượng công bố trên các tạp chí khoa học trong nước</t>
  </si>
  <si>
    <t>4.1</t>
  </si>
  <si>
    <t>4.2</t>
  </si>
  <si>
    <t>4.3</t>
  </si>
  <si>
    <t>4.4</t>
  </si>
  <si>
    <t>4.5</t>
  </si>
  <si>
    <t>4.6</t>
  </si>
  <si>
    <t>4.7</t>
  </si>
  <si>
    <t>4.8</t>
  </si>
  <si>
    <t>4.9</t>
  </si>
  <si>
    <t>4.10</t>
  </si>
  <si>
    <t>4.11</t>
  </si>
  <si>
    <t>4.12</t>
  </si>
  <si>
    <t>Số lượng công bố trên các kỷ yếu hội nghị, hội thảo trong nước</t>
  </si>
  <si>
    <t>5.1</t>
  </si>
  <si>
    <t>5.2</t>
  </si>
  <si>
    <t>5.3</t>
  </si>
  <si>
    <t>5.4</t>
  </si>
  <si>
    <t>5.5</t>
  </si>
  <si>
    <t>5.6</t>
  </si>
  <si>
    <t>5.7</t>
  </si>
  <si>
    <t>5.8</t>
  </si>
  <si>
    <t>5.9</t>
  </si>
  <si>
    <t>5.10</t>
  </si>
  <si>
    <t>5.11</t>
  </si>
  <si>
    <t>5.12</t>
  </si>
  <si>
    <t>Các loại hình công bố khác</t>
  </si>
  <si>
    <t>6.1</t>
  </si>
  <si>
    <t>6.2</t>
  </si>
  <si>
    <t>6.3</t>
  </si>
  <si>
    <t>6.4</t>
  </si>
  <si>
    <t>6.5</t>
  </si>
  <si>
    <t>6.6</t>
  </si>
  <si>
    <t>6.7</t>
  </si>
  <si>
    <t>6.8</t>
  </si>
  <si>
    <t>6.9</t>
  </si>
  <si>
    <t>6.10</t>
  </si>
  <si>
    <t>6.11</t>
  </si>
  <si>
    <t>6.12</t>
  </si>
  <si>
    <t xml:space="preserve">                                                         Nghệ An, ngày    tháng 12 năm 2022</t>
  </si>
  <si>
    <t>ĐƠN VỊ LẬP                                       ĐƠN VỊ THẨM ĐỊNH</t>
  </si>
  <si>
    <t xml:space="preserve">   TRƯỜNG ĐẠI HỌC VINH</t>
  </si>
  <si>
    <t>Biểu 8</t>
  </si>
  <si>
    <t>KẾ HOẠCH BIÊN SOẠN, XUẤT BẢN GIÁO TRÌNH, TÀI LIỆU HỌC TẬP
Năm tài chính 2022</t>
  </si>
  <si>
    <t>Đơn vị: ngàn đồng</t>
  </si>
  <si>
    <t>Tên giáo trình/tài liệu học tập 
đăng ký biên soạn, xuất bản</t>
  </si>
  <si>
    <t>Tên học phần tương ứng</t>
  </si>
  <si>
    <t>Hệ ĐT
ĐH/SĐH</t>
  </si>
  <si>
    <t>Mã HP</t>
  </si>
  <si>
    <t>Số TC</t>
  </si>
  <si>
    <t>Khoa quản lý HP</t>
  </si>
  <si>
    <t>Chủ biên (chức danh, học vị)</t>
  </si>
  <si>
    <t xml:space="preserve">Các đồng tác giả </t>
  </si>
  <si>
    <t>Thời gian nộp bản thảo</t>
  </si>
  <si>
    <t>Dự kiến kinh phí thực hiện</t>
  </si>
  <si>
    <t>KẾT QUẢ THỰC HIỆN ĐẾN T6/2023</t>
  </si>
  <si>
    <t>KẾ HOẠCH XUẤT BẢN GIÁO TRÌNH</t>
  </si>
  <si>
    <t>Nhà xuất bản thẩm định</t>
  </si>
  <si>
    <t>Kế hoạch Xuất bản giáo trình đại học</t>
  </si>
  <si>
    <t>Âm nhạc</t>
  </si>
  <si>
    <t>ĐH</t>
  </si>
  <si>
    <t>EDU 30001</t>
  </si>
  <si>
    <t>Giáo dục mầm non</t>
  </si>
  <si>
    <t>ThS. Phan Huy Hà</t>
  </si>
  <si>
    <t>Tháng 8/ 2023</t>
  </si>
  <si>
    <t>Đã bổ sung đồng tác giả. Sau thẩm định lại thiếu thông tin này.</t>
  </si>
  <si>
    <t>PHY31006</t>
  </si>
  <si>
    <t>GS.TS. Đinh Xuân Khoa</t>
  </si>
  <si>
    <t>TS.Lê Cảnh Trung; TS.Hoàng Văn Thụy</t>
  </si>
  <si>
    <t>Tháng 12/2023</t>
  </si>
  <si>
    <t>Phương pháp dạy học Ngữ văn ở trường phổ thông</t>
  </si>
  <si>
    <t>Dẫn luận phương pháp dạy học môn Ngữ văn</t>
  </si>
  <si>
    <t>LIT31013</t>
  </si>
  <si>
    <t>TS. Lê Thị Hồ Quang</t>
  </si>
  <si>
    <t>PGS.TS Phan Huy Dũng, TS. Nguyễn Thị Ngọc Hà, TS. Nguyễn Thị Thanh Hiếu, ThS. Nguyễn Thị Xuân Quỳnh</t>
  </si>
  <si>
    <t>Tháng 3 /2023</t>
  </si>
  <si>
    <t>Bổ sung thêm đồng tác giả là PGS.TS Phan Huy Dũng</t>
  </si>
  <si>
    <t>Hóa vô cơ 1</t>
  </si>
  <si>
    <t>CHE30003</t>
  </si>
  <si>
    <t>ThS. Phan Thị Minh Huyền</t>
  </si>
  <si>
    <t>Kiểm tra đánh giá trong dạy học Hóa học</t>
  </si>
  <si>
    <t>CHE31004</t>
  </si>
  <si>
    <t>TS. Lê Danh Bình</t>
  </si>
  <si>
    <t>TS. Nguyễn Thị Diễm Hằng</t>
  </si>
  <si>
    <t>Tháng 11/2023</t>
  </si>
  <si>
    <t>INF20005</t>
  </si>
  <si>
    <t>TS. Trần Thị Kim Oanh</t>
  </si>
  <si>
    <t>ThS. Nguyễn Bùi Hậu</t>
  </si>
  <si>
    <t>PHY30033</t>
  </si>
  <si>
    <t>PGS.TS.Chu Văn Lanh</t>
  </si>
  <si>
    <t>TS. Hoàng Văn Thụy, TS.Lê Văn Hiệu</t>
  </si>
  <si>
    <t>Sinh thái và Môi trường</t>
  </si>
  <si>
    <t>Sinh thái học và môi trường</t>
  </si>
  <si>
    <t>BIO31008</t>
  </si>
  <si>
    <t>TS. Đào Thị Minh Châu</t>
  </si>
  <si>
    <t>TS. Nguyễn Thị Việt, TS. Hồ Thị Phương, TS. Lê Thị Hương</t>
  </si>
  <si>
    <t>Đã nghiệm thu tháng 4/2023</t>
  </si>
  <si>
    <t>Giải phẫu người</t>
  </si>
  <si>
    <t>BIO31001</t>
  </si>
  <si>
    <t>TS. Trần Đình Quang</t>
  </si>
  <si>
    <t>TS. Nguyễn Thị Giang An, TS. Vũ Văn Khoa, TS. Nguyễn Ngọc Hiền, TS. Nguyễn Ngọc Hòa</t>
  </si>
  <si>
    <t>Sinh lý người và động vật</t>
  </si>
  <si>
    <t>BIO30031</t>
  </si>
  <si>
    <t>TS. Nguyễn Thị Giang An</t>
  </si>
  <si>
    <t>TS. Trần Đình Quang, TS. Nguyễn Ngọc Hiền, TS. Nguyễn Ngọc Hòa</t>
  </si>
  <si>
    <t>Vi sinh vật học</t>
  </si>
  <si>
    <t>Vi sinh học</t>
  </si>
  <si>
    <t>BIO30028</t>
  </si>
  <si>
    <t>TS. Nguyễn Lê Ái Vĩnh</t>
  </si>
  <si>
    <t>Giáo dục STEM trong dạy học Sinh học</t>
  </si>
  <si>
    <t>Thiết kế và tổ chức chủ đề giáo dục STEM trong dạy học Sinh học</t>
  </si>
  <si>
    <t>BIO30035</t>
  </si>
  <si>
    <t>TS. Trần Thị Gái</t>
  </si>
  <si>
    <t>PGS.TS. Nguyễn Đình Nhâm, TS. Nguyễn Thanh Mỹ, TS. Phạm Thị Hương</t>
  </si>
  <si>
    <t>Hóa sinh - Sinh học phân tử</t>
  </si>
  <si>
    <t>Hóa sinh - sinh học phân tử</t>
  </si>
  <si>
    <t>BIO30004</t>
  </si>
  <si>
    <t>TS Lê Quang Vượng</t>
  </si>
  <si>
    <t>TS. Nguyễn Thị Thảo, N ThS. Phạm Thị Như Quỳnh, TS. Lê Văn Điệp</t>
  </si>
  <si>
    <t>Nhà trường đã phê duyệt kế hoạch xuất bản giáo trình Hóa sinh học phục vụ giảng dạy học phần Hóa sinh (Mã HP: BIO20007) tại Quyết định số 2880/QĐ-ĐHV ngày 23/10/2019. Tuy nhiên để giáo trình được khai thác, sử dụng cho chương trình đào tạo theo QĐ 2033/QĐ-ĐHV ngày 10/9/2021, phù hợp môn học tương ứng Hóa sinh học - Sinh học phân tử (Chủ biên đã gửi đơn xin điều chỉnh KH xuất bản)</t>
  </si>
  <si>
    <t>Giải tích 1</t>
  </si>
  <si>
    <t>MAT21003</t>
  </si>
  <si>
    <t>PGS.TS. Nguyễn Huy Chiêu</t>
  </si>
  <si>
    <t>PGS.TS. Nguyễn Văn Đức
TS. Nguyễn Thị Quỳnh Trang</t>
  </si>
  <si>
    <t>Tháng 8/2023</t>
  </si>
  <si>
    <t>BS Đăng kí</t>
  </si>
  <si>
    <t>GT "Cơ sở lý thuyết xác suất" do PGS.TS Lê Văn Thành chủ biên: sau khi rà soát với quyết định phê duyệt xuất bản giáo trình năm 2022 của ĐHV, và yêu cầu của NXB lúc thẩm định lần 1, thì giáo trình này đã duyệt năm 2022, tác giả chưa nộp bản thảo nhưng đề xuất chuyển sang năm 2023. Tuy nhiên, NXB yêu cầu ko đưa vào kế hoạch mà tác giả sẽ làm giải trình và xin chuyển sang 2023.</t>
  </si>
  <si>
    <t>Kinh tế học giáo dục</t>
  </si>
  <si>
    <t>EDU 30036</t>
  </si>
  <si>
    <t>TS Bùi Văn Hùng</t>
  </si>
  <si>
    <t>PGS.TS Nguyễn Như An</t>
  </si>
  <si>
    <t>Toán học 2</t>
  </si>
  <si>
    <t>EDU30039</t>
  </si>
  <si>
    <t>TS. Nguyễn Thị Phương Nhung</t>
  </si>
  <si>
    <t>Tháng 6/2023</t>
  </si>
  <si>
    <t xml:space="preserve"> Quản lý chất lượng giáo dục</t>
  </si>
  <si>
    <t>Học phần Quản lý chất lượng giáo dục</t>
  </si>
  <si>
    <t>QLCL 517</t>
  </si>
  <si>
    <t>TS. Bùi Văn Hùng</t>
  </si>
  <si>
    <t>Kế hoạch Xuất bản giáo trình sau đại học</t>
  </si>
  <si>
    <t>Quan hệ quốc tế sau Chiến tranh Lạnh và tác động của nó đối với Việt Nam</t>
  </si>
  <si>
    <t>CSN-BB-Chung 3</t>
  </si>
  <si>
    <t>TS Hắc Xuân Cảnh</t>
  </si>
  <si>
    <t>TS Lê Thế Cường</t>
  </si>
  <si>
    <t>Miễn dịch học và ứng dụng</t>
  </si>
  <si>
    <t>Miễn dịch và ứng dụng</t>
  </si>
  <si>
    <t>CN-BB-Chung 1</t>
  </si>
  <si>
    <t>PGS.TS. Đỗ Thị Thảo, TS. Vũ Văn Khoa, TS. Nguyễn Ngọc Hiền, TS. Phạm Hồng Phương</t>
  </si>
  <si>
    <t>Đại số hiện đại</t>
  </si>
  <si>
    <t>CSN-BB-Chung 2</t>
  </si>
  <si>
    <t>PGS.TS. Phạm Hùng Quý</t>
  </si>
  <si>
    <t>Những nội dung cơ bản của tư tưởng chính trị Hồ Chí Minh</t>
  </si>
  <si>
    <t>Tư tưởng chính trị Hồ Chí Minh</t>
  </si>
  <si>
    <t>CT17038</t>
  </si>
  <si>
    <t>TS. Phan Văn Tuấn, TS. Trần Cao Nguyên</t>
  </si>
  <si>
    <t>KẾ HOẠCH XUẤT BẢN TÀI LIỆU</t>
  </si>
  <si>
    <t>Tổng cộng</t>
  </si>
  <si>
    <t>21 giáo trình, tài liệu</t>
  </si>
  <si>
    <t>Nghệ An, ngày         tháng 12 năm 2022</t>
  </si>
  <si>
    <t xml:space="preserve"> ĐƠN VỊ LẬP KH</t>
  </si>
  <si>
    <t xml:space="preserve">        NHÀ XUẤT BẢN</t>
  </si>
  <si>
    <t xml:space="preserve">                         PHÒNG KH -TC         </t>
  </si>
  <si>
    <t xml:space="preserve">      HIỆU TRƯỞNG</t>
  </si>
  <si>
    <t>Biểu 8b</t>
  </si>
  <si>
    <t>KẾ HOẠCH TỰ ĐÁNH GIÁ VÀ ĐÁNH GIÁ NGOÀI CHƯƠNG TRÌNH ĐÀO TẠO</t>
  </si>
  <si>
    <t>Nhu cầu kinh phí</t>
  </si>
  <si>
    <t>Thời gian thực hiện</t>
  </si>
  <si>
    <t>KẾT QUẢ THỰC HIỆN ĐỂN THÁNG 6/2023</t>
  </si>
  <si>
    <t>KẾ HOẠCH TỰ ĐÁNH GIÁ CHƯƠNG TRÌNH ĐÀO TẠO</t>
  </si>
  <si>
    <t>Hệ ĐT
 ĐH/SĐH</t>
  </si>
  <si>
    <t>06/2023-12/2023</t>
  </si>
  <si>
    <t>LL&amp;PPDH bộ môn vật lý</t>
  </si>
  <si>
    <t>Lý luận và Phương pháp dạy học bộ môn Toán</t>
  </si>
  <si>
    <t>10/2022-04/2023</t>
  </si>
  <si>
    <t>06/2023-05/2024</t>
  </si>
  <si>
    <t>LL&amp;PPGD bộ môn Hóa học</t>
  </si>
  <si>
    <t>1/2023-06/2023</t>
  </si>
  <si>
    <t>Đã hoàn thành</t>
  </si>
  <si>
    <t>KẾ HOẠCH ĐÁNH GIÁ NGOÀI CHƯƠNG TRÌNH ĐÀO TẠO</t>
  </si>
  <si>
    <t>11/2023</t>
  </si>
  <si>
    <t>Đã hoàn thành - Tháng 4/2023</t>
  </si>
  <si>
    <t>12-2023</t>
  </si>
  <si>
    <t>5/2023-9/2023</t>
  </si>
  <si>
    <t>05/2023-09/2023</t>
  </si>
  <si>
    <t>ĐƠN VỊ LẬP KẾ HOẠCH                            ĐƠN VỊ THẨM ĐINH                  HIỆU TRƯỞNG</t>
  </si>
  <si>
    <t>Biểu số 10c</t>
  </si>
  <si>
    <t>KẾ HOẠCH ĐÀO TẠO, BỒI DƯỠNG, CẤP CHỨNG CHỈ CÁC LỚP NGẮN HẠN</t>
  </si>
  <si>
    <t>(Biểu dùng cho các đơn vị có các lớp bồi dưỡng chứng chỉ)</t>
  </si>
  <si>
    <t>TTVDNVSP CĂN CỨ VÀO KẾ HOẠCH NĂM HỌC ĐÃ XÂY DỰNG ĐỂ CẬP NHẬT KẾT QỦA THỰC HIỆN VÀO Ô TƯƠNG ỨNG</t>
  </si>
  <si>
    <t>(6)=(4)*(5)</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</si>
  <si>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</si>
  <si>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</si>
  <si>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</si>
  <si>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</si>
  <si>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</si>
  <si>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tin học</t>
  </si>
  <si>
    <t>Chứng chỉ chức danh nghề nghiệp</t>
  </si>
  <si>
    <t>Chức danh nghề nghiệp mầm non hạng 2,3 và 
Tiểu học hạng 3 cho 166 học viên x 2.200.000 
= 365.200.000. 70% = 255.640.000 đồng</t>
  </si>
  <si>
    <t>Chứng chỉ nghiệp vụ sư phạm</t>
  </si>
  <si>
    <t>Đã tổ chức 01 lớp BDNVSP giảng viên cho 45 học viên (kinh phí: 45 học viên x 4.000.000 = 180.000.000. 70% = 126.000.000 đồng
Đã tổ chức 01 lớp BDNVSP giáo viên tiểu học cho 43 học viên (kinh phí: 43x 6.300.000 = 270.900.000. 70% = 189.630.000 đồng.                  Đang tổ chức 01 lớp BDNVSP giảng viên 02 cho 32 học viên( kinh phí 23HV x 4.000.000 = 92.000.000. 70%= 64.400.000 đồng</t>
  </si>
  <si>
    <t>Chứng chỉ kế toán</t>
  </si>
  <si>
    <t>Và các loại chứng chỉ khác, khi lập kế hoạch của đơn vị thì liệt kê chi tiết tên gọi của hoạt động.</t>
  </si>
  <si>
    <t>Chứng chỉ bồi dưỡng cán bộ quản lý giáo dục</t>
  </si>
  <si>
    <t>Bồi dưỡng tổ trưởng chuyên môn</t>
  </si>
  <si>
    <t>Bồi dưỡng giáo viên chủ nhiệm lớp</t>
  </si>
  <si>
    <t>Tư vấn học đường</t>
  </si>
  <si>
    <t>Bồi dưỡng thường xuyên</t>
  </si>
  <si>
    <t>Thu khoán các hợp đồng chuyển giao công nghệ</t>
  </si>
  <si>
    <t>Nghệ An, ngày        tháng 12 năm 2022</t>
  </si>
  <si>
    <t>Biểu số 10</t>
  </si>
  <si>
    <t>KẾ HOẠCH CHI NĂM 2023</t>
  </si>
  <si>
    <t>ĐVT: Nghìn đồng</t>
  </si>
  <si>
    <t>Ghi chú đến T6/2023</t>
  </si>
  <si>
    <t>Chi cho con người</t>
  </si>
  <si>
    <t>Các khoản chi lương, tiền công, phụ cấp, TN tăng thêm</t>
  </si>
  <si>
    <t>Lương, phụ cấp các loại, thu nhập tăng thêm</t>
  </si>
  <si>
    <t>Biểu 12</t>
  </si>
  <si>
    <t>Chi các khoản đóng góp BHXH, BHYT, bảo hiểm thất nghiệp, kinh phí công đoàn</t>
  </si>
  <si>
    <t>Chi vượt giờ, làm thêm giờ</t>
  </si>
  <si>
    <t>Chi tiền dạy vượt giờ và làm ngoài giờ giảng viên</t>
  </si>
  <si>
    <t>Biểu tính thừa giờ</t>
  </si>
  <si>
    <t>Chi vượt giờ chi cho cán bộ hành chính</t>
  </si>
  <si>
    <t>Trợ cấp xã hội</t>
  </si>
  <si>
    <t>Theo dự toán của Phòng CTCT-HSSV</t>
  </si>
  <si>
    <t>Chi phụ cấp độc hại</t>
  </si>
  <si>
    <t>Điều 16, Quy chế chi tiêu nội bộ</t>
  </si>
  <si>
    <t>Chi các khoản phúc lợi trong năm gồm 20/11, 30/4, 01/5, 02/9, Tết Nguyên đán, ….:  = số cán bộ của đơn vị x 7.500</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</si>
  <si>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</si>
  <si>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</si>
  <si>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</si>
  <si>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</si>
  <si>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cần cụ thể hóa</t>
  </si>
  <si>
    <t>1.13</t>
  </si>
  <si>
    <t>Chi khen thưởng sinh viên, học sinh đạt thành tích trong các kỳ thi học sinh giỏi (nếu có)</t>
  </si>
  <si>
    <t>Lấy khen thưởng svxs, Giỏi nh 2021 - 2022</t>
  </si>
  <si>
    <t>1.14</t>
  </si>
  <si>
    <t>Chi các khoản tiền thưởng thi đua năm học: chiến sĩ thi đua x 2.000 + tiên tiến 1.500 + hoàn thành nhiệm vụ 1.000</t>
  </si>
  <si>
    <t>1.15</t>
  </si>
  <si>
    <t>Chi các khoản phúc lợi: thăm viếng, nghỉ phép</t>
  </si>
  <si>
    <t>Điền công thức vào</t>
  </si>
  <si>
    <t>1.16</t>
  </si>
  <si>
    <t xml:space="preserve">Các khoản hỗ trợ đi học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</si>
  <si>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</si>
  <si>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</si>
  <si>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Chưa biết mục này tính như thế nào (Biểu 8b là chi tự đánh giá và đánh giá ngoài CTĐT)</t>
  </si>
  <si>
    <t>Chi cho chuyên môn, nghiệp vụ</t>
  </si>
  <si>
    <t>Công tác thực hành, thí nghiệm</t>
  </si>
  <si>
    <t>Biểu 4</t>
  </si>
  <si>
    <t>Mua bổ sung danh mục tài liệu giáo trình phục vụ dạy học</t>
  </si>
  <si>
    <t>Biểu 5</t>
  </si>
  <si>
    <t>Tiền văn phòng phẩm</t>
  </si>
  <si>
    <t xml:space="preserve">Sửa chữa, bảo dưỡng tài sản có giá trị </t>
  </si>
  <si>
    <t>Tổ chức các hội nghị, hội thi NVSP, các chuyên đề</t>
  </si>
  <si>
    <t>Bồi dưỡng nâng cao năng lực cho giảng viên về giảng dạy và kiểm tra đánh giá các học phần đáp ứng chuẩn đầu ra</t>
  </si>
  <si>
    <t>Cần cụ thể hóa</t>
  </si>
  <si>
    <t>Chi kinh phí hỗ trợ tổ chức hành chính của đơn vị = số cán bộ của đơn vị x 1.000 (kinh phí này chi về các đơn vị và nhập quỹ.</t>
  </si>
  <si>
    <t>Điều 18, Quy chế chi tiêu nội bộ và Quyết định số 302/QĐ-ĐHV ngày 20/02/2019 về việc sửa đổi, bổ sung QC CTNB</t>
  </si>
  <si>
    <t>Tiền điện thoại khoán cho lãnh đạo đơn vị</t>
  </si>
  <si>
    <t>Theo điều 21 Quy chế chi tiêu nội bộ</t>
  </si>
  <si>
    <t>Công tác phí công lệnh trường (nếu có)</t>
  </si>
  <si>
    <t>Theo điều 23 Quy chế chi tiêu nội bộ</t>
  </si>
  <si>
    <t>Công tác phí công lệnh khoa:
 (Tính trên số lượng cán bộ của Khoa / Đơn vị;
Hệ số 1 = 800;
Tiến sĩ tính hệ số 1,5 x 800;
Giáo sư, phó giáo sư hệ số 2 x 800)</t>
  </si>
  <si>
    <t>Chi hỗ trợ hoạt động của HS, SV, Người học tập trung tại trường:
&lt;= 500 người học tập trung: 10.000 nghìn đồng;
&gt; 500 người học tập trung: thì mỗi người học tăng lên được cấp 20 nghìn đồng;
(Max 30.000 nghìn đồng)</t>
  </si>
  <si>
    <t xml:space="preserve">Theo điều 28 Quy chế chi tiêu nội bộ </t>
  </si>
  <si>
    <t>2.13</t>
  </si>
  <si>
    <t>Thuê gv thỉnh giảng (nếu có)</t>
  </si>
  <si>
    <t>Biểu 2; QCTNB</t>
  </si>
  <si>
    <t>2.14</t>
  </si>
  <si>
    <t>Kinh phí tổ chức hội đồng chấm luận văn cao học, luận án nghiên cứu sinh</t>
  </si>
  <si>
    <t>2.16</t>
  </si>
  <si>
    <t>Trích lập Quỹ NCKH hàng năm theo Nghị định 99/2014</t>
  </si>
  <si>
    <t xml:space="preserve"> = 3% từ thu học phí và 5% từ thu khác của đơn vị (thu ở Biểu 9)</t>
  </si>
  <si>
    <t>2.17</t>
  </si>
  <si>
    <t>Chi biên soạn và nghiệm thu chương trình, tài liệu giáo trình</t>
  </si>
  <si>
    <t>Lập dự toán chi tiết đính kèm, Theo QCCTNB</t>
  </si>
  <si>
    <t>2.18</t>
  </si>
  <si>
    <t>Biên soạn bài giảng Elearning (Mỗi khoa lựa chọn và biên soạn bài giảng 1-2 học phần có TC dự án): 11 khoa có kế hoạch gồm: GDMN(5TC); Ngữ Văn(4TC); Sinh học (10TC); Địa lý (4TC); GDTH(10TC); Tin(4TC)TL-GD(8TC); Toán(8TC); Hóa (14TC); Vật ly(4TC); Lịch Sử(8TC)</t>
  </si>
  <si>
    <t>Đơn giá biên soạn bài giảng theo Công văn số ….. /ĐHV ngày …/…./2022</t>
  </si>
  <si>
    <t>2.19</t>
  </si>
  <si>
    <t>Chi các hoạt động tự đánh giá và đánh giá ngoài chương trình đào tạo</t>
  </si>
  <si>
    <t>Mua sắm tài sản cố định hữu hình, tài sản cố định vô hình, chi xây dựng cơ bản</t>
  </si>
  <si>
    <t>Chi mua sắm máy móc, thiết bị</t>
  </si>
  <si>
    <t xml:space="preserve">Chi khấu hao tài sản cố định </t>
  </si>
  <si>
    <t xml:space="preserve"> = 10% tổng thu của đơn vị</t>
  </si>
  <si>
    <t>Chi cho các hoạt động bồi dưỡng ngắn hạn</t>
  </si>
  <si>
    <t>Tính chi phí bằng 70% tổng thu</t>
  </si>
  <si>
    <t>Xây dựng đề án mở mã ngành 02 chương trình đào tạo giáo viên (Sư phạm Khoa học tự nhiên, Sư phạm Lịch sử-Địa lý) và 01 Chương trình ĐHCQ ngành Tâm lý giáo dục; 2. Xây dựng, nghiệm thu 02 chương trình đào tạo giáo viên (Sư phạm Khoa học tự nhiên, Sư phạm Lịch sử-Địa lý) và 01 Chương trình ĐHCQ ngành Tâm lý giáo dục.</t>
  </si>
  <si>
    <t>bổ sung mới tại buổi thẩm định</t>
  </si>
  <si>
    <t>Chi hộ</t>
  </si>
  <si>
    <t>Học bổng sinh viên, học bổng khuyến khích học tập</t>
  </si>
  <si>
    <t xml:space="preserve"> = 8% từ tổng thu học phí chính quy và học phí cấp bù sư phạm của đơn vị</t>
  </si>
  <si>
    <t>CÁC KHOẢN THU HỘ , CHI HỘ</t>
  </si>
  <si>
    <t>Hỗ Trợ chi phí học tập</t>
  </si>
  <si>
    <t>Miễn giảm học phí</t>
  </si>
  <si>
    <t>Nghệ An, ngày          tháng           năm 2022</t>
  </si>
  <si>
    <t xml:space="preserve">  Đơn vị lập KH                                   Phòng KH-TC                HIỆU TRƯỞNG</t>
  </si>
  <si>
    <t>Danh sách CB cập nhật thường xuyên</t>
  </si>
  <si>
    <t>Đơn vị quản lý</t>
  </si>
  <si>
    <t>Đơn vị cấp 3/Bộ môn/Tổ chuyên môn</t>
  </si>
  <si>
    <t>Giới tính</t>
  </si>
  <si>
    <t>Ngày tháng năm sinh</t>
  </si>
  <si>
    <t>Mã ngạch</t>
  </si>
  <si>
    <t>Ngạch viên chức</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</si>
  <si>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</si>
  <si>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</si>
  <si>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</si>
  <si>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</si>
  <si>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</si>
  <si>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</si>
  <si>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</si>
  <si>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</si>
  <si>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</si>
  <si>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</si>
  <si>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</si>
  <si>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</si>
  <si>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</si>
  <si>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Năm cấp bằng ThS</t>
  </si>
  <si>
    <t>Năm cấp bằng TS</t>
  </si>
  <si>
    <t>Ngày dự bị</t>
  </si>
  <si>
    <t>Ngày chính thức</t>
  </si>
  <si>
    <t>Vũ Duy Hiệp</t>
  </si>
  <si>
    <t>Ban Quản lý cơ sở II</t>
  </si>
  <si>
    <t>Khoa Du lịch và Công tác xã hội</t>
  </si>
  <si>
    <t>V.07.01.02</t>
  </si>
  <si>
    <t>#REF!</t>
  </si>
  <si>
    <t>Khoa học thông tin thư viện</t>
  </si>
  <si>
    <t>GVC 3/8/2019</t>
  </si>
  <si>
    <t>ĐT 3 - 2019</t>
  </si>
  <si>
    <t>TCLLCT</t>
  </si>
  <si>
    <t>Trần Anh Tuấn (B)</t>
  </si>
  <si>
    <t>Khuyến nông và Phát triển nông thôn</t>
  </si>
  <si>
    <t>V.07.01.03</t>
  </si>
  <si>
    <t>Lâm nghiệp</t>
  </si>
  <si>
    <t>Lâm học</t>
  </si>
  <si>
    <t>TS Nga</t>
  </si>
  <si>
    <t>Đinh Bạt Dũng</t>
  </si>
  <si>
    <t>Tổ Hành chính - Thực hành - Thư viện</t>
  </si>
  <si>
    <t>01.003</t>
  </si>
  <si>
    <t>Trồng trọt</t>
  </si>
  <si>
    <t>Khoa học cây trồng</t>
  </si>
  <si>
    <t xml:space="preserve"> </t>
  </si>
  <si>
    <t>ĐT 4 - 2018</t>
  </si>
  <si>
    <t>Hà Thị Thanh Hải</t>
  </si>
  <si>
    <t>13.096</t>
  </si>
  <si>
    <t>CV 2019</t>
  </si>
  <si>
    <t>Phạm Anh Đức</t>
  </si>
  <si>
    <t>13.095</t>
  </si>
  <si>
    <t>Thủy sản</t>
  </si>
  <si>
    <t>ĐT 4 - 2017</t>
  </si>
  <si>
    <t>Lê Thị Xuân</t>
  </si>
  <si>
    <t>Lịch sử thế giới</t>
  </si>
  <si>
    <t>A2 (KS 11/2019)</t>
  </si>
  <si>
    <t>CV 2019/CVC 2021</t>
  </si>
  <si>
    <t>Đã học 2012</t>
  </si>
  <si>
    <t>Nguyễn Thị Thanh Ngân</t>
  </si>
  <si>
    <t>Tổ Quản lý sinh viên</t>
  </si>
  <si>
    <t>01.004</t>
  </si>
  <si>
    <t>Cán sự</t>
  </si>
  <si>
    <t>Bùi Trọng Dương</t>
  </si>
  <si>
    <t>Tổ Quản trị, Dịch vụ</t>
  </si>
  <si>
    <t>16.119</t>
  </si>
  <si>
    <t>Y học</t>
  </si>
  <si>
    <t>B1 (KS 11/2019)</t>
  </si>
  <si>
    <t>Nguyễn Đức Thông</t>
  </si>
  <si>
    <t>01.007</t>
  </si>
  <si>
    <t>Trung học chuyên nghiệp</t>
  </si>
  <si>
    <t>Điện nước</t>
  </si>
  <si>
    <t>Nguyễn Thị Phượng</t>
  </si>
  <si>
    <t>Nông học</t>
  </si>
  <si>
    <t>Phát triển nông thôn</t>
  </si>
  <si>
    <t>Trần Anh Tuấn (C)</t>
  </si>
  <si>
    <t>Kế toán</t>
  </si>
  <si>
    <t>Trần Hữu trí</t>
  </si>
  <si>
    <t>Cao đẳng</t>
  </si>
  <si>
    <t>Đợt năm 2014</t>
  </si>
  <si>
    <t>Nguyễn Lê Quang</t>
  </si>
  <si>
    <t>Thông tin thư viện</t>
  </si>
  <si>
    <t>KHXH&amp;NV/Thư viện học</t>
  </si>
  <si>
    <t>B1</t>
  </si>
  <si>
    <t>Nguyễn Mạnh Hùng (B)</t>
  </si>
  <si>
    <t>01.011</t>
  </si>
  <si>
    <t>GD thể chất</t>
  </si>
  <si>
    <t>Đối tượng 4</t>
  </si>
  <si>
    <t>Nguyễn Đình Lương</t>
  </si>
  <si>
    <t>Đậu Bắc Sơn</t>
  </si>
  <si>
    <t>Bóng - Điền kinh</t>
  </si>
  <si>
    <t>Thể dục Thể thao</t>
  </si>
  <si>
    <t>Giáo dục học</t>
  </si>
  <si>
    <t>GVSP</t>
  </si>
  <si>
    <t>Lê Minh Hải (A)</t>
  </si>
  <si>
    <t>Nguyễn Quốc Đảng</t>
  </si>
  <si>
    <t>CC UDCNTTCB 2018</t>
  </si>
  <si>
    <t>GVC 31/5/2018</t>
  </si>
  <si>
    <t>Nguyễn Thị Lài</t>
  </si>
  <si>
    <t>A2</t>
  </si>
  <si>
    <t>Nguyễn Trí Lục</t>
  </si>
  <si>
    <t>Huấn luyện Giáo dục Thể chất</t>
  </si>
  <si>
    <t>TS Trung Quốc</t>
  </si>
  <si>
    <t>Phạm Anh Vũ</t>
  </si>
  <si>
    <t>SP TDTT</t>
  </si>
  <si>
    <t>Giáo dục thể chất &amp; HL thể thao</t>
  </si>
  <si>
    <t>ThS Trung Quốc</t>
  </si>
  <si>
    <t>Đang học TCLLCT</t>
  </si>
  <si>
    <t>Phan Sinh</t>
  </si>
  <si>
    <t>Trần Đức Thành (B)</t>
  </si>
  <si>
    <t>B2</t>
  </si>
  <si>
    <t>GVC 24/7/2020</t>
  </si>
  <si>
    <t>Sơ cấp</t>
  </si>
  <si>
    <t>Đậu Thị bình Hương</t>
  </si>
  <si>
    <t>Phương pháp giảng dạy giáo dục thể chất</t>
  </si>
  <si>
    <t>Ngô Thị Như Thơ</t>
  </si>
  <si>
    <t>SP thể dục</t>
  </si>
  <si>
    <t>Khoa học giáo dục</t>
  </si>
  <si>
    <t>2020</t>
  </si>
  <si>
    <t>Nguyễn Ngọc Việt</t>
  </si>
  <si>
    <t>Thể dục thể thao</t>
  </si>
  <si>
    <t>Võ Văn Đăng</t>
  </si>
  <si>
    <t>TS Trung quốc</t>
  </si>
  <si>
    <t>Châu Hồng Thắng</t>
  </si>
  <si>
    <t>Thể dục - Võ và Thể thao dưới nước</t>
  </si>
  <si>
    <t>Dương Trọng Bình</t>
  </si>
  <si>
    <t>Lê Thị Như Quỳnh</t>
  </si>
  <si>
    <t>B2 (KS 11/2019)</t>
  </si>
  <si>
    <t>Nguyễn Mạnh Hùng (A)</t>
  </si>
  <si>
    <t>Giáo dục thể chất và lão khoa</t>
  </si>
  <si>
    <t>TS Đức</t>
  </si>
  <si>
    <t>Nguyễn Thị Loan</t>
  </si>
  <si>
    <t>Trần Thị Ngọc Lan</t>
  </si>
  <si>
    <t>Văn Đình Cường</t>
  </si>
  <si>
    <t>(Tiếng Nga) B1</t>
  </si>
  <si>
    <t>Nguyễn Hữu Hà</t>
  </si>
  <si>
    <t>Khoa Giáo dục Thể chất</t>
  </si>
  <si>
    <t>Nuôi trồng thủy sản</t>
  </si>
  <si>
    <t>Nguyễn Thị Minh Ngọc</t>
  </si>
  <si>
    <t>Khoa Sư phạm Ngoại ngữ</t>
  </si>
  <si>
    <t>Biên - Phiên dịch</t>
  </si>
  <si>
    <t>Tiếng Anh</t>
  </si>
  <si>
    <t>Kinh tế quản lý nhà nước/
LL&amp;PPGD tiếng Anh</t>
  </si>
  <si>
    <t>CC UDCNTT CB 8/10/2019</t>
  </si>
  <si>
    <t>GV hạng III</t>
  </si>
  <si>
    <t>Dương Đức Ánh</t>
  </si>
  <si>
    <t>Giảng viên (hạng III)</t>
  </si>
  <si>
    <t>ThS Tiếng Anh</t>
  </si>
  <si>
    <t>Lê Minh Tân</t>
  </si>
  <si>
    <t>Lê Thị Thúy Hà (A)</t>
  </si>
  <si>
    <t>Nguyễn Duy Bình (B)</t>
  </si>
  <si>
    <t>Tiếng Pháp/ Tiếng Anh</t>
  </si>
  <si>
    <t>Tiếng Pháp</t>
  </si>
  <si>
    <t>Ngôn ngữ, văn học &amp; nghệ thuật/Văn học so sánh</t>
  </si>
  <si>
    <t>TS Tiếng Pháp</t>
  </si>
  <si>
    <t>Nguyễn Hữu Quyết</t>
  </si>
  <si>
    <t>Quan hệ quốc tế</t>
  </si>
  <si>
    <t>GVSP chủ chốt</t>
  </si>
  <si>
    <t>TS Nhật Bản</t>
  </si>
  <si>
    <t>CCLLCT</t>
  </si>
  <si>
    <t>Nguyễn Thị Lan Phương</t>
  </si>
  <si>
    <t>GVC 2019</t>
  </si>
  <si>
    <t>Nguyễn Thị Tuyết Hồng</t>
  </si>
  <si>
    <t>Trần Thanh Tú</t>
  </si>
  <si>
    <t>ThS Australia</t>
  </si>
  <si>
    <t>Cao Thị Phương</t>
  </si>
  <si>
    <t>Kỹ năng tiếng Anh</t>
  </si>
  <si>
    <t>KHXH&amp;NV/Tiếng Anh</t>
  </si>
  <si>
    <t>Hoàng Tăng Đức</t>
  </si>
  <si>
    <t>PPGD Tiếng Anh</t>
  </si>
  <si>
    <t>Lê Diệu Linh</t>
  </si>
  <si>
    <t>Ngôn ngữ Anh/2020</t>
  </si>
  <si>
    <t>ThS Anh</t>
  </si>
  <si>
    <t>Nguyễn Thị Hiền Lương</t>
  </si>
  <si>
    <t>Tiếng Pháp SP/ Tiếng Anh</t>
  </si>
  <si>
    <t>Khoa học giáo dục/LL&amp;PPDH bộ môn tiếng Anh</t>
  </si>
  <si>
    <t>Nguyễn Thị Tô Hằng</t>
  </si>
  <si>
    <t>LL&amp;PPDH Tiếng Anh</t>
  </si>
  <si>
    <t>Nguyễn Thị Tường</t>
  </si>
  <si>
    <t>Phan Thị Hương</t>
  </si>
  <si>
    <t>Học đối tượng 3 năm 2017</t>
  </si>
  <si>
    <t>Trần Thị Khánh Tùng</t>
  </si>
  <si>
    <t>Khoa học giáo dục/Quản lý giáo dục đại học</t>
  </si>
  <si>
    <t>ThS Mỹ</t>
  </si>
  <si>
    <t>Trần Thị Thu Trang</t>
  </si>
  <si>
    <t>SP Tiếng Anh</t>
  </si>
  <si>
    <t>LL &amp; PPGD Tiếng Anh</t>
  </si>
  <si>
    <t>Văn Thị Hà</t>
  </si>
  <si>
    <t>Ngoại ngữ</t>
  </si>
  <si>
    <t>CN Tiếng Anh</t>
  </si>
  <si>
    <t>Vũ Thị Việt Hương</t>
  </si>
  <si>
    <t>Đinh Thị Mai Anh</t>
  </si>
  <si>
    <t>Lý thuyết tiếng Anh</t>
  </si>
  <si>
    <t>Lê Hùng Việt</t>
  </si>
  <si>
    <t>Công nghệ thông tin</t>
  </si>
  <si>
    <t>ThS CNTT</t>
  </si>
  <si>
    <t>Ngô Đình Phương</t>
  </si>
  <si>
    <t>V.07.01.01</t>
  </si>
  <si>
    <t>Phó Giáo sư</t>
  </si>
  <si>
    <t>Tiếng Nga</t>
  </si>
  <si>
    <t>GV QLGD</t>
  </si>
  <si>
    <t>TS Tiếng Anh</t>
  </si>
  <si>
    <t>GVCC 4/1/2019</t>
  </si>
  <si>
    <t>Học 2007 ( Đối tượng 2)</t>
  </si>
  <si>
    <t>Nguyễn Thị Kim Anh (A)</t>
  </si>
  <si>
    <t xml:space="preserve">Ngôn ngữ </t>
  </si>
  <si>
    <t>TCLLCT/ Đang học CCLLCT</t>
  </si>
  <si>
    <t>Nguyễn Thị Lam Giang</t>
  </si>
  <si>
    <t>Nguyễn Thị Lan Hương</t>
  </si>
  <si>
    <t>Tiếng Anh_SP</t>
  </si>
  <si>
    <t>Nguyễn Thị Phương Thảo (B)</t>
  </si>
  <si>
    <t>Nguyễn Thị Quỳnh Trang (B)</t>
  </si>
  <si>
    <t>Nguyễn Vân Anh</t>
  </si>
  <si>
    <t>Phan Thị Đào Quyên</t>
  </si>
  <si>
    <t>Quản lý đất đai</t>
  </si>
  <si>
    <t>Võ thị Hồng Minh</t>
  </si>
  <si>
    <t>Hoàng Thị Chung</t>
  </si>
  <si>
    <t>Ngoại ngữ chuyên ngành</t>
  </si>
  <si>
    <t>Khoa học giáo dục/LL&amp;PPDH bộ môn Tiếng Anh</t>
  </si>
  <si>
    <t>Lê Thái Bình</t>
  </si>
  <si>
    <t xml:space="preserve">Tiếng Trung quốc/ Tiếng Anh </t>
  </si>
  <si>
    <t>Lê Thị Tuyết Hạnh</t>
  </si>
  <si>
    <t>ĐT 4 - 2021</t>
  </si>
  <si>
    <t>Lưu Ngọc Bảo</t>
  </si>
  <si>
    <t>ThS Tiếng Pháp</t>
  </si>
  <si>
    <t>Nguyễn Lê Hoài Thu</t>
  </si>
  <si>
    <t>Giáo dục học/PPGD Tiếng Pháp</t>
  </si>
  <si>
    <t>Nguyễn Thị Hồng Thắm (A)</t>
  </si>
  <si>
    <t>Tiếng Trung/ Tiếng Anh</t>
  </si>
  <si>
    <t>Nguyễn Thị Lành</t>
  </si>
  <si>
    <t>Nguyễn Thị Liên (A)</t>
  </si>
  <si>
    <t>Phạm Thị Lương Giang</t>
  </si>
  <si>
    <t xml:space="preserve">Tiếng Nga/ Tiếng Anh </t>
  </si>
  <si>
    <t>Phạm Xuân Sơn</t>
  </si>
  <si>
    <t>Giáo dục học/Tiếng Pháp</t>
  </si>
  <si>
    <t>Thái Anh Tuấn</t>
  </si>
  <si>
    <t>Khoa học xã hội nhân văn/Ngôn ngữ Pháp</t>
  </si>
  <si>
    <t>Trần Giang Nam</t>
  </si>
  <si>
    <t>Trần Thị Phương Thảo</t>
  </si>
  <si>
    <t>Tiếng Nga/ Tiếng Anh</t>
  </si>
  <si>
    <t>Trần Thị Vân Anh (A)</t>
  </si>
  <si>
    <t>Ngôn ngữ học</t>
  </si>
  <si>
    <t>ThS Đài Loan</t>
  </si>
  <si>
    <t>Trương Thị Minh</t>
  </si>
  <si>
    <t>Đặng Thị Nguyên</t>
  </si>
  <si>
    <t>Phương pháp giảng dạy tiếng Anh</t>
  </si>
  <si>
    <t>LL&amp;PPGD Tiếng Anh</t>
  </si>
  <si>
    <t>Lê Thị Thanh Bình</t>
  </si>
  <si>
    <t>Nguyễn Thị Dương Ngọc</t>
  </si>
  <si>
    <t>PP GD Tiếng Anh</t>
  </si>
  <si>
    <t>Nguyễn Thị Vân Lam</t>
  </si>
  <si>
    <t>Trần Thị Hảo</t>
  </si>
  <si>
    <t>TS Australia</t>
  </si>
  <si>
    <t>Trần Thị Ngọc Yến</t>
  </si>
  <si>
    <t>TS New Zealand</t>
  </si>
  <si>
    <t>Trần Hoài Nam</t>
  </si>
  <si>
    <t>Điện CN&amp;DD</t>
  </si>
  <si>
    <t>Đặng Huy Khánh</t>
  </si>
  <si>
    <t>Khoa Xây dựng</t>
  </si>
  <si>
    <t>Cầu đường</t>
  </si>
  <si>
    <t>Cơ học tính toán</t>
  </si>
  <si>
    <t>Nguyễn Minh Thư</t>
  </si>
  <si>
    <t>Kinh tế xây dựng</t>
  </si>
  <si>
    <t>Nguyễn Thị Duyên (B)</t>
  </si>
  <si>
    <t xml:space="preserve">Môi trường đô thi &amp; KCN </t>
  </si>
  <si>
    <t>Kỹ thuật môi trường</t>
  </si>
  <si>
    <t>Nguyễn Thị Thu Hằng (B)</t>
  </si>
  <si>
    <t>Kỹ thuật đô thị</t>
  </si>
  <si>
    <t>Xây dựng dân dụng&amp;CN</t>
  </si>
  <si>
    <t>Nguyễn Thị Thu Hiền (C)</t>
  </si>
  <si>
    <t>XD cầu đường</t>
  </si>
  <si>
    <t>Quản lý XD</t>
  </si>
  <si>
    <t>Nguyễn Trọng Hà</t>
  </si>
  <si>
    <t>XD</t>
  </si>
  <si>
    <t>Kỹ thuật</t>
  </si>
  <si>
    <t>Xây dựng</t>
  </si>
  <si>
    <t>B2/2016
Củ nhân</t>
  </si>
  <si>
    <t>Phạm Thị Hiền Lương</t>
  </si>
  <si>
    <t>XD cầu hầm</t>
  </si>
  <si>
    <t>Kỹ thuật XD dân dụng</t>
  </si>
  <si>
    <t>Phan Đình Quốc</t>
  </si>
  <si>
    <t>Kỹ thuật xây dựng CT Giao thông</t>
  </si>
  <si>
    <t>B2 (KS 3/2020)</t>
  </si>
  <si>
    <t>Phan Huy Thiện</t>
  </si>
  <si>
    <t>Võ Trọng Cường</t>
  </si>
  <si>
    <t>Kỹ thuật XD công trình nông thôn</t>
  </si>
  <si>
    <t>Cao Thị Hảo</t>
  </si>
  <si>
    <t>Cơ sở xây dựng</t>
  </si>
  <si>
    <t>Kiến trúc</t>
  </si>
  <si>
    <t>Đoàn Thị Minh Huyền</t>
  </si>
  <si>
    <t>Luật</t>
  </si>
  <si>
    <t>Doãn Thị Thùy Hương</t>
  </si>
  <si>
    <t>Quy hoạch đô thị</t>
  </si>
  <si>
    <t>Quy hoạch vùng &amp; đô thị</t>
  </si>
  <si>
    <t>Nguyễn Cẩn Ngôn</t>
  </si>
  <si>
    <t>Cơ sở hạ tầng giao thông</t>
  </si>
  <si>
    <t>Nguyễn Hữu Cường</t>
  </si>
  <si>
    <t>Kỹ thuật XD &amp;CN</t>
  </si>
  <si>
    <t>B1 4/5/2018</t>
  </si>
  <si>
    <t>Nguyễn Thị Kiều Vinh</t>
  </si>
  <si>
    <t>Kiến trúc quy hoạch</t>
  </si>
  <si>
    <t>Nguyễn Trọng Kiên</t>
  </si>
  <si>
    <t>XD dân dụng&amp;CN</t>
  </si>
  <si>
    <t>Cơ kỹ thuật</t>
  </si>
  <si>
    <t>TS nước ngoài</t>
  </si>
  <si>
    <t>Nguyễn Văn Tuấn (B)</t>
  </si>
  <si>
    <t>Nguyễn Xuân Hiệu</t>
  </si>
  <si>
    <t>Phạm Hồng Sơn</t>
  </si>
  <si>
    <t>Quy hoạch vùng và đô thị</t>
  </si>
  <si>
    <t>Phạm Ngọc Minh</t>
  </si>
  <si>
    <t>Phan Văn Phúc</t>
  </si>
  <si>
    <t>Kỹ thuật XD dân dụng&amp;CN</t>
  </si>
  <si>
    <t>Trần Viết Linh</t>
  </si>
  <si>
    <t>Kỹ thuật XD Công trình dân dụng&amp;CN</t>
  </si>
  <si>
    <t>TS Hàn Quốc</t>
  </si>
  <si>
    <t>Hồ Viết Chương</t>
  </si>
  <si>
    <t>Xây dựng dân dụng và công nghiệp</t>
  </si>
  <si>
    <t>Kỹ thuật/XD dân dụng&amp;CN</t>
  </si>
  <si>
    <t>Lê Thanh Hải</t>
  </si>
  <si>
    <t>Nguyễn Đức Xuân</t>
  </si>
  <si>
    <t>Nguyễn Duy Duẩn</t>
  </si>
  <si>
    <t>Nguyễn Duy Khánh</t>
  </si>
  <si>
    <t>Nguyễn Mạnh Hùng (c)</t>
  </si>
  <si>
    <t>Kỹ thuật công trình XD</t>
  </si>
  <si>
    <t>Nguyễn Thị Diệu Thùy</t>
  </si>
  <si>
    <t xml:space="preserve">Công trình nông thôn </t>
  </si>
  <si>
    <t>Quản lý dự án vầ công trình XD</t>
  </si>
  <si>
    <t>Nguyễn Thị Quỳnh</t>
  </si>
  <si>
    <t>Nguyễn Thị Thanh Tùng</t>
  </si>
  <si>
    <t>Nguyễn Tiến Hồng</t>
  </si>
  <si>
    <t>TS nước ngoài
B2 (KS 11/2019)</t>
  </si>
  <si>
    <t>Nguyễn Tuấn Anh</t>
  </si>
  <si>
    <t>Nguyễn Văn Hóa</t>
  </si>
  <si>
    <t>Khoa học kỹ thuật</t>
  </si>
  <si>
    <t>Nguyễn Văn Quang</t>
  </si>
  <si>
    <t>Phan Văn Long</t>
  </si>
  <si>
    <t>Phan Xuân Thục</t>
  </si>
  <si>
    <t>Kỹ thuật xây dựng</t>
  </si>
  <si>
    <t>Thái Đức Kiên</t>
  </si>
  <si>
    <t>Đợt 1 năm 2014</t>
  </si>
  <si>
    <t>Trần Ngọc Long</t>
  </si>
  <si>
    <t>B2/2016
Cử nhân</t>
  </si>
  <si>
    <t>Trần Xuân Vinh</t>
  </si>
  <si>
    <t>Vũ Xuân Hùng</t>
  </si>
  <si>
    <t>Đối tượng 2</t>
  </si>
  <si>
    <t>Nguyễn Thị Hà Hạnh</t>
  </si>
  <si>
    <t>Điện tử viễn thông</t>
  </si>
  <si>
    <t>Điều khiển &amp; tự động hóa</t>
  </si>
  <si>
    <t>Võ Thị Hoài Thương</t>
  </si>
  <si>
    <t>Nhà Xuất bản Đại học Vinh</t>
  </si>
  <si>
    <t>Lịch sử  Việt Nam</t>
  </si>
  <si>
    <t>Lịch sử Việt Nam cận đại &amp; hiện đại</t>
  </si>
  <si>
    <t>CN Ngôn ngữ Anh</t>
  </si>
  <si>
    <t>Nguyễn Hồng Quảng</t>
  </si>
  <si>
    <t>SP Vật lý</t>
  </si>
  <si>
    <t>Vật lý kỹ thuật</t>
  </si>
  <si>
    <t>Khoa học vật liệu</t>
  </si>
  <si>
    <t>Cao Thị Anh Tú</t>
  </si>
  <si>
    <t>Trịnh Thị Thanh</t>
  </si>
  <si>
    <t>Đặng Thị Thu</t>
  </si>
  <si>
    <t>Phòng Công tác chính trị - Học sinh, sinh viên</t>
  </si>
  <si>
    <t>Ngữ văn_SP</t>
  </si>
  <si>
    <t>CC UDCNTTCB</t>
  </si>
  <si>
    <t>Nguyễn Phi Chiến</t>
  </si>
  <si>
    <t>Võ Thị Hải Huyền</t>
  </si>
  <si>
    <t>Chuyên viên</t>
  </si>
  <si>
    <t>Sinh học thực nghiệm</t>
  </si>
  <si>
    <t>Hứa Minh Trí</t>
  </si>
  <si>
    <t>Đợt 2 năm 2017</t>
  </si>
  <si>
    <t>Lê Đình Tri</t>
  </si>
  <si>
    <t>Lê Trần Nam</t>
  </si>
  <si>
    <t>Kỹ thuật viễn thông</t>
  </si>
  <si>
    <t>Mai Xuân Nguyên</t>
  </si>
  <si>
    <t>ĐT 4 - 2018, ĐT 3 - 2021</t>
  </si>
  <si>
    <t>Nguyễn Thanh Sơn (B)</t>
  </si>
  <si>
    <t>Quản trị kinh doanh</t>
  </si>
  <si>
    <t>Kinh tế chính trị</t>
  </si>
  <si>
    <t>Phan Thị Thúy</t>
  </si>
  <si>
    <t>Khoa học môi trường</t>
  </si>
  <si>
    <t>Nguyễn Thị Hà Giang (B)</t>
  </si>
  <si>
    <t>CVC 2021</t>
  </si>
  <si>
    <t>TCLLCT (2019) CCLLCT (2020)</t>
  </si>
  <si>
    <t>Hoàng Vĩnh Phú</t>
  </si>
  <si>
    <t>Phòng Đào tạo</t>
  </si>
  <si>
    <t>Công nghệ Sinh học - Môi trường</t>
  </si>
  <si>
    <t>Giáo dục học/PPGD Sinh học</t>
  </si>
  <si>
    <t>Sinh học phân tử</t>
  </si>
  <si>
    <t>TS Slovakhia</t>
  </si>
  <si>
    <t>UDCNTTCB 2022</t>
  </si>
  <si>
    <t>CCLLCT 2021</t>
  </si>
  <si>
    <t>Nguyễn Lê ái Vĩnh</t>
  </si>
  <si>
    <t>Khoa học/Khoa học môi trường</t>
  </si>
  <si>
    <t>Nguyễn Thanh Lam</t>
  </si>
  <si>
    <t>Miễn</t>
  </si>
  <si>
    <t>Đào Quang Thắng</t>
  </si>
  <si>
    <t>Khoa Kinh tế</t>
  </si>
  <si>
    <t>Kinh tế</t>
  </si>
  <si>
    <t>Quản lý kinh tế</t>
  </si>
  <si>
    <t>Nguyễn Thành Vinh</t>
  </si>
  <si>
    <t>TS Ba Lan</t>
  </si>
  <si>
    <t>Thái Thanh Tịnh</t>
  </si>
  <si>
    <t>xây dựng</t>
  </si>
  <si>
    <t>Kĩ sư XD</t>
  </si>
  <si>
    <t>XD công trình dân dụng &amp;CN</t>
  </si>
  <si>
    <t>IELTS - 6/6/2020</t>
  </si>
  <si>
    <t>Bùi Tuấn An</t>
  </si>
  <si>
    <t>Quản lý Kinh tế</t>
  </si>
  <si>
    <t>Hồ Xuân Thủy</t>
  </si>
  <si>
    <t>Hoá học</t>
  </si>
  <si>
    <t>Lê Khắc Phong</t>
  </si>
  <si>
    <t>Toán_SP</t>
  </si>
  <si>
    <t>Lý thuyết xác suất &amp; thống kê toán học</t>
  </si>
  <si>
    <t>Phan Anh Hùng</t>
  </si>
  <si>
    <t>Ngô Thị Mai Vi</t>
  </si>
  <si>
    <t>Phòng Đào tạo Sau Đại học</t>
  </si>
  <si>
    <t>Bảo vệ thực vật</t>
  </si>
  <si>
    <t>Nguyễn Thị Hương (A)</t>
  </si>
  <si>
    <t>Nguyễn Văn Thuận</t>
  </si>
  <si>
    <t>LL&amp;PPDH bộ môn Toán</t>
  </si>
  <si>
    <t>Đinh phan Khôi</t>
  </si>
  <si>
    <t>Khoa học</t>
  </si>
  <si>
    <t>Vật lý lý thuyết</t>
  </si>
  <si>
    <t>Nguyễn Thị Hải Sinh</t>
  </si>
  <si>
    <t>Nguyễn Thị Mỹ Dung</t>
  </si>
  <si>
    <t>SP Ngữ văn, Cử nhân Hán Nôm</t>
  </si>
  <si>
    <t>Nguyễn Tiến Cường</t>
  </si>
  <si>
    <t>Thái Thị Hồng Vinh</t>
  </si>
  <si>
    <t>Trần Việt Dũng</t>
  </si>
  <si>
    <t>B1 (KS 3/2020)</t>
  </si>
  <si>
    <t>Trần Thị Thúy Nga (B)</t>
  </si>
  <si>
    <t>Phòng Hành chính Tổng hợp</t>
  </si>
  <si>
    <t>Tài chính ngân hàng</t>
  </si>
  <si>
    <t>Lê Thanh Trung</t>
  </si>
  <si>
    <t>Tổ Ký túc xá Hưng Bình</t>
  </si>
  <si>
    <t>01.010</t>
  </si>
  <si>
    <t>- Lái xe
- Kỹ thuật máy lạnh và điều hóa không khí</t>
  </si>
  <si>
    <t>Lê Văn Thông</t>
  </si>
  <si>
    <t>Tổ xe</t>
  </si>
  <si>
    <t>Đào tạo nghề</t>
  </si>
  <si>
    <t>Lái xe</t>
  </si>
  <si>
    <t>Hoàng Hà Nam</t>
  </si>
  <si>
    <t>Khoa học môI trường</t>
  </si>
  <si>
    <t>Hoàng Thị Thu Hường</t>
  </si>
  <si>
    <t>Toán-Lý</t>
  </si>
  <si>
    <t>CĐ tin học</t>
  </si>
  <si>
    <t>Lê Đức Thắng</t>
  </si>
  <si>
    <t>Lê Minh Giang</t>
  </si>
  <si>
    <t>Lê Thị Hải Yến</t>
  </si>
  <si>
    <t>Lường Hồng Phong</t>
  </si>
  <si>
    <t>CNTT</t>
  </si>
  <si>
    <t>Nguyễn Hồng Soa</t>
  </si>
  <si>
    <t>B2 - 21/2/2017</t>
  </si>
  <si>
    <t>Nguyễn Hữu Đường</t>
  </si>
  <si>
    <t>Đã học năm 2012</t>
  </si>
  <si>
    <t>Nguyễn Ngọc Quyến</t>
  </si>
  <si>
    <t>Giáo dục thể chất</t>
  </si>
  <si>
    <t>Nguyễn Thị Thu Hương (A)</t>
  </si>
  <si>
    <t>Giáo dục chính trị</t>
  </si>
  <si>
    <t>Phạm Thị Hiền</t>
  </si>
  <si>
    <t>Nguyễn Thị Thu Hiền (B)</t>
  </si>
  <si>
    <t>Phòng Kế hoạch - Tài chính</t>
  </si>
  <si>
    <t>Cơ sở 1</t>
  </si>
  <si>
    <t>06.031</t>
  </si>
  <si>
    <t>Đinh Ngọc hà</t>
  </si>
  <si>
    <t>Đinh Thế Phú</t>
  </si>
  <si>
    <t>Tài chính kế toán</t>
  </si>
  <si>
    <t>Hoàng Việt Dũng</t>
  </si>
  <si>
    <t>Nguyễn Bắc Giang</t>
  </si>
  <si>
    <t>Cử nhân CNTT</t>
  </si>
  <si>
    <t>Nguyễn Công Hoàng</t>
  </si>
  <si>
    <t>Nguyễn Thị Trà Giang</t>
  </si>
  <si>
    <t>KInh tế</t>
  </si>
  <si>
    <t>Trần Đình Diệu</t>
  </si>
  <si>
    <t>Trần Thị Lương</t>
  </si>
  <si>
    <t>Trần Thị Thanh Xuân (A)</t>
  </si>
  <si>
    <t>Trần Thị Thu Liên</t>
  </si>
  <si>
    <t>Kế toán - Kiểm toán</t>
  </si>
  <si>
    <t>Trần Thị Việt Anh</t>
  </si>
  <si>
    <t>Trịnh Thị Dung</t>
  </si>
  <si>
    <t>Phạm Thị Quỳnh Nga</t>
  </si>
  <si>
    <t>Phòng Khoa học và Hợp tác Quốc tế</t>
  </si>
  <si>
    <t>Báo chí</t>
  </si>
  <si>
    <t>Vật lý học</t>
  </si>
  <si>
    <t>Phan Văn Tiến</t>
  </si>
  <si>
    <t>TS Pháp</t>
  </si>
  <si>
    <t>Đỗ Mai Trang</t>
  </si>
  <si>
    <t>Phòng Khoa học và Hợp tác quốc tế</t>
  </si>
  <si>
    <t>Công nghệ Kỹ thuật Điện - Điện tử</t>
  </si>
  <si>
    <t>Nguyễn Xuân Dũng</t>
  </si>
  <si>
    <t>SP Hóa học</t>
  </si>
  <si>
    <t>Nguyễn Vũ Minh Thúy</t>
  </si>
  <si>
    <t>Khoa Quản trị Kinh doanh</t>
  </si>
  <si>
    <t>Mai Văn Chung</t>
  </si>
  <si>
    <t>Sinh học/Sinh lý thực vật</t>
  </si>
  <si>
    <t>Khoa học nông nghiệp/Trồng trọt</t>
  </si>
  <si>
    <t>GVC 31/5/2018, GVCC 4/1/2019</t>
  </si>
  <si>
    <t>ĐT 4 - 2017, ĐT 3 - 2019</t>
  </si>
  <si>
    <t>Lê Tuấn Dũng</t>
  </si>
  <si>
    <t>SĐH ở Nga</t>
  </si>
  <si>
    <t>Phan Thế Hoa</t>
  </si>
  <si>
    <t>Trần Thị Thái</t>
  </si>
  <si>
    <t>Điện tử</t>
  </si>
  <si>
    <t>Âu Chiến Thắng</t>
  </si>
  <si>
    <t>Phòng Quản trị và Đầu tư</t>
  </si>
  <si>
    <t>Tổ sửa chữa điện nước</t>
  </si>
  <si>
    <t>CNKT Điện</t>
  </si>
  <si>
    <t>Hoàng Ngọc Dũng</t>
  </si>
  <si>
    <t>Điện công nghiệp</t>
  </si>
  <si>
    <t>Lê Thanh Tùng</t>
  </si>
  <si>
    <t>Nguyễn Đình Thắng</t>
  </si>
  <si>
    <t>Kỹ thuật điện nước</t>
  </si>
  <si>
    <t>Trần Đình Luân</t>
  </si>
  <si>
    <t>Điện</t>
  </si>
  <si>
    <t>B1 - 22/1/2013</t>
  </si>
  <si>
    <t>Vũ Mạnh Hùng</t>
  </si>
  <si>
    <t>Cơ điện lạnh</t>
  </si>
  <si>
    <t>Nguyễn Thị Như Hoa</t>
  </si>
  <si>
    <t>Tổ thiết bị</t>
  </si>
  <si>
    <t>Phan Thị Ngọc Bé</t>
  </si>
  <si>
    <t>Sinh vật học_SP</t>
  </si>
  <si>
    <t>Thái Minh Phúc</t>
  </si>
  <si>
    <t>Kỹ thuật thông tin</t>
  </si>
  <si>
    <t>Quản lý Giáo dục</t>
  </si>
  <si>
    <t>Trương Nhật Linh</t>
  </si>
  <si>
    <t>Khoa học máy tính</t>
  </si>
  <si>
    <t>CN CNTT</t>
  </si>
  <si>
    <t>Võ Văn Vịnh</t>
  </si>
  <si>
    <t>Điện tử - Tin học</t>
  </si>
  <si>
    <t>Đặng Thị Trúc</t>
  </si>
  <si>
    <t>Tổ Xây dựng, QLTS phòng học, môi trường</t>
  </si>
  <si>
    <t>B1 (Ks 3/2020)</t>
  </si>
  <si>
    <t>Đinh Hồng Tiến</t>
  </si>
  <si>
    <t>Hoàng Thị Huyền</t>
  </si>
  <si>
    <t>Lê Văn Quý</t>
  </si>
  <si>
    <t>Ngũ Duy Dũng</t>
  </si>
  <si>
    <t>Kỹ thuật mộc dân dụng</t>
  </si>
  <si>
    <t>Nguyễn Cảnh Thái</t>
  </si>
  <si>
    <t>XD dân dụng</t>
  </si>
  <si>
    <t>Nguyễn Hữu Sáng</t>
  </si>
  <si>
    <t>01.002</t>
  </si>
  <si>
    <t>Chuyên viên chính</t>
  </si>
  <si>
    <t>CVC</t>
  </si>
  <si>
    <t>Nguyễn Viết Thanh</t>
  </si>
  <si>
    <t>Phan Thị Thu Hiền (B)</t>
  </si>
  <si>
    <t>Trần Anh Tuấn (A)</t>
  </si>
  <si>
    <t>Thể dục - Thể thao_SP</t>
  </si>
  <si>
    <t>Trần Thị Thanh Nhàn</t>
  </si>
  <si>
    <t>Cấp thoát nước</t>
  </si>
  <si>
    <t>Trần Thị Tú Anh</t>
  </si>
  <si>
    <t xml:space="preserve">  Kế toán</t>
  </si>
  <si>
    <t>Trần Quang Trung</t>
  </si>
  <si>
    <t>Phòng Thanh tra - Pháp chế</t>
  </si>
  <si>
    <t>Khoa Giáo dục Chính trị</t>
  </si>
  <si>
    <t>Triết học</t>
  </si>
  <si>
    <t>Lê Danh Bình</t>
  </si>
  <si>
    <t>LL&amp;PPDH bộ môn Hóa học</t>
  </si>
  <si>
    <t>Nguyễn Tài Toàn</t>
  </si>
  <si>
    <t>Di truyền giống cây trồng</t>
  </si>
  <si>
    <t>Nông nghiệp</t>
  </si>
  <si>
    <t>Nguyễn Văn Phú</t>
  </si>
  <si>
    <t>Vật  lý học</t>
  </si>
  <si>
    <t>Đậu Thị Kim Chung</t>
  </si>
  <si>
    <t>Nguyễn Thị Quỳnh Nga (B)</t>
  </si>
  <si>
    <t>Nguyễn Thị Thu Trang (B)</t>
  </si>
  <si>
    <t>Nguyễn Thị Thúy Hằng</t>
  </si>
  <si>
    <t>Trần Đình Bắc</t>
  </si>
  <si>
    <t>Khoa học Giáo dục/Quản lý giáo dục</t>
  </si>
  <si>
    <t>Thiều Đình Phong</t>
  </si>
  <si>
    <t>Phòng Tổ chức Cán bộ</t>
  </si>
  <si>
    <t>Đại số &amp; lý thuyết số</t>
  </si>
  <si>
    <t>TS  Đức</t>
  </si>
  <si>
    <t>Đang học CCLLCT</t>
  </si>
  <si>
    <t>Hà Văn Ba</t>
  </si>
  <si>
    <t>Nguyễn Thị Thương (B)</t>
  </si>
  <si>
    <t>Thư viện thông tin</t>
  </si>
  <si>
    <t>Nguyễn Thị Xuân Lộc</t>
  </si>
  <si>
    <t>Phạm Đình Mạnh</t>
  </si>
  <si>
    <t>Toán tin ứng dụng</t>
  </si>
  <si>
    <t>Cn Toán tin ứng dung</t>
  </si>
  <si>
    <t>Phạm Thị Thanh Vân</t>
  </si>
  <si>
    <t>Quản trị nhân lực</t>
  </si>
  <si>
    <t>Phan Thị Giang</t>
  </si>
  <si>
    <t>Anh C
B2 (KS 3/2020)</t>
  </si>
  <si>
    <t>Nguyễn Thị Thùy Linh</t>
  </si>
  <si>
    <t>Trạm Y tế</t>
  </si>
  <si>
    <t>Cao Thị Thanh Yến</t>
  </si>
  <si>
    <t>16.121</t>
  </si>
  <si>
    <t>Đường Hải Hồng</t>
  </si>
  <si>
    <t>Nguyễn Hoàng Hà</t>
  </si>
  <si>
    <t>Nguyễn Thị Đức Hạnh</t>
  </si>
  <si>
    <t>V.08.08.22</t>
  </si>
  <si>
    <t>Dược sĩ hạng III</t>
  </si>
  <si>
    <t>Nguyễn Thị Dung (B)</t>
  </si>
  <si>
    <t>V.08.05.13</t>
  </si>
  <si>
    <t>Nguyễn Thị Hiến</t>
  </si>
  <si>
    <t>16.118</t>
  </si>
  <si>
    <t>Nguyễn Thị Mai Phương</t>
  </si>
  <si>
    <t>Thái Thị Tân</t>
  </si>
  <si>
    <t>Hoàng Phan Hải Yến</t>
  </si>
  <si>
    <t>Trung tâm Đảm bảo chất lượng</t>
  </si>
  <si>
    <t>Địa lý kinh tế</t>
  </si>
  <si>
    <t>Địa lý học</t>
  </si>
  <si>
    <t>Nguyễn Thanh Diệu</t>
  </si>
  <si>
    <t>Tương đương B2 5/11/2018</t>
  </si>
  <si>
    <t>Đinh Thị Nga</t>
  </si>
  <si>
    <t>Tổ Đảm bảo chất lượng</t>
  </si>
  <si>
    <t>Lê Việt Dũng</t>
  </si>
  <si>
    <t>Tổ Khảo thí</t>
  </si>
  <si>
    <t>Nguyễn Mai Phương</t>
  </si>
  <si>
    <t>Nguyễn Minh Hiền</t>
  </si>
  <si>
    <t>Giáo dục học/Vật lý</t>
  </si>
  <si>
    <t>Nguyễn Thị Hương Trà</t>
  </si>
  <si>
    <t>SP Toán</t>
  </si>
  <si>
    <t>Nguyễn Thị Kim Nhung</t>
  </si>
  <si>
    <t>Khoa học giáo dục/Quản lý giáo dục</t>
  </si>
  <si>
    <t>Nguyễn Thị Ngọc Hà (B)</t>
  </si>
  <si>
    <t>Trần Thị Hằng</t>
  </si>
  <si>
    <t>KHXH&amp;NV/Ngôn ngữ học</t>
  </si>
  <si>
    <t>Nguyễn Hoàng An</t>
  </si>
  <si>
    <t>Luật kinh doanh</t>
  </si>
  <si>
    <t>Phan Sỹ Mỹ</t>
  </si>
  <si>
    <t>Hoàng Thị Thúy Vân</t>
  </si>
  <si>
    <t>Trung tâm Dịch vụ, hỗ trợ sinh viên và Quan hệ doanh nghiệp</t>
  </si>
  <si>
    <t>Kinh tế đối ngoại</t>
  </si>
  <si>
    <t>IELTS 6.0
(27.7.2018)</t>
  </si>
  <si>
    <t>Đoàn Văn Minh</t>
  </si>
  <si>
    <t>Giáo dục tiểu học</t>
  </si>
  <si>
    <t xml:space="preserve"> Giáo dục học</t>
  </si>
  <si>
    <t>Hồ Thị Dung</t>
  </si>
  <si>
    <t>Hồ Việt Dũng</t>
  </si>
  <si>
    <t>Lê Công Đức</t>
  </si>
  <si>
    <t>Nguyễn Phương Thảo</t>
  </si>
  <si>
    <t>17.170</t>
  </si>
  <si>
    <t>Nguyễn Vinh Quang</t>
  </si>
  <si>
    <t>Trung tâm Dịch vụ, Hỗ trợ sinh viên và Quan hệ doanh nghiệp</t>
  </si>
  <si>
    <t>Quản lý kinh tế Nông lâm</t>
  </si>
  <si>
    <t>Phạm Thị Quỳnh Như</t>
  </si>
  <si>
    <t>Trần Thị Lan Phương</t>
  </si>
  <si>
    <t>Quaản lý đất đai</t>
  </si>
  <si>
    <t>Trần Văn Phúc</t>
  </si>
  <si>
    <t>B1 (2016)</t>
  </si>
  <si>
    <t>Bùi Đức Công</t>
  </si>
  <si>
    <t>Trung tâm Giáo dục Quốc phòng và An ninh Trường Đại học Vinh</t>
  </si>
  <si>
    <t>Đường lối quân sự</t>
  </si>
  <si>
    <t>Lê Duy Hiếu</t>
  </si>
  <si>
    <t>Trung tâm Giáo Dục quốc phòng và An Ninh Trường Đại học Vinh</t>
  </si>
  <si>
    <t>Giáo dục Quốc phòng-SP</t>
  </si>
  <si>
    <t>Nguyễn Đình Lưu</t>
  </si>
  <si>
    <t>Giáo dục Quốc phòng</t>
  </si>
  <si>
    <t>Nguyễn Minh Quyết</t>
  </si>
  <si>
    <t>Chính trị học</t>
  </si>
  <si>
    <t>B (trung tâm)
B2 (KS 11/2019)</t>
  </si>
  <si>
    <t>Nguyễn Phong Quang</t>
  </si>
  <si>
    <t>Trần THị Xinh</t>
  </si>
  <si>
    <t>SP GDQP</t>
  </si>
  <si>
    <t>Trần Văn Long</t>
  </si>
  <si>
    <t>Trần Văn Thông</t>
  </si>
  <si>
    <t>Đinh Thị Hải</t>
  </si>
  <si>
    <t>Kỹ - Chiến thuật</t>
  </si>
  <si>
    <t>Đoàn Quang Dũng</t>
  </si>
  <si>
    <t>Lưu Văn Mạnh</t>
  </si>
  <si>
    <t>Nguyễn Đình Phi</t>
  </si>
  <si>
    <t>Nguyễn Ngọc Dũng</t>
  </si>
  <si>
    <t>Anh: B2</t>
  </si>
  <si>
    <t>Nguyễn Quốc Chiến</t>
  </si>
  <si>
    <t>Nguyễn Thế Tiến</t>
  </si>
  <si>
    <t>Phạm Thế Dũng</t>
  </si>
  <si>
    <t>Phan Duy Long</t>
  </si>
  <si>
    <t>Đặng Thị Ngọc</t>
  </si>
  <si>
    <t>Đinh Trung Thành</t>
  </si>
  <si>
    <t>Trung tâm Giáo dục Thường xuyên</t>
  </si>
  <si>
    <t>Ngô Đức Nhàn</t>
  </si>
  <si>
    <t>Tổ Đào tạo - Tuyển sinh</t>
  </si>
  <si>
    <t>Nguyễn Năng Hùng</t>
  </si>
  <si>
    <t>Tổ Hành chính</t>
  </si>
  <si>
    <t>Chu Thị Ngọc Diệp</t>
  </si>
  <si>
    <t>Đậu Đăng Tuấn</t>
  </si>
  <si>
    <t>Hoàng Thị Lê</t>
  </si>
  <si>
    <t>Nguyễn Ngọc Tú</t>
  </si>
  <si>
    <t>Kỹ sư cơ khí</t>
  </si>
  <si>
    <t>Nguyễn Quốc Dũng</t>
  </si>
  <si>
    <t>NuôI trồng thủy sản</t>
  </si>
  <si>
    <t>Nguyễn Văn Quỳnh (B)</t>
  </si>
  <si>
    <t>Nguyễn Thị Minh</t>
  </si>
  <si>
    <t>Trung tâm Kiểm định chất lượng giáo dục - Trường Đại học Vinh</t>
  </si>
  <si>
    <t>Điện tử, truyền thông</t>
  </si>
  <si>
    <t>Điện tử - Viễn thông</t>
  </si>
  <si>
    <t>Vật liệu điện tử</t>
  </si>
  <si>
    <t>Võ Công Dũng</t>
  </si>
  <si>
    <t>Trần Đình Quang</t>
  </si>
  <si>
    <t>Phan Hùng Thư</t>
  </si>
  <si>
    <t>Nguyễn Thị Thanh (D)</t>
  </si>
  <si>
    <t>Giản Hoàng Anh</t>
  </si>
  <si>
    <t>Tiếng Anh Ấn độ</t>
  </si>
  <si>
    <t>Nguyễn Đình Huy</t>
  </si>
  <si>
    <t>Trần Quyết Thắng</t>
  </si>
  <si>
    <t>KTXDCT giao thông</t>
  </si>
  <si>
    <t>Đinh Nho Lâm</t>
  </si>
  <si>
    <t>Trung tâm Nội trú</t>
  </si>
  <si>
    <t>Nguyễn Kim Từ</t>
  </si>
  <si>
    <t>Nguyễn Thị Bích Thủy (E)</t>
  </si>
  <si>
    <t>Bùi Thị Liên</t>
  </si>
  <si>
    <t>Đặng Ngọc Dũng</t>
  </si>
  <si>
    <t>Đinh Thị Quỳnh mai</t>
  </si>
  <si>
    <t>Kinh tế bảo hiểm</t>
  </si>
  <si>
    <t>Kinh doanh &amp; quản lý</t>
  </si>
  <si>
    <t>Hà Thị Minh Trang</t>
  </si>
  <si>
    <t>Hoàng Thị Hương Giang</t>
  </si>
  <si>
    <t>Lê Thị Thơ</t>
  </si>
  <si>
    <t>Tiếng Nga, Cử nhân thư viện thông tin</t>
  </si>
  <si>
    <t>Nguyễn Thị Mai</t>
  </si>
  <si>
    <t>Nguyễn Thị Quỳnh Trang (A)</t>
  </si>
  <si>
    <t>Ngữ văn _SP</t>
  </si>
  <si>
    <t>Nguyễn Thị Sen</t>
  </si>
  <si>
    <t>Phạm Ngọc Luận</t>
  </si>
  <si>
    <t>Phạm Thị Hoài Thanh</t>
  </si>
  <si>
    <t>B - 2/8/2016</t>
  </si>
  <si>
    <t>Tô Thị Thanh Hương</t>
  </si>
  <si>
    <t>Trần Châu Thành</t>
  </si>
  <si>
    <t>Trần Thị Thu Chung</t>
  </si>
  <si>
    <t>Võ Quang Cường</t>
  </si>
  <si>
    <t>Bùi Thị Thanh Hà</t>
  </si>
  <si>
    <t>Chưa qua đào tạo</t>
  </si>
  <si>
    <t>Bùi Thị Hương Sen</t>
  </si>
  <si>
    <t>Trung tâm Thông tin - Thư viện Nguyễn Thúc Hào</t>
  </si>
  <si>
    <t>KHXH&amp;NV - Ngôn ngữ</t>
  </si>
  <si>
    <t>Hồ Thị Oanh</t>
  </si>
  <si>
    <t>Lưu trữ học &amp; QT văn phòng</t>
  </si>
  <si>
    <t>Nguyễn Đức Bình</t>
  </si>
  <si>
    <t>Kỹ sư công nghệ thông tin, Kỹ sư thủy sản</t>
  </si>
  <si>
    <t>B1 - 29/12/2011</t>
  </si>
  <si>
    <t xml:space="preserve">CN tin học </t>
  </si>
  <si>
    <t>Nguyễn Tuấn Minh</t>
  </si>
  <si>
    <t>Phan Văn Tài</t>
  </si>
  <si>
    <t>Dương Thị Thanh Nga</t>
  </si>
  <si>
    <t>Tổ phân loại - Biên mục</t>
  </si>
  <si>
    <t>Lê Thị Vân Anh (B)</t>
  </si>
  <si>
    <t>Văn học, Cử nhân thư viện thông tin</t>
  </si>
  <si>
    <t>Nguyễn Thị Hà Giang (A)</t>
  </si>
  <si>
    <t>Nguyễn Thị Hải Yến (C)</t>
  </si>
  <si>
    <t>Tiếng Anh, Cử nhân thư viện thông tin</t>
  </si>
  <si>
    <t>Nguyễn Thị Nhàn</t>
  </si>
  <si>
    <t>Nguyễn Thị Thanh Hằng</t>
  </si>
  <si>
    <t>Ngữ văn_SP, Cử nhân thư viện thông tin</t>
  </si>
  <si>
    <t>Nguyễn Thị Thương (A)</t>
  </si>
  <si>
    <t>Cao Thị Thủy</t>
  </si>
  <si>
    <t>Tổ phục vụ</t>
  </si>
  <si>
    <t>Lưu Vân Anh</t>
  </si>
  <si>
    <t>Nguyễn Thị Mơ</t>
  </si>
  <si>
    <t>Văn thư - Lưu trữ</t>
  </si>
  <si>
    <t>Ông Thị Kim Ngân</t>
  </si>
  <si>
    <t>Lâm Thu Trang</t>
  </si>
  <si>
    <t>Tổ thông tin - tư liệu</t>
  </si>
  <si>
    <t>Ngô Thị Thúy Lan</t>
  </si>
  <si>
    <t>Nguyễn Văn Hải (A)</t>
  </si>
  <si>
    <t>Công nghệ đào tạo</t>
  </si>
  <si>
    <t>Hoàng Thị Nga (B)</t>
  </si>
  <si>
    <t>Phạm Thị Hoài Phương</t>
  </si>
  <si>
    <t>Hoàng Ngọc Diệp</t>
  </si>
  <si>
    <t>Ngôn ngữ VN</t>
  </si>
  <si>
    <t>B - 21/8/2006</t>
  </si>
  <si>
    <t>Nguyễn Thị Hải Yến (D)</t>
  </si>
  <si>
    <t>Chu Thị Thanh Lâm</t>
  </si>
  <si>
    <t>Trung tâm Thực hành - Thí nghiệm</t>
  </si>
  <si>
    <t>Hóa phân tích</t>
  </si>
  <si>
    <t>Lê Thị Hoa</t>
  </si>
  <si>
    <t>Hóa Hữu cơ</t>
  </si>
  <si>
    <t>Lê Thị Thu Hiệp</t>
  </si>
  <si>
    <t>Ngô Thị Thủy Hà</t>
  </si>
  <si>
    <t>Nguyễn Thị Hòa (B)</t>
  </si>
  <si>
    <t>hóa học</t>
  </si>
  <si>
    <t>Nguyễn Thị Tâm (A)</t>
  </si>
  <si>
    <t>Nguyễn Thị Vui</t>
  </si>
  <si>
    <t>Trịnh Thị Thanh Hà</t>
  </si>
  <si>
    <t>Hoá hữu cơ</t>
  </si>
  <si>
    <t>Bùi Đình Thuận</t>
  </si>
  <si>
    <t>Lê Thị Thu</t>
  </si>
  <si>
    <t>Sinh - Địa</t>
  </si>
  <si>
    <t>Sinh học_SP</t>
  </si>
  <si>
    <t>Nguyễn Thị Bình (A)</t>
  </si>
  <si>
    <t>Nguyễn Thị Kim Chung</t>
  </si>
  <si>
    <t>Hồ Thị Hải Yên</t>
  </si>
  <si>
    <t>Tổ Hóa sinh - Môi trường</t>
  </si>
  <si>
    <t>Nguyễn Thị Nhã</t>
  </si>
  <si>
    <t>Tổ Kỹ thuật và Công nghệ</t>
  </si>
  <si>
    <t>Lê thị Hồng Lam</t>
  </si>
  <si>
    <t>Tổ Sư phạm Tự nhiên</t>
  </si>
  <si>
    <t>Lê Viết Đồng</t>
  </si>
  <si>
    <t>Tổ Xây dựng</t>
  </si>
  <si>
    <t>Lê Thị Dung</t>
  </si>
  <si>
    <t>Vật lý và Công nghệ</t>
  </si>
  <si>
    <t xml:space="preserve">Vật lý </t>
  </si>
  <si>
    <t>Lương Thị Yến Nga</t>
  </si>
  <si>
    <t>Vật lý-SP</t>
  </si>
  <si>
    <t>Nghiêm Thăng Hùng</t>
  </si>
  <si>
    <t>Ngô Sỹ Khánh</t>
  </si>
  <si>
    <t>Kỹ thuật Điện - Điện tử</t>
  </si>
  <si>
    <t>Nguyễn Doãn Chung</t>
  </si>
  <si>
    <t>Nguyễn Lê Thăng</t>
  </si>
  <si>
    <t>Nguyễn Thế Tân</t>
  </si>
  <si>
    <t>Nguyễn Thị Hoài Phương</t>
  </si>
  <si>
    <t>Nguyễn Thị Thu Hiền (A)</t>
  </si>
  <si>
    <t>Nguyễn Văn Hải (B)</t>
  </si>
  <si>
    <t>Cao Xuân Thiệu</t>
  </si>
  <si>
    <t>Đoàn Thị Minh Khai</t>
  </si>
  <si>
    <t>Nguyễn Đình Anh</t>
  </si>
  <si>
    <t>Trương Văn Bé</t>
  </si>
  <si>
    <t>Văn Thị Tâm</t>
  </si>
  <si>
    <t>C1</t>
  </si>
  <si>
    <t>Lê Thị Quỳnh</t>
  </si>
  <si>
    <t>SP Địa lý</t>
  </si>
  <si>
    <t>Đinh Thế Định</t>
  </si>
  <si>
    <t>Trường Khoa học Xã hội và Nhân văn</t>
  </si>
  <si>
    <t>Khoa Chính trị và Báo chí</t>
  </si>
  <si>
    <t>SP Hóa, CNXH KH</t>
  </si>
  <si>
    <t>CNXH KH, PGS: Chính trị học</t>
  </si>
  <si>
    <t>Hắc Xuân Cảnh</t>
  </si>
  <si>
    <t>SP Lịch sử</t>
  </si>
  <si>
    <t>Sử học</t>
  </si>
  <si>
    <t>Lê Hà Phương</t>
  </si>
  <si>
    <t xml:space="preserve">Báo chí </t>
  </si>
  <si>
    <t>Lê Thị Thanh Hiếu</t>
  </si>
  <si>
    <t>B2 (2.2019)</t>
  </si>
  <si>
    <t>Lê Thị Thu Hiền</t>
  </si>
  <si>
    <t>Báo chí -Báo in</t>
  </si>
  <si>
    <t>Quan hệ công chúng</t>
  </si>
  <si>
    <t>Báo chí học</t>
  </si>
  <si>
    <t>Miễn
B2 (KS 11/2019)</t>
  </si>
  <si>
    <t>Nguyễn Thanh Hải</t>
  </si>
  <si>
    <t>nữ</t>
  </si>
  <si>
    <t>B2
(KS 3/2020)</t>
  </si>
  <si>
    <t>Nguyễn Thị Lê Vinh</t>
  </si>
  <si>
    <t>Nguyễn Thị Quỳnh Nga (A)</t>
  </si>
  <si>
    <t>Phạm Thị Bình</t>
  </si>
  <si>
    <t>Phạm Thị Thúy Hồng</t>
  </si>
  <si>
    <t>Phan Văn Tuấn</t>
  </si>
  <si>
    <t>Đang học hoàn chỉnh CCLLCT</t>
  </si>
  <si>
    <t>Trần Viết Quang</t>
  </si>
  <si>
    <t>Trương Thị Phương Thảo</t>
  </si>
  <si>
    <t xml:space="preserve"> Giáo dục chính trị</t>
  </si>
  <si>
    <t>đối tượng 4</t>
  </si>
  <si>
    <t>Vũ Thị Phương Lê</t>
  </si>
  <si>
    <t>Chính trị</t>
  </si>
  <si>
    <t>Chủ nghĩa xã hội khoa học</t>
  </si>
  <si>
    <t>Bùi Minh Thuận</t>
  </si>
  <si>
    <t xml:space="preserve">Lịch sử/ Dân tộc học </t>
  </si>
  <si>
    <t>Bùi Văn Hào</t>
  </si>
  <si>
    <t>Lê Thị Hải Lý</t>
  </si>
  <si>
    <t>Du lịch</t>
  </si>
  <si>
    <t>Nguyễn Hồng Vinh</t>
  </si>
  <si>
    <t>Lịch sử/Dân tộc học</t>
  </si>
  <si>
    <t>Nhân học</t>
  </si>
  <si>
    <t>Nguyễn Thị Hoài An</t>
  </si>
  <si>
    <t>Công tác xã hội</t>
  </si>
  <si>
    <t>Nguyễn Thị Thanh Thanh</t>
  </si>
  <si>
    <t>Nguyễn Văn Trung</t>
  </si>
  <si>
    <t>LSĐCSVN</t>
  </si>
  <si>
    <t>Ông Thị Mai Thương</t>
  </si>
  <si>
    <t>Xã hội học</t>
  </si>
  <si>
    <t>Phạm Thị Oanh</t>
  </si>
  <si>
    <t>Phan Thị Thúy Hà</t>
  </si>
  <si>
    <t>Phùng Văn Nam</t>
  </si>
  <si>
    <t>Trần Thị Khánh Dung</t>
  </si>
  <si>
    <t>Công tác xã hội &amp; phát triển cộng đồng</t>
  </si>
  <si>
    <t>Trần Thị Thủy (B)</t>
  </si>
  <si>
    <t>Võ Thị Anh Mai</t>
  </si>
  <si>
    <t>Võ Thị Cẩm Ly</t>
  </si>
  <si>
    <t>Bùi Hạnh Phúc</t>
  </si>
  <si>
    <t>Khoa Luật học</t>
  </si>
  <si>
    <t>Luật học</t>
  </si>
  <si>
    <t>LL&amp;LS Nhà nước PL</t>
  </si>
  <si>
    <t>Bùi Thị Phương Quỳnh</t>
  </si>
  <si>
    <t>Cao Thị Ngọc yến</t>
  </si>
  <si>
    <t>LL về NN&amp;PL</t>
  </si>
  <si>
    <t>Đặng Thị Phương Linh</t>
  </si>
  <si>
    <t>Luật hình sự</t>
  </si>
  <si>
    <t>Đinh Ngọc Thắng</t>
  </si>
  <si>
    <t>Đinh Văn Liêm</t>
  </si>
  <si>
    <t>Luật kinh tế</t>
  </si>
  <si>
    <t>Luật Hiến pháp và Luật HC</t>
  </si>
  <si>
    <t>B1 - 10/5/2012</t>
  </si>
  <si>
    <t>CCLLCT 2022</t>
  </si>
  <si>
    <t>Đoàn Minh Trang</t>
  </si>
  <si>
    <t>Luật + SP Toán</t>
  </si>
  <si>
    <t>Hồ Thị Nga</t>
  </si>
  <si>
    <t>Hồ Trọng Hữu</t>
  </si>
  <si>
    <t>Tội phạm học &amp; phòng ngừa tội phạm</t>
  </si>
  <si>
    <t>Ngô Thị Thu Hoài</t>
  </si>
  <si>
    <t>2019</t>
  </si>
  <si>
    <t>Nguyễn Thị Bích Ngọc (B)</t>
  </si>
  <si>
    <t>Luật hành chính</t>
  </si>
  <si>
    <t>Nguyễn Thị Hà (B)</t>
  </si>
  <si>
    <t>Nguyễn Thị Mai Anh</t>
  </si>
  <si>
    <t>Nguyễn Thị Mai Trang</t>
  </si>
  <si>
    <t>Luật Hình sự</t>
  </si>
  <si>
    <t>Nguyễn Thị Thanh Trâm (B)</t>
  </si>
  <si>
    <t>Nguyễn Thị Thùy Dung</t>
  </si>
  <si>
    <t>Nguyễn Văn Đại</t>
  </si>
  <si>
    <t>Nguyễn Văn Dũng</t>
  </si>
  <si>
    <t>Luật quốc tế</t>
  </si>
  <si>
    <t>Bùi Thuận Yến</t>
  </si>
  <si>
    <t>Khoa Luật Kinh tế</t>
  </si>
  <si>
    <t>Luật dân sự</t>
  </si>
  <si>
    <t>Chu Thị Trinh</t>
  </si>
  <si>
    <t>ThS Nga</t>
  </si>
  <si>
    <t>Hà Thị Thúy</t>
  </si>
  <si>
    <t xml:space="preserve">Luật </t>
  </si>
  <si>
    <t>Hồ Thị Duyên</t>
  </si>
  <si>
    <t>Hồ Thị Hải</t>
  </si>
  <si>
    <t>Lê Hồng Hạnh</t>
  </si>
  <si>
    <t>Ngũ Thị Như Hoa</t>
  </si>
  <si>
    <t>Nguyễn Mai Ly</t>
  </si>
  <si>
    <t>Nguyễn Thị Hồng Nhật</t>
  </si>
  <si>
    <t>Nguyễn Thị Phương Thảo (C)</t>
  </si>
  <si>
    <t>Nguyễn Thị Phương Thảo (D)</t>
  </si>
  <si>
    <t>Nguyễn Thị Thanh (C)</t>
  </si>
  <si>
    <t>Phạm Thị Huyền Sang</t>
  </si>
  <si>
    <t>ThS nước ngoài</t>
  </si>
  <si>
    <t>Phạm Thị Thúy Liễu</t>
  </si>
  <si>
    <t>Phan Nữ Hiền Oanh</t>
  </si>
  <si>
    <t>Trần Thị Vân Trà</t>
  </si>
  <si>
    <t>Lê Thị Hồng Phương (B)</t>
  </si>
  <si>
    <t>Văn phòng Trường</t>
  </si>
  <si>
    <t>Lịch sử Việt Nam</t>
  </si>
  <si>
    <t>Lê Thị Lý</t>
  </si>
  <si>
    <t>Thái Thị Ngọc Loan</t>
  </si>
  <si>
    <t>LL văn học</t>
  </si>
  <si>
    <t>Trần Thị Nhung</t>
  </si>
  <si>
    <t>Võ Thị Thúy Hằng</t>
  </si>
  <si>
    <t>Đặng Thúy Anh</t>
  </si>
  <si>
    <t>Trường Kinh tế</t>
  </si>
  <si>
    <t>Khoa Kế toán</t>
  </si>
  <si>
    <t>Kế toán kiểm toán</t>
  </si>
  <si>
    <t>Kế toán kiểm toán &amp; phân tích</t>
  </si>
  <si>
    <t>Đào Thị Loan</t>
  </si>
  <si>
    <t>Đường Thị Quỳnh Liên</t>
  </si>
  <si>
    <t>Hồ Mỹ Hạnh</t>
  </si>
  <si>
    <t>Ngô Thị Khánh Linh</t>
  </si>
  <si>
    <t>Kinh doanh &amp; quản lý/Kế toán kiểm toán &amp; phân tích</t>
  </si>
  <si>
    <t>Nguyễn Anh Tú</t>
  </si>
  <si>
    <t>Nguyễn Thị Bích Thủy (A)</t>
  </si>
  <si>
    <t>Nguyễn Thị Diệu Thúy</t>
  </si>
  <si>
    <t>Nguyễn Thị Hạnh Duyên</t>
  </si>
  <si>
    <t>Nguyễn Thị Mai Lê</t>
  </si>
  <si>
    <t>Nguyễn Thị Thanh Hòa</t>
  </si>
  <si>
    <t>Kế toán</t>
  </si>
  <si>
    <t>B2/2017
Cử nhân</t>
  </si>
  <si>
    <t>Phạm Thị Kim Yến</t>
  </si>
  <si>
    <t>Phạm Thị Thúy Hằng</t>
  </si>
  <si>
    <t>Phan Thị Nhật Linh</t>
  </si>
  <si>
    <t>Trương Thị Hoài</t>
  </si>
  <si>
    <t>Cao Thị Thanh Vân</t>
  </si>
  <si>
    <t>Kinh tế đầu tư</t>
  </si>
  <si>
    <t>Lê Vũ Sao Mai</t>
  </si>
  <si>
    <t>B - 20/6/2006</t>
  </si>
  <si>
    <t>Lương Thị Quỳnh Mai</t>
  </si>
  <si>
    <t>Kinh doanh quốc tế</t>
  </si>
  <si>
    <t>Nguyễn Mai Hường</t>
  </si>
  <si>
    <t>Nguyễn Thế Lân</t>
  </si>
  <si>
    <t>Kinh tế nông nghiệp &amp; phát triển nông thôn</t>
  </si>
  <si>
    <t>Kinh tế phát triển quốc tế</t>
  </si>
  <si>
    <t>Nguyễn Thị Bích Liên</t>
  </si>
  <si>
    <t>Nguyễn Thị Hải Yến (B)</t>
  </si>
  <si>
    <t>Nguyễn Thị Minh Phượng</t>
  </si>
  <si>
    <t>Kinh tế nông nghiệp</t>
  </si>
  <si>
    <t>Kinh tế phát triển</t>
  </si>
  <si>
    <t>Nguyễn Thị Thúy Quỳnh</t>
  </si>
  <si>
    <t>Kinh tế thương maị</t>
  </si>
  <si>
    <t>Nguyễn Thị Thúy Vinh</t>
  </si>
  <si>
    <t>Nguyễn Thị Tiếng</t>
  </si>
  <si>
    <t>Nguyễn Văn Quỳnh (A)</t>
  </si>
  <si>
    <t>Thái Thị Kim Oanh</t>
  </si>
  <si>
    <t>Trần Thị Hoàng Mai</t>
  </si>
  <si>
    <t>B - 31/12/2001</t>
  </si>
  <si>
    <t>Trần Thị Hồng Lam</t>
  </si>
  <si>
    <t>Kinh tế Chính trị</t>
  </si>
  <si>
    <t>Trần Thị Thanh Tâm</t>
  </si>
  <si>
    <t>Kinh tế quốc tế</t>
  </si>
  <si>
    <t>Kinh tế học</t>
  </si>
  <si>
    <t>Trần Thị Thanh Thủy</t>
  </si>
  <si>
    <t>Đỗ Thị Phi Hoài</t>
  </si>
  <si>
    <t>Hồ Thị Diệu ánh</t>
  </si>
  <si>
    <t>B - 31/7/2001</t>
  </si>
  <si>
    <t>Hoàng Thị Cẩm Thương</t>
  </si>
  <si>
    <t>Trần Diệu Linh</t>
  </si>
  <si>
    <t>Thạc sỹ ở Anh</t>
  </si>
  <si>
    <t>Trần Quang Bách</t>
  </si>
  <si>
    <t>Quản trị kinh doanh tổng hợp</t>
  </si>
  <si>
    <t>B2 - 23/9/2020</t>
  </si>
  <si>
    <t>Trần Thị Lê Na</t>
  </si>
  <si>
    <t>Thương mại Quốc tế</t>
  </si>
  <si>
    <t>Trần Văn Hào</t>
  </si>
  <si>
    <t>Quản trị kinh doanh CN &amp; XD</t>
  </si>
  <si>
    <t>Bành Thị Thảo</t>
  </si>
  <si>
    <t>Khoa Tài chính ngân hàng</t>
  </si>
  <si>
    <t>Ngân hàng thương mại</t>
  </si>
  <si>
    <t>IELTS 6.0
)31/1/2018</t>
  </si>
  <si>
    <t>Đặng Thành Cương</t>
  </si>
  <si>
    <t>Tài chính tín dụng &amp; lưu thông tiền tệ</t>
  </si>
  <si>
    <t>kinh tế/kinh tế Tài chính ngân hàng</t>
  </si>
  <si>
    <t>Đoàn Thị Ngọc Hân</t>
  </si>
  <si>
    <t>Tài chính doanh nghiệp</t>
  </si>
  <si>
    <t>Hoàng Thị Thanh Huyền</t>
  </si>
  <si>
    <t>Hoàng Thị Việt</t>
  </si>
  <si>
    <t>Ngô Hồng Nhung</t>
  </si>
  <si>
    <t>Thị trường chứng khoán</t>
  </si>
  <si>
    <t>Nguyễn Đình Tiến</t>
  </si>
  <si>
    <t>Ngân hàng</t>
  </si>
  <si>
    <t>IELTS 6.0</t>
  </si>
  <si>
    <t>Nguyễn Thanh Huyền (A)</t>
  </si>
  <si>
    <t>Nguyễn Thị Anh Giang</t>
  </si>
  <si>
    <t>Nguyễn Thị Bích Thủy (B)</t>
  </si>
  <si>
    <t>Nguyễn Thị Yến</t>
  </si>
  <si>
    <t>IELTS 6.0
21.12.2018</t>
  </si>
  <si>
    <t>Trần Thị Lưu Tâm</t>
  </si>
  <si>
    <t>Thanh toán quốc tế</t>
  </si>
  <si>
    <t>Trịnh Thị Hằng</t>
  </si>
  <si>
    <t>Đào Thị Lợi</t>
  </si>
  <si>
    <t>Lê Như Lai</t>
  </si>
  <si>
    <t>Lê Thị Hồng Phương (A)</t>
  </si>
  <si>
    <t>Nguyễn Thị Linh</t>
  </si>
  <si>
    <t>Trần Thanh Huyền</t>
  </si>
  <si>
    <t>Đặng Thị Lê Na</t>
  </si>
  <si>
    <t>Trường Mầm non thực hành</t>
  </si>
  <si>
    <t>Tổ Mầm non</t>
  </si>
  <si>
    <t>Dương Thị Nga</t>
  </si>
  <si>
    <t>V.07.02.04</t>
  </si>
  <si>
    <t>GVMN hạng II 7/3/2020</t>
  </si>
  <si>
    <t>Nguyễn Thị Bích Lê</t>
  </si>
  <si>
    <t>Đào Thị Hồng Thơm</t>
  </si>
  <si>
    <t>Tổ Mầm non 1</t>
  </si>
  <si>
    <t>Nguyễn Minh Thương</t>
  </si>
  <si>
    <t>Nguyễn Thị Hồng</t>
  </si>
  <si>
    <t>V.07.02.06</t>
  </si>
  <si>
    <t>GVMN hạng III 3/7/2020</t>
  </si>
  <si>
    <t>Nguyễn Thị Hường (B)</t>
  </si>
  <si>
    <t>V.07.02.05</t>
  </si>
  <si>
    <t>Nguyễn Thị Nhung</t>
  </si>
  <si>
    <t>SP tiếng Anh</t>
  </si>
  <si>
    <t>Nguyễn Thị Tâm (B)</t>
  </si>
  <si>
    <t>Nguyễn Thị Thủy (B)</t>
  </si>
  <si>
    <t>Phạm Thị Nguyệt Minh</t>
  </si>
  <si>
    <t>Phạm Thị Phúc</t>
  </si>
  <si>
    <t>Phan Thị Nhàn</t>
  </si>
  <si>
    <t>Trần Thị Hồng Ngọc</t>
  </si>
  <si>
    <t>Trần Thị Thanh Xuân (B)</t>
  </si>
  <si>
    <t>Nguyễn Thị Thanh Dung</t>
  </si>
  <si>
    <t>SP Giáo dục mầm non</t>
  </si>
  <si>
    <t>Ngô Thị Thương</t>
  </si>
  <si>
    <t>Tổ Mầm non 2</t>
  </si>
  <si>
    <t>Nguyễn Thị Hải</t>
  </si>
  <si>
    <t>Nguyễn Thị Huyền (B)</t>
  </si>
  <si>
    <t>Nguyễn Thị Linh Xuân</t>
  </si>
  <si>
    <t>Nguyễn Thị Mỹ Linh</t>
  </si>
  <si>
    <t>Nguyễn Thị Ngọc</t>
  </si>
  <si>
    <t>Nguyễn Thị Uyên (B)</t>
  </si>
  <si>
    <t>Trần ái Linh</t>
  </si>
  <si>
    <t>Trương Thị Quỳnh Trang</t>
  </si>
  <si>
    <t>Nguyễn Đắc Quỳnh Nga</t>
  </si>
  <si>
    <t>Chu Thị Tơ</t>
  </si>
  <si>
    <t>Tổ Mầm non 3</t>
  </si>
  <si>
    <t>Đinh Thị Hằng</t>
  </si>
  <si>
    <t>Nguyễn Thị Bé</t>
  </si>
  <si>
    <t>SP mầm non</t>
  </si>
  <si>
    <t>Nguyễn Thị Châu (B)</t>
  </si>
  <si>
    <t>Nguyễn Thị Dung (A)</t>
  </si>
  <si>
    <t>Nguyễn Thị Hòa (A)</t>
  </si>
  <si>
    <t>Nguyễn Thị Thanh Hảo</t>
  </si>
  <si>
    <t>Tạ Thị Thùy Dung</t>
  </si>
  <si>
    <t>Đối tượng 3</t>
  </si>
  <si>
    <t>Thái Thị Thảo</t>
  </si>
  <si>
    <t>Trương Thị Hiên</t>
  </si>
  <si>
    <t>Tiểu học_SP</t>
  </si>
  <si>
    <t>Trương Thị Hướng</t>
  </si>
  <si>
    <t>Nguyễn Duy Thìn</t>
  </si>
  <si>
    <t>VP Trường MNTH</t>
  </si>
  <si>
    <t>Nguyễn Sỹ Hùng</t>
  </si>
  <si>
    <t>Nguyễn Thị Hà Giang (C)</t>
  </si>
  <si>
    <t>Nguyễn Thị Hoàng Nga</t>
  </si>
  <si>
    <t>Nguyễn Trọng Duyên</t>
  </si>
  <si>
    <t>Đinh Thị Dung</t>
  </si>
  <si>
    <t>Nguyễn Thị Hoài (A)</t>
  </si>
  <si>
    <t>Địa lý tự nhiên</t>
  </si>
  <si>
    <t>Địa lý kinh tế - Chính trị</t>
  </si>
  <si>
    <t>Giáo dục học/LL&amp;PP dạy học bộ môn Địa lý</t>
  </si>
  <si>
    <t>Khoa học giáo dục/LL&amp;PP dạy học bộ môn Địa lý</t>
  </si>
  <si>
    <t>Đợt 3 năm 2017</t>
  </si>
  <si>
    <t>Tiếng Pháp/A2</t>
  </si>
  <si>
    <t>Địa lý tài nguyên &amp; môi trường</t>
  </si>
  <si>
    <t>Võ Thị Thu Hà (A)</t>
  </si>
  <si>
    <t>Giáo dục học/LL&amp;PPDH bộ môn Địa lý</t>
  </si>
  <si>
    <t>Đợt 10/2016</t>
  </si>
  <si>
    <t>Hoàng Thị Nga (A)</t>
  </si>
  <si>
    <t>Nguyễn Thái Sơn (A)</t>
  </si>
  <si>
    <t>Nguyễn Thị Hải Yến (A)</t>
  </si>
  <si>
    <t>KTCT</t>
  </si>
  <si>
    <t>PPGD bộ môn GD chính trị</t>
  </si>
  <si>
    <t>LL&amp;PPDH GDCT</t>
  </si>
  <si>
    <t>CC UDCNTTCB 8/10/2019</t>
  </si>
  <si>
    <t>Nguyễn Thị Kỳ</t>
  </si>
  <si>
    <t>Giáo dục học /Giáo dục mầm non</t>
  </si>
  <si>
    <t>LL&amp;LS GD</t>
  </si>
  <si>
    <t>Phạm Thị Hải Châu</t>
  </si>
  <si>
    <t>Toán học/Hình học Topo</t>
  </si>
  <si>
    <t>SP âm nhạc</t>
  </si>
  <si>
    <t>Ngôn ngữ &amp; văn học</t>
  </si>
  <si>
    <t>Ngôn ngữ học/Ngôn ngữ &amp; văn học</t>
  </si>
  <si>
    <t>Trần Thị Thúy Nga (A)</t>
  </si>
  <si>
    <t>Giáo dục học/Giáo dục mầm non</t>
  </si>
  <si>
    <t>Văn học nghệ thuật</t>
  </si>
  <si>
    <t>KHXH&amp;NV/Ngữ văn</t>
  </si>
  <si>
    <t>Khoa học SP/Ngữ văn</t>
  </si>
  <si>
    <t>KHXH&amp;NV/LL ngôn ngữ</t>
  </si>
  <si>
    <t>Ngữ văn/LL ngôn ngữ</t>
  </si>
  <si>
    <t>C -17/6/1995</t>
  </si>
  <si>
    <t>B - 9/9/1995</t>
  </si>
  <si>
    <t xml:space="preserve">Giáo dục học </t>
  </si>
  <si>
    <t>Toán học/Đại số &amp; lý thuyết số</t>
  </si>
  <si>
    <t>LL&amp;PPDH bộ môn toán</t>
  </si>
  <si>
    <t>V.07.05.15</t>
  </si>
  <si>
    <t>Nghệ thuật âm nhạc</t>
  </si>
  <si>
    <t>Văn hóa học/Nghệ thuật âm nhạc</t>
  </si>
  <si>
    <t>Nguyễn Tiến Dũng (B)</t>
  </si>
  <si>
    <t>Total 615</t>
  </si>
  <si>
    <t>Phan Hữu Tiệp</t>
  </si>
  <si>
    <t>Văn hóa học/Mỹ thuật</t>
  </si>
  <si>
    <t xml:space="preserve">Hóa lý &amp; hóa lý thuyết </t>
  </si>
  <si>
    <t>Nguyễn Thị Chung (A)</t>
  </si>
  <si>
    <t>Nguyễn Thị Phương Thảo (F)</t>
  </si>
  <si>
    <t>Khoa học/Hoá vô cơ</t>
  </si>
  <si>
    <t>Hóa học/Hoá vô cơ</t>
  </si>
  <si>
    <t>Phan Thị Minh Huyền</t>
  </si>
  <si>
    <t>Phan Thị Thùy</t>
  </si>
  <si>
    <t>Hoàng Thị Hải Yến</t>
  </si>
  <si>
    <t>Lịch sử thế giới cận đại &amp; hiện đại</t>
  </si>
  <si>
    <t>TCLLCT (2019) CCLLCT 2020</t>
  </si>
  <si>
    <t>B2 (KS 3/2020)
Cử nhân</t>
  </si>
  <si>
    <t>Nguyễn Thị Duyên (A)</t>
  </si>
  <si>
    <t>Giáo dục học/LL&amp;PP dạy học BM Lịch sử</t>
  </si>
  <si>
    <t>Nguyễn Thị Hà (A)</t>
  </si>
  <si>
    <t>KHXH&amp;NV/LL&amp;PP dạy học BM Lịch sử</t>
  </si>
  <si>
    <t>Nguyễn Văn Tuấn (A)</t>
  </si>
  <si>
    <t>Trần Vũ Tài</t>
  </si>
  <si>
    <t>Ngữ văn/Văn học Việt Nam</t>
  </si>
  <si>
    <t>KHXH&amp;NV/Văn học Việt Nam</t>
  </si>
  <si>
    <t xml:space="preserve">LL văn học </t>
  </si>
  <si>
    <t>Ngữ văn/Văn học nước ngoài</t>
  </si>
  <si>
    <t xml:space="preserve">KHXH&amp;NV/LL ngôn ngữ </t>
  </si>
  <si>
    <t xml:space="preserve">Ngữ văn/LL ngôn ngữ </t>
  </si>
  <si>
    <t>KHXH&amp;NV</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</si>
  <si>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</si>
  <si>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</si>
  <si>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</si>
  <si>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</si>
  <si>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</si>
  <si>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</si>
  <si>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</si>
  <si>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</si>
  <si>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</si>
  <si>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</si>
  <si>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Ielts 6.0
(11/2019)</t>
  </si>
  <si>
    <t>Khoa học sinh học</t>
  </si>
  <si>
    <t>TS Mônđôva</t>
  </si>
  <si>
    <t>Sinh lý hóa sinh</t>
  </si>
  <si>
    <t>TS Đài Loan</t>
  </si>
  <si>
    <t>Lê Thị Thúy Hà (B)</t>
  </si>
  <si>
    <t>LL&amp;PPDH bộ môn Sinh học</t>
  </si>
  <si>
    <t>KH tự nhiên</t>
  </si>
  <si>
    <t>Sinh học/KH tự nhiên</t>
  </si>
  <si>
    <t>Sinh học/CN sinh học</t>
  </si>
  <si>
    <t>B2 (KS 3.2020)</t>
  </si>
  <si>
    <t>Côn trùng học</t>
  </si>
  <si>
    <t>Sinh học/Hóa sinh</t>
  </si>
  <si>
    <t>Phan Xuân Thiệu</t>
  </si>
  <si>
    <t>Hóa sinh</t>
  </si>
  <si>
    <t>TS Rumania</t>
  </si>
  <si>
    <t>GiảI phẩu động vật</t>
  </si>
  <si>
    <t>Di truyền</t>
  </si>
  <si>
    <t>Khoa học giáo dục/LL&amp;PPDH bộ môn Sinh học</t>
  </si>
  <si>
    <t>Giáo dục học/LL &amp; lịch sử giáo dục học</t>
  </si>
  <si>
    <t xml:space="preserve">Quản lý giáo dục </t>
  </si>
  <si>
    <t>GVSP QLGD chủ chốt</t>
  </si>
  <si>
    <t>B - 1/10/2006</t>
  </si>
  <si>
    <t>Tâm lý giáo dục</t>
  </si>
  <si>
    <t>Tâm lý học/Tâm lý giáo dục</t>
  </si>
  <si>
    <t>Tâm lý học</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</si>
  <si>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</si>
  <si>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</si>
  <si>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</si>
  <si>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</si>
  <si>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</si>
  <si>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</si>
  <si>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Giáo dục học/LL &amp; Lích sử Giáo dục học</t>
  </si>
  <si>
    <t>Nguyễn Thị Thu Hằng (A)</t>
  </si>
  <si>
    <t>Phan Quốc Lâm</t>
  </si>
  <si>
    <t>KHXH&amp;NV/Tâm lý giáo dục</t>
  </si>
  <si>
    <t>Nga: C; Pháp: A</t>
  </si>
  <si>
    <t>Tâm lý học chuyên ngành</t>
  </si>
  <si>
    <t>Hệ thống thông tin</t>
  </si>
  <si>
    <t>Phạm Thị Thu Hiền</t>
  </si>
  <si>
    <t>Khoa học/Toán</t>
  </si>
  <si>
    <t>TS CNTT</t>
  </si>
  <si>
    <t>Trần Thị Kim Oanh</t>
  </si>
  <si>
    <t>SP Toán học</t>
  </si>
  <si>
    <t>Cao học Công nghệ Thông tin</t>
  </si>
  <si>
    <t>Đào Thị Thanh Hà</t>
  </si>
  <si>
    <t>Hình học &amp; tôpô</t>
  </si>
  <si>
    <t>TS Bồ Đào Nha</t>
  </si>
  <si>
    <t>Lê Văn Thành (A)</t>
  </si>
  <si>
    <t>PPGD Toán</t>
  </si>
  <si>
    <t>PPDH Toán</t>
  </si>
  <si>
    <t>ToTal 550</t>
  </si>
  <si>
    <t>Nguyễn Duy Bình (A)</t>
  </si>
  <si>
    <t>Nguyễn Hữu Quang</t>
  </si>
  <si>
    <t>Nguyễn Huy Chiêu</t>
  </si>
  <si>
    <t>Toán giải tích/Lý thuyết tối ưu</t>
  </si>
  <si>
    <t>IELTS 5.5
(5.6.2019)</t>
  </si>
  <si>
    <t>Nguyễn Quốc Thơ</t>
  </si>
  <si>
    <t>Nguyễn Thị Mỹ Hằng</t>
  </si>
  <si>
    <t>Nguyễn Thị Quỳnh Trang (C)</t>
  </si>
  <si>
    <t>TS CHLB Đức</t>
  </si>
  <si>
    <t>Nguyễn Trần Thuận</t>
  </si>
  <si>
    <t>TS Phần Lan</t>
  </si>
  <si>
    <t>Thái Thị Hồng Lam</t>
  </si>
  <si>
    <t>LL&amp;PPDH Toán</t>
  </si>
  <si>
    <t>Trần Anh Nghĩa</t>
  </si>
  <si>
    <t>Toán Lí</t>
  </si>
  <si>
    <t>Trương Thị Dung</t>
  </si>
  <si>
    <t>Võ Thị Hồng Vân</t>
  </si>
  <si>
    <t>TS Mỹ</t>
  </si>
  <si>
    <t>Vũ Thị Hồng Thanh</t>
  </si>
  <si>
    <t>B1 (2.2019)</t>
  </si>
  <si>
    <t>Đoàn Thế Ngô Vinh</t>
  </si>
  <si>
    <t>Hoàng Văn Thụy</t>
  </si>
  <si>
    <t>Vật lý_SP</t>
  </si>
  <si>
    <t>LL &amp; PPGD bộ môn Vật lý</t>
  </si>
  <si>
    <t>Nguyễn Thành Công</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</si>
  <si>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</si>
  <si>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</si>
  <si>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</si>
  <si>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</si>
  <si>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</si>
  <si>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</si>
  <si>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</si>
  <si>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Bùi Thị Quỳnh Sương</t>
  </si>
  <si>
    <t>Lê Duy Linh</t>
  </si>
  <si>
    <t>Sinh học/Thực vật học</t>
  </si>
  <si>
    <t>Sinh lý học thực vật</t>
  </si>
  <si>
    <t>Phạm Thị Tuyên</t>
  </si>
  <si>
    <t>Trần Thị Quỳnh Yên</t>
  </si>
  <si>
    <t>Trần Thị Vân Anh (B)</t>
  </si>
  <si>
    <t>Bùi Thị Quỳnh Hoa</t>
  </si>
  <si>
    <t>Tiếng Nga (B)</t>
  </si>
  <si>
    <t>Đặng Thị Tình</t>
  </si>
  <si>
    <t>Đinh Văn Đức</t>
  </si>
  <si>
    <t>Đoàn Thị Thúy Hà</t>
  </si>
  <si>
    <t>B - 26/2/1996</t>
  </si>
  <si>
    <t>Nguyễn Thị Đạm</t>
  </si>
  <si>
    <t>Nguyễn Thị Hương (D)</t>
  </si>
  <si>
    <t>Nguyễn Thị Kim Dung</t>
  </si>
  <si>
    <t>Nguyễn Thị Phương Thảo (A)</t>
  </si>
  <si>
    <t>Toán học/LTXS&amp;TK toán học</t>
  </si>
  <si>
    <t>Phạm Xuân Chung</t>
  </si>
  <si>
    <t>Trường THPT Chuyên</t>
  </si>
  <si>
    <t>Lê Thị Hiền Anh</t>
  </si>
  <si>
    <t>Tổ Anh</t>
  </si>
  <si>
    <t>LL&amp;PPDH bộ môn Tiếng Anh</t>
  </si>
  <si>
    <t>GV THPT hạng II 2/10/2018</t>
  </si>
  <si>
    <t>Lê Việt Hương</t>
  </si>
  <si>
    <t>Nguyễn Thị Thúy Hà (B)</t>
  </si>
  <si>
    <t>Phạm Xuân Đạt</t>
  </si>
  <si>
    <t>Trần Thị Lan Hương</t>
  </si>
  <si>
    <t>V.07.05.14</t>
  </si>
  <si>
    <t>LL&amp;PPGDH bộ môn tiếng Anh</t>
  </si>
  <si>
    <t>Trần Thị Thanh Hạnh</t>
  </si>
  <si>
    <t>Hồ Thị Hương Trà</t>
  </si>
  <si>
    <t>Tổ Hóa</t>
  </si>
  <si>
    <t>PPGD Hóa học</t>
  </si>
  <si>
    <t>Lương Văn Tường</t>
  </si>
  <si>
    <t>Nguyễn Thị Kim Tuyến</t>
  </si>
  <si>
    <t>Nguyễn Thị Lương Thiện</t>
  </si>
  <si>
    <t>Phan Thị Phương Thảo</t>
  </si>
  <si>
    <t>Quách Văn Long</t>
  </si>
  <si>
    <t>Đoàn Thị Hạnh</t>
  </si>
  <si>
    <t>Tổ Ngữ văn - Ngoại ngữ</t>
  </si>
  <si>
    <t>Nguyễn Thị Hương (B)</t>
  </si>
  <si>
    <t>Bùi Thị Thu Hiền</t>
  </si>
  <si>
    <t>Tổ Sinh,TD, QDQP</t>
  </si>
  <si>
    <t>Đặng Đình Hùng</t>
  </si>
  <si>
    <t>Hoàng Thị Minh Thắng</t>
  </si>
  <si>
    <t>Công nghệ Sinh học</t>
  </si>
  <si>
    <t>Nguyễn Thanh Huyền (B)</t>
  </si>
  <si>
    <t>Phạm Đình Thi</t>
  </si>
  <si>
    <t>Phạm Văn Phong</t>
  </si>
  <si>
    <t>Trần Thị Thu Dung</t>
  </si>
  <si>
    <t>Lê Thị Mai (A)</t>
  </si>
  <si>
    <t>Tổ Sử, Địa, GDCD</t>
  </si>
  <si>
    <t>Lê Thị Ngọc</t>
  </si>
  <si>
    <t>Lê Thị Vân Anh (A)</t>
  </si>
  <si>
    <t>Lưu Thị Thanh Bình</t>
  </si>
  <si>
    <t>Giáo dục chính trị_SP</t>
  </si>
  <si>
    <t>Nguyễn Thị Vân (A)</t>
  </si>
  <si>
    <t>Trần Thị Kim Thành</t>
  </si>
  <si>
    <t>Lịch sử_SP</t>
  </si>
  <si>
    <t>Đặng Việt Hà</t>
  </si>
  <si>
    <t>Tổ Toán-Tin</t>
  </si>
  <si>
    <t>Lê Khánh Hưng</t>
  </si>
  <si>
    <t>Lê Mạnh Linh</t>
  </si>
  <si>
    <t>Lê Xuân Sơn</t>
  </si>
  <si>
    <t>Nguyễn ánh Dương</t>
  </si>
  <si>
    <t>Nguyễn Công Chuẩn</t>
  </si>
  <si>
    <t>PPDH bộ môn toán</t>
  </si>
  <si>
    <t>Nguyễn Đức Toàn</t>
  </si>
  <si>
    <t>LTXS&amp;TK Toán học</t>
  </si>
  <si>
    <t>Nguyễn Nhân ái</t>
  </si>
  <si>
    <t>Nguyễn Thị Đức Hiền</t>
  </si>
  <si>
    <t>Nguyễn Thị Quỳnh Xuân</t>
  </si>
  <si>
    <t>Nguyễn Thị Thủy Chi</t>
  </si>
  <si>
    <t>Nguyễn Thị Vũ Anh</t>
  </si>
  <si>
    <t>Nguyễn Trần Lâm</t>
  </si>
  <si>
    <t>Phan Viết Bắc</t>
  </si>
  <si>
    <t>SP toán</t>
  </si>
  <si>
    <t>Phan Xuân Hoài</t>
  </si>
  <si>
    <t>Từ Đức Thảo</t>
  </si>
  <si>
    <t>V.07.05.13</t>
  </si>
  <si>
    <t>Khoa học Giáo dục</t>
  </si>
  <si>
    <t>Hoàng Đình Tiến</t>
  </si>
  <si>
    <t>Tổ Tự nhiên</t>
  </si>
  <si>
    <t>Hoàng Thị Quỳnh Như</t>
  </si>
  <si>
    <t>Hoàng Thị Thúy Hương</t>
  </si>
  <si>
    <t>Hoá vô cơ</t>
  </si>
  <si>
    <t>Nguyễn Khánh Ly</t>
  </si>
  <si>
    <t>Tổ Văn</t>
  </si>
  <si>
    <t>Nguyễn Thị ánh Hồng</t>
  </si>
  <si>
    <t>Nguyễn Thị Kim Anh (B)</t>
  </si>
  <si>
    <t>Nguyễn Thị Tuyết Mai</t>
  </si>
  <si>
    <t>Phạm Thị Hoài An</t>
  </si>
  <si>
    <t>Tổ văn</t>
  </si>
  <si>
    <t>Trần Thị Ánh Nguyệt</t>
  </si>
  <si>
    <t>Trần Thị Thủy (A)</t>
  </si>
  <si>
    <t>Trần Thị Việt Hà</t>
  </si>
  <si>
    <t>Lê Đức Sửu</t>
  </si>
  <si>
    <t>Tổ Vật lý</t>
  </si>
  <si>
    <t>Nguyễn Thị Chung (B)</t>
  </si>
  <si>
    <t>Thái Đình Trung</t>
  </si>
  <si>
    <t>Trần Mạnh Cường</t>
  </si>
  <si>
    <t>Trần Mạnh Hùng</t>
  </si>
  <si>
    <t>Vũ Hoàng Phong</t>
  </si>
  <si>
    <t>LL&amp;PPDH bộ môn Vật lý</t>
  </si>
  <si>
    <t>Hồ Đức Hạnh</t>
  </si>
  <si>
    <t>Tổ Xã hội</t>
  </si>
  <si>
    <t>Hoàng Thị Tố Yên</t>
  </si>
  <si>
    <t>Hoàng Thị Khánh Linh</t>
  </si>
  <si>
    <t xml:space="preserve">Vật lý- Công nghệ </t>
  </si>
  <si>
    <t>Kế toán tài chính</t>
  </si>
  <si>
    <t>Nguyễn Thị Thu Hương (B)</t>
  </si>
  <si>
    <t>Phạm Thị Phương Thảo</t>
  </si>
  <si>
    <t>LL Văn học</t>
  </si>
  <si>
    <t>Trần Thị Tố Hải</t>
  </si>
  <si>
    <t>Dư Ngọc Dung</t>
  </si>
  <si>
    <t>B1 Pháp (2018)
C1 Tiếng Anh (13/6/2018)</t>
  </si>
  <si>
    <t>Hồ Hải Quang</t>
  </si>
  <si>
    <t>Giáo viên THPT (hạng III)</t>
  </si>
  <si>
    <t>Hoàng Đình Khánh</t>
  </si>
  <si>
    <t>Sư phạm</t>
  </si>
  <si>
    <t>Nguyễn Thị Thủy (D)</t>
  </si>
  <si>
    <t>LL XS&amp;TK Toán học</t>
  </si>
  <si>
    <t>Nguyễn Thị Trang Nhung (A)</t>
  </si>
  <si>
    <t>Phạm THị Quỳnh Trang</t>
  </si>
  <si>
    <t>Nguyễn Thị Bích Ngọc (A)</t>
  </si>
  <si>
    <t>Trường Tiểu học, THCS và THPT THSP</t>
  </si>
  <si>
    <t>Phan Thị Cẩm Vân</t>
  </si>
  <si>
    <t>Đỗ Thị Hà</t>
  </si>
  <si>
    <t>Tổ Tiểu học</t>
  </si>
  <si>
    <t>V.07.03.07</t>
  </si>
  <si>
    <t>GVTH hạng II 7/3/2020</t>
  </si>
  <si>
    <t>Đặng Thị Thu Hoài</t>
  </si>
  <si>
    <t>Tổ Tiểu học 1</t>
  </si>
  <si>
    <t>Đặng Thị Hòa</t>
  </si>
  <si>
    <t>Dương Thị Cẩm Vân</t>
  </si>
  <si>
    <t>SP Giáo dục tiểu học</t>
  </si>
  <si>
    <t>Hồ Khánh Ly</t>
  </si>
  <si>
    <t>Hồ Thị Thu Hương</t>
  </si>
  <si>
    <t>Lê Thị Tuyết Vinh</t>
  </si>
  <si>
    <t>V.07.03.09</t>
  </si>
  <si>
    <t>Nguyễn Thị Cẩm Trang</t>
  </si>
  <si>
    <t>V.07.03.29</t>
  </si>
  <si>
    <t>Giáo viên tiểu học (hạng III)</t>
  </si>
  <si>
    <t>Nguyễn Thị Hoài (B)</t>
  </si>
  <si>
    <t>Nguyễn Thị Hương (C)</t>
  </si>
  <si>
    <t>Nguyễn Thị Phương Thảo (E)</t>
  </si>
  <si>
    <t>Khoa học giáo dục/Giáo dục học bậc tiểu học</t>
  </si>
  <si>
    <t>Nguyễn Thị Thu Uyên</t>
  </si>
  <si>
    <t>Phạm Thị Thu Thủy</t>
  </si>
  <si>
    <t>Phan Khánh Linh</t>
  </si>
  <si>
    <t>Thái Thị Thu Hiền</t>
  </si>
  <si>
    <t>Trần Thị Hiền</t>
  </si>
  <si>
    <t>Hoàng Thị Thanh Lan</t>
  </si>
  <si>
    <t>Tổ Tiểu học 2</t>
  </si>
  <si>
    <t>Hứa Thị HảI yến</t>
  </si>
  <si>
    <t>Lê Na</t>
  </si>
  <si>
    <t>Đại số và LT số</t>
  </si>
  <si>
    <t>Nguyễn Ngọc Hồng</t>
  </si>
  <si>
    <t>Nguyễn Thị Oánh</t>
  </si>
  <si>
    <t>Nguyễn Thị Thu Hà</t>
  </si>
  <si>
    <t>Tổ tiểu học 2</t>
  </si>
  <si>
    <t>Nguyễn Thị Thu Trang (A)</t>
  </si>
  <si>
    <t>Nguyễn Thị Thủy (C)</t>
  </si>
  <si>
    <t>Nguyễn Thị Xuân</t>
  </si>
  <si>
    <t>Phạm Thị Thu</t>
  </si>
  <si>
    <t>Phan Thị Minh Tâm</t>
  </si>
  <si>
    <t>Trần Thị Xô</t>
  </si>
  <si>
    <t>Đậu Trọng Tuấn Anh</t>
  </si>
  <si>
    <t>Đinh Thị Nhàn</t>
  </si>
  <si>
    <t>V.07.04.11</t>
  </si>
  <si>
    <t>Phan Xuân Phồn</t>
  </si>
  <si>
    <t>Nguyễn Khánh Nam</t>
  </si>
  <si>
    <t>Tổ Tự nhiên - THCS</t>
  </si>
  <si>
    <t>V.07.04.32</t>
  </si>
  <si>
    <t>Giáo viên THCS (hạng III)</t>
  </si>
  <si>
    <t>Bùi Thị Lý</t>
  </si>
  <si>
    <t>V.07.04.12</t>
  </si>
  <si>
    <t>Hồ Thị Thanh Lịch</t>
  </si>
  <si>
    <t>Nguyễn Đức Nghĩa</t>
  </si>
  <si>
    <t>nam</t>
  </si>
  <si>
    <t>Nguyễn Lê Gia</t>
  </si>
  <si>
    <t>B1 - 31/12/2019</t>
  </si>
  <si>
    <t>Nguyễn Thúy Hằng</t>
  </si>
  <si>
    <t>Nguyễn Thị Thủy (A)</t>
  </si>
  <si>
    <t>PPGD Sinh học</t>
  </si>
  <si>
    <t>Trần Thị Hồng Minh</t>
  </si>
  <si>
    <t>Chu Thị Thu Hiền</t>
  </si>
  <si>
    <t>Tổ Xã hội - THCS</t>
  </si>
  <si>
    <t>Đặng Thị Phương Thảo</t>
  </si>
  <si>
    <t>B1 (KS 11/2019) Pháp</t>
  </si>
  <si>
    <t>Trần Xuân Quang</t>
  </si>
  <si>
    <t>Biện Thị Quỳnh Trang</t>
  </si>
  <si>
    <t>Bùi Thị Thanh</t>
  </si>
  <si>
    <t>Dương Thị Kim Liên</t>
  </si>
  <si>
    <t>Lê Thị Bích Thủy</t>
  </si>
  <si>
    <t>V.07.04.10</t>
  </si>
  <si>
    <t>Chứng chỉ ngoại ngữ</t>
  </si>
  <si>
    <t>Nguyễn Hà Trang</t>
  </si>
  <si>
    <t>Nguyễn Thị Hà Phương</t>
  </si>
  <si>
    <t>Mỹ thuật công nghiệp</t>
  </si>
  <si>
    <t>Nguyễn Thị Vân (B)</t>
  </si>
  <si>
    <t>Văn - Sử</t>
  </si>
  <si>
    <t>Trần Hoài Thương</t>
  </si>
  <si>
    <t>Trần Thị Minh Thúy</t>
  </si>
  <si>
    <t>Trương Thị Lệ Thủy</t>
  </si>
  <si>
    <t>Văn Đình Tiến</t>
  </si>
  <si>
    <t>Phạm Quỳnh Nga</t>
  </si>
  <si>
    <t>VP Trường TH, THCS</t>
  </si>
  <si>
    <t>Ngũ Duy Viên</t>
  </si>
  <si>
    <t>Nguyễn Tân Cảnh</t>
  </si>
  <si>
    <t>Nguyễn Thị Thanh Trà</t>
  </si>
  <si>
    <t>Lê Thị Thanh Hải</t>
  </si>
  <si>
    <t>Việt Nam học</t>
  </si>
  <si>
    <t>Trần Hữu Nghinh</t>
  </si>
  <si>
    <t>Lê Hoài Thanh</t>
  </si>
  <si>
    <t>Văn phòng đại diện tại thành phố HCM</t>
  </si>
  <si>
    <t>Nguyễn Huy Hùng</t>
  </si>
  <si>
    <t>Văn phòng đại diện tại tỉnh Thanh Hóa</t>
  </si>
  <si>
    <t>Phùng Quang Dương</t>
  </si>
  <si>
    <t>TCLLCT (2020)</t>
  </si>
  <si>
    <t>Nguyễn Ngọc Hiền</t>
  </si>
  <si>
    <t>Văn phòng Đảng - Hội đồng Trường - Đoàn thể</t>
  </si>
  <si>
    <t>Nguyễn Hoa Du</t>
  </si>
  <si>
    <t>Anh: C; Nga: B</t>
  </si>
  <si>
    <t>Học 2014 (Đối tượng 2)</t>
  </si>
  <si>
    <t>Đậu Đức Anh</t>
  </si>
  <si>
    <t>Nguyễn Anh Chương</t>
  </si>
  <si>
    <t>Nguyễn Thị Thu Cúc</t>
  </si>
  <si>
    <t>Tài chính công</t>
  </si>
  <si>
    <t>Tài chính, tín dụng &amp; lưu thông tiền tệ</t>
  </si>
  <si>
    <t>ĐT 3 - 2014, ĐT 2 - 2022</t>
  </si>
  <si>
    <t>Nguyễn Huy Bằng</t>
  </si>
  <si>
    <t>Kỹ thuật Điều khiển tự động</t>
  </si>
  <si>
    <t>ĐT 2 - 2018</t>
  </si>
  <si>
    <t>Trần Bá Tiến</t>
  </si>
  <si>
    <t>ĐT 3 - 2019, ĐT 2 - 2022</t>
  </si>
  <si>
    <t>Đào Việt Hồng</t>
  </si>
  <si>
    <t>Nguyễn Quang Tuấn</t>
  </si>
  <si>
    <t>Nguyễn Thái Dũng</t>
  </si>
  <si>
    <t>Nguyễn Thị Quỳnh Trang (D)</t>
  </si>
  <si>
    <t>Nguyễn Thị Thanh Hiền</t>
  </si>
  <si>
    <t>Cao Tiến Trung</t>
  </si>
  <si>
    <t>Viện Công nghệ Hóa sinh - Môi trường</t>
  </si>
  <si>
    <t>Đinh Thị Kim Hảo</t>
  </si>
  <si>
    <t>CNMT</t>
  </si>
  <si>
    <t>Hồ Đình Quang</t>
  </si>
  <si>
    <t>Sinh học Thực nghiệm</t>
  </si>
  <si>
    <t>Vật lý môi trường</t>
  </si>
  <si>
    <t>Hồ Thị Phương</t>
  </si>
  <si>
    <t>Lê Thị Hà</t>
  </si>
  <si>
    <t>Lê Thị Phương Mai</t>
  </si>
  <si>
    <t xml:space="preserve">Lịch sử </t>
  </si>
  <si>
    <t>Nguyễn Đức Diện</t>
  </si>
  <si>
    <t>Phan Công Ngọc</t>
  </si>
  <si>
    <t>Hoàng Văn Trung</t>
  </si>
  <si>
    <t>Hóa dược - Phân tích kiểm nghiệm</t>
  </si>
  <si>
    <t>Lê Thế Tâm</t>
  </si>
  <si>
    <t>Mai Thị Thanh Huyền</t>
  </si>
  <si>
    <t>Hóa  phân tích</t>
  </si>
  <si>
    <t>Nguyễn Thị Sương</t>
  </si>
  <si>
    <t>Bác sĩ Y khoa</t>
  </si>
  <si>
    <t>Y khoa</t>
  </si>
  <si>
    <t>Nguyễn Văn Quốc</t>
  </si>
  <si>
    <t>Đào Thị Thanh Xuân</t>
  </si>
  <si>
    <t>Hóa thực phẩm</t>
  </si>
  <si>
    <t>CNSH thực phẩm</t>
  </si>
  <si>
    <t>Công nghệ sinh học</t>
  </si>
  <si>
    <t>Học đợt 1/2014</t>
  </si>
  <si>
    <t>Lê Thị Mỹ Châu</t>
  </si>
  <si>
    <t>Thực phẩm</t>
  </si>
  <si>
    <t>B - 22/5/2006</t>
  </si>
  <si>
    <t>Nguyễn Tân Thành</t>
  </si>
  <si>
    <t>Quá trình &amp; thiết bị công nghệ sinh học - thực phẩm</t>
  </si>
  <si>
    <t>Nguyễn Thị Huyền (A)</t>
  </si>
  <si>
    <t>Trần Phương Chi</t>
  </si>
  <si>
    <t>Nông nghiệp/CN thực phẩm</t>
  </si>
  <si>
    <t>Đinh Văn Nam</t>
  </si>
  <si>
    <t>Viện Kỹ thuật và Công nghệ</t>
  </si>
  <si>
    <t>KT điều khiển - TĐại học</t>
  </si>
  <si>
    <t>Điều khiển và Kỹ thuật Robot</t>
  </si>
  <si>
    <t>Hoàng Thị Hà</t>
  </si>
  <si>
    <t>Lưu văn Phúc</t>
  </si>
  <si>
    <t>Nhiệt kỹ thuật</t>
  </si>
  <si>
    <t>Nguyễn Tiến Dũng (c)</t>
  </si>
  <si>
    <t>Củ nhân</t>
  </si>
  <si>
    <t>Phạm Hoàng Nam</t>
  </si>
  <si>
    <t>Kỹ thuật điện_SP</t>
  </si>
  <si>
    <t>Phạm Mạnh Toàn</t>
  </si>
  <si>
    <t>Kỹ thuật điện tử</t>
  </si>
  <si>
    <t>Trần Đình Dũng</t>
  </si>
  <si>
    <t>Bùi Hà Phan</t>
  </si>
  <si>
    <t>Công nghệ kỹ thuật Ô tô</t>
  </si>
  <si>
    <t>Công nghệ kỹ thuật ô tô</t>
  </si>
  <si>
    <t>Lương Ngọc Minh</t>
  </si>
  <si>
    <t>SP vật lý</t>
  </si>
  <si>
    <t>Nguyễn Phi Cường Anh</t>
  </si>
  <si>
    <t>Nguyễn Phúc Ngọc</t>
  </si>
  <si>
    <t>Phan Quốc Cường</t>
  </si>
  <si>
    <t>Kỹ thuật ô tô</t>
  </si>
  <si>
    <t>Trịnh Ngọc Hoàng</t>
  </si>
  <si>
    <t>TS Belarut</t>
  </si>
  <si>
    <t>Cao Thành Nghĩa</t>
  </si>
  <si>
    <t>Điện tử Viễn thông</t>
  </si>
  <si>
    <t>Đặng Thái Sơn</t>
  </si>
  <si>
    <t>Lê Đình Công</t>
  </si>
  <si>
    <t>Lê Thị Kiều Nga</t>
  </si>
  <si>
    <t>Nguyễn Thị Kim Thu</t>
  </si>
  <si>
    <t>Nguyễn Thị Quỳnh Hoa</t>
  </si>
  <si>
    <t>Kỹ thuật vật liệu</t>
  </si>
  <si>
    <t>Phan Duy Tùng</t>
  </si>
  <si>
    <t>Kỹ thuật vô tuyến</t>
  </si>
  <si>
    <t>Dương Đình Tú</t>
  </si>
  <si>
    <t>Tự động hóa</t>
  </si>
  <si>
    <t>Kỹ thuật TT và TT</t>
  </si>
  <si>
    <t>Nguyễn Trọng Khánh</t>
  </si>
  <si>
    <t>Đặng Hồng Lĩnh</t>
  </si>
  <si>
    <t>Hệ thống và Mạng máy tính</t>
  </si>
  <si>
    <t>Đặng Thị Bích Hạnh</t>
  </si>
  <si>
    <t>Lê Văn Minh</t>
  </si>
  <si>
    <t>Công nghệ thông tin/Kỹ thuật TT &amp; TT</t>
  </si>
  <si>
    <t>Kỹ thuật TT &amp; TT</t>
  </si>
  <si>
    <t>Nguyễn Quang Ninh</t>
  </si>
  <si>
    <t>Kỹ thuật/Công nghệ thông tin</t>
  </si>
  <si>
    <t>Nguyễn Thị Uyên (A)</t>
  </si>
  <si>
    <t>Phạm Trà My</t>
  </si>
  <si>
    <t>Trần Văn Cảnh</t>
  </si>
  <si>
    <t>Hồ Thị Huyền Thương</t>
  </si>
  <si>
    <t>Khoa học máy tính và Công nghệ phần mềm</t>
  </si>
  <si>
    <t>Hoàng Hữu Tính</t>
  </si>
  <si>
    <t>Nguyễn Thị Minh Tâm</t>
  </si>
  <si>
    <t>Phan Anh Phong</t>
  </si>
  <si>
    <t>Hồ Sỹ Phương</t>
  </si>
  <si>
    <t>Hoàng Cẩm Nhung</t>
  </si>
  <si>
    <t>Hoàng Hữu Việt</t>
  </si>
  <si>
    <t>Hoàng Võ Tùng Lâm</t>
  </si>
  <si>
    <t>Lê Văn Chương</t>
  </si>
  <si>
    <t>Kỹ thuật điều khiển - TĐại học</t>
  </si>
  <si>
    <t>Mai Thế Anh</t>
  </si>
  <si>
    <t>Phan Văn Dư</t>
  </si>
  <si>
    <t>Tạ Hùng Cường</t>
  </si>
  <si>
    <t>Kỹ thuật điều khiển</t>
  </si>
  <si>
    <t>Nguyễn Bá Uy</t>
  </si>
  <si>
    <t>Kỹ sư</t>
  </si>
  <si>
    <t>Công nghệ ô tô</t>
  </si>
  <si>
    <t>Vũ Chí Cường</t>
  </si>
  <si>
    <t>Viện Nghiên cứu và Đào tạo Trực tuyến</t>
  </si>
  <si>
    <t>Cơ sở toán học cho tin học</t>
  </si>
  <si>
    <t xml:space="preserve">TS Tin học </t>
  </si>
  <si>
    <t>Lê Công Việt</t>
  </si>
  <si>
    <t>Khoa Đào tạo trực tuyến</t>
  </si>
  <si>
    <t>Nguyễn Bá Hoành</t>
  </si>
  <si>
    <t>Nguyễn Hoàng Dũng</t>
  </si>
  <si>
    <t>Nguyễn Thị Bích Hiền (A)</t>
  </si>
  <si>
    <t>Phạm Thị Chi</t>
  </si>
  <si>
    <t>Trần Thị Như Quỳnh</t>
  </si>
  <si>
    <t>Trịnh Thị Bính</t>
  </si>
  <si>
    <t>CN Ngoại ngữ</t>
  </si>
  <si>
    <t>B - 21/6/2008</t>
  </si>
  <si>
    <t>Tăng Thị Thanh Sang</t>
  </si>
  <si>
    <t>Lịch sử thế giới/Hành chính công</t>
  </si>
  <si>
    <t>Lịch sử Nhà nước &amp; pháp luật</t>
  </si>
  <si>
    <t>Nguyễn Anh Dũng</t>
  </si>
  <si>
    <t>Thực vật học, Tế bào học</t>
  </si>
  <si>
    <t>Dương Trung Nguyện</t>
  </si>
  <si>
    <t>Trung tâm Công nghệ thông tin</t>
  </si>
  <si>
    <t>Hà Minh Hải</t>
  </si>
  <si>
    <t>Lê Văn Tấn</t>
  </si>
  <si>
    <t>Lưu Tùng Mậu</t>
  </si>
  <si>
    <t>Nguyễn Thái Sơn (B)</t>
  </si>
  <si>
    <t>Nguyễn Thanh Sơn (A)</t>
  </si>
  <si>
    <t>Nguyễn Tuấn Nghĩa</t>
  </si>
  <si>
    <t>SP Tin học</t>
  </si>
  <si>
    <t>Nguyễn Vĩnh Hà</t>
  </si>
  <si>
    <t>Cao Thanh Sơn</t>
  </si>
  <si>
    <t>Trung tâm Nghiên cứu và Chuyển giao công nghệ giáo dục số</t>
  </si>
  <si>
    <t>Khoa học máy tính/Công nghệ thông tin</t>
  </si>
  <si>
    <t>TS Ba Lan (tiếng Anh)</t>
  </si>
  <si>
    <t>Lê Quốc Anh</t>
  </si>
  <si>
    <t>Lê Thị Mai (B)</t>
  </si>
  <si>
    <t>Lê Văn Điệp</t>
  </si>
  <si>
    <t>Công nghệ chế biến</t>
  </si>
  <si>
    <t>B - 20/5/2001</t>
  </si>
  <si>
    <t>Lê Văn Thành (B)</t>
  </si>
  <si>
    <t>Nguyễn Công Thành</t>
  </si>
  <si>
    <t>Quản lý &amp; PTNT</t>
  </si>
  <si>
    <t>Phạm Duy Hải</t>
  </si>
  <si>
    <t>Tiếng Anh_SP, Cử nhân thư viện thông tin</t>
  </si>
  <si>
    <t>Trần Xuân Sang</t>
  </si>
  <si>
    <t>Khoa học thông tin</t>
  </si>
  <si>
    <t>Võ Đức Quang</t>
  </si>
  <si>
    <t>Bùi Thanh Thùy</t>
  </si>
  <si>
    <t>Trung tâm Quản lý và Phát triển học liệu</t>
  </si>
  <si>
    <t>Kế toán &amp; Tài chính+ Thương mại</t>
  </si>
  <si>
    <t>Đinh Văn Dũng</t>
  </si>
  <si>
    <t>Quản lý đô thị &amp; môi trường</t>
  </si>
  <si>
    <t>Lê Tiến Thành</t>
  </si>
  <si>
    <t>Nguyễn Lâm Đức</t>
  </si>
  <si>
    <t>Nguyễn Thị Nguyệt</t>
  </si>
  <si>
    <t>Phạm Thị Hương</t>
  </si>
  <si>
    <t>Phạm Tuấn Anh</t>
  </si>
  <si>
    <t>Phan Quốc Trường</t>
  </si>
  <si>
    <t>Lê Minh Trang</t>
  </si>
  <si>
    <t>Văn phòng Viện</t>
  </si>
  <si>
    <t>Ngô Thị Cẩm Vân</t>
  </si>
  <si>
    <t>Ngôn ngữ anh</t>
  </si>
  <si>
    <t>Nguyễn Thị Thanh Quyên</t>
  </si>
  <si>
    <t>Trần Thị Mai Thùy</t>
  </si>
  <si>
    <t>Cao Thị Thu Dung</t>
  </si>
  <si>
    <t>Viện Nông nghiệp và Tài nguyên</t>
  </si>
  <si>
    <t>Hồ Thị Nhung</t>
  </si>
  <si>
    <t>Nguyễn Hữu Hiền</t>
  </si>
  <si>
    <t>TS Thái Lan</t>
  </si>
  <si>
    <t>Nguyễn Thị Bích Thủy (D)</t>
  </si>
  <si>
    <t>Hóa nông nghiệp</t>
  </si>
  <si>
    <t>Khoa học đất</t>
  </si>
  <si>
    <t>Nguyễn Thị Thanh (A)</t>
  </si>
  <si>
    <t>Nguyễn Thị Thanh Mai</t>
  </si>
  <si>
    <t>ThS Hàn Quốc, TS Australia</t>
  </si>
  <si>
    <t>Nguyễn Thị Thúy</t>
  </si>
  <si>
    <t>Nguyễn Văn Hoàn</t>
  </si>
  <si>
    <t>Cây trồng</t>
  </si>
  <si>
    <t>Phan Thị Thu Hiền (A)</t>
  </si>
  <si>
    <t xml:space="preserve">Tròng trọt </t>
  </si>
  <si>
    <t>Thái Thị Ngọc Lam</t>
  </si>
  <si>
    <t>Trần Ngọc Toàn</t>
  </si>
  <si>
    <t>Nguyễn Thị Hương Giang</t>
  </si>
  <si>
    <t>Khuyến nông</t>
  </si>
  <si>
    <t>Quản lý TN &amp; MT</t>
  </si>
  <si>
    <t>Trần Hậu Thìn</t>
  </si>
  <si>
    <t>Lâm sinh</t>
  </si>
  <si>
    <t>Trần Xuân Minh</t>
  </si>
  <si>
    <t>Nguyễn Nam Thành</t>
  </si>
  <si>
    <t>Phạm Thị Hà</t>
  </si>
  <si>
    <t>Trắc địa</t>
  </si>
  <si>
    <t>Viễn Thám</t>
  </si>
  <si>
    <t>Trần Đình Du</t>
  </si>
  <si>
    <t>Quản lý &amp; quy hoạch đô thị</t>
  </si>
  <si>
    <t>Võ Thị Thu Hà (B)</t>
  </si>
  <si>
    <t>Đậu Khắc Tài</t>
  </si>
  <si>
    <t>Quản lý tài nguyên và môi trường</t>
  </si>
  <si>
    <t>Hoàng Anh Thế</t>
  </si>
  <si>
    <t>Kỹ năng trắc địa</t>
  </si>
  <si>
    <t>Hoàng Thị Thủy</t>
  </si>
  <si>
    <t>Quản lý TN&amp;MT</t>
  </si>
  <si>
    <t>Nguyễn Thị Thúy Hà (A)</t>
  </si>
  <si>
    <t>Phan Thị Quỳnh Nga</t>
  </si>
  <si>
    <t>Trần Thị Tuyến</t>
  </si>
  <si>
    <t>Vũ Văn Lương</t>
  </si>
  <si>
    <t>Hoàng Thị Mai</t>
  </si>
  <si>
    <t>Thủy sản và Chăn nuôi</t>
  </si>
  <si>
    <t>Thú y</t>
  </si>
  <si>
    <t>Chăn nuôi thú y</t>
  </si>
  <si>
    <t>Chăn nuôi</t>
  </si>
  <si>
    <t>Lê Minh Hải (B)</t>
  </si>
  <si>
    <t>Công nghệ sinh học nông nghiệp</t>
  </si>
  <si>
    <t>Nguyễn Đình Vinh</t>
  </si>
  <si>
    <t>B2 - 5/7/2017</t>
  </si>
  <si>
    <t>Nguyễn Thị Hồng Thắm (B)</t>
  </si>
  <si>
    <t>Công nghệ sinh học - Thủy sản</t>
  </si>
  <si>
    <t>Nguyễn Thị Thanh (B)</t>
  </si>
  <si>
    <t>Nguyễn Thức Tuấn</t>
  </si>
  <si>
    <t>Phạm Mỹ Dung</t>
  </si>
  <si>
    <t>Tạ Thị Bình</t>
  </si>
  <si>
    <t>Trần Thị Kim Anh</t>
  </si>
  <si>
    <t>Trương Thị Thành Vinh</t>
  </si>
  <si>
    <t>Hoàng Thị Hằng</t>
  </si>
  <si>
    <t>Nguyễn Tiến Dũng (A)</t>
  </si>
  <si>
    <t>B1 (2/2020)</t>
  </si>
  <si>
    <t>Lê Công Kiểm</t>
  </si>
  <si>
    <t>thừa giờ để tính nhân đơn giá 90</t>
  </si>
  <si>
    <t>khoa địa sửa số liệu thừa thiếu giờ</t>
  </si>
  <si>
    <t>Biểu 2</t>
  </si>
  <si>
    <t>Biểu số 12</t>
  </si>
  <si>
    <t>BẢNG SỐ LIỆU THỐNG KÊ THU NHẬP, PHÚC LỢI VÀ CÁC KHOẢN ĐÓNG GÓP</t>
  </si>
  <si>
    <t>(Số liệu của năm 2021, năm 2022, dùng để tham khảo và áp dụng để xây dựng chi phí chi cho con người tại biểu 10 của kế hoạch năm 2023)</t>
  </si>
  <si>
    <t>Đơn vị</t>
  </si>
  <si>
    <t>Số liệu
Chi lương, phụ cấp các loại và các khoản phải đóng năm 2021 theo mức lương cơ sở: 1.490.000</t>
  </si>
  <si>
    <t>Dự kiến 
Chi lương, phụ cấp các loại và các khoản phải đóng năm 2023 theo mức lương cơ sở: 1.800.000 đồng từ tháng 7/2023.</t>
  </si>
  <si>
    <t>Thanh toán vượt giờ chuẩn năm 2021 gồm 3 học kỳ (năm học 2020-2021 và học kỳ 1 năm học 2021-2022)</t>
  </si>
  <si>
    <t>Phúc lợi thanh toán vượt giờ chi cho cán bộ hành chính</t>
  </si>
  <si>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</si>
  <si>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Cộng tổng
các khoản chi cho con người</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</si>
  <si>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</si>
  <si>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
2% KPCĐ</t>
    </r>
  </si>
  <si>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</si>
  <si>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</si>
  <si>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</si>
  <si>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</si>
  <si>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</si>
  <si>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</si>
  <si>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</si>
  <si>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</si>
  <si>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</si>
  <si>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</si>
  <si>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</si>
  <si>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</si>
  <si>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</si>
  <si>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</si>
  <si>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</si>
  <si>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</si>
  <si>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</si>
  <si>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</si>
  <si>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</si>
  <si>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</si>
  <si>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</si>
  <si>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</si>
  <si>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</si>
  <si>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</si>
  <si>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</si>
  <si>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</si>
  <si>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</si>
  <si>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Viện Nghiên cứu và Đào tạo trực tuyến</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</si>
  <si>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</si>
  <si>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</si>
  <si>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</si>
  <si>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</si>
  <si>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</si>
  <si>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</si>
  <si>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</si>
  <si>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</si>
  <si>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</si>
  <si>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Văn phòng Đảng - Hội đồng Trường - Đoàn thể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</si>
  <si>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</si>
  <si>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</si>
  <si>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</si>
  <si>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</si>
  <si>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</si>
  <si>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</si>
  <si>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</si>
  <si>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</si>
  <si>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Khoa học và Hợp tác quốc tế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</si>
  <si>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</si>
  <si>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</si>
  <si>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</si>
  <si>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</si>
  <si>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và quan hệ doanh nghiệp </t>
  </si>
  <si>
    <t xml:space="preserve">Trung tâm GDQP&amp;AN Trường ĐH Vinh </t>
  </si>
  <si>
    <t xml:space="preserve">Trung tâm Giáo dục Thường xuyên </t>
  </si>
  <si>
    <t xml:space="preserve">Trung tâm Kiểm định chất lượng giáo dục </t>
  </si>
  <si>
    <t xml:space="preserve">Trung tâm Nội trú </t>
  </si>
  <si>
    <t xml:space="preserve">Trung tâm Thông tin - Thư viện Nguyễn Thúc Hào </t>
  </si>
  <si>
    <t xml:space="preserve">Trung tâm Thực hành - Thí nghiệm </t>
  </si>
  <si>
    <t xml:space="preserve">Trường Trung học Phổ thông Chuyên </t>
  </si>
  <si>
    <t xml:space="preserve">Trường Trường Mầm non thực hành </t>
  </si>
  <si>
    <t xml:space="preserve">Trường Trường Tiểu học, THCS và THPT thực hành sư phạm </t>
  </si>
  <si>
    <t xml:space="preserve"> Ban quản lý cơ sở II </t>
  </si>
  <si>
    <t xml:space="preserve"> Nhà Xuất bản </t>
  </si>
  <si>
    <t xml:space="preserve"> Trạm Y tế </t>
  </si>
  <si>
    <t>Tổng Công</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</si>
</sst>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0_);_(* \(#,##0\);_(* &quot;-&quot;_);_(@_)"/>
    <numFmt numFmtId="43" formatCode="_(* #,##0.00_);_(* \(#,##0.00\);_(* &quot;-&quot;??_);_(@_)"/>
    <numFmt numFmtId="164" formatCode="_(* #,##0_);_(* \(#,##0\);_(* &quot;-&quot;??_);_(@_)"/>
    <numFmt numFmtId="165" formatCode="_-* #,##0_-;\-* #,##0_-;_-* &quot;-&quot;??_-;_-@"/>
    <numFmt numFmtId="166" formatCode="_-* #,##0.0_-;\-* #,##0.0_-;_-* &quot;-&quot;_-;_-@"/>
    <numFmt numFmtId="167" formatCode="_(* #,##0.0_);_(* \(#,##0.0\);_(* &quot;-&quot;??_);_(@_)"/>
    <numFmt numFmtId="168" formatCode="#,##0.0"/>
    <numFmt numFmtId="169" formatCode="0.0"/>
    <numFmt numFmtId="170" formatCode="d\.m"/>
    <numFmt numFmtId="171" formatCode="_-* #,##0_-;\-* #,##0_-;_-* &quot;-&quot;_-;_-@"/>
    <numFmt numFmtId="172" formatCode="0.000000"/>
    <numFmt numFmtId="173" formatCode="_(* #,##0.0_);_(* \(#,##0.0\);_(* &quot;-&quot;?_);_(@_)"/>
    <numFmt numFmtId="174" formatCode="_-* #,##0.00_-;\-* #,##0.00_-;_-* &quot;-&quot;_-;_-@"/>
    <numFmt numFmtId="175" formatCode="#,##0.000"/>
    <numFmt numFmtId="176" formatCode="0.000"/>
    <numFmt numFmtId="177" formatCode="#,##0;[Red]#,##0"/>
    <numFmt numFmtId="178" formatCode="_(* #,##0.000_);_(* \(#,##0.000\);_(* &quot;-&quot;??.000_);_(@_)"/>
    <numFmt numFmtId="179" formatCode="yyyy\.m"/>
    <numFmt numFmtId="180" formatCode="_-* #,##0\ _₫_-;\-* #,##0\ _₫_-;_-* &quot;-&quot;??\ _₫_-;_-@"/>
    <numFmt numFmtId="181" formatCode="#,##0[$n₫]"/>
    <numFmt numFmtId="182" formatCode="0_);\(0\)"/>
    <numFmt numFmtId="183" formatCode="mm/yyyy"/>
    <numFmt numFmtId="184" formatCode="m/yyyy"/>
    <numFmt numFmtId="185" formatCode="&quot;Tháng &quot;m\ &quot;năm &quot;yyyy"/>
    <numFmt numFmtId="186" formatCode="_-* #,##0.00_-;\-* #,##0.00_-;_-* &quot;-&quot;??_-;_-@"/>
    <numFmt numFmtId="187" formatCode="d/mm/yyyy"/>
    <numFmt numFmtId="188" formatCode="_-* #,##0.000_-;\-* #,##0.000_-;_-* &quot;-&quot;??_-;_-@"/>
    <numFmt numFmtId="189" formatCode="d\.m\.yy"/>
    <numFmt numFmtId="190" formatCode="&quot;Tháng &quot;m/yyyy"/>
  </numFmts>
  <fonts count="116">
    <font>
      <sz val="11"/>
      <color theme="1"/>
      <name val="Calibri"/>
      <scheme val="minor"/>
    </font>
    <font>
      <sz val="12"/>
      <color rgb="FF000000"/>
      <name val="Times New Roman"/>
      <family val="1"/>
    </font>
    <font>
      <b/>
      <sz val="12"/>
      <color rgb="FF000000"/>
      <name val="Times New Roman"/>
      <family val="1"/>
    </font>
    <font>
      <b/>
      <sz val="13"/>
      <color rgb="FF000000"/>
      <name val="Times New Roman"/>
      <family val="1"/>
    </font>
    <font>
      <b/>
      <sz val="12"/>
      <color theme="1"/>
      <name val="Times New Roman"/>
      <family val="1"/>
    </font>
    <font>
      <i/>
      <sz val="12"/>
      <color theme="1"/>
      <name val="Times New Roman"/>
      <family val="1"/>
    </font>
    <font>
      <sz val="11"/>
      <name val="Calibri"/>
      <family val="2"/>
    </font>
    <font>
      <b/>
      <i/>
      <sz val="12"/>
      <color rgb="FF000000"/>
      <name val="Times New Roman"/>
      <family val="1"/>
    </font>
    <font>
      <sz val="11"/>
      <color theme="1"/>
      <name val="Times New Roman"/>
      <family val="1"/>
    </font>
    <font>
      <sz val="11"/>
      <color theme="1"/>
      <name val="Calibri"/>
      <family val="2"/>
    </font>
    <font>
      <sz val="12"/>
      <color theme="1"/>
      <name val="Times New Roman"/>
      <family val="1"/>
    </font>
    <font>
      <b/>
      <sz val="12"/>
      <color rgb="FFFF0000"/>
      <name val="Times New Roman"/>
      <family val="1"/>
    </font>
    <font>
      <b/>
      <i/>
      <sz val="12"/>
      <color rgb="FFFF0000"/>
      <name val="Times New Roman"/>
      <family val="1"/>
    </font>
    <font>
      <b/>
      <i/>
      <sz val="12"/>
      <color theme="1"/>
      <name val="Times New Roman"/>
      <family val="1"/>
    </font>
    <font>
      <sz val="12"/>
      <color rgb="FFFF0000"/>
      <name val="Times New Roman"/>
      <family val="1"/>
    </font>
    <font>
      <b/>
      <sz val="11"/>
      <color theme="1"/>
      <name val="Times New Roman"/>
      <family val="1"/>
    </font>
    <font>
      <sz val="10"/>
      <color theme="1"/>
      <name val="Times New Roman"/>
      <family val="1"/>
    </font>
    <font>
      <b/>
      <sz val="10"/>
      <color theme="1"/>
      <name val="Times New Roman"/>
      <family val="1"/>
    </font>
    <font>
      <b/>
      <sz val="15"/>
      <color theme="1"/>
      <name val="Times New Roman"/>
      <family val="1"/>
    </font>
    <font>
      <b/>
      <sz val="14"/>
      <color rgb="FFFF0000"/>
      <name val="Times New Roman"/>
      <family val="1"/>
    </font>
    <font>
      <sz val="14"/>
      <color theme="1"/>
      <name val="Times New Roman"/>
      <family val="1"/>
    </font>
    <font>
      <sz val="14"/>
      <color theme="1"/>
      <name val="Calibri"/>
      <family val="2"/>
    </font>
    <font>
      <i/>
      <sz val="10"/>
      <color theme="1"/>
      <name val="Times New Roman"/>
      <family val="1"/>
    </font>
    <font>
      <b/>
      <i/>
      <sz val="10"/>
      <color theme="1"/>
      <name val="Times New Roman"/>
      <family val="1"/>
    </font>
    <font>
      <b/>
      <sz val="11"/>
      <color theme="1"/>
      <name val="Calibri"/>
      <family val="2"/>
    </font>
    <font>
      <b/>
      <sz val="10"/>
      <color rgb="FF000000"/>
      <name val="Times New Roman"/>
      <family val="1"/>
    </font>
    <font>
      <sz val="11"/>
      <color rgb="FF000000"/>
      <name val="Times New Roman"/>
      <family val="1"/>
    </font>
    <font>
      <b/>
      <sz val="11"/>
      <color rgb="FF000000"/>
      <name val="Times New Roman"/>
      <family val="1"/>
    </font>
    <font>
      <sz val="11"/>
      <color rgb="FFFF0000"/>
      <name val="Times New Roman"/>
      <family val="1"/>
    </font>
    <font>
      <b/>
      <sz val="11"/>
      <color rgb="FFFF0000"/>
      <name val="Times New Roman"/>
      <family val="1"/>
    </font>
    <font>
      <b/>
      <sz val="10"/>
      <color rgb="FFFF0000"/>
      <name val="Times New Roman"/>
      <family val="1"/>
    </font>
    <font>
      <i/>
      <sz val="12"/>
      <color rgb="FFFF0000"/>
      <name val="Times New Roman"/>
      <family val="1"/>
    </font>
    <font>
      <i/>
      <sz val="10"/>
      <color rgb="FFFF0000"/>
      <name val="Times New Roman"/>
      <family val="1"/>
    </font>
    <font>
      <sz val="10"/>
      <color theme="1"/>
      <name val="Arial"/>
      <family val="2"/>
    </font>
    <font>
      <sz val="10"/>
      <color theme="1"/>
      <name val="Calibri"/>
      <family val="2"/>
    </font>
    <font>
      <b/>
      <sz val="14"/>
      <color theme="1"/>
      <name val="Times New Roman"/>
      <family val="1"/>
    </font>
    <font>
      <b/>
      <i/>
      <sz val="11"/>
      <color rgb="FFFF0000"/>
      <name val="Times New Roman"/>
      <family val="1"/>
    </font>
    <font>
      <sz val="10"/>
      <color rgb="FFFF0000"/>
      <name val="Times New Roman"/>
      <family val="1"/>
    </font>
    <font>
      <sz val="11"/>
      <color rgb="FFFF0000"/>
      <name val="Calibri"/>
      <family val="2"/>
    </font>
    <font>
      <b/>
      <sz val="9"/>
      <color theme="1"/>
      <name val="Times New Roman"/>
      <family val="1"/>
    </font>
    <font>
      <b/>
      <sz val="8"/>
      <color theme="1"/>
      <name val="Times New Roman"/>
      <family val="1"/>
    </font>
    <font>
      <sz val="8"/>
      <color theme="1"/>
      <name val="Times New Roman"/>
      <family val="1"/>
    </font>
    <font>
      <b/>
      <sz val="10"/>
      <color theme="1"/>
      <name val="Arial"/>
      <family val="2"/>
    </font>
    <font>
      <sz val="13"/>
      <color rgb="FF000000"/>
      <name val="Times New Roman"/>
      <family val="1"/>
    </font>
    <font>
      <b/>
      <u/>
      <sz val="13"/>
      <color rgb="FF000000"/>
      <name val="Times New Roman"/>
      <family val="1"/>
    </font>
    <font>
      <u/>
      <sz val="13"/>
      <color rgb="FF000000"/>
      <name val="Times New Roman"/>
      <family val="1"/>
    </font>
    <font>
      <sz val="10"/>
      <color rgb="FF000000"/>
      <name val="Times New Roman"/>
      <family val="1"/>
    </font>
    <font>
      <b/>
      <i/>
      <sz val="10"/>
      <color rgb="FFFF0000"/>
      <name val="Times New Roman"/>
      <family val="1"/>
    </font>
    <font>
      <i/>
      <sz val="11"/>
      <color theme="1"/>
      <name val="Times New Roman"/>
      <family val="1"/>
    </font>
    <font>
      <b/>
      <i/>
      <sz val="11"/>
      <color theme="1"/>
      <name val="Times New Roman"/>
      <family val="1"/>
    </font>
    <font>
      <sz val="11"/>
      <color rgb="FF001A33"/>
      <name val="Times New Roman"/>
      <family val="1"/>
    </font>
    <font>
      <b/>
      <u/>
      <sz val="10"/>
      <color theme="1"/>
      <name val="Times New Roman"/>
      <family val="1"/>
    </font>
    <font>
      <b/>
      <sz val="11"/>
      <color theme="1"/>
      <name val="Inconsolata"/>
    </font>
    <font>
      <b/>
      <sz val="11"/>
      <color rgb="FF000000"/>
      <name val="Arial"/>
      <family val="2"/>
    </font>
    <font>
      <b/>
      <sz val="10"/>
      <color theme="0"/>
      <name val="Times New Roman"/>
      <family val="1"/>
    </font>
    <font>
      <sz val="10"/>
      <color theme="0"/>
      <name val="Times New Roman"/>
      <family val="1"/>
    </font>
    <font>
      <b/>
      <sz val="11"/>
      <color rgb="FF00B050"/>
      <name val="Times New Roman"/>
      <family val="1"/>
    </font>
    <font>
      <sz val="11"/>
      <color rgb="FF00B050"/>
      <name val="Times New Roman"/>
      <family val="1"/>
    </font>
    <font>
      <b/>
      <sz val="11"/>
      <color rgb="FF7030A0"/>
      <name val="Times New Roman"/>
      <family val="1"/>
    </font>
    <font>
      <sz val="11"/>
      <color rgb="FF7030A0"/>
      <name val="Times New Roman"/>
      <family val="1"/>
    </font>
    <font>
      <b/>
      <sz val="11"/>
      <color rgb="FF0070C0"/>
      <name val="Times New Roman"/>
      <family val="1"/>
    </font>
    <font>
      <sz val="11"/>
      <color rgb="FF0070C0"/>
      <name val="Times New Roman"/>
      <family val="1"/>
    </font>
    <font>
      <sz val="11"/>
      <color rgb="FF1155CC"/>
      <name val="Times New Roman"/>
      <family val="1"/>
    </font>
    <font>
      <b/>
      <sz val="11"/>
      <color theme="1"/>
      <name val="Arial"/>
      <family val="2"/>
    </font>
    <font>
      <b/>
      <sz val="10"/>
      <color rgb="FF008000"/>
      <name val="Times New Roman"/>
      <family val="1"/>
    </font>
    <font>
      <b/>
      <sz val="11"/>
      <color rgb="FF000000"/>
      <name val="Calibri"/>
      <family val="2"/>
    </font>
    <font>
      <i/>
      <sz val="10"/>
      <color rgb="FF000000"/>
      <name val="Times New Roman"/>
      <family val="1"/>
    </font>
    <font>
      <i/>
      <sz val="12"/>
      <color rgb="FF000000"/>
      <name val="Times New Roman"/>
      <family val="1"/>
    </font>
    <font>
      <b/>
      <sz val="9"/>
      <color rgb="FF000000"/>
      <name val="Times New Roman"/>
      <family val="1"/>
    </font>
    <font>
      <b/>
      <sz val="8"/>
      <color rgb="FF000000"/>
      <name val="Times New Roman"/>
      <family val="1"/>
    </font>
    <font>
      <sz val="11"/>
      <color rgb="FF000000"/>
      <name val="Calibri"/>
      <family val="2"/>
    </font>
    <font>
      <b/>
      <sz val="11"/>
      <color rgb="FFFF0000"/>
      <name val="Calibri"/>
      <family val="2"/>
    </font>
    <font>
      <b/>
      <u/>
      <sz val="12"/>
      <color rgb="FF000000"/>
      <name val="Times New Roman"/>
      <family val="1"/>
    </font>
    <font>
      <i/>
      <sz val="13"/>
      <color rgb="FF000000"/>
      <name val="Times New Roman"/>
      <family val="1"/>
    </font>
    <font>
      <b/>
      <sz val="14"/>
      <color theme="1"/>
      <name val="Calibri"/>
      <family val="2"/>
    </font>
    <font>
      <sz val="14"/>
      <color rgb="FF000000"/>
      <name val="Calibri"/>
      <family val="2"/>
    </font>
    <font>
      <b/>
      <sz val="14"/>
      <color rgb="FF000000"/>
      <name val="Calibri"/>
      <family val="2"/>
    </font>
    <font>
      <sz val="13"/>
      <color theme="1"/>
      <name val="Times New Roman"/>
      <family val="1"/>
    </font>
    <font>
      <b/>
      <sz val="13"/>
      <color theme="1"/>
      <name val="Times New Roman"/>
      <family val="1"/>
    </font>
    <font>
      <b/>
      <i/>
      <sz val="13"/>
      <color theme="1"/>
      <name val="Times New Roman"/>
      <family val="1"/>
    </font>
    <font>
      <i/>
      <sz val="13"/>
      <color theme="1"/>
      <name val="Times New Roman"/>
      <family val="1"/>
    </font>
    <font>
      <i/>
      <sz val="9"/>
      <color theme="1"/>
      <name val="Times New Roman"/>
      <family val="1"/>
    </font>
    <font>
      <b/>
      <sz val="18"/>
      <color theme="1"/>
      <name val="Times New Roman"/>
      <family val="1"/>
    </font>
    <font>
      <sz val="16"/>
      <color theme="1"/>
      <name val="Times New Roman"/>
      <family val="1"/>
    </font>
    <font>
      <b/>
      <sz val="16"/>
      <color theme="1"/>
      <name val="Times New Roman"/>
      <family val="1"/>
    </font>
    <font>
      <b/>
      <sz val="11"/>
      <color rgb="FFFF0000"/>
      <name val="&quot;Times New Roman&quot;"/>
    </font>
    <font>
      <sz val="11"/>
      <color theme="1"/>
      <name val="&quot;Times New Roman&quot;"/>
    </font>
    <font>
      <sz val="11"/>
      <color rgb="FFFF0000"/>
      <name val="&quot;Times New Roman&quot;"/>
    </font>
    <font>
      <i/>
      <sz val="11"/>
      <color rgb="FFFF0000"/>
      <name val="&quot;Times New Roman&quot;"/>
    </font>
    <font>
      <b/>
      <sz val="11"/>
      <color theme="1"/>
      <name val="&quot;Times New Roman&quot;"/>
    </font>
    <font>
      <sz val="13"/>
      <color rgb="FFFF0000"/>
      <name val="Times New Roman"/>
      <family val="1"/>
    </font>
    <font>
      <sz val="13"/>
      <color rgb="FF0070C0"/>
      <name val="Times New Roman"/>
      <family val="1"/>
    </font>
    <font>
      <b/>
      <sz val="13"/>
      <color rgb="FFFF0000"/>
      <name val="Times New Roman"/>
      <family val="1"/>
    </font>
    <font>
      <b/>
      <u/>
      <sz val="12"/>
      <color theme="1"/>
      <name val="Times New Roman"/>
      <family val="1"/>
    </font>
    <font>
      <sz val="8"/>
      <color theme="1"/>
      <name val="Open Sans"/>
    </font>
    <font>
      <sz val="12"/>
      <color theme="1"/>
      <name val="&quot;Times New Roman&quot;"/>
    </font>
    <font>
      <sz val="11"/>
      <color rgb="FF081C36"/>
      <name val="SegoeuiPc"/>
    </font>
    <font>
      <b/>
      <u/>
      <sz val="13"/>
      <color theme="1"/>
      <name val="Times New Roman"/>
      <family val="1"/>
    </font>
    <font>
      <i/>
      <sz val="13"/>
      <color rgb="FFFF0000"/>
      <name val="Times New Roman"/>
      <family val="1"/>
    </font>
    <font>
      <i/>
      <sz val="11"/>
      <color rgb="FFFF0000"/>
      <name val="Times New Roman"/>
      <family val="1"/>
    </font>
    <font>
      <sz val="11"/>
      <color rgb="FF000000"/>
      <name val="&quot;Times New Roman&quot;"/>
    </font>
    <font>
      <b/>
      <i/>
      <sz val="10"/>
      <color rgb="FF000000"/>
      <name val="Times New Roman"/>
      <family val="1"/>
    </font>
    <font>
      <b/>
      <sz val="11"/>
      <color theme="1"/>
      <name val="Calibri"/>
      <family val="2"/>
      <scheme val="minor"/>
    </font>
    <font>
      <b/>
      <sz val="14"/>
      <color theme="1"/>
      <name val="Calibri"/>
      <family val="2"/>
      <scheme val="minor"/>
    </font>
    <font>
      <sz val="11"/>
      <name val="Times New Roman"/>
      <family val="1"/>
    </font>
    <font>
      <b/>
      <sz val="14"/>
      <color rgb="FFFF0000"/>
      <name val="Calibri (Body)"/>
    </font>
    <font>
      <u/>
      <sz val="11"/>
      <color theme="10"/>
      <name val="Calibri"/>
      <scheme val="minor"/>
    </font>
    <font>
      <u/>
      <sz val="11"/>
      <color theme="10"/>
      <name val="Calibri"/>
      <family val="2"/>
      <scheme val="minor"/>
    </font>
    <font>
      <b/>
      <sz val="13.5"/>
      <color theme="1"/>
      <name val="Times New Roman"/>
      <family val="1"/>
    </font>
    <font>
      <sz val="11"/>
      <color rgb="FFFF0000"/>
      <name val="Calibri"/>
      <family val="2"/>
      <scheme val="minor"/>
    </font>
    <font>
      <sz val="14"/>
      <color theme="1"/>
      <name val="Calibri"/>
      <family val="2"/>
      <scheme val="minor"/>
    </font>
    <font>
      <b/>
      <sz val="14"/>
      <color theme="1"/>
      <name val="Calibri"/>
      <scheme val="minor"/>
    </font>
    <font>
      <sz val="14"/>
      <color theme="1"/>
      <name val="Calibri"/>
      <scheme val="minor"/>
    </font>
    <font>
      <sz val="14"/>
      <color rgb="FF000000"/>
      <name val="Calibri"/>
      <charset val="1"/>
    </font>
    <font>
      <sz val="14"/>
      <color rgb="FF000000"/>
      <name val="Calibri"/>
    </font>
    <font>
      <b/>
      <sz val="11"/>
      <color theme="1"/>
      <name val="Calibri"/>
      <scheme val="minor"/>
    </font>
  </fonts>
  <fills count="33">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ECECEC"/>
        <bgColor rgb="FFECECEC"/>
      </patternFill>
    </fill>
    <fill>
      <patternFill patternType="solid">
        <fgColor rgb="FFFFFF00"/>
        <bgColor rgb="FFFFFF00"/>
      </patternFill>
    </fill>
    <fill>
      <patternFill patternType="solid">
        <fgColor rgb="FFD9E2F3"/>
        <bgColor rgb="FFD9E2F3"/>
      </patternFill>
    </fill>
    <fill>
      <patternFill patternType="solid">
        <fgColor theme="0"/>
        <bgColor theme="0"/>
      </patternFill>
    </fill>
    <fill>
      <patternFill patternType="solid">
        <fgColor rgb="FFB4C6E7"/>
        <bgColor rgb="FFB4C6E7"/>
      </patternFill>
    </fill>
    <fill>
      <patternFill patternType="solid">
        <fgColor rgb="FFDEEAF6"/>
        <bgColor rgb="FFDEEAF6"/>
      </patternFill>
    </fill>
    <fill>
      <patternFill patternType="solid">
        <fgColor rgb="FFFBE4D5"/>
        <bgColor rgb="FFFBE4D5"/>
      </patternFill>
    </fill>
    <fill>
      <patternFill patternType="solid">
        <fgColor rgb="FF00FF00"/>
        <bgColor rgb="FF00FF00"/>
      </patternFill>
    </fill>
    <fill>
      <patternFill patternType="solid">
        <fgColor rgb="FFFCE5CD"/>
        <bgColor rgb="FFFCE5CD"/>
      </patternFill>
    </fill>
    <fill>
      <patternFill patternType="solid">
        <fgColor rgb="FFD8D8D8"/>
        <bgColor rgb="FFD8D8D8"/>
      </patternFill>
    </fill>
    <fill>
      <patternFill patternType="solid">
        <fgColor rgb="FFF2F2F2"/>
        <bgColor rgb="FFF2F2F2"/>
      </patternFill>
    </fill>
    <fill>
      <patternFill patternType="solid">
        <fgColor rgb="FFD0E0E3"/>
        <bgColor rgb="FFD0E0E3"/>
      </patternFill>
    </fill>
    <fill>
      <patternFill patternType="solid">
        <fgColor rgb="FFC0C0C0"/>
        <bgColor rgb="FFC0C0C0"/>
      </patternFill>
    </fill>
    <fill>
      <patternFill patternType="solid">
        <fgColor rgb="FF92D050"/>
        <bgColor rgb="FF92D050"/>
      </patternFill>
    </fill>
    <fill>
      <patternFill patternType="solid">
        <fgColor rgb="FFA8D08D"/>
        <bgColor rgb="FFA8D08D"/>
      </patternFill>
    </fill>
    <fill>
      <patternFill patternType="solid">
        <fgColor rgb="FF4A86E8"/>
        <bgColor rgb="FF4A86E8"/>
      </patternFill>
    </fill>
    <fill>
      <patternFill patternType="solid">
        <fgColor rgb="FFB7E1CD"/>
        <bgColor rgb="FFB7E1CD"/>
      </patternFill>
    </fill>
    <fill>
      <patternFill patternType="solid">
        <fgColor rgb="FF00FFFF"/>
        <bgColor rgb="FF00FFFF"/>
      </patternFill>
    </fill>
    <fill>
      <patternFill patternType="solid">
        <fgColor rgb="FFE2EFD9"/>
        <bgColor rgb="FFE2EFD9"/>
      </patternFill>
    </fill>
    <fill>
      <patternFill patternType="solid">
        <fgColor rgb="FFD9EAD3"/>
        <bgColor rgb="FFD9EAD3"/>
      </patternFill>
    </fill>
    <fill>
      <patternFill patternType="solid">
        <fgColor rgb="FFFEF2CB"/>
        <bgColor rgb="FFFEF2CB"/>
      </patternFill>
    </fill>
    <fill>
      <patternFill patternType="solid">
        <fgColor rgb="FFC5E0B3"/>
        <bgColor rgb="FFC5E0B3"/>
      </patternFill>
    </fill>
    <fill>
      <patternFill patternType="solid">
        <fgColor rgb="FFFFFF0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FF00"/>
        <bgColor rgb="FFB4C6E7"/>
      </patternFill>
    </fill>
    <fill>
      <patternFill patternType="solid">
        <fgColor rgb="FFE2EFDA"/>
        <bgColor indexed="64"/>
      </patternFill>
    </fill>
    <fill>
      <patternFill patternType="solid">
        <fgColor theme="5" tint="0.79998168889431442"/>
        <bgColor indexed="64"/>
      </patternFill>
    </fill>
    <fill>
      <patternFill patternType="solid">
        <fgColor theme="0"/>
        <bgColor indexed="64"/>
      </patternFill>
    </fill>
  </fills>
  <borders count="152">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top/>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style="thin">
        <color rgb="FF000000"/>
      </left>
      <right style="double">
        <color rgb="FF000000"/>
      </right>
      <top style="thin">
        <color rgb="FF000000"/>
      </top>
      <bottom/>
      <diagonal/>
    </border>
    <border>
      <left style="double">
        <color rgb="FF000000"/>
      </left>
      <right/>
      <top/>
      <bottom style="hair">
        <color rgb="FF000000"/>
      </bottom>
      <diagonal/>
    </border>
    <border>
      <left style="double">
        <color rgb="FF000000"/>
      </left>
      <right/>
      <top style="hair">
        <color rgb="FF000000"/>
      </top>
      <bottom style="hair">
        <color rgb="FF000000"/>
      </bottom>
      <diagonal/>
    </border>
    <border>
      <left style="double">
        <color rgb="FF000000"/>
      </left>
      <right/>
      <top style="hair">
        <color rgb="FF000000"/>
      </top>
      <bottom/>
      <diagonal/>
    </border>
    <border>
      <left style="double">
        <color rgb="FF000000"/>
      </left>
      <right/>
      <top/>
      <bottom/>
      <diagonal/>
    </border>
    <border>
      <left style="thin">
        <color rgb="FF000000"/>
      </left>
      <right style="thin">
        <color rgb="FF000000"/>
      </right>
      <top/>
      <bottom style="hair">
        <color rgb="FF000000"/>
      </bottom>
      <diagonal/>
    </border>
    <border>
      <left style="double">
        <color rgb="FF000000"/>
      </left>
      <right/>
      <top style="thin">
        <color rgb="FF000000"/>
      </top>
      <bottom style="hair">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diagonal/>
    </border>
    <border>
      <left style="double">
        <color rgb="FF000000"/>
      </left>
      <right style="thin">
        <color rgb="FF000000"/>
      </right>
      <top style="double">
        <color rgb="FF000000"/>
      </top>
      <bottom/>
      <diagonal/>
    </border>
    <border>
      <left style="double">
        <color rgb="FF000000"/>
      </left>
      <right style="thin">
        <color rgb="FF000000"/>
      </right>
      <top/>
      <bottom style="thin">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right style="thin">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style="thin">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right style="thin">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double">
        <color rgb="FF000000"/>
      </left>
      <right style="thin">
        <color rgb="FF000000"/>
      </right>
      <top/>
      <bottom/>
      <diagonal/>
    </border>
    <border>
      <left/>
      <right style="thin">
        <color rgb="FF000000"/>
      </right>
      <top/>
      <bottom/>
      <diagonal/>
    </border>
    <border>
      <left style="medium">
        <color rgb="FF000000"/>
      </left>
      <right style="medium">
        <color rgb="FF000000"/>
      </right>
      <top style="dotted">
        <color rgb="FF000000"/>
      </top>
      <bottom style="dotted">
        <color rgb="FF000000"/>
      </bottom>
      <diagonal/>
    </border>
    <border>
      <left style="medium">
        <color rgb="FFCCCCCC"/>
      </left>
      <right style="medium">
        <color rgb="FF000000"/>
      </right>
      <top style="dotted">
        <color rgb="FF000000"/>
      </top>
      <bottom style="dotted">
        <color rgb="FF000000"/>
      </bottom>
      <diagonal/>
    </border>
    <border>
      <left style="medium">
        <color rgb="FF000000"/>
      </left>
      <right style="medium">
        <color rgb="FF000000"/>
      </right>
      <top style="medium">
        <color rgb="FFCCCCCC"/>
      </top>
      <bottom style="dotted">
        <color rgb="FF000000"/>
      </bottom>
      <diagonal/>
    </border>
    <border>
      <left style="medium">
        <color rgb="FFCCCCCC"/>
      </left>
      <right style="medium">
        <color rgb="FF000000"/>
      </right>
      <top style="medium">
        <color rgb="FFCCCCCC"/>
      </top>
      <bottom style="dotted">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double">
        <color rgb="FF000000"/>
      </left>
      <right style="thin">
        <color rgb="FF000000"/>
      </right>
      <top style="hair">
        <color rgb="FF000000"/>
      </top>
      <bottom style="dotted">
        <color rgb="FF000000"/>
      </bottom>
      <diagonal/>
    </border>
    <border>
      <left/>
      <right style="thin">
        <color rgb="FF000000"/>
      </right>
      <top style="hair">
        <color rgb="FF000000"/>
      </top>
      <bottom style="dotted">
        <color rgb="FF000000"/>
      </bottom>
      <diagonal/>
    </border>
    <border>
      <left/>
      <right/>
      <top/>
      <bottom style="dotted">
        <color rgb="FF000000"/>
      </bottom>
      <diagonal/>
    </border>
    <border>
      <left/>
      <right style="dotted">
        <color rgb="FF000000"/>
      </right>
      <top/>
      <bottom style="dotted">
        <color rgb="FF000000"/>
      </bottom>
      <diagonal/>
    </border>
    <border>
      <left/>
      <right/>
      <top/>
      <bottom style="hair">
        <color rgb="FF000000"/>
      </bottom>
      <diagonal/>
    </border>
    <border>
      <left/>
      <right style="dotted">
        <color rgb="FF000000"/>
      </right>
      <top/>
      <bottom/>
      <diagonal/>
    </border>
    <border>
      <left/>
      <right/>
      <top style="dotted">
        <color rgb="FF000000"/>
      </top>
      <bottom style="dotted">
        <color rgb="FF000000"/>
      </bottom>
      <diagonal/>
    </border>
    <border>
      <left/>
      <right style="thin">
        <color rgb="FF000000"/>
      </right>
      <top style="dotted">
        <color rgb="FF000000"/>
      </top>
      <bottom style="hair">
        <color rgb="FF000000"/>
      </bottom>
      <diagonal/>
    </border>
    <border>
      <left/>
      <right style="thin">
        <color rgb="FF000000"/>
      </right>
      <top/>
      <bottom style="dotted">
        <color rgb="FF000000"/>
      </bottom>
      <diagonal/>
    </border>
    <border>
      <left style="double">
        <color rgb="FF000000"/>
      </left>
      <right style="dotted">
        <color rgb="FF000000"/>
      </right>
      <top/>
      <bottom style="hair">
        <color rgb="FF000000"/>
      </bottom>
      <diagonal/>
    </border>
    <border>
      <left style="thick">
        <color rgb="FF000000"/>
      </left>
      <right style="medium">
        <color rgb="FFCCCCCC"/>
      </right>
      <top style="thick">
        <color rgb="FF000000"/>
      </top>
      <bottom/>
      <diagonal/>
    </border>
    <border>
      <left style="medium">
        <color rgb="FFCCCCCC"/>
      </left>
      <right style="medium">
        <color rgb="FFCCCCCC"/>
      </right>
      <top style="thick">
        <color rgb="FF000000"/>
      </top>
      <bottom/>
      <diagonal/>
    </border>
    <border>
      <left style="medium">
        <color rgb="FFCCCCCC"/>
      </left>
      <right/>
      <top style="thick">
        <color rgb="FF000000"/>
      </top>
      <bottom style="medium">
        <color rgb="FFCCCCCC"/>
      </bottom>
      <diagonal/>
    </border>
    <border>
      <left/>
      <right/>
      <top style="thick">
        <color rgb="FF000000"/>
      </top>
      <bottom style="medium">
        <color rgb="FFCCCCCC"/>
      </bottom>
      <diagonal/>
    </border>
    <border>
      <left/>
      <right style="dotted">
        <color rgb="FF000000"/>
      </right>
      <top style="thick">
        <color rgb="FF000000"/>
      </top>
      <bottom style="medium">
        <color rgb="FFCCCCCC"/>
      </bottom>
      <diagonal/>
    </border>
    <border>
      <left style="thick">
        <color rgb="FF000000"/>
      </left>
      <right style="medium">
        <color rgb="FFCCCCCC"/>
      </right>
      <top/>
      <bottom style="thick">
        <color rgb="FF000000"/>
      </bottom>
      <diagonal/>
    </border>
    <border>
      <left style="medium">
        <color rgb="FFCCCCCC"/>
      </left>
      <right style="medium">
        <color rgb="FFCCCCCC"/>
      </right>
      <top/>
      <bottom style="thick">
        <color rgb="FF000000"/>
      </bottom>
      <diagonal/>
    </border>
    <border>
      <left style="medium">
        <color rgb="FFCCCCCC"/>
      </left>
      <right style="dotted">
        <color rgb="FF000000"/>
      </right>
      <top style="medium">
        <color rgb="FFCCCCCC"/>
      </top>
      <bottom style="dotted">
        <color rgb="FF000000"/>
      </bottom>
      <diagonal/>
    </border>
    <border>
      <left style="thick">
        <color rgb="FF000000"/>
      </left>
      <right style="dotted">
        <color rgb="FF000000"/>
      </right>
      <top style="dotted">
        <color rgb="FF000000"/>
      </top>
      <bottom style="dotted">
        <color rgb="FF000000"/>
      </bottom>
      <diagonal/>
    </border>
    <border>
      <left style="medium">
        <color rgb="FFCCCCCC"/>
      </left>
      <right style="dotted">
        <color rgb="FF000000"/>
      </right>
      <top style="dotted">
        <color rgb="FF000000"/>
      </top>
      <bottom style="dotted">
        <color rgb="FF000000"/>
      </bottom>
      <diagonal/>
    </border>
    <border>
      <left style="medium">
        <color rgb="FFCCCCCC"/>
      </left>
      <right style="dotted">
        <color rgb="FF000000"/>
      </right>
      <top style="thick">
        <color rgb="FF000000"/>
      </top>
      <bottom style="dotted">
        <color rgb="FF000000"/>
      </bottom>
      <diagonal/>
    </border>
    <border>
      <left style="double">
        <color rgb="FF000000"/>
      </left>
      <right style="thin">
        <color rgb="FF000000"/>
      </right>
      <top style="thin">
        <color rgb="FF000000"/>
      </top>
      <bottom/>
      <diagonal/>
    </border>
    <border>
      <left style="thick">
        <color rgb="FF000000"/>
      </left>
      <right style="medium">
        <color rgb="FF000000"/>
      </right>
      <top style="medium">
        <color rgb="FFCCCCCC"/>
      </top>
      <bottom style="dotted">
        <color rgb="FF000000"/>
      </bottom>
      <diagonal/>
    </border>
    <border>
      <left style="thick">
        <color rgb="FF000000"/>
      </left>
      <right style="dotted">
        <color rgb="FF000000"/>
      </right>
      <top style="medium">
        <color rgb="FFCCCCCC"/>
      </top>
      <bottom style="dotted">
        <color rgb="FF000000"/>
      </bottom>
      <diagonal/>
    </border>
    <border>
      <left style="thick">
        <color rgb="FF000000"/>
      </left>
      <right/>
      <top style="medium">
        <color rgb="FFCCCCCC"/>
      </top>
      <bottom style="dotted">
        <color rgb="FF000000"/>
      </bottom>
      <diagonal/>
    </border>
    <border>
      <left style="thick">
        <color rgb="FF000000"/>
      </left>
      <right style="dotted">
        <color rgb="FF000000"/>
      </right>
      <top style="medium">
        <color rgb="FFCCCCCC"/>
      </top>
      <bottom style="medium">
        <color rgb="FF000000"/>
      </bottom>
      <diagonal/>
    </border>
    <border>
      <left style="medium">
        <color rgb="FFCCCCCC"/>
      </left>
      <right style="dotted">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right/>
      <top style="medium">
        <color rgb="FFCCCCCC"/>
      </top>
      <bottom/>
      <diagonal/>
    </border>
    <border>
      <left style="medium">
        <color rgb="FFCCCCCC"/>
      </left>
      <right/>
      <top style="medium">
        <color rgb="FFCCCCCC"/>
      </top>
      <bottom/>
      <diagonal/>
    </border>
    <border>
      <left style="medium">
        <color rgb="FFCCCCCC"/>
      </left>
      <right style="medium">
        <color rgb="FF000000"/>
      </right>
      <top style="medium">
        <color rgb="FFCCCCCC"/>
      </top>
      <bottom/>
      <diagonal/>
    </border>
    <border>
      <left style="double">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double">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thin">
        <color rgb="FF000000"/>
      </right>
      <top style="hair">
        <color rgb="FF000000"/>
      </top>
      <bottom/>
      <diagonal/>
    </border>
    <border>
      <left style="double">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style="double">
        <color rgb="FF000000"/>
      </right>
      <top style="thin">
        <color rgb="FF000000"/>
      </top>
      <bottom style="hair">
        <color rgb="FF000000"/>
      </bottom>
      <diagonal/>
    </border>
    <border>
      <left style="thin">
        <color rgb="FF000000"/>
      </left>
      <right style="double">
        <color rgb="FF000000"/>
      </right>
      <top/>
      <bottom style="hair">
        <color rgb="FF000000"/>
      </bottom>
      <diagonal/>
    </border>
    <border>
      <left style="thin">
        <color rgb="FF000000"/>
      </left>
      <right style="double">
        <color rgb="FF000000"/>
      </right>
      <top style="hair">
        <color rgb="FF000000"/>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thin">
        <color rgb="FF000000"/>
      </left>
      <right style="double">
        <color rgb="FF000000"/>
      </right>
      <top/>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thin">
        <color rgb="FF000000"/>
      </left>
      <right style="thin">
        <color rgb="FF000000"/>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top style="thin">
        <color rgb="FF000000"/>
      </top>
      <bottom style="hair">
        <color rgb="FF000000"/>
      </bottom>
      <diagonal/>
    </border>
    <border>
      <left style="medium">
        <color rgb="FF000000"/>
      </left>
      <right style="medium">
        <color rgb="FF000000"/>
      </right>
      <top/>
      <bottom/>
      <diagonal/>
    </border>
    <border>
      <left/>
      <right/>
      <top style="medium">
        <color rgb="FF000000"/>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bottom style="thin">
        <color rgb="FF000000"/>
      </bottom>
      <diagonal/>
    </border>
    <border>
      <left style="thin">
        <color rgb="FF000000"/>
      </left>
      <right style="double">
        <color rgb="FF000000"/>
      </right>
      <top style="hair">
        <color rgb="FF000000"/>
      </top>
      <bottom/>
      <diagonal/>
    </border>
    <border>
      <left style="double">
        <color rgb="FF000000"/>
      </left>
      <right/>
      <top style="double">
        <color rgb="FF000000"/>
      </top>
      <bottom/>
      <diagonal/>
    </border>
    <border>
      <left style="thin">
        <color rgb="FF000000"/>
      </left>
      <right/>
      <top style="hair">
        <color rgb="FF000000"/>
      </top>
      <bottom style="hair">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right/>
      <top/>
      <bottom style="thin">
        <color indexed="64"/>
      </bottom>
      <diagonal/>
    </border>
    <border>
      <left style="thin">
        <color rgb="FF000000"/>
      </left>
      <right/>
      <top style="hair">
        <color rgb="FF000000"/>
      </top>
      <bottom/>
      <diagonal/>
    </border>
    <border>
      <left style="thin">
        <color rgb="FF000000"/>
      </left>
      <right/>
      <top style="hair">
        <color rgb="FF000000"/>
      </top>
      <bottom style="thin">
        <color rgb="FF000000"/>
      </bottom>
      <diagonal/>
    </border>
    <border>
      <left style="thin">
        <color rgb="FF000000"/>
      </left>
      <right/>
      <top/>
      <bottom style="hair">
        <color rgb="FF000000"/>
      </bottom>
      <diagonal/>
    </border>
  </borders>
  <cellStyleXfs count="2">
    <xf numFmtId="0" fontId="0" fillId="0" borderId="0"/>
    <xf numFmtId="0" fontId="106" fillId="0" borderId="0" applyNumberFormat="0" applyFill="0" applyBorder="0" applyAlignment="0" applyProtection="0"/>
  </cellStyleXfs>
  <cellXfs count="3036">
    <xf numFmtId="0" fontId="0" fillId="0" borderId="0" xfId="0"/>
    <xf numFmtId="0" fontId="1" fillId="0" borderId="0" xfId="0" applyFont="1"/>
    <xf numFmtId="0" fontId="2" fillId="0" borderId="0" xfId="0" applyFont="1"/>
    <xf numFmtId="0" fontId="1" fillId="0" borderId="0" xfId="0" applyFont="1" applyAlignment="1">
      <alignment wrapText="1"/>
    </xf>
    <xf numFmtId="0" fontId="2" fillId="0" borderId="0" xfId="0" applyFont="1" applyAlignment="1">
      <alignment horizontal="right"/>
    </xf>
    <xf numFmtId="0" fontId="3" fillId="0" borderId="0" xfId="0" applyFont="1" applyAlignment="1">
      <alignment horizontal="center" wrapText="1"/>
    </xf>
    <xf numFmtId="0" fontId="3" fillId="0" borderId="0" xfId="0" applyFont="1" applyAlignment="1">
      <alignment horizontal="center"/>
    </xf>
    <xf numFmtId="0" fontId="2" fillId="0" borderId="1" xfId="0" applyFont="1" applyBorder="1" applyAlignment="1">
      <alignment horizontal="center" wrapText="1"/>
    </xf>
    <xf numFmtId="0" fontId="2" fillId="0" borderId="2" xfId="0" applyFont="1" applyBorder="1"/>
    <xf numFmtId="0" fontId="1" fillId="0" borderId="2" xfId="0" applyFont="1" applyBorder="1"/>
    <xf numFmtId="0" fontId="1" fillId="3" borderId="2" xfId="0" applyFont="1" applyFill="1" applyBorder="1"/>
    <xf numFmtId="0" fontId="7" fillId="0" borderId="0" xfId="0" applyFont="1" applyAlignment="1">
      <alignment vertical="center"/>
    </xf>
    <xf numFmtId="0" fontId="2" fillId="0" borderId="0" xfId="0" applyFont="1" applyAlignment="1">
      <alignment horizontal="center" wrapText="1"/>
    </xf>
    <xf numFmtId="0" fontId="8" fillId="0" borderId="0" xfId="0" applyFont="1"/>
    <xf numFmtId="0" fontId="10" fillId="0" borderId="0" xfId="0" applyFont="1" applyAlignment="1">
      <alignment horizontal="center" vertical="center"/>
    </xf>
    <xf numFmtId="0" fontId="10" fillId="0" borderId="0" xfId="0" applyFont="1" applyAlignme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horizontal="center" vertical="center" wrapText="1"/>
    </xf>
    <xf numFmtId="0" fontId="11" fillId="4" borderId="1" xfId="0" applyFont="1" applyFill="1" applyBorder="1" applyAlignment="1">
      <alignment horizontal="center" vertical="center" wrapText="1"/>
    </xf>
    <xf numFmtId="0" fontId="11" fillId="4" borderId="1" xfId="0" quotePrefix="1"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quotePrefix="1" applyFont="1" applyBorder="1" applyAlignment="1">
      <alignment horizontal="center" vertical="center" wrapText="1"/>
    </xf>
    <xf numFmtId="0" fontId="10" fillId="0" borderId="1" xfId="0" applyFont="1" applyBorder="1" applyAlignment="1">
      <alignment vertical="center" wrapText="1"/>
    </xf>
    <xf numFmtId="3" fontId="4" fillId="0" borderId="1" xfId="0" applyNumberFormat="1" applyFont="1" applyBorder="1" applyAlignment="1">
      <alignment horizontal="left" vertical="center" wrapText="1"/>
    </xf>
    <xf numFmtId="164" fontId="12" fillId="4" borderId="1" xfId="0"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10" fillId="0" borderId="1" xfId="0" applyFont="1" applyBorder="1" applyAlignment="1">
      <alignment vertical="center"/>
    </xf>
    <xf numFmtId="164" fontId="14" fillId="4" borderId="1" xfId="0" applyNumberFormat="1" applyFont="1" applyFill="1" applyBorder="1" applyAlignment="1">
      <alignment vertical="center"/>
    </xf>
    <xf numFmtId="164" fontId="10" fillId="0" borderId="1" xfId="0" applyNumberFormat="1" applyFont="1" applyBorder="1" applyAlignment="1">
      <alignment vertical="center"/>
    </xf>
    <xf numFmtId="0" fontId="14" fillId="4" borderId="1" xfId="0" applyFont="1" applyFill="1" applyBorder="1" applyAlignment="1">
      <alignment vertical="center"/>
    </xf>
    <xf numFmtId="165" fontId="12" fillId="4" borderId="1" xfId="0" applyNumberFormat="1" applyFont="1" applyFill="1" applyBorder="1" applyAlignment="1">
      <alignment horizontal="center" vertical="center" wrapText="1"/>
    </xf>
    <xf numFmtId="165" fontId="13" fillId="0" borderId="1" xfId="0" applyNumberFormat="1" applyFont="1" applyBorder="1" applyAlignment="1">
      <alignment horizontal="center" vertical="center" wrapText="1"/>
    </xf>
    <xf numFmtId="3" fontId="4" fillId="0" borderId="0" xfId="0" applyNumberFormat="1" applyFont="1" applyAlignment="1">
      <alignment horizontal="left" vertical="center" wrapText="1"/>
    </xf>
    <xf numFmtId="165" fontId="13" fillId="0" borderId="0" xfId="0" applyNumberFormat="1" applyFont="1" applyAlignment="1">
      <alignment horizontal="center" vertical="center" wrapText="1"/>
    </xf>
    <xf numFmtId="0" fontId="15" fillId="0" borderId="0" xfId="0" applyFont="1" applyAlignment="1">
      <alignment horizontal="center"/>
    </xf>
    <xf numFmtId="0" fontId="15" fillId="0" borderId="0" xfId="0" applyFont="1"/>
    <xf numFmtId="0" fontId="4" fillId="0" borderId="0" xfId="0" applyFont="1" applyAlignment="1">
      <alignment vertical="center"/>
    </xf>
    <xf numFmtId="0" fontId="8" fillId="0" borderId="0" xfId="0" applyFont="1" applyAlignment="1">
      <alignment horizontal="center"/>
    </xf>
    <xf numFmtId="0" fontId="16" fillId="0" borderId="0" xfId="0" applyFont="1" applyAlignment="1">
      <alignment wrapText="1"/>
    </xf>
    <xf numFmtId="0" fontId="16" fillId="0" borderId="0" xfId="0" applyFont="1"/>
    <xf numFmtId="0" fontId="9" fillId="0" borderId="0" xfId="0" applyFont="1"/>
    <xf numFmtId="0" fontId="17" fillId="0" borderId="0" xfId="0" applyFont="1" applyAlignment="1">
      <alignment horizontal="center" vertical="center"/>
    </xf>
    <xf numFmtId="0" fontId="20" fillId="0" borderId="0" xfId="0" applyFont="1"/>
    <xf numFmtId="0" fontId="21" fillId="0" borderId="0" xfId="0" applyFont="1"/>
    <xf numFmtId="0" fontId="22" fillId="0" borderId="0" xfId="0" applyFont="1"/>
    <xf numFmtId="0" fontId="22" fillId="0" borderId="0" xfId="0" applyFont="1" applyAlignment="1">
      <alignment horizontal="right"/>
    </xf>
    <xf numFmtId="164" fontId="17" fillId="0" borderId="3" xfId="0" applyNumberFormat="1" applyFont="1" applyBorder="1" applyAlignment="1">
      <alignment horizontal="center" vertical="center" wrapText="1"/>
    </xf>
    <xf numFmtId="164" fontId="17" fillId="0" borderId="4" xfId="0" applyNumberFormat="1" applyFont="1" applyBorder="1" applyAlignment="1">
      <alignment horizontal="center" vertical="center" wrapText="1"/>
    </xf>
    <xf numFmtId="164" fontId="17" fillId="0" borderId="5" xfId="0" applyNumberFormat="1" applyFont="1" applyBorder="1" applyAlignment="1">
      <alignment horizontal="center" vertical="center" wrapText="1"/>
    </xf>
    <xf numFmtId="0" fontId="17" fillId="5" borderId="6" xfId="0" applyFont="1" applyFill="1" applyBorder="1" applyAlignment="1">
      <alignment horizontal="center" vertical="center" wrapText="1"/>
    </xf>
    <xf numFmtId="0" fontId="17" fillId="5" borderId="7" xfId="0" applyFont="1" applyFill="1" applyBorder="1" applyAlignment="1">
      <alignment horizontal="left" vertical="center" wrapText="1"/>
    </xf>
    <xf numFmtId="0" fontId="16" fillId="5" borderId="7" xfId="0" applyFont="1" applyFill="1" applyBorder="1" applyAlignment="1">
      <alignment horizontal="center" vertical="center" wrapText="1"/>
    </xf>
    <xf numFmtId="43" fontId="17" fillId="5" borderId="7" xfId="0" applyNumberFormat="1" applyFont="1" applyFill="1" applyBorder="1" applyAlignment="1">
      <alignment horizontal="center" vertical="center" wrapText="1"/>
    </xf>
    <xf numFmtId="0" fontId="16" fillId="5" borderId="8" xfId="0" applyFont="1" applyFill="1" applyBorder="1" applyAlignment="1">
      <alignment vertical="center"/>
    </xf>
    <xf numFmtId="0" fontId="16" fillId="0" borderId="0" xfId="0" applyFont="1" applyAlignment="1">
      <alignment vertical="top"/>
    </xf>
    <xf numFmtId="0" fontId="17" fillId="6" borderId="6" xfId="0" applyFont="1" applyFill="1" applyBorder="1" applyAlignment="1">
      <alignment horizontal="center" vertical="center" wrapText="1"/>
    </xf>
    <xf numFmtId="0" fontId="17" fillId="6" borderId="7" xfId="0" applyFont="1" applyFill="1" applyBorder="1" applyAlignment="1">
      <alignment horizontal="left" vertical="center" wrapText="1"/>
    </xf>
    <xf numFmtId="0" fontId="16" fillId="6" borderId="7" xfId="0" applyFont="1" applyFill="1" applyBorder="1" applyAlignment="1">
      <alignment horizontal="center" vertical="center" wrapText="1"/>
    </xf>
    <xf numFmtId="43" fontId="17" fillId="6" borderId="7" xfId="0" applyNumberFormat="1" applyFont="1" applyFill="1" applyBorder="1" applyAlignment="1">
      <alignment horizontal="center" vertical="center" wrapText="1"/>
    </xf>
    <xf numFmtId="0" fontId="16" fillId="6" borderId="8" xfId="0" applyFont="1" applyFill="1" applyBorder="1" applyAlignment="1">
      <alignment vertical="center"/>
    </xf>
    <xf numFmtId="0" fontId="16" fillId="0" borderId="6" xfId="0" applyFont="1" applyBorder="1" applyAlignment="1">
      <alignment horizontal="center" vertical="center" wrapText="1"/>
    </xf>
    <xf numFmtId="0" fontId="23" fillId="0" borderId="7" xfId="0" applyFont="1" applyBorder="1" applyAlignment="1">
      <alignment horizontal="left" vertical="center" wrapText="1"/>
    </xf>
    <xf numFmtId="0" fontId="16" fillId="0" borderId="7" xfId="0" applyFont="1" applyBorder="1" applyAlignment="1">
      <alignment horizontal="center" vertical="center" wrapText="1"/>
    </xf>
    <xf numFmtId="41" fontId="17" fillId="0" borderId="7" xfId="0" applyNumberFormat="1" applyFont="1" applyBorder="1" applyAlignment="1">
      <alignment horizontal="center" vertical="center" wrapText="1"/>
    </xf>
    <xf numFmtId="0" fontId="16" fillId="0" borderId="8" xfId="0" applyFont="1" applyBorder="1" applyAlignment="1">
      <alignment vertical="center"/>
    </xf>
    <xf numFmtId="0" fontId="16" fillId="0" borderId="7" xfId="0" applyFont="1" applyBorder="1" applyAlignment="1">
      <alignment horizontal="left" vertical="center" wrapText="1"/>
    </xf>
    <xf numFmtId="41" fontId="16" fillId="0" borderId="7" xfId="0" applyNumberFormat="1" applyFont="1" applyBorder="1" applyAlignment="1">
      <alignment horizontal="center" vertical="center" wrapText="1"/>
    </xf>
    <xf numFmtId="43" fontId="16" fillId="0" borderId="7"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0" fontId="9" fillId="0" borderId="0" xfId="0" applyFont="1" applyAlignment="1">
      <alignment vertical="center"/>
    </xf>
    <xf numFmtId="0" fontId="22" fillId="0" borderId="6" xfId="0" applyFont="1" applyBorder="1" applyAlignment="1">
      <alignment horizontal="center" vertical="center" wrapText="1"/>
    </xf>
    <xf numFmtId="0" fontId="22" fillId="0" borderId="7" xfId="0" applyFont="1" applyBorder="1" applyAlignment="1">
      <alignment horizontal="left" vertical="center" wrapText="1"/>
    </xf>
    <xf numFmtId="43" fontId="22" fillId="0" borderId="7" xfId="0" applyNumberFormat="1" applyFont="1" applyBorder="1" applyAlignment="1">
      <alignment horizontal="center" vertical="center" wrapText="1"/>
    </xf>
    <xf numFmtId="1" fontId="22" fillId="0" borderId="7" xfId="0" applyNumberFormat="1" applyFont="1" applyBorder="1" applyAlignment="1">
      <alignment horizontal="center" vertical="center" wrapText="1"/>
    </xf>
    <xf numFmtId="0" fontId="22" fillId="0" borderId="8" xfId="0" applyFont="1" applyBorder="1" applyAlignment="1">
      <alignment vertical="center"/>
    </xf>
    <xf numFmtId="0" fontId="23" fillId="0" borderId="7" xfId="0" quotePrefix="1" applyFont="1" applyBorder="1" applyAlignment="1">
      <alignment horizontal="left" vertical="center" wrapText="1"/>
    </xf>
    <xf numFmtId="41" fontId="23" fillId="0" borderId="7" xfId="0" applyNumberFormat="1" applyFont="1" applyBorder="1" applyAlignment="1">
      <alignment horizontal="center" vertical="center" wrapText="1"/>
    </xf>
    <xf numFmtId="0" fontId="23" fillId="0" borderId="8" xfId="0" applyFont="1" applyBorder="1" applyAlignment="1">
      <alignment vertical="center"/>
    </xf>
    <xf numFmtId="0" fontId="17" fillId="5" borderId="6" xfId="0" applyFont="1" applyFill="1" applyBorder="1" applyAlignment="1">
      <alignment horizontal="right" vertical="center" wrapText="1"/>
    </xf>
    <xf numFmtId="41" fontId="17" fillId="5" borderId="7" xfId="0" applyNumberFormat="1" applyFont="1" applyFill="1" applyBorder="1" applyAlignment="1">
      <alignment horizontal="center" vertical="center" wrapText="1"/>
    </xf>
    <xf numFmtId="41" fontId="17" fillId="6" borderId="7" xfId="0" applyNumberFormat="1" applyFont="1" applyFill="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16" fillId="0" borderId="0" xfId="0" applyFont="1" applyAlignment="1">
      <alignment horizontal="center"/>
    </xf>
    <xf numFmtId="0" fontId="17" fillId="0" borderId="0" xfId="0" applyFont="1" applyAlignment="1">
      <alignment horizontal="center" vertical="center" wrapText="1"/>
    </xf>
    <xf numFmtId="0" fontId="8" fillId="0" borderId="0" xfId="0" applyFont="1" applyAlignment="1">
      <alignment wrapText="1"/>
    </xf>
    <xf numFmtId="1" fontId="9" fillId="0" borderId="0" xfId="0" applyNumberFormat="1" applyFont="1" applyAlignment="1">
      <alignment vertical="center"/>
    </xf>
    <xf numFmtId="1" fontId="4" fillId="0" borderId="0" xfId="0" applyNumberFormat="1" applyFont="1" applyAlignment="1">
      <alignment horizontal="center" vertical="center"/>
    </xf>
    <xf numFmtId="0" fontId="9" fillId="0" borderId="0" xfId="0" applyFont="1" applyAlignment="1">
      <alignment horizontal="center"/>
    </xf>
    <xf numFmtId="0" fontId="16" fillId="0" borderId="0" xfId="0" applyFont="1" applyAlignment="1">
      <alignment vertical="center" wrapText="1"/>
    </xf>
    <xf numFmtId="1" fontId="16" fillId="0" borderId="0" xfId="0" applyNumberFormat="1" applyFont="1" applyAlignment="1">
      <alignment vertical="center" wrapText="1"/>
    </xf>
    <xf numFmtId="0" fontId="17" fillId="0" borderId="0" xfId="0" applyFont="1" applyAlignment="1">
      <alignment horizontal="right" vertical="center"/>
    </xf>
    <xf numFmtId="1" fontId="16" fillId="0" borderId="0" xfId="0" applyNumberFormat="1" applyFont="1" applyAlignment="1">
      <alignment vertical="center"/>
    </xf>
    <xf numFmtId="0" fontId="16" fillId="0" borderId="0" xfId="0" applyFont="1" applyAlignment="1">
      <alignment vertical="center"/>
    </xf>
    <xf numFmtId="0" fontId="22" fillId="0" borderId="0" xfId="0" applyFont="1" applyAlignment="1">
      <alignment vertical="center"/>
    </xf>
    <xf numFmtId="1" fontId="22" fillId="0" borderId="0" xfId="0" applyNumberFormat="1" applyFont="1" applyAlignment="1">
      <alignment vertical="center"/>
    </xf>
    <xf numFmtId="0" fontId="22" fillId="0" borderId="0" xfId="0" applyFont="1" applyAlignment="1">
      <alignment horizontal="right" vertical="center"/>
    </xf>
    <xf numFmtId="1" fontId="17" fillId="0" borderId="4" xfId="0" applyNumberFormat="1" applyFont="1" applyBorder="1" applyAlignment="1">
      <alignment horizontal="center" vertical="center" wrapText="1"/>
    </xf>
    <xf numFmtId="0" fontId="17" fillId="8" borderId="6" xfId="0" applyFont="1" applyFill="1" applyBorder="1" applyAlignment="1">
      <alignment horizontal="center" vertical="center" wrapText="1"/>
    </xf>
    <xf numFmtId="0" fontId="17" fillId="8" borderId="7" xfId="0" applyFont="1" applyFill="1" applyBorder="1" applyAlignment="1">
      <alignment horizontal="left" vertical="center" wrapText="1"/>
    </xf>
    <xf numFmtId="0" fontId="17" fillId="8" borderId="7" xfId="0" applyFont="1" applyFill="1" applyBorder="1" applyAlignment="1">
      <alignment horizontal="center" vertical="center" wrapText="1"/>
    </xf>
    <xf numFmtId="43" fontId="17" fillId="8" borderId="7" xfId="0" applyNumberFormat="1" applyFont="1" applyFill="1" applyBorder="1" applyAlignment="1">
      <alignment horizontal="center" vertical="center" wrapText="1"/>
    </xf>
    <xf numFmtId="1" fontId="17" fillId="8" borderId="7" xfId="0" applyNumberFormat="1" applyFont="1" applyFill="1" applyBorder="1" applyAlignment="1">
      <alignment horizontal="center" vertical="center" wrapText="1"/>
    </xf>
    <xf numFmtId="0" fontId="17" fillId="8" borderId="8" xfId="0" applyFont="1" applyFill="1" applyBorder="1" applyAlignment="1">
      <alignment vertical="center"/>
    </xf>
    <xf numFmtId="0" fontId="17" fillId="0" borderId="6" xfId="0" applyFont="1" applyBorder="1" applyAlignment="1">
      <alignment horizontal="center" vertical="center" wrapText="1"/>
    </xf>
    <xf numFmtId="0" fontId="17" fillId="0" borderId="7" xfId="0" applyFont="1" applyBorder="1" applyAlignment="1">
      <alignment horizontal="left" vertical="center" wrapText="1"/>
    </xf>
    <xf numFmtId="0" fontId="17" fillId="0" borderId="7" xfId="0" applyFont="1" applyBorder="1" applyAlignment="1">
      <alignment horizontal="center" vertical="center" wrapText="1"/>
    </xf>
    <xf numFmtId="43" fontId="17" fillId="0" borderId="7" xfId="0" applyNumberFormat="1" applyFont="1" applyBorder="1" applyAlignment="1">
      <alignment horizontal="center" vertical="center" wrapText="1"/>
    </xf>
    <xf numFmtId="1" fontId="17" fillId="0" borderId="7" xfId="0" applyNumberFormat="1" applyFont="1" applyBorder="1" applyAlignment="1">
      <alignment horizontal="center" vertical="center" wrapText="1"/>
    </xf>
    <xf numFmtId="0" fontId="17" fillId="0" borderId="8" xfId="0" applyFont="1" applyBorder="1" applyAlignment="1">
      <alignment vertical="center"/>
    </xf>
    <xf numFmtId="0" fontId="22" fillId="5" borderId="6" xfId="0" applyFont="1" applyFill="1" applyBorder="1" applyAlignment="1">
      <alignment horizontal="center" vertical="center" wrapText="1"/>
    </xf>
    <xf numFmtId="0" fontId="16" fillId="5" borderId="7" xfId="0" applyFont="1" applyFill="1" applyBorder="1" applyAlignment="1">
      <alignment horizontal="left" vertical="center" wrapText="1"/>
    </xf>
    <xf numFmtId="0" fontId="16"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43" fontId="16" fillId="5" borderId="7" xfId="0" applyNumberFormat="1" applyFont="1" applyFill="1" applyBorder="1" applyAlignment="1">
      <alignment horizontal="center" vertical="center" wrapText="1"/>
    </xf>
    <xf numFmtId="1" fontId="16" fillId="5" borderId="7" xfId="0" applyNumberFormat="1" applyFont="1" applyFill="1" applyBorder="1" applyAlignment="1">
      <alignment horizontal="center" vertical="center" wrapText="1"/>
    </xf>
    <xf numFmtId="43" fontId="23" fillId="0" borderId="7" xfId="0" applyNumberFormat="1" applyFont="1" applyBorder="1" applyAlignment="1">
      <alignment horizontal="center" vertical="center" wrapText="1"/>
    </xf>
    <xf numFmtId="0" fontId="16" fillId="0" borderId="0" xfId="0" applyFont="1" applyAlignment="1">
      <alignment horizontal="center" vertical="center"/>
    </xf>
    <xf numFmtId="0" fontId="22" fillId="0" borderId="0" xfId="0" applyFont="1" applyAlignment="1">
      <alignment horizontal="center" vertical="center"/>
    </xf>
    <xf numFmtId="164" fontId="17" fillId="0" borderId="6" xfId="0" applyNumberFormat="1" applyFont="1" applyBorder="1" applyAlignment="1">
      <alignment horizontal="center" vertical="center" wrapText="1"/>
    </xf>
    <xf numFmtId="164" fontId="17" fillId="0" borderId="7" xfId="0" applyNumberFormat="1" applyFont="1" applyBorder="1" applyAlignment="1">
      <alignment horizontal="center" vertical="center" wrapText="1"/>
    </xf>
    <xf numFmtId="164" fontId="17" fillId="0" borderId="8" xfId="0" applyNumberFormat="1" applyFont="1" applyBorder="1" applyAlignment="1">
      <alignment horizontal="center" vertical="center" wrapText="1"/>
    </xf>
    <xf numFmtId="0" fontId="17" fillId="9" borderId="6" xfId="0" applyFont="1" applyFill="1" applyBorder="1" applyAlignment="1">
      <alignment horizontal="center" vertical="center" wrapText="1"/>
    </xf>
    <xf numFmtId="0" fontId="17" fillId="9" borderId="7" xfId="0" applyFont="1" applyFill="1" applyBorder="1" applyAlignment="1">
      <alignment horizontal="left" vertical="center" wrapText="1"/>
    </xf>
    <xf numFmtId="0" fontId="16" fillId="9" borderId="7" xfId="0" applyFont="1" applyFill="1" applyBorder="1" applyAlignment="1">
      <alignment horizontal="center" vertical="center" wrapText="1"/>
    </xf>
    <xf numFmtId="43" fontId="16" fillId="9" borderId="7" xfId="0" applyNumberFormat="1" applyFont="1" applyFill="1" applyBorder="1" applyAlignment="1">
      <alignment horizontal="center" vertical="center" wrapText="1"/>
    </xf>
    <xf numFmtId="43" fontId="17" fillId="9" borderId="7" xfId="0" applyNumberFormat="1" applyFont="1" applyFill="1" applyBorder="1" applyAlignment="1">
      <alignment horizontal="center" vertical="center" wrapText="1"/>
    </xf>
    <xf numFmtId="0" fontId="16" fillId="9" borderId="8" xfId="0" applyFont="1" applyFill="1" applyBorder="1" applyAlignment="1">
      <alignment vertical="center"/>
    </xf>
    <xf numFmtId="1" fontId="23" fillId="0" borderId="7" xfId="0" applyNumberFormat="1" applyFont="1" applyBorder="1" applyAlignment="1">
      <alignment horizontal="center" vertical="center" wrapText="1"/>
    </xf>
    <xf numFmtId="0" fontId="24" fillId="0" borderId="0" xfId="0" applyFont="1"/>
    <xf numFmtId="0" fontId="16" fillId="0" borderId="10" xfId="0" applyFont="1" applyBorder="1" applyAlignment="1">
      <alignment horizontal="center" vertical="center" wrapText="1"/>
    </xf>
    <xf numFmtId="41" fontId="16" fillId="0" borderId="11" xfId="0" applyNumberFormat="1" applyFont="1" applyBorder="1" applyAlignment="1">
      <alignment horizontal="left" vertical="center" wrapText="1"/>
    </xf>
    <xf numFmtId="0" fontId="16" fillId="0" borderId="11" xfId="0" applyFont="1" applyBorder="1" applyAlignment="1">
      <alignment horizontal="center" vertical="center" wrapText="1"/>
    </xf>
    <xf numFmtId="0" fontId="16" fillId="0" borderId="12" xfId="0" applyFont="1" applyBorder="1" applyAlignment="1">
      <alignment vertical="center"/>
    </xf>
    <xf numFmtId="0" fontId="16" fillId="0" borderId="0" xfId="0" applyFont="1" applyAlignment="1">
      <alignment horizontal="center" vertical="center" wrapText="1"/>
    </xf>
    <xf numFmtId="41" fontId="16" fillId="0" borderId="0" xfId="0" applyNumberFormat="1" applyFont="1" applyAlignment="1">
      <alignment horizontal="left" vertical="center" wrapText="1"/>
    </xf>
    <xf numFmtId="1" fontId="16" fillId="0" borderId="0" xfId="0" applyNumberFormat="1" applyFont="1" applyAlignment="1">
      <alignment horizontal="center" vertical="center" wrapText="1"/>
    </xf>
    <xf numFmtId="0" fontId="8"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right" vertical="center"/>
    </xf>
    <xf numFmtId="0" fontId="30" fillId="0" borderId="0" xfId="0" applyFont="1" applyAlignment="1">
      <alignment horizontal="center" vertical="center"/>
    </xf>
    <xf numFmtId="0" fontId="22" fillId="0" borderId="0" xfId="0" applyFont="1" applyAlignment="1">
      <alignment horizontal="left" vertical="center"/>
    </xf>
    <xf numFmtId="0" fontId="32" fillId="0" borderId="0" xfId="0" applyFont="1" applyAlignment="1">
      <alignment vertical="center"/>
    </xf>
    <xf numFmtId="164" fontId="17" fillId="0" borderId="13" xfId="0" applyNumberFormat="1" applyFont="1" applyBorder="1" applyAlignment="1">
      <alignment horizontal="center" vertical="center" wrapText="1"/>
    </xf>
    <xf numFmtId="164" fontId="17" fillId="0" borderId="14" xfId="0" applyNumberFormat="1" applyFont="1" applyBorder="1" applyAlignment="1">
      <alignment horizontal="center" vertical="center" wrapText="1"/>
    </xf>
    <xf numFmtId="164" fontId="17" fillId="0" borderId="15" xfId="0" applyNumberFormat="1" applyFont="1" applyBorder="1" applyAlignment="1">
      <alignment horizontal="center" vertical="center" wrapText="1"/>
    </xf>
    <xf numFmtId="164" fontId="17" fillId="0" borderId="2" xfId="0" applyNumberFormat="1" applyFont="1" applyBorder="1" applyAlignment="1">
      <alignment horizontal="center" vertical="center" wrapText="1"/>
    </xf>
    <xf numFmtId="49" fontId="17" fillId="0" borderId="1" xfId="0" applyNumberFormat="1" applyFont="1" applyBorder="1" applyAlignment="1">
      <alignment horizontal="center" vertical="center" wrapText="1"/>
    </xf>
    <xf numFmtId="164" fontId="17" fillId="0" borderId="1" xfId="0" applyNumberFormat="1" applyFont="1" applyBorder="1" applyAlignment="1">
      <alignment horizontal="left" vertical="center" wrapText="1"/>
    </xf>
    <xf numFmtId="164" fontId="16" fillId="0" borderId="1" xfId="0" applyNumberFormat="1" applyFont="1" applyBorder="1" applyAlignment="1">
      <alignment horizontal="center" vertical="center" wrapText="1"/>
    </xf>
    <xf numFmtId="166" fontId="30"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168" fontId="16" fillId="0" borderId="1" xfId="0" applyNumberFormat="1" applyFont="1" applyBorder="1" applyAlignment="1">
      <alignment vertical="center"/>
    </xf>
    <xf numFmtId="0" fontId="16" fillId="0" borderId="1" xfId="0" applyFont="1" applyBorder="1" applyAlignment="1">
      <alignment vertical="center"/>
    </xf>
    <xf numFmtId="164" fontId="16" fillId="0" borderId="1" xfId="0" applyNumberFormat="1" applyFont="1" applyBorder="1" applyAlignment="1">
      <alignment horizontal="left" vertical="center" wrapText="1"/>
    </xf>
    <xf numFmtId="0" fontId="34" fillId="0" borderId="0" xfId="0" applyFont="1"/>
    <xf numFmtId="49" fontId="17" fillId="0" borderId="0" xfId="0" applyNumberFormat="1" applyFont="1" applyAlignment="1">
      <alignment horizontal="center" vertical="center"/>
    </xf>
    <xf numFmtId="0" fontId="17" fillId="0" borderId="0" xfId="0" applyFont="1" applyAlignment="1">
      <alignment vertical="center"/>
    </xf>
    <xf numFmtId="164" fontId="17" fillId="0" borderId="0" xfId="0" applyNumberFormat="1" applyFont="1" applyAlignment="1">
      <alignment vertical="center"/>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23" fillId="0" borderId="1" xfId="0" applyFont="1" applyBorder="1" applyAlignment="1">
      <alignment horizontal="center" vertical="center" wrapText="1"/>
    </xf>
    <xf numFmtId="0" fontId="22" fillId="0" borderId="0" xfId="0" applyFont="1" applyAlignment="1">
      <alignment horizontal="center" vertical="center" wrapText="1"/>
    </xf>
    <xf numFmtId="0" fontId="17" fillId="0" borderId="0" xfId="0" applyFont="1" applyAlignment="1">
      <alignment horizontal="center"/>
    </xf>
    <xf numFmtId="0" fontId="16" fillId="0" borderId="21" xfId="0" applyFont="1" applyBorder="1" applyAlignment="1">
      <alignment horizontal="center" vertical="center" wrapText="1"/>
    </xf>
    <xf numFmtId="0" fontId="16" fillId="0" borderId="21" xfId="0" applyFont="1" applyBorder="1" applyAlignment="1">
      <alignment horizontal="left" vertical="center" wrapText="1"/>
    </xf>
    <xf numFmtId="0" fontId="5" fillId="0" borderId="0" xfId="0" applyFont="1" applyAlignment="1">
      <alignment vertical="center"/>
    </xf>
    <xf numFmtId="164" fontId="4" fillId="0" borderId="1" xfId="0" applyNumberFormat="1" applyFont="1" applyBorder="1" applyAlignment="1">
      <alignment horizontal="left" vertical="center" wrapText="1"/>
    </xf>
    <xf numFmtId="164" fontId="10" fillId="0" borderId="1" xfId="0" applyNumberFormat="1" applyFont="1" applyBorder="1" applyAlignment="1">
      <alignment horizontal="center" vertical="center" wrapText="1"/>
    </xf>
    <xf numFmtId="0" fontId="4" fillId="0" borderId="1" xfId="0" applyFont="1" applyBorder="1" applyAlignment="1">
      <alignment vertical="center"/>
    </xf>
    <xf numFmtId="0" fontId="35" fillId="0" borderId="0" xfId="0" applyFont="1" applyAlignment="1">
      <alignment vertical="center"/>
    </xf>
    <xf numFmtId="0" fontId="15" fillId="0" borderId="0" xfId="0" applyFont="1" applyAlignment="1">
      <alignment horizontal="center" vertical="center"/>
    </xf>
    <xf numFmtId="166"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17" fillId="0" borderId="0" xfId="0" applyFont="1" applyAlignment="1">
      <alignment vertical="center" wrapText="1"/>
    </xf>
    <xf numFmtId="166" fontId="17" fillId="0" borderId="0" xfId="0" applyNumberFormat="1" applyFont="1" applyAlignment="1">
      <alignment horizontal="center" vertical="center" wrapText="1"/>
    </xf>
    <xf numFmtId="0" fontId="37" fillId="0" borderId="0" xfId="0" applyFont="1" applyAlignment="1">
      <alignment vertical="center"/>
    </xf>
    <xf numFmtId="0" fontId="37" fillId="0" borderId="0" xfId="0" applyFont="1" applyAlignment="1">
      <alignment vertical="center" wrapText="1"/>
    </xf>
    <xf numFmtId="49" fontId="40" fillId="0" borderId="6" xfId="0" quotePrefix="1" applyNumberFormat="1" applyFont="1" applyBorder="1" applyAlignment="1">
      <alignment horizontal="center" vertical="center" wrapText="1"/>
    </xf>
    <xf numFmtId="49" fontId="40" fillId="0" borderId="7" xfId="0" quotePrefix="1" applyNumberFormat="1" applyFont="1" applyBorder="1" applyAlignment="1">
      <alignment horizontal="center" vertical="center" wrapText="1"/>
    </xf>
    <xf numFmtId="166" fontId="40" fillId="5" borderId="7" xfId="0" applyNumberFormat="1" applyFont="1" applyFill="1" applyBorder="1" applyAlignment="1">
      <alignment horizontal="center" vertical="center" wrapText="1"/>
    </xf>
    <xf numFmtId="49" fontId="40" fillId="0" borderId="7" xfId="0" applyNumberFormat="1" applyFont="1" applyBorder="1" applyAlignment="1">
      <alignment horizontal="center" vertical="center" wrapText="1"/>
    </xf>
    <xf numFmtId="49" fontId="40" fillId="10" borderId="4" xfId="0" applyNumberFormat="1" applyFont="1" applyFill="1" applyBorder="1" applyAlignment="1">
      <alignment horizontal="center" vertical="center" wrapText="1"/>
    </xf>
    <xf numFmtId="0" fontId="40" fillId="0" borderId="7" xfId="0" applyFont="1" applyBorder="1" applyAlignment="1">
      <alignment horizontal="center" vertical="center" wrapText="1"/>
    </xf>
    <xf numFmtId="49" fontId="41" fillId="0" borderId="0" xfId="0" applyNumberFormat="1" applyFont="1" applyAlignment="1">
      <alignment horizontal="center" vertical="center"/>
    </xf>
    <xf numFmtId="164" fontId="17" fillId="0" borderId="6" xfId="0" applyNumberFormat="1" applyFont="1" applyBorder="1" applyAlignment="1">
      <alignment vertical="center" wrapText="1"/>
    </xf>
    <xf numFmtId="164" fontId="17" fillId="0" borderId="7" xfId="0" applyNumberFormat="1" applyFont="1" applyBorder="1" applyAlignment="1">
      <alignment vertical="center" wrapText="1"/>
    </xf>
    <xf numFmtId="168" fontId="17" fillId="0" borderId="7" xfId="0" applyNumberFormat="1" applyFont="1" applyBorder="1" applyAlignment="1">
      <alignment horizontal="right" vertical="center" wrapText="1"/>
    </xf>
    <xf numFmtId="166" fontId="17" fillId="0" borderId="7" xfId="0" applyNumberFormat="1" applyFont="1" applyBorder="1" applyAlignment="1">
      <alignment horizontal="right" vertical="center" wrapText="1"/>
    </xf>
    <xf numFmtId="168" fontId="17" fillId="10" borderId="7" xfId="0" applyNumberFormat="1" applyFont="1" applyFill="1" applyBorder="1" applyAlignment="1">
      <alignment horizontal="right" vertical="center" wrapText="1"/>
    </xf>
    <xf numFmtId="3" fontId="17" fillId="0" borderId="7" xfId="0" applyNumberFormat="1" applyFont="1" applyBorder="1" applyAlignment="1">
      <alignment horizontal="right" vertical="center" wrapText="1"/>
    </xf>
    <xf numFmtId="164" fontId="30" fillId="0" borderId="6" xfId="0" applyNumberFormat="1" applyFont="1" applyBorder="1" applyAlignment="1">
      <alignment vertical="center" wrapText="1"/>
    </xf>
    <xf numFmtId="164" fontId="30" fillId="0" borderId="7" xfId="0" applyNumberFormat="1" applyFont="1" applyBorder="1" applyAlignment="1">
      <alignment vertical="center" wrapText="1"/>
    </xf>
    <xf numFmtId="3" fontId="17" fillId="10" borderId="7" xfId="0" applyNumberFormat="1" applyFont="1" applyFill="1" applyBorder="1" applyAlignment="1">
      <alignment horizontal="right" vertical="center" wrapText="1"/>
    </xf>
    <xf numFmtId="169" fontId="16" fillId="0" borderId="6" xfId="0" applyNumberFormat="1" applyFont="1" applyBorder="1" applyAlignment="1">
      <alignment vertical="center" wrapText="1"/>
    </xf>
    <xf numFmtId="0" fontId="16" fillId="11" borderId="7" xfId="0" applyFont="1" applyFill="1" applyBorder="1" applyAlignment="1">
      <alignment horizontal="left" vertical="center" wrapText="1"/>
    </xf>
    <xf numFmtId="3" fontId="16" fillId="0" borderId="7" xfId="0" applyNumberFormat="1" applyFont="1" applyBorder="1" applyAlignment="1">
      <alignment horizontal="right" vertical="center"/>
    </xf>
    <xf numFmtId="170" fontId="16" fillId="0" borderId="7" xfId="0" applyNumberFormat="1" applyFont="1" applyBorder="1" applyAlignment="1">
      <alignment horizontal="right" vertical="center" wrapText="1"/>
    </xf>
    <xf numFmtId="3" fontId="16" fillId="0" borderId="7" xfId="0" applyNumberFormat="1" applyFont="1" applyBorder="1" applyAlignment="1">
      <alignment horizontal="right" vertical="center" wrapText="1"/>
    </xf>
    <xf numFmtId="168" fontId="16" fillId="0" borderId="7" xfId="0" applyNumberFormat="1" applyFont="1" applyBorder="1" applyAlignment="1">
      <alignment horizontal="right" vertical="center" wrapText="1"/>
    </xf>
    <xf numFmtId="168" fontId="16" fillId="10" borderId="7" xfId="0" applyNumberFormat="1" applyFont="1" applyFill="1" applyBorder="1" applyAlignment="1">
      <alignment horizontal="right" vertical="center" wrapText="1"/>
    </xf>
    <xf numFmtId="168" fontId="16" fillId="11" borderId="7" xfId="0" applyNumberFormat="1" applyFont="1" applyFill="1" applyBorder="1" applyAlignment="1">
      <alignment horizontal="right" vertical="center" wrapText="1"/>
    </xf>
    <xf numFmtId="166" fontId="16" fillId="0" borderId="7" xfId="0" applyNumberFormat="1" applyFont="1" applyBorder="1" applyAlignment="1">
      <alignment horizontal="right" vertical="center" wrapText="1"/>
    </xf>
    <xf numFmtId="1" fontId="16" fillId="0" borderId="6" xfId="0" applyNumberFormat="1" applyFont="1" applyBorder="1" applyAlignment="1">
      <alignment vertical="center" wrapText="1"/>
    </xf>
    <xf numFmtId="169" fontId="17" fillId="0" borderId="6" xfId="0" applyNumberFormat="1" applyFont="1" applyBorder="1" applyAlignment="1">
      <alignment vertical="center" wrapText="1"/>
    </xf>
    <xf numFmtId="3" fontId="17" fillId="0" borderId="7" xfId="0" applyNumberFormat="1" applyFont="1" applyBorder="1" applyAlignment="1">
      <alignment horizontal="right" vertical="center"/>
    </xf>
    <xf numFmtId="3" fontId="16" fillId="5" borderId="7" xfId="0" applyNumberFormat="1" applyFont="1" applyFill="1" applyBorder="1" applyAlignment="1">
      <alignment horizontal="right" vertical="center"/>
    </xf>
    <xf numFmtId="166" fontId="16" fillId="5" borderId="7" xfId="0" applyNumberFormat="1" applyFont="1" applyFill="1" applyBorder="1" applyAlignment="1">
      <alignment horizontal="right" vertical="center" wrapText="1"/>
    </xf>
    <xf numFmtId="3" fontId="16" fillId="5" borderId="7" xfId="0" applyNumberFormat="1" applyFont="1" applyFill="1" applyBorder="1" applyAlignment="1">
      <alignment horizontal="right" vertical="center" wrapText="1"/>
    </xf>
    <xf numFmtId="168" fontId="16" fillId="5" borderId="7" xfId="0" applyNumberFormat="1" applyFont="1" applyFill="1" applyBorder="1" applyAlignment="1">
      <alignment horizontal="right" vertical="center" wrapText="1"/>
    </xf>
    <xf numFmtId="0" fontId="30" fillId="0" borderId="6" xfId="0" applyFont="1" applyBorder="1" applyAlignment="1">
      <alignment horizontal="center" vertical="center" wrapText="1"/>
    </xf>
    <xf numFmtId="1" fontId="25" fillId="11" borderId="30" xfId="0" applyNumberFormat="1" applyFont="1" applyFill="1" applyBorder="1" applyAlignment="1">
      <alignment horizontal="center" vertical="center" wrapText="1"/>
    </xf>
    <xf numFmtId="169" fontId="25" fillId="11" borderId="30" xfId="0" applyNumberFormat="1" applyFont="1" applyFill="1" applyBorder="1" applyAlignment="1">
      <alignment horizontal="center" vertical="center" wrapText="1"/>
    </xf>
    <xf numFmtId="3" fontId="25" fillId="11" borderId="7" xfId="0" applyNumberFormat="1" applyFont="1" applyFill="1" applyBorder="1" applyAlignment="1">
      <alignment horizontal="center" vertical="center" wrapText="1"/>
    </xf>
    <xf numFmtId="0" fontId="8" fillId="0" borderId="7" xfId="0" applyFont="1" applyBorder="1" applyAlignment="1">
      <alignment horizontal="left" vertical="center" wrapText="1"/>
    </xf>
    <xf numFmtId="1" fontId="17" fillId="0" borderId="6" xfId="0" applyNumberFormat="1" applyFont="1" applyBorder="1" applyAlignment="1">
      <alignment horizontal="center" vertical="center" wrapText="1"/>
    </xf>
    <xf numFmtId="169" fontId="17" fillId="0" borderId="7" xfId="0" applyNumberFormat="1" applyFont="1" applyBorder="1" applyAlignment="1">
      <alignment vertical="center" wrapText="1"/>
    </xf>
    <xf numFmtId="168" fontId="33" fillId="0" borderId="7" xfId="0" applyNumberFormat="1" applyFont="1" applyBorder="1" applyAlignment="1">
      <alignment vertical="center" wrapText="1"/>
    </xf>
    <xf numFmtId="0" fontId="16" fillId="0" borderId="0" xfId="0" applyFont="1" applyAlignment="1">
      <alignment horizontal="right" vertical="center"/>
    </xf>
    <xf numFmtId="166" fontId="16" fillId="0" borderId="0" xfId="0" applyNumberFormat="1" applyFont="1" applyAlignment="1">
      <alignment horizontal="right" vertical="center" wrapText="1"/>
    </xf>
    <xf numFmtId="0" fontId="16" fillId="0" borderId="0" xfId="0" applyFont="1" applyAlignment="1">
      <alignment horizontal="right" vertical="center" wrapText="1"/>
    </xf>
    <xf numFmtId="1" fontId="16" fillId="0" borderId="10" xfId="0" applyNumberFormat="1" applyFont="1" applyBorder="1" applyAlignment="1">
      <alignment vertical="center" wrapText="1"/>
    </xf>
    <xf numFmtId="3" fontId="16" fillId="0" borderId="11" xfId="0" applyNumberFormat="1" applyFont="1" applyBorder="1" applyAlignment="1">
      <alignment horizontal="right" vertical="center" wrapText="1"/>
    </xf>
    <xf numFmtId="166" fontId="16" fillId="0" borderId="11" xfId="0" applyNumberFormat="1" applyFont="1" applyBorder="1" applyAlignment="1">
      <alignment horizontal="right" vertical="center" wrapText="1"/>
    </xf>
    <xf numFmtId="168" fontId="16" fillId="0" borderId="11" xfId="0" applyNumberFormat="1" applyFont="1" applyBorder="1" applyAlignment="1">
      <alignment horizontal="right" vertical="center" wrapText="1"/>
    </xf>
    <xf numFmtId="168" fontId="16" fillId="10" borderId="11" xfId="0" applyNumberFormat="1" applyFont="1" applyFill="1" applyBorder="1" applyAlignment="1">
      <alignment horizontal="right" vertic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wrapText="1"/>
    </xf>
    <xf numFmtId="0" fontId="4" fillId="0" borderId="0" xfId="0" applyFont="1" applyAlignment="1">
      <alignment horizontal="right" wrapText="1"/>
    </xf>
    <xf numFmtId="0" fontId="22" fillId="0" borderId="0" xfId="0" applyFont="1" applyAlignment="1">
      <alignment horizontal="center"/>
    </xf>
    <xf numFmtId="0" fontId="10" fillId="0" borderId="0" xfId="0" applyFont="1" applyAlignment="1">
      <alignment horizontal="center"/>
    </xf>
    <xf numFmtId="166" fontId="8" fillId="0" borderId="0" xfId="0" applyNumberFormat="1" applyFont="1" applyAlignment="1">
      <alignment horizontal="center" vertical="center"/>
    </xf>
    <xf numFmtId="0" fontId="15" fillId="0" borderId="0" xfId="0" applyFont="1" applyAlignment="1">
      <alignment vertical="center"/>
    </xf>
    <xf numFmtId="166" fontId="17" fillId="0" borderId="0" xfId="0" applyNumberFormat="1" applyFont="1" applyAlignment="1">
      <alignment horizontal="center" vertical="center"/>
    </xf>
    <xf numFmtId="166" fontId="22" fillId="0" borderId="0" xfId="0" applyNumberFormat="1" applyFont="1" applyAlignment="1">
      <alignment vertical="center"/>
    </xf>
    <xf numFmtId="166" fontId="40" fillId="0" borderId="7" xfId="0" applyNumberFormat="1" applyFont="1" applyBorder="1" applyAlignment="1">
      <alignment horizontal="center" vertical="center" wrapText="1"/>
    </xf>
    <xf numFmtId="49" fontId="40" fillId="0" borderId="4" xfId="0" applyNumberFormat="1" applyFont="1" applyBorder="1" applyAlignment="1">
      <alignment horizontal="center" vertical="center" wrapText="1"/>
    </xf>
    <xf numFmtId="49" fontId="17" fillId="0" borderId="20" xfId="0" applyNumberFormat="1" applyFont="1" applyBorder="1" applyAlignment="1">
      <alignment horizontal="center" vertical="center" wrapText="1"/>
    </xf>
    <xf numFmtId="49" fontId="16" fillId="0" borderId="0" xfId="0" applyNumberFormat="1" applyFont="1" applyAlignment="1">
      <alignment horizontal="center"/>
    </xf>
    <xf numFmtId="164" fontId="17" fillId="0" borderId="34" xfId="0" applyNumberFormat="1" applyFont="1" applyBorder="1" applyAlignment="1">
      <alignment horizontal="center" vertical="center" wrapText="1"/>
    </xf>
    <xf numFmtId="164" fontId="17" fillId="0" borderId="35" xfId="0" applyNumberFormat="1" applyFont="1" applyBorder="1" applyAlignment="1">
      <alignment vertical="center" wrapText="1"/>
    </xf>
    <xf numFmtId="164" fontId="17" fillId="0" borderId="36" xfId="0" applyNumberFormat="1" applyFont="1" applyBorder="1" applyAlignment="1">
      <alignment horizontal="center" vertical="center" wrapText="1"/>
    </xf>
    <xf numFmtId="164" fontId="17" fillId="0" borderId="1" xfId="0" applyNumberFormat="1" applyFont="1" applyBorder="1" applyAlignment="1">
      <alignment vertical="center" wrapText="1"/>
    </xf>
    <xf numFmtId="168" fontId="17" fillId="0" borderId="1" xfId="0" applyNumberFormat="1" applyFont="1" applyBorder="1" applyAlignment="1">
      <alignment horizontal="center" vertical="center" wrapText="1"/>
    </xf>
    <xf numFmtId="3" fontId="17" fillId="0" borderId="1" xfId="0" applyNumberFormat="1" applyFont="1" applyBorder="1" applyAlignment="1">
      <alignment horizontal="center" vertical="center" wrapText="1"/>
    </xf>
    <xf numFmtId="0" fontId="17" fillId="0" borderId="37" xfId="0" applyFont="1" applyBorder="1" applyAlignment="1">
      <alignment horizontal="center" vertical="top" wrapText="1"/>
    </xf>
    <xf numFmtId="0" fontId="17" fillId="0" borderId="1" xfId="0" applyFont="1" applyBorder="1" applyAlignment="1">
      <alignment horizontal="left" vertical="top"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7" fillId="0" borderId="0" xfId="0" applyFont="1" applyAlignment="1">
      <alignment vertical="top"/>
    </xf>
    <xf numFmtId="169" fontId="16" fillId="0" borderId="37" xfId="0" applyNumberFormat="1" applyFont="1" applyBorder="1" applyAlignment="1">
      <alignment horizontal="center" vertical="top" wrapText="1"/>
    </xf>
    <xf numFmtId="168" fontId="17" fillId="0" borderId="1" xfId="0" applyNumberFormat="1" applyFont="1" applyBorder="1" applyAlignment="1">
      <alignment horizontal="center" vertical="center"/>
    </xf>
    <xf numFmtId="169" fontId="16" fillId="0" borderId="38" xfId="0" applyNumberFormat="1" applyFont="1" applyBorder="1" applyAlignment="1">
      <alignment horizontal="center" vertical="top" wrapText="1"/>
    </xf>
    <xf numFmtId="0" fontId="16" fillId="0" borderId="1" xfId="0" applyFont="1" applyBorder="1" applyAlignment="1">
      <alignment vertical="top" wrapText="1"/>
    </xf>
    <xf numFmtId="168" fontId="16" fillId="0" borderId="1" xfId="0" applyNumberFormat="1" applyFont="1" applyBorder="1" applyAlignment="1">
      <alignment horizontal="center" vertical="center"/>
    </xf>
    <xf numFmtId="3"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169" fontId="16" fillId="0" borderId="39" xfId="0" applyNumberFormat="1" applyFont="1" applyBorder="1" applyAlignment="1">
      <alignment horizontal="center" vertical="top" wrapText="1"/>
    </xf>
    <xf numFmtId="168" fontId="16" fillId="0" borderId="1" xfId="0" applyNumberFormat="1" applyFont="1" applyBorder="1" applyAlignment="1">
      <alignment horizontal="center" vertical="center" wrapText="1"/>
    </xf>
    <xf numFmtId="169" fontId="16" fillId="0" borderId="36" xfId="0" applyNumberFormat="1" applyFont="1" applyBorder="1" applyAlignment="1">
      <alignment horizontal="center" vertical="top" wrapText="1"/>
    </xf>
    <xf numFmtId="3"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168" fontId="17" fillId="0" borderId="1" xfId="0" applyNumberFormat="1" applyFont="1" applyBorder="1" applyAlignment="1">
      <alignment horizontal="center" vertical="top"/>
    </xf>
    <xf numFmtId="168" fontId="16" fillId="0" borderId="1" xfId="0" applyNumberFormat="1" applyFont="1" applyBorder="1" applyAlignment="1">
      <alignment horizontal="center" vertical="top"/>
    </xf>
    <xf numFmtId="168" fontId="26" fillId="0" borderId="1" xfId="0" applyNumberFormat="1" applyFont="1" applyBorder="1" applyAlignment="1">
      <alignment horizontal="center"/>
    </xf>
    <xf numFmtId="1" fontId="17" fillId="0" borderId="39" xfId="0" applyNumberFormat="1" applyFont="1" applyBorder="1" applyAlignment="1">
      <alignment horizontal="center" vertical="top" wrapText="1"/>
    </xf>
    <xf numFmtId="169" fontId="17" fillId="0" borderId="1" xfId="0" applyNumberFormat="1" applyFont="1" applyBorder="1" applyAlignment="1">
      <alignment vertical="top" wrapText="1"/>
    </xf>
    <xf numFmtId="3" fontId="17" fillId="0" borderId="1" xfId="0" applyNumberFormat="1" applyFont="1" applyBorder="1" applyAlignment="1">
      <alignment horizontal="center" vertical="center"/>
    </xf>
    <xf numFmtId="168" fontId="17" fillId="0" borderId="40" xfId="0" applyNumberFormat="1" applyFont="1" applyBorder="1" applyAlignment="1">
      <alignment horizontal="center" vertical="center" wrapText="1"/>
    </xf>
    <xf numFmtId="168" fontId="8" fillId="0" borderId="1" xfId="0" applyNumberFormat="1" applyFont="1" applyBorder="1" applyAlignment="1">
      <alignment horizontal="center" vertical="top"/>
    </xf>
    <xf numFmtId="1" fontId="16" fillId="0" borderId="39" xfId="0" applyNumberFormat="1" applyFont="1" applyBorder="1" applyAlignment="1">
      <alignment horizontal="center" vertical="top" wrapText="1"/>
    </xf>
    <xf numFmtId="0" fontId="16" fillId="0" borderId="1" xfId="0" applyFont="1" applyBorder="1" applyAlignment="1">
      <alignment horizontal="left" vertical="top" wrapText="1"/>
    </xf>
    <xf numFmtId="168" fontId="16" fillId="0" borderId="40" xfId="0" applyNumberFormat="1" applyFont="1" applyBorder="1" applyAlignment="1">
      <alignment horizontal="center" vertical="center" wrapText="1"/>
    </xf>
    <xf numFmtId="1" fontId="16" fillId="0" borderId="36" xfId="0" applyNumberFormat="1" applyFont="1" applyBorder="1" applyAlignment="1">
      <alignment horizontal="center" vertical="top" wrapText="1"/>
    </xf>
    <xf numFmtId="1" fontId="17" fillId="0" borderId="36" xfId="0" applyNumberFormat="1" applyFont="1" applyBorder="1" applyAlignment="1">
      <alignment horizontal="center" vertical="top" wrapText="1"/>
    </xf>
    <xf numFmtId="169" fontId="16" fillId="0" borderId="1" xfId="0" applyNumberFormat="1" applyFont="1" applyBorder="1" applyAlignment="1">
      <alignment vertical="top" wrapText="1"/>
    </xf>
    <xf numFmtId="1" fontId="17" fillId="0" borderId="1" xfId="0" applyNumberFormat="1" applyFont="1" applyBorder="1" applyAlignment="1">
      <alignment horizontal="center" vertical="center"/>
    </xf>
    <xf numFmtId="168" fontId="8" fillId="0" borderId="0" xfId="0" applyNumberFormat="1" applyFont="1"/>
    <xf numFmtId="1" fontId="16" fillId="0" borderId="37" xfId="0" applyNumberFormat="1" applyFont="1" applyBorder="1" applyAlignment="1">
      <alignment horizontal="center" vertical="top" wrapText="1"/>
    </xf>
    <xf numFmtId="1" fontId="16" fillId="0" borderId="38" xfId="0" applyNumberFormat="1" applyFont="1" applyBorder="1" applyAlignment="1">
      <alignment horizontal="center" vertical="top" wrapText="1"/>
    </xf>
    <xf numFmtId="164" fontId="17" fillId="0" borderId="41" xfId="0" applyNumberFormat="1" applyFont="1" applyBorder="1" applyAlignment="1">
      <alignment horizontal="center" vertical="center" wrapText="1"/>
    </xf>
    <xf numFmtId="164" fontId="17" fillId="0" borderId="39" xfId="0" applyNumberFormat="1" applyFont="1" applyBorder="1" applyAlignment="1">
      <alignment horizontal="center" vertical="center" wrapText="1"/>
    </xf>
    <xf numFmtId="3" fontId="16" fillId="0" borderId="0" xfId="0" applyNumberFormat="1" applyFont="1" applyAlignment="1">
      <alignment vertical="top"/>
    </xf>
    <xf numFmtId="1" fontId="17" fillId="0" borderId="1" xfId="0" applyNumberFormat="1" applyFont="1" applyBorder="1" applyAlignment="1">
      <alignment horizontal="center" vertical="center" wrapText="1"/>
    </xf>
    <xf numFmtId="1" fontId="16" fillId="0" borderId="0" xfId="0" applyNumberFormat="1" applyFont="1" applyAlignment="1">
      <alignment horizontal="center" vertical="top" wrapText="1"/>
    </xf>
    <xf numFmtId="0" fontId="17" fillId="0" borderId="0" xfId="0" applyFont="1" applyAlignment="1">
      <alignment horizontal="center" vertical="top" wrapText="1"/>
    </xf>
    <xf numFmtId="168" fontId="17" fillId="0" borderId="0" xfId="0" applyNumberFormat="1" applyFont="1" applyAlignment="1">
      <alignment horizontal="center" vertical="center" wrapText="1"/>
    </xf>
    <xf numFmtId="3" fontId="17" fillId="0" borderId="0" xfId="0" applyNumberFormat="1" applyFont="1" applyAlignment="1">
      <alignment horizontal="center" vertical="center" wrapText="1"/>
    </xf>
    <xf numFmtId="0" fontId="16" fillId="0" borderId="0" xfId="0" applyFont="1" applyAlignment="1">
      <alignment horizontal="center" wrapText="1"/>
    </xf>
    <xf numFmtId="0" fontId="17" fillId="0" borderId="0" xfId="0" applyFont="1" applyAlignment="1">
      <alignment horizontal="left" wrapText="1"/>
    </xf>
    <xf numFmtId="0" fontId="4" fillId="0" borderId="0" xfId="0" applyFont="1" applyAlignment="1">
      <alignment horizontal="center"/>
    </xf>
    <xf numFmtId="0" fontId="10" fillId="0" borderId="0" xfId="0" applyFont="1"/>
    <xf numFmtId="1" fontId="10" fillId="0" borderId="0" xfId="0" applyNumberFormat="1" applyFont="1" applyAlignment="1">
      <alignment horizontal="center" vertical="center" wrapText="1"/>
    </xf>
    <xf numFmtId="0" fontId="10" fillId="0" borderId="0" xfId="0" applyFont="1" applyAlignment="1">
      <alignment wrapText="1"/>
    </xf>
    <xf numFmtId="171" fontId="10" fillId="0" borderId="0" xfId="0" applyNumberFormat="1" applyFont="1" applyAlignment="1">
      <alignment horizontal="right" vertical="center" wrapText="1"/>
    </xf>
    <xf numFmtId="1" fontId="10" fillId="0" borderId="0" xfId="0" applyNumberFormat="1" applyFont="1"/>
    <xf numFmtId="0" fontId="16" fillId="0" borderId="0" xfId="0" applyFont="1" applyAlignment="1">
      <alignment horizontal="left" wrapText="1"/>
    </xf>
    <xf numFmtId="0" fontId="16" fillId="0" borderId="0" xfId="0" quotePrefix="1" applyFont="1" applyAlignment="1">
      <alignment horizontal="left"/>
    </xf>
    <xf numFmtId="172" fontId="16" fillId="0" borderId="0" xfId="0" applyNumberFormat="1" applyFont="1" applyAlignment="1">
      <alignment horizontal="center" wrapText="1"/>
    </xf>
    <xf numFmtId="172" fontId="16" fillId="0" borderId="0" xfId="0" applyNumberFormat="1" applyFont="1" applyAlignment="1">
      <alignment wrapText="1"/>
    </xf>
    <xf numFmtId="0" fontId="16" fillId="0" borderId="0" xfId="0" applyFont="1" applyAlignment="1">
      <alignment horizontal="left"/>
    </xf>
    <xf numFmtId="0" fontId="8" fillId="0" borderId="0" xfId="0" applyFont="1" applyAlignment="1">
      <alignment horizontal="center" wrapText="1"/>
    </xf>
    <xf numFmtId="164" fontId="17" fillId="7" borderId="1" xfId="0" applyNumberFormat="1" applyFont="1" applyFill="1" applyBorder="1" applyAlignment="1">
      <alignment horizontal="center" vertical="center" wrapText="1"/>
    </xf>
    <xf numFmtId="164" fontId="17" fillId="7" borderId="1" xfId="0" applyNumberFormat="1" applyFont="1" applyFill="1" applyBorder="1" applyAlignment="1">
      <alignment vertical="center" wrapText="1"/>
    </xf>
    <xf numFmtId="49" fontId="17" fillId="7" borderId="1" xfId="0" quotePrefix="1" applyNumberFormat="1" applyFont="1" applyFill="1" applyBorder="1" applyAlignment="1">
      <alignment horizontal="center" vertical="center" wrapText="1"/>
    </xf>
    <xf numFmtId="49" fontId="17" fillId="7" borderId="1" xfId="0" applyNumberFormat="1" applyFont="1" applyFill="1" applyBorder="1" applyAlignment="1">
      <alignment horizontal="center" vertical="center" wrapText="1"/>
    </xf>
    <xf numFmtId="49" fontId="40" fillId="7" borderId="1" xfId="0" quotePrefix="1" applyNumberFormat="1" applyFont="1" applyFill="1" applyBorder="1" applyAlignment="1">
      <alignment horizontal="center" vertical="center" wrapText="1"/>
    </xf>
    <xf numFmtId="0" fontId="17" fillId="7" borderId="1" xfId="0" applyFont="1" applyFill="1" applyBorder="1" applyAlignment="1">
      <alignment horizontal="center" vertical="center" wrapText="1"/>
    </xf>
    <xf numFmtId="49" fontId="40" fillId="7" borderId="1" xfId="0" applyNumberFormat="1" applyFont="1" applyFill="1" applyBorder="1" applyAlignment="1">
      <alignment horizontal="center" vertical="center" wrapText="1"/>
    </xf>
    <xf numFmtId="164" fontId="17" fillId="7" borderId="1" xfId="0" applyNumberFormat="1" applyFont="1" applyFill="1" applyBorder="1" applyAlignment="1">
      <alignment horizontal="left" vertical="center" wrapText="1"/>
    </xf>
    <xf numFmtId="164" fontId="16" fillId="7" borderId="1" xfId="0" applyNumberFormat="1" applyFont="1" applyFill="1" applyBorder="1" applyAlignment="1">
      <alignment horizontal="left" vertical="center" wrapText="1"/>
    </xf>
    <xf numFmtId="164" fontId="16" fillId="7" borderId="1" xfId="0" applyNumberFormat="1" applyFont="1" applyFill="1" applyBorder="1" applyAlignment="1">
      <alignment horizontal="center" vertical="center" wrapText="1"/>
    </xf>
    <xf numFmtId="0" fontId="30" fillId="7" borderId="1" xfId="0" applyFont="1" applyFill="1" applyBorder="1" applyAlignment="1">
      <alignment horizontal="center" vertical="center" wrapText="1"/>
    </xf>
    <xf numFmtId="0" fontId="17" fillId="7" borderId="1" xfId="0" applyFont="1" applyFill="1" applyBorder="1" applyAlignment="1">
      <alignment vertical="center"/>
    </xf>
    <xf numFmtId="0" fontId="16" fillId="7" borderId="1" xfId="0" applyFont="1" applyFill="1" applyBorder="1" applyAlignment="1">
      <alignment horizontal="center" vertical="center" wrapText="1"/>
    </xf>
    <xf numFmtId="0" fontId="26" fillId="7" borderId="1" xfId="0" applyFont="1" applyFill="1" applyBorder="1" applyAlignment="1">
      <alignment horizontal="center"/>
    </xf>
    <xf numFmtId="0" fontId="46" fillId="7" borderId="1" xfId="0" applyFont="1" applyFill="1" applyBorder="1" applyAlignment="1">
      <alignment vertical="top"/>
    </xf>
    <xf numFmtId="0" fontId="16" fillId="7" borderId="1" xfId="0" applyFont="1" applyFill="1" applyBorder="1" applyAlignment="1">
      <alignment vertical="center"/>
    </xf>
    <xf numFmtId="0" fontId="16" fillId="7" borderId="1" xfId="0" applyFont="1" applyFill="1" applyBorder="1" applyAlignment="1">
      <alignment horizontal="left" vertical="center" wrapText="1"/>
    </xf>
    <xf numFmtId="49" fontId="16" fillId="7" borderId="1" xfId="0" applyNumberFormat="1" applyFont="1" applyFill="1" applyBorder="1" applyAlignment="1">
      <alignment horizontal="center" vertical="center" wrapText="1"/>
    </xf>
    <xf numFmtId="170" fontId="26" fillId="7" borderId="1" xfId="0" applyNumberFormat="1" applyFont="1" applyFill="1" applyBorder="1" applyAlignment="1">
      <alignment horizontal="center"/>
    </xf>
    <xf numFmtId="0" fontId="26" fillId="7" borderId="42" xfId="0" applyFont="1" applyFill="1" applyBorder="1" applyAlignment="1">
      <alignment horizontal="center"/>
    </xf>
    <xf numFmtId="0" fontId="16" fillId="7" borderId="43" xfId="0" applyFont="1" applyFill="1" applyBorder="1" applyAlignment="1">
      <alignment horizontal="left" vertical="center" wrapText="1"/>
    </xf>
    <xf numFmtId="0" fontId="27" fillId="7" borderId="1" xfId="0" applyFont="1" applyFill="1" applyBorder="1" applyAlignment="1">
      <alignment horizontal="center"/>
    </xf>
    <xf numFmtId="0" fontId="15" fillId="7" borderId="44" xfId="0" applyFont="1" applyFill="1" applyBorder="1" applyAlignment="1">
      <alignment horizontal="center"/>
    </xf>
    <xf numFmtId="0" fontId="15" fillId="7" borderId="1" xfId="0" applyFont="1" applyFill="1" applyBorder="1"/>
    <xf numFmtId="0" fontId="17" fillId="7" borderId="1" xfId="0" applyFont="1" applyFill="1" applyBorder="1" applyAlignment="1">
      <alignment horizontal="center" vertical="center"/>
    </xf>
    <xf numFmtId="0" fontId="23" fillId="7" borderId="1" xfId="0" applyFont="1" applyFill="1" applyBorder="1" applyAlignment="1">
      <alignment horizontal="center" vertical="center" wrapText="1"/>
    </xf>
    <xf numFmtId="0" fontId="17" fillId="7" borderId="43" xfId="0" applyFont="1" applyFill="1" applyBorder="1" applyAlignment="1">
      <alignment horizontal="center" vertical="center" wrapText="1"/>
    </xf>
    <xf numFmtId="0" fontId="17" fillId="7" borderId="44" xfId="0" applyFont="1" applyFill="1" applyBorder="1" applyAlignment="1">
      <alignment horizontal="center" vertical="center" wrapText="1"/>
    </xf>
    <xf numFmtId="0" fontId="17" fillId="7" borderId="42" xfId="0" applyFont="1" applyFill="1" applyBorder="1" applyAlignment="1">
      <alignment horizontal="center" vertical="center" wrapText="1"/>
    </xf>
    <xf numFmtId="164" fontId="16" fillId="7" borderId="43" xfId="0" applyNumberFormat="1" applyFont="1" applyFill="1" applyBorder="1" applyAlignment="1">
      <alignment horizontal="left" vertical="center" wrapText="1"/>
    </xf>
    <xf numFmtId="164" fontId="27" fillId="7" borderId="1" xfId="0" applyNumberFormat="1" applyFont="1" applyFill="1" applyBorder="1" applyAlignment="1">
      <alignment horizontal="center"/>
    </xf>
    <xf numFmtId="164" fontId="17" fillId="7" borderId="44" xfId="0" applyNumberFormat="1" applyFont="1" applyFill="1" applyBorder="1" applyAlignment="1">
      <alignment horizontal="center" vertical="center" wrapText="1"/>
    </xf>
    <xf numFmtId="164" fontId="17" fillId="7" borderId="45" xfId="0" applyNumberFormat="1" applyFont="1" applyFill="1" applyBorder="1" applyAlignment="1">
      <alignment horizontal="left" vertical="center" wrapText="1"/>
    </xf>
    <xf numFmtId="0" fontId="8" fillId="7" borderId="45" xfId="0" applyFont="1" applyFill="1" applyBorder="1"/>
    <xf numFmtId="164" fontId="26" fillId="7" borderId="1" xfId="0" applyNumberFormat="1" applyFont="1" applyFill="1" applyBorder="1" applyAlignment="1">
      <alignment horizontal="center"/>
    </xf>
    <xf numFmtId="164" fontId="16" fillId="7" borderId="44" xfId="0" applyNumberFormat="1" applyFont="1" applyFill="1" applyBorder="1" applyAlignment="1">
      <alignment horizontal="center" vertical="center" wrapText="1"/>
    </xf>
    <xf numFmtId="0" fontId="16" fillId="7" borderId="43" xfId="0" applyFont="1" applyFill="1" applyBorder="1" applyAlignment="1">
      <alignment horizontal="center" vertical="center" wrapText="1"/>
    </xf>
    <xf numFmtId="0" fontId="16" fillId="7" borderId="1" xfId="0" applyFont="1" applyFill="1" applyBorder="1" applyAlignment="1">
      <alignment wrapText="1"/>
    </xf>
    <xf numFmtId="49" fontId="17" fillId="7" borderId="43" xfId="0" applyNumberFormat="1" applyFont="1" applyFill="1" applyBorder="1" applyAlignment="1">
      <alignment horizontal="center" vertical="center" wrapText="1"/>
    </xf>
    <xf numFmtId="49" fontId="27" fillId="7" borderId="1" xfId="0" applyNumberFormat="1" applyFont="1" applyFill="1" applyBorder="1" applyAlignment="1">
      <alignment horizontal="center"/>
    </xf>
    <xf numFmtId="49" fontId="17" fillId="7" borderId="44" xfId="0" applyNumberFormat="1" applyFont="1" applyFill="1" applyBorder="1" applyAlignment="1">
      <alignment horizontal="center" vertical="center" wrapText="1"/>
    </xf>
    <xf numFmtId="0" fontId="17" fillId="7" borderId="43" xfId="0" applyFont="1" applyFill="1" applyBorder="1" applyAlignment="1">
      <alignment horizontal="left" vertical="center" wrapText="1"/>
    </xf>
    <xf numFmtId="0" fontId="17" fillId="7" borderId="1" xfId="0" applyFont="1" applyFill="1" applyBorder="1" applyAlignment="1">
      <alignment horizontal="left" vertical="center" wrapText="1"/>
    </xf>
    <xf numFmtId="164" fontId="16" fillId="7" borderId="42" xfId="0" applyNumberFormat="1" applyFont="1" applyFill="1" applyBorder="1" applyAlignment="1">
      <alignment horizontal="left" vertical="center" wrapText="1"/>
    </xf>
    <xf numFmtId="0" fontId="8" fillId="7" borderId="1" xfId="0" applyFont="1" applyFill="1" applyBorder="1"/>
    <xf numFmtId="49" fontId="17" fillId="7" borderId="42" xfId="0" applyNumberFormat="1" applyFont="1" applyFill="1" applyBorder="1" applyAlignment="1">
      <alignment horizontal="center" vertical="center" wrapText="1"/>
    </xf>
    <xf numFmtId="0" fontId="26" fillId="7" borderId="44" xfId="0" applyFont="1" applyFill="1" applyBorder="1" applyAlignment="1">
      <alignment horizontal="left"/>
    </xf>
    <xf numFmtId="0" fontId="26" fillId="7" borderId="44" xfId="0" applyFont="1" applyFill="1" applyBorder="1" applyAlignment="1">
      <alignment horizontal="center"/>
    </xf>
    <xf numFmtId="164" fontId="27" fillId="7" borderId="45" xfId="0" applyNumberFormat="1" applyFont="1" applyFill="1" applyBorder="1" applyAlignment="1">
      <alignment horizontal="center"/>
    </xf>
    <xf numFmtId="164" fontId="26" fillId="7" borderId="45" xfId="0" applyNumberFormat="1" applyFont="1" applyFill="1" applyBorder="1" applyAlignment="1">
      <alignment horizontal="center"/>
    </xf>
    <xf numFmtId="49" fontId="47" fillId="7" borderId="1" xfId="0" applyNumberFormat="1" applyFont="1" applyFill="1" applyBorder="1" applyAlignment="1">
      <alignment horizontal="center" vertical="center" wrapText="1"/>
    </xf>
    <xf numFmtId="49" fontId="47" fillId="7" borderId="1" xfId="0" quotePrefix="1" applyNumberFormat="1" applyFont="1" applyFill="1" applyBorder="1" applyAlignment="1">
      <alignment horizontal="center" vertical="center" wrapText="1"/>
    </xf>
    <xf numFmtId="164" fontId="25" fillId="7" borderId="1" xfId="0" applyNumberFormat="1" applyFont="1" applyFill="1" applyBorder="1" applyAlignment="1">
      <alignment horizontal="center" vertical="center"/>
    </xf>
    <xf numFmtId="164" fontId="17" fillId="7" borderId="1" xfId="0" applyNumberFormat="1" applyFont="1" applyFill="1" applyBorder="1" applyAlignment="1">
      <alignment horizontal="center" vertical="center"/>
    </xf>
    <xf numFmtId="49" fontId="30" fillId="7" borderId="1" xfId="0" quotePrefix="1" applyNumberFormat="1" applyFont="1" applyFill="1" applyBorder="1" applyAlignment="1">
      <alignment horizontal="center" vertical="center" wrapText="1"/>
    </xf>
    <xf numFmtId="164" fontId="25" fillId="7" borderId="1" xfId="0" applyNumberFormat="1" applyFont="1" applyFill="1" applyBorder="1" applyAlignment="1">
      <alignment horizontal="center" vertical="center" wrapText="1"/>
    </xf>
    <xf numFmtId="164" fontId="46" fillId="7" borderId="1" xfId="0" applyNumberFormat="1" applyFont="1" applyFill="1" applyBorder="1" applyAlignment="1">
      <alignment horizontal="left" vertical="center" wrapText="1"/>
    </xf>
    <xf numFmtId="164" fontId="46" fillId="7" borderId="43" xfId="0" applyNumberFormat="1" applyFont="1" applyFill="1" applyBorder="1" applyAlignment="1">
      <alignment horizontal="left" vertical="center" wrapText="1"/>
    </xf>
    <xf numFmtId="164" fontId="46" fillId="7" borderId="44" xfId="0" applyNumberFormat="1" applyFont="1" applyFill="1" applyBorder="1" applyAlignment="1">
      <alignment horizontal="center" vertical="center" wrapText="1"/>
    </xf>
    <xf numFmtId="164" fontId="46" fillId="7" borderId="42" xfId="0" applyNumberFormat="1" applyFont="1" applyFill="1" applyBorder="1" applyAlignment="1">
      <alignment horizontal="left" vertical="center" wrapText="1"/>
    </xf>
    <xf numFmtId="0" fontId="46" fillId="7" borderId="1" xfId="0" applyFont="1" applyFill="1" applyBorder="1" applyAlignment="1">
      <alignment horizontal="center" vertical="center" wrapText="1"/>
    </xf>
    <xf numFmtId="0" fontId="25" fillId="7" borderId="43" xfId="0" applyFont="1" applyFill="1" applyBorder="1" applyAlignment="1">
      <alignment horizontal="center" vertical="center" wrapText="1"/>
    </xf>
    <xf numFmtId="0" fontId="25" fillId="7" borderId="44"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7" borderId="1" xfId="0" applyFont="1" applyFill="1" applyBorder="1" applyAlignment="1">
      <alignment vertical="center"/>
    </xf>
    <xf numFmtId="0" fontId="17" fillId="5" borderId="1" xfId="0" applyFont="1" applyFill="1" applyBorder="1" applyAlignment="1">
      <alignment horizontal="center" vertical="center"/>
    </xf>
    <xf numFmtId="0" fontId="16" fillId="7" borderId="1" xfId="0" applyFont="1" applyFill="1" applyBorder="1" applyAlignment="1">
      <alignment vertical="center" wrapText="1"/>
    </xf>
    <xf numFmtId="169" fontId="25" fillId="7" borderId="1" xfId="0" applyNumberFormat="1" applyFont="1" applyFill="1" applyBorder="1" applyAlignment="1">
      <alignment vertical="center"/>
    </xf>
    <xf numFmtId="169" fontId="17" fillId="7" borderId="1" xfId="0" applyNumberFormat="1" applyFont="1" applyFill="1" applyBorder="1" applyAlignment="1">
      <alignment horizontal="center" vertical="center"/>
    </xf>
    <xf numFmtId="164" fontId="37" fillId="7" borderId="1" xfId="0" applyNumberFormat="1" applyFont="1" applyFill="1" applyBorder="1" applyAlignment="1">
      <alignment horizontal="left" vertical="center" wrapText="1"/>
    </xf>
    <xf numFmtId="164" fontId="37" fillId="7" borderId="43" xfId="0" applyNumberFormat="1" applyFont="1" applyFill="1" applyBorder="1" applyAlignment="1">
      <alignment horizontal="left" vertical="center" wrapText="1"/>
    </xf>
    <xf numFmtId="0" fontId="8" fillId="7" borderId="1" xfId="0" applyFont="1" applyFill="1" applyBorder="1" applyAlignment="1">
      <alignment horizontal="center"/>
    </xf>
    <xf numFmtId="0" fontId="32" fillId="7" borderId="1" xfId="0" applyFont="1" applyFill="1" applyBorder="1" applyAlignment="1">
      <alignment horizontal="center" vertical="center" wrapText="1"/>
    </xf>
    <xf numFmtId="0" fontId="47" fillId="7" borderId="1" xfId="0" applyFont="1" applyFill="1" applyBorder="1" applyAlignment="1">
      <alignment horizontal="left" vertical="center" wrapText="1"/>
    </xf>
    <xf numFmtId="0" fontId="47" fillId="7" borderId="43" xfId="0" applyFont="1" applyFill="1" applyBorder="1" applyAlignment="1">
      <alignment horizontal="left" vertical="center" wrapText="1"/>
    </xf>
    <xf numFmtId="0" fontId="36" fillId="7" borderId="1" xfId="0" applyFont="1" applyFill="1" applyBorder="1" applyAlignment="1">
      <alignment horizontal="center"/>
    </xf>
    <xf numFmtId="0" fontId="47" fillId="7" borderId="44" xfId="0" applyFont="1" applyFill="1" applyBorder="1" applyAlignment="1">
      <alignment horizontal="center" vertical="center" wrapText="1"/>
    </xf>
    <xf numFmtId="0" fontId="47" fillId="7" borderId="1" xfId="0" applyFont="1" applyFill="1" applyBorder="1" applyAlignment="1">
      <alignment horizontal="center" vertical="center" wrapText="1"/>
    </xf>
    <xf numFmtId="0" fontId="16" fillId="7" borderId="1" xfId="0" applyFont="1" applyFill="1" applyBorder="1" applyAlignment="1">
      <alignment horizontal="left" vertical="top" wrapText="1"/>
    </xf>
    <xf numFmtId="0" fontId="26" fillId="7" borderId="1" xfId="0" applyFont="1" applyFill="1" applyBorder="1" applyAlignment="1">
      <alignment horizontal="center" vertical="top"/>
    </xf>
    <xf numFmtId="3" fontId="16" fillId="7" borderId="1" xfId="0" applyNumberFormat="1" applyFont="1" applyFill="1" applyBorder="1" applyAlignment="1">
      <alignment horizontal="left" vertical="center" wrapText="1"/>
    </xf>
    <xf numFmtId="0" fontId="23" fillId="7" borderId="43" xfId="0" applyFont="1" applyFill="1" applyBorder="1" applyAlignment="1">
      <alignment horizontal="center" vertical="center" wrapText="1"/>
    </xf>
    <xf numFmtId="0" fontId="49" fillId="7" borderId="1" xfId="0" applyFont="1" applyFill="1" applyBorder="1" applyAlignment="1">
      <alignment horizontal="center"/>
    </xf>
    <xf numFmtId="0" fontId="23" fillId="7" borderId="44" xfId="0" applyFont="1" applyFill="1" applyBorder="1" applyAlignment="1">
      <alignment horizontal="center" vertical="center" wrapText="1"/>
    </xf>
    <xf numFmtId="3" fontId="17" fillId="7" borderId="1" xfId="0" applyNumberFormat="1" applyFont="1" applyFill="1" applyBorder="1" applyAlignment="1">
      <alignment vertical="center"/>
    </xf>
    <xf numFmtId="3" fontId="17" fillId="7" borderId="1" xfId="0" applyNumberFormat="1" applyFont="1" applyFill="1" applyBorder="1" applyAlignment="1">
      <alignment horizontal="center" vertical="center"/>
    </xf>
    <xf numFmtId="0" fontId="8" fillId="7" borderId="43" xfId="0" applyFont="1" applyFill="1" applyBorder="1" applyAlignment="1">
      <alignment horizontal="center" wrapText="1"/>
    </xf>
    <xf numFmtId="164" fontId="8" fillId="7" borderId="44" xfId="0" applyNumberFormat="1" applyFont="1" applyFill="1" applyBorder="1" applyAlignment="1">
      <alignment horizontal="center" wrapText="1"/>
    </xf>
    <xf numFmtId="0" fontId="26" fillId="7" borderId="45" xfId="0" applyFont="1" applyFill="1" applyBorder="1"/>
    <xf numFmtId="0" fontId="50" fillId="7" borderId="1" xfId="0" applyFont="1" applyFill="1" applyBorder="1" applyAlignment="1">
      <alignment horizontal="center"/>
    </xf>
    <xf numFmtId="3" fontId="25" fillId="7" borderId="1" xfId="0" applyNumberFormat="1" applyFont="1" applyFill="1" applyBorder="1" applyAlignment="1">
      <alignment vertical="center"/>
    </xf>
    <xf numFmtId="0" fontId="16" fillId="7" borderId="44" xfId="0" applyFont="1" applyFill="1" applyBorder="1" applyAlignment="1">
      <alignment horizontal="center" vertical="center" wrapText="1"/>
    </xf>
    <xf numFmtId="164" fontId="26" fillId="7" borderId="44" xfId="0" applyNumberFormat="1" applyFont="1" applyFill="1" applyBorder="1" applyAlignment="1">
      <alignment horizontal="center"/>
    </xf>
    <xf numFmtId="0" fontId="16" fillId="7" borderId="1" xfId="0" applyFont="1" applyFill="1" applyBorder="1" applyAlignment="1">
      <alignment horizontal="center" vertical="center"/>
    </xf>
    <xf numFmtId="0" fontId="25" fillId="7" borderId="1" xfId="0" applyFont="1" applyFill="1" applyBorder="1" applyAlignment="1">
      <alignment horizontal="center" vertical="center"/>
    </xf>
    <xf numFmtId="0" fontId="46" fillId="7" borderId="1" xfId="0" applyFont="1" applyFill="1" applyBorder="1" applyAlignment="1">
      <alignment horizontal="center" vertical="center"/>
    </xf>
    <xf numFmtId="0" fontId="30" fillId="7" borderId="1" xfId="0" applyFont="1" applyFill="1" applyBorder="1" applyAlignment="1">
      <alignment horizontal="left" vertical="center" wrapText="1"/>
    </xf>
    <xf numFmtId="0" fontId="46" fillId="7" borderId="1" xfId="0" applyFont="1" applyFill="1" applyBorder="1" applyAlignment="1">
      <alignment horizontal="left" vertical="top" wrapText="1"/>
    </xf>
    <xf numFmtId="0" fontId="8" fillId="7" borderId="1" xfId="0" applyFont="1" applyFill="1" applyBorder="1" applyAlignment="1">
      <alignment horizontal="center" vertical="top"/>
    </xf>
    <xf numFmtId="164" fontId="8" fillId="7" borderId="44" xfId="0" applyNumberFormat="1" applyFont="1" applyFill="1" applyBorder="1" applyAlignment="1">
      <alignment wrapText="1"/>
    </xf>
    <xf numFmtId="0" fontId="46" fillId="7" borderId="1" xfId="0" applyFont="1" applyFill="1" applyBorder="1" applyAlignment="1">
      <alignment horizontal="left" vertical="top"/>
    </xf>
    <xf numFmtId="0" fontId="16" fillId="7" borderId="1" xfId="0" applyFont="1" applyFill="1" applyBorder="1" applyAlignment="1">
      <alignment vertical="top"/>
    </xf>
    <xf numFmtId="0" fontId="8" fillId="7" borderId="1" xfId="0" applyFont="1" applyFill="1" applyBorder="1" applyAlignment="1">
      <alignment wrapText="1"/>
    </xf>
    <xf numFmtId="0" fontId="47" fillId="7" borderId="43" xfId="0" applyFont="1" applyFill="1" applyBorder="1" applyAlignment="1">
      <alignment horizontal="center" vertical="center" wrapText="1"/>
    </xf>
    <xf numFmtId="0" fontId="37" fillId="7" borderId="1" xfId="0" applyFont="1" applyFill="1" applyBorder="1" applyAlignment="1">
      <alignment horizontal="center" vertical="center" wrapText="1"/>
    </xf>
    <xf numFmtId="0" fontId="37" fillId="7" borderId="44" xfId="0" applyFont="1" applyFill="1" applyBorder="1" applyAlignment="1">
      <alignment horizontal="center" vertical="center" wrapText="1"/>
    </xf>
    <xf numFmtId="0" fontId="46" fillId="7" borderId="1" xfId="0" applyFont="1" applyFill="1" applyBorder="1" applyAlignment="1">
      <alignment horizontal="left" vertical="center" wrapText="1"/>
    </xf>
    <xf numFmtId="0" fontId="46" fillId="7" borderId="43" xfId="0" applyFont="1" applyFill="1" applyBorder="1" applyAlignment="1">
      <alignment horizontal="left" vertical="center" wrapText="1"/>
    </xf>
    <xf numFmtId="0" fontId="8" fillId="2" borderId="1" xfId="0" applyFont="1" applyFill="1" applyBorder="1" applyAlignment="1">
      <alignment horizontal="right" vertical="top"/>
    </xf>
    <xf numFmtId="0" fontId="8" fillId="2" borderId="44" xfId="0" applyFont="1" applyFill="1" applyBorder="1" applyAlignment="1">
      <alignment horizontal="right" vertical="top"/>
    </xf>
    <xf numFmtId="173" fontId="17" fillId="7" borderId="1" xfId="0" applyNumberFormat="1" applyFont="1" applyFill="1" applyBorder="1" applyAlignment="1">
      <alignment vertical="center"/>
    </xf>
    <xf numFmtId="164" fontId="17" fillId="0" borderId="46" xfId="0" applyNumberFormat="1" applyFont="1" applyBorder="1" applyAlignment="1">
      <alignment horizontal="center" vertical="center" wrapText="1"/>
    </xf>
    <xf numFmtId="167" fontId="40" fillId="10" borderId="4" xfId="0" applyNumberFormat="1" applyFont="1" applyFill="1" applyBorder="1" applyAlignment="1">
      <alignment horizontal="center" vertical="center" wrapText="1"/>
    </xf>
    <xf numFmtId="49" fontId="40" fillId="0" borderId="46" xfId="0" applyNumberFormat="1" applyFont="1" applyBorder="1" applyAlignment="1">
      <alignment horizontal="center" vertical="center" wrapText="1"/>
    </xf>
    <xf numFmtId="49" fontId="41" fillId="0" borderId="1" xfId="0" applyNumberFormat="1" applyFont="1" applyBorder="1" applyAlignment="1">
      <alignment horizontal="center" vertical="center"/>
    </xf>
    <xf numFmtId="168" fontId="17" fillId="0" borderId="46" xfId="0" applyNumberFormat="1" applyFont="1" applyBorder="1" applyAlignment="1">
      <alignment horizontal="right" vertical="center" wrapText="1"/>
    </xf>
    <xf numFmtId="0" fontId="17" fillId="0" borderId="1" xfId="0" applyFont="1" applyBorder="1" applyAlignment="1">
      <alignment vertical="center" wrapText="1"/>
    </xf>
    <xf numFmtId="169" fontId="16" fillId="0" borderId="6" xfId="0" applyNumberFormat="1" applyFont="1" applyBorder="1" applyAlignment="1">
      <alignment horizontal="center" vertical="center" wrapText="1"/>
    </xf>
    <xf numFmtId="166" fontId="16" fillId="0" borderId="7" xfId="0" applyNumberFormat="1" applyFont="1" applyBorder="1" applyAlignment="1">
      <alignment horizontal="right" vertical="center"/>
    </xf>
    <xf numFmtId="168" fontId="16" fillId="0" borderId="7" xfId="0" applyNumberFormat="1" applyFont="1" applyBorder="1" applyAlignment="1">
      <alignment horizontal="right" vertical="center"/>
    </xf>
    <xf numFmtId="168" fontId="16" fillId="10" borderId="7" xfId="0" applyNumberFormat="1" applyFont="1" applyFill="1" applyBorder="1" applyAlignment="1">
      <alignment horizontal="right" vertical="center"/>
    </xf>
    <xf numFmtId="168" fontId="16" fillId="0" borderId="46" xfId="0" applyNumberFormat="1" applyFont="1" applyBorder="1" applyAlignment="1">
      <alignment horizontal="right" vertical="center" wrapText="1"/>
    </xf>
    <xf numFmtId="0" fontId="16" fillId="0" borderId="1" xfId="0" applyFont="1" applyBorder="1" applyAlignment="1">
      <alignment vertical="center" wrapText="1"/>
    </xf>
    <xf numFmtId="4" fontId="16" fillId="10" borderId="7" xfId="0" applyNumberFormat="1" applyFont="1" applyFill="1" applyBorder="1" applyAlignment="1">
      <alignment horizontal="right" vertical="center" wrapText="1"/>
    </xf>
    <xf numFmtId="4" fontId="16" fillId="0" borderId="7" xfId="0" applyNumberFormat="1" applyFont="1" applyBorder="1" applyAlignment="1">
      <alignment horizontal="right" vertical="center" wrapText="1"/>
    </xf>
    <xf numFmtId="169" fontId="17" fillId="0" borderId="6" xfId="0" applyNumberFormat="1" applyFont="1" applyBorder="1" applyAlignment="1">
      <alignment horizontal="center" vertical="center" wrapText="1"/>
    </xf>
    <xf numFmtId="166" fontId="16" fillId="0" borderId="7" xfId="0" applyNumberFormat="1" applyFont="1" applyBorder="1" applyAlignment="1">
      <alignment horizontal="center" vertical="center" wrapText="1"/>
    </xf>
    <xf numFmtId="174" fontId="16" fillId="0" borderId="7" xfId="0" applyNumberFormat="1" applyFont="1" applyBorder="1" applyAlignment="1">
      <alignment horizontal="right" vertical="center"/>
    </xf>
    <xf numFmtId="164" fontId="30" fillId="0" borderId="6" xfId="0" applyNumberFormat="1" applyFont="1" applyBorder="1" applyAlignment="1">
      <alignment horizontal="center" vertical="center" wrapText="1"/>
    </xf>
    <xf numFmtId="0" fontId="17" fillId="0" borderId="1" xfId="0" applyFont="1" applyBorder="1" applyAlignment="1">
      <alignment vertical="center"/>
    </xf>
    <xf numFmtId="0" fontId="42" fillId="0" borderId="1" xfId="0" applyFont="1" applyBorder="1" applyAlignment="1">
      <alignment vertical="center"/>
    </xf>
    <xf numFmtId="1" fontId="16" fillId="0" borderId="6" xfId="0" applyNumberFormat="1" applyFont="1" applyBorder="1" applyAlignment="1">
      <alignment horizontal="center" vertical="center" wrapText="1"/>
    </xf>
    <xf numFmtId="169" fontId="16" fillId="0" borderId="7" xfId="0" applyNumberFormat="1" applyFont="1" applyBorder="1" applyAlignment="1">
      <alignment vertical="center" wrapText="1"/>
    </xf>
    <xf numFmtId="3" fontId="17" fillId="12" borderId="7" xfId="0" applyNumberFormat="1" applyFont="1" applyFill="1" applyBorder="1" applyAlignment="1">
      <alignment horizontal="right" vertical="center" wrapText="1"/>
    </xf>
    <xf numFmtId="168" fontId="17" fillId="10" borderId="7" xfId="0" applyNumberFormat="1" applyFont="1" applyFill="1" applyBorder="1" applyAlignment="1">
      <alignment horizontal="right" vertical="center"/>
    </xf>
    <xf numFmtId="168" fontId="17" fillId="0" borderId="7" xfId="0" applyNumberFormat="1" applyFont="1" applyBorder="1" applyAlignment="1">
      <alignment horizontal="right" vertical="center"/>
    </xf>
    <xf numFmtId="168" fontId="17" fillId="0" borderId="46" xfId="0" applyNumberFormat="1" applyFont="1" applyBorder="1" applyAlignment="1">
      <alignment horizontal="right" vertical="center"/>
    </xf>
    <xf numFmtId="49" fontId="17" fillId="0" borderId="19" xfId="0" quotePrefix="1" applyNumberFormat="1" applyFont="1" applyBorder="1" applyAlignment="1">
      <alignment horizontal="center" vertical="center" wrapText="1"/>
    </xf>
    <xf numFmtId="49" fontId="17" fillId="0" borderId="1" xfId="0" quotePrefix="1" applyNumberFormat="1" applyFont="1" applyBorder="1" applyAlignment="1">
      <alignment horizontal="center" vertical="center" wrapText="1"/>
    </xf>
    <xf numFmtId="164" fontId="17" fillId="13" borderId="34" xfId="0" applyNumberFormat="1" applyFont="1" applyFill="1" applyBorder="1" applyAlignment="1">
      <alignment vertical="center" wrapText="1"/>
    </xf>
    <xf numFmtId="164" fontId="17" fillId="13" borderId="51" xfId="0" applyNumberFormat="1" applyFont="1" applyFill="1" applyBorder="1" applyAlignment="1">
      <alignment vertical="center" wrapText="1"/>
    </xf>
    <xf numFmtId="164" fontId="17" fillId="13" borderId="52" xfId="0" applyNumberFormat="1" applyFont="1" applyFill="1" applyBorder="1" applyAlignment="1">
      <alignment vertical="center" wrapText="1"/>
    </xf>
    <xf numFmtId="164" fontId="17" fillId="0" borderId="53" xfId="0" applyNumberFormat="1" applyFont="1" applyBorder="1" applyAlignment="1">
      <alignment vertical="center" wrapText="1"/>
    </xf>
    <xf numFmtId="164" fontId="17" fillId="0" borderId="54" xfId="0" applyNumberFormat="1" applyFont="1" applyBorder="1" applyAlignment="1">
      <alignment vertical="center" wrapText="1"/>
    </xf>
    <xf numFmtId="164" fontId="17" fillId="0" borderId="40" xfId="0" applyNumberFormat="1" applyFont="1" applyBorder="1" applyAlignment="1">
      <alignment vertical="center" wrapText="1"/>
    </xf>
    <xf numFmtId="0" fontId="17" fillId="0" borderId="55" xfId="0" applyFont="1" applyBorder="1" applyAlignment="1">
      <alignment horizontal="center" vertical="top" wrapText="1"/>
    </xf>
    <xf numFmtId="0" fontId="17" fillId="0" borderId="21" xfId="0" applyFont="1" applyBorder="1" applyAlignment="1">
      <alignment horizontal="left" vertical="center" wrapText="1"/>
    </xf>
    <xf numFmtId="0" fontId="17" fillId="0" borderId="21" xfId="0" applyFont="1" applyBorder="1" applyAlignment="1">
      <alignment horizontal="center" vertical="center" wrapText="1"/>
    </xf>
    <xf numFmtId="0" fontId="17" fillId="0" borderId="21" xfId="0" applyFont="1" applyBorder="1" applyAlignment="1">
      <alignment horizontal="center" vertical="top" wrapText="1"/>
    </xf>
    <xf numFmtId="169" fontId="16" fillId="0" borderId="55" xfId="0" applyNumberFormat="1" applyFont="1" applyBorder="1" applyAlignment="1">
      <alignment vertical="top" wrapText="1"/>
    </xf>
    <xf numFmtId="0" fontId="46" fillId="0" borderId="21" xfId="0" applyFont="1" applyBorder="1" applyAlignment="1">
      <alignment horizontal="center" vertical="center" wrapText="1"/>
    </xf>
    <xf numFmtId="0" fontId="16" fillId="0" borderId="21" xfId="0" applyFont="1" applyBorder="1" applyAlignment="1">
      <alignment horizontal="center" vertical="center"/>
    </xf>
    <xf numFmtId="0" fontId="17" fillId="0" borderId="21" xfId="0" applyFont="1" applyBorder="1" applyAlignment="1">
      <alignment horizontal="center" vertical="center"/>
    </xf>
    <xf numFmtId="0" fontId="46" fillId="0" borderId="21" xfId="0" applyFont="1" applyBorder="1" applyAlignment="1">
      <alignment horizontal="left" vertical="top" wrapText="1"/>
    </xf>
    <xf numFmtId="0" fontId="16" fillId="0" borderId="21" xfId="0" applyFont="1" applyBorder="1" applyAlignment="1">
      <alignment horizontal="center" vertical="top" wrapText="1"/>
    </xf>
    <xf numFmtId="169" fontId="37" fillId="0" borderId="55" xfId="0" applyNumberFormat="1" applyFont="1" applyBorder="1" applyAlignment="1">
      <alignment vertical="top" wrapText="1"/>
    </xf>
    <xf numFmtId="0" fontId="37" fillId="0" borderId="21" xfId="0" applyFont="1" applyBorder="1" applyAlignment="1">
      <alignment horizontal="left" vertical="top" wrapText="1"/>
    </xf>
    <xf numFmtId="0" fontId="37" fillId="0" borderId="21" xfId="0" applyFont="1" applyBorder="1" applyAlignment="1">
      <alignment horizontal="center" vertical="center" wrapText="1"/>
    </xf>
    <xf numFmtId="0" fontId="37" fillId="0" borderId="21" xfId="0" applyFont="1" applyBorder="1" applyAlignment="1">
      <alignment horizontal="center" vertical="center"/>
    </xf>
    <xf numFmtId="0" fontId="30" fillId="0" borderId="21" xfId="0" applyFont="1" applyBorder="1" applyAlignment="1">
      <alignment horizontal="center" vertical="center" wrapText="1"/>
    </xf>
    <xf numFmtId="0" fontId="37" fillId="0" borderId="21" xfId="0" applyFont="1" applyBorder="1" applyAlignment="1">
      <alignment horizontal="center" vertical="top" wrapText="1"/>
    </xf>
    <xf numFmtId="0" fontId="30" fillId="0" borderId="21" xfId="0" applyFont="1" applyBorder="1" applyAlignment="1">
      <alignment horizontal="center" vertical="top" wrapText="1"/>
    </xf>
    <xf numFmtId="0" fontId="38" fillId="0" borderId="0" xfId="0" applyFont="1"/>
    <xf numFmtId="0" fontId="16" fillId="0" borderId="21" xfId="0" applyFont="1" applyBorder="1" applyAlignment="1">
      <alignment horizontal="left" vertical="top" wrapText="1"/>
    </xf>
    <xf numFmtId="0" fontId="46" fillId="0" borderId="21" xfId="0" applyFont="1" applyBorder="1" applyAlignment="1">
      <alignment horizontal="center" vertical="top" wrapText="1"/>
    </xf>
    <xf numFmtId="0" fontId="46" fillId="0" borderId="0" xfId="0" applyFont="1" applyAlignment="1">
      <alignment horizontal="left" vertical="top" wrapText="1"/>
    </xf>
    <xf numFmtId="0" fontId="46" fillId="0" borderId="0" xfId="0" applyFont="1" applyAlignment="1">
      <alignment horizontal="center" vertical="center" wrapText="1"/>
    </xf>
    <xf numFmtId="0" fontId="37" fillId="0" borderId="0" xfId="0" applyFont="1" applyAlignment="1">
      <alignment horizontal="left"/>
    </xf>
    <xf numFmtId="0" fontId="37" fillId="0" borderId="0" xfId="0" applyFont="1" applyAlignment="1">
      <alignment horizontal="center"/>
    </xf>
    <xf numFmtId="0" fontId="37" fillId="0" borderId="0" xfId="0" applyFont="1" applyAlignment="1">
      <alignment horizontal="center" vertical="center"/>
    </xf>
    <xf numFmtId="0" fontId="30" fillId="0" borderId="21" xfId="0" applyFont="1" applyBorder="1" applyAlignment="1">
      <alignment horizontal="center" vertical="center"/>
    </xf>
    <xf numFmtId="0" fontId="16" fillId="0" borderId="21" xfId="0" applyFont="1" applyBorder="1" applyAlignment="1">
      <alignment horizontal="left" vertical="center"/>
    </xf>
    <xf numFmtId="0" fontId="16" fillId="0" borderId="40" xfId="0" applyFont="1" applyBorder="1" applyAlignment="1">
      <alignment horizontal="center" vertical="center" wrapText="1"/>
    </xf>
    <xf numFmtId="0" fontId="16" fillId="0" borderId="21" xfId="0" applyFont="1" applyBorder="1" applyAlignment="1">
      <alignment horizontal="right" vertical="center"/>
    </xf>
    <xf numFmtId="168" fontId="16" fillId="0" borderId="21" xfId="0" applyNumberFormat="1" applyFont="1" applyBorder="1" applyAlignment="1">
      <alignment horizontal="center" vertical="top" wrapText="1"/>
    </xf>
    <xf numFmtId="169" fontId="16" fillId="0" borderId="53" xfId="0" applyNumberFormat="1" applyFont="1" applyBorder="1" applyAlignment="1">
      <alignment vertical="top" wrapText="1"/>
    </xf>
    <xf numFmtId="0" fontId="16" fillId="0" borderId="40" xfId="0" applyFont="1" applyBorder="1" applyAlignment="1">
      <alignment vertical="center" wrapText="1"/>
    </xf>
    <xf numFmtId="164" fontId="17" fillId="7" borderId="7" xfId="0" applyNumberFormat="1" applyFont="1" applyFill="1" applyBorder="1" applyAlignment="1">
      <alignment horizontal="center" vertical="center" wrapText="1"/>
    </xf>
    <xf numFmtId="49" fontId="40" fillId="7" borderId="7" xfId="0" applyNumberFormat="1" applyFont="1" applyFill="1" applyBorder="1" applyAlignment="1">
      <alignment horizontal="center" vertical="center" wrapText="1"/>
    </xf>
    <xf numFmtId="175" fontId="17" fillId="10" borderId="7" xfId="0" applyNumberFormat="1" applyFont="1" applyFill="1" applyBorder="1" applyAlignment="1">
      <alignment horizontal="right" vertical="center" wrapText="1"/>
    </xf>
    <xf numFmtId="168" fontId="17" fillId="7" borderId="7" xfId="0" applyNumberFormat="1" applyFont="1" applyFill="1" applyBorder="1" applyAlignment="1">
      <alignment horizontal="right" vertical="center" wrapText="1"/>
    </xf>
    <xf numFmtId="175" fontId="17" fillId="0" borderId="7" xfId="0" applyNumberFormat="1" applyFont="1" applyBorder="1" applyAlignment="1">
      <alignment horizontal="right" vertical="center" wrapText="1"/>
    </xf>
    <xf numFmtId="4" fontId="17" fillId="0" borderId="7" xfId="0" applyNumberFormat="1" applyFont="1" applyBorder="1" applyAlignment="1">
      <alignment horizontal="right" vertical="center" wrapText="1"/>
    </xf>
    <xf numFmtId="168" fontId="16" fillId="7" borderId="7" xfId="0" applyNumberFormat="1" applyFont="1" applyFill="1" applyBorder="1" applyAlignment="1">
      <alignment horizontal="right" vertical="center" wrapText="1"/>
    </xf>
    <xf numFmtId="0" fontId="37" fillId="0" borderId="7" xfId="0" applyFont="1" applyBorder="1" applyAlignment="1">
      <alignment horizontal="left" vertical="center" wrapText="1"/>
    </xf>
    <xf numFmtId="175" fontId="16" fillId="7" borderId="7" xfId="0" applyNumberFormat="1" applyFont="1" applyFill="1" applyBorder="1" applyAlignment="1">
      <alignment horizontal="right" vertical="center" wrapText="1"/>
    </xf>
    <xf numFmtId="175" fontId="16" fillId="0" borderId="7" xfId="0" applyNumberFormat="1" applyFont="1" applyBorder="1" applyAlignment="1">
      <alignment horizontal="right" vertical="center" wrapText="1"/>
    </xf>
    <xf numFmtId="169" fontId="16" fillId="7" borderId="6" xfId="0" applyNumberFormat="1" applyFont="1" applyFill="1" applyBorder="1" applyAlignment="1">
      <alignment vertical="center" wrapText="1"/>
    </xf>
    <xf numFmtId="0" fontId="8" fillId="7" borderId="7" xfId="0" applyFont="1" applyFill="1" applyBorder="1" applyAlignment="1">
      <alignment horizontal="left" vertical="center" wrapText="1"/>
    </xf>
    <xf numFmtId="3" fontId="16" fillId="7" borderId="7" xfId="0" applyNumberFormat="1" applyFont="1" applyFill="1" applyBorder="1" applyAlignment="1">
      <alignment horizontal="right" vertical="center" wrapText="1"/>
    </xf>
    <xf numFmtId="166" fontId="16" fillId="7" borderId="7" xfId="0" applyNumberFormat="1" applyFont="1" applyFill="1" applyBorder="1" applyAlignment="1">
      <alignment horizontal="right" vertical="center" wrapText="1"/>
    </xf>
    <xf numFmtId="168" fontId="16" fillId="7" borderId="7" xfId="0" applyNumberFormat="1" applyFont="1" applyFill="1" applyBorder="1" applyAlignment="1">
      <alignment horizontal="right" vertical="center"/>
    </xf>
    <xf numFmtId="3" fontId="17" fillId="10" borderId="7" xfId="0" applyNumberFormat="1" applyFont="1" applyFill="1" applyBorder="1" applyAlignment="1">
      <alignment horizontal="right" vertical="center"/>
    </xf>
    <xf numFmtId="168" fontId="33" fillId="7" borderId="7" xfId="0" applyNumberFormat="1" applyFont="1" applyFill="1" applyBorder="1" applyAlignment="1">
      <alignment vertical="center"/>
    </xf>
    <xf numFmtId="168" fontId="17" fillId="7" borderId="7" xfId="0" applyNumberFormat="1" applyFont="1" applyFill="1" applyBorder="1" applyAlignment="1">
      <alignment horizontal="right" vertical="center"/>
    </xf>
    <xf numFmtId="164" fontId="30" fillId="13" borderId="51" xfId="0" applyNumberFormat="1" applyFont="1" applyFill="1" applyBorder="1" applyAlignment="1">
      <alignment vertical="center" wrapText="1"/>
    </xf>
    <xf numFmtId="164" fontId="17" fillId="13" borderId="52" xfId="0" applyNumberFormat="1" applyFont="1" applyFill="1" applyBorder="1" applyAlignment="1">
      <alignment horizontal="center" vertical="center" wrapText="1"/>
    </xf>
    <xf numFmtId="164" fontId="17" fillId="0" borderId="40" xfId="0" applyNumberFormat="1" applyFont="1" applyBorder="1" applyAlignment="1">
      <alignment horizontal="center" vertical="center" wrapText="1"/>
    </xf>
    <xf numFmtId="0" fontId="42" fillId="0" borderId="0" xfId="0" applyFont="1" applyAlignment="1">
      <alignment vertical="top"/>
    </xf>
    <xf numFmtId="0" fontId="23" fillId="0" borderId="7" xfId="0" applyFont="1" applyBorder="1" applyAlignment="1">
      <alignment horizontal="left" vertical="top" wrapText="1"/>
    </xf>
    <xf numFmtId="169" fontId="17" fillId="0" borderId="21" xfId="0" applyNumberFormat="1" applyFont="1" applyBorder="1" applyAlignment="1">
      <alignment horizontal="center" vertical="center" wrapText="1"/>
    </xf>
    <xf numFmtId="169" fontId="16" fillId="0" borderId="21" xfId="0" applyNumberFormat="1" applyFont="1" applyBorder="1" applyAlignment="1">
      <alignment horizontal="center" vertical="center" wrapText="1"/>
    </xf>
    <xf numFmtId="169" fontId="16" fillId="0" borderId="21" xfId="0" applyNumberFormat="1" applyFont="1" applyBorder="1" applyAlignment="1">
      <alignment horizontal="center" vertical="top" wrapText="1"/>
    </xf>
    <xf numFmtId="0" fontId="16" fillId="0" borderId="54" xfId="0" applyFont="1" applyBorder="1" applyAlignment="1">
      <alignment horizontal="left" vertical="top" wrapText="1"/>
    </xf>
    <xf numFmtId="169" fontId="17" fillId="0" borderId="21" xfId="0" applyNumberFormat="1" applyFont="1" applyBorder="1" applyAlignment="1">
      <alignment horizontal="center" vertical="center"/>
    </xf>
    <xf numFmtId="169" fontId="16" fillId="0" borderId="54" xfId="0" applyNumberFormat="1" applyFont="1" applyBorder="1" applyAlignment="1">
      <alignment vertical="top" wrapText="1"/>
    </xf>
    <xf numFmtId="169" fontId="16" fillId="0" borderId="40" xfId="0" applyNumberFormat="1" applyFont="1" applyBorder="1" applyAlignment="1">
      <alignment horizontal="center" vertical="center" wrapText="1"/>
    </xf>
    <xf numFmtId="0" fontId="16" fillId="0" borderId="55" xfId="0" applyFont="1" applyBorder="1" applyAlignment="1">
      <alignment horizontal="center" vertical="top" wrapText="1"/>
    </xf>
    <xf numFmtId="164" fontId="16" fillId="0" borderId="54" xfId="0" applyNumberFormat="1" applyFont="1" applyBorder="1" applyAlignment="1">
      <alignment vertical="center" wrapText="1"/>
    </xf>
    <xf numFmtId="1" fontId="16" fillId="0" borderId="53" xfId="0" applyNumberFormat="1" applyFont="1" applyBorder="1" applyAlignment="1">
      <alignment vertical="top" wrapText="1"/>
    </xf>
    <xf numFmtId="1" fontId="17" fillId="0" borderId="53" xfId="0" applyNumberFormat="1" applyFont="1" applyBorder="1" applyAlignment="1">
      <alignment horizontal="center" vertical="top" wrapText="1"/>
    </xf>
    <xf numFmtId="0" fontId="16" fillId="14" borderId="21" xfId="0" applyFont="1" applyFill="1" applyBorder="1" applyAlignment="1">
      <alignment horizontal="center" vertical="center" wrapText="1"/>
    </xf>
    <xf numFmtId="169" fontId="16" fillId="14" borderId="21" xfId="0" applyNumberFormat="1" applyFont="1" applyFill="1" applyBorder="1" applyAlignment="1">
      <alignment horizontal="center" vertical="center" wrapText="1"/>
    </xf>
    <xf numFmtId="169" fontId="16" fillId="14" borderId="21" xfId="0" applyNumberFormat="1" applyFont="1" applyFill="1" applyBorder="1" applyAlignment="1">
      <alignment horizontal="center" vertical="top" wrapText="1"/>
    </xf>
    <xf numFmtId="0" fontId="16" fillId="14" borderId="21" xfId="0" applyFont="1" applyFill="1" applyBorder="1" applyAlignment="1">
      <alignment horizontal="center" vertical="top" wrapText="1"/>
    </xf>
    <xf numFmtId="1" fontId="16" fillId="0" borderId="55" xfId="0" applyNumberFormat="1" applyFont="1" applyBorder="1" applyAlignment="1">
      <alignment vertical="top" wrapText="1"/>
    </xf>
    <xf numFmtId="0" fontId="46" fillId="0" borderId="21" xfId="0" applyFont="1" applyBorder="1" applyAlignment="1">
      <alignment horizontal="center" vertical="center"/>
    </xf>
    <xf numFmtId="4" fontId="46" fillId="10" borderId="7" xfId="0" applyNumberFormat="1" applyFont="1" applyFill="1" applyBorder="1" applyAlignment="1">
      <alignment horizontal="right" vertical="center" wrapText="1"/>
    </xf>
    <xf numFmtId="169" fontId="46" fillId="0" borderId="21" xfId="0" applyNumberFormat="1" applyFont="1" applyBorder="1" applyAlignment="1">
      <alignment horizontal="center" vertical="top" wrapText="1"/>
    </xf>
    <xf numFmtId="164" fontId="17" fillId="0" borderId="34" xfId="0" applyNumberFormat="1" applyFont="1" applyBorder="1" applyAlignment="1">
      <alignment vertical="center" wrapText="1"/>
    </xf>
    <xf numFmtId="1" fontId="17" fillId="13" borderId="56" xfId="0" applyNumberFormat="1" applyFont="1" applyFill="1" applyBorder="1" applyAlignment="1">
      <alignment vertical="top" wrapText="1"/>
    </xf>
    <xf numFmtId="169" fontId="17" fillId="13" borderId="57" xfId="0" applyNumberFormat="1" applyFont="1" applyFill="1" applyBorder="1" applyAlignment="1">
      <alignment horizontal="center" vertical="center" wrapText="1"/>
    </xf>
    <xf numFmtId="0" fontId="16" fillId="13" borderId="57" xfId="0" applyFont="1" applyFill="1" applyBorder="1" applyAlignment="1">
      <alignment horizontal="center" vertical="center" wrapText="1"/>
    </xf>
    <xf numFmtId="169" fontId="16" fillId="13" borderId="57" xfId="0" applyNumberFormat="1" applyFont="1" applyFill="1" applyBorder="1" applyAlignment="1">
      <alignment horizontal="center" vertical="center" wrapText="1"/>
    </xf>
    <xf numFmtId="1" fontId="16" fillId="13" borderId="56" xfId="0" applyNumberFormat="1" applyFont="1" applyFill="1" applyBorder="1" applyAlignment="1">
      <alignment vertical="top" wrapText="1"/>
    </xf>
    <xf numFmtId="169" fontId="16" fillId="13" borderId="57" xfId="0" applyNumberFormat="1" applyFont="1" applyFill="1" applyBorder="1" applyAlignment="1">
      <alignment horizontal="center" vertical="top" wrapText="1"/>
    </xf>
    <xf numFmtId="0" fontId="16" fillId="13" borderId="57" xfId="0" applyFont="1" applyFill="1" applyBorder="1" applyAlignment="1">
      <alignment horizontal="center" vertical="top" wrapText="1"/>
    </xf>
    <xf numFmtId="0" fontId="16" fillId="0" borderId="58" xfId="0" applyFont="1" applyBorder="1" applyAlignment="1">
      <alignment horizontal="left" vertical="top" wrapText="1"/>
    </xf>
    <xf numFmtId="1" fontId="16" fillId="0" borderId="59" xfId="0" applyNumberFormat="1" applyFont="1" applyBorder="1" applyAlignment="1">
      <alignment vertical="top" wrapText="1"/>
    </xf>
    <xf numFmtId="0" fontId="16" fillId="0" borderId="60" xfId="0" applyFont="1" applyBorder="1" applyAlignment="1">
      <alignment horizontal="left" vertical="top" wrapText="1"/>
    </xf>
    <xf numFmtId="0" fontId="16" fillId="0" borderId="60" xfId="0" applyFont="1" applyBorder="1" applyAlignment="1">
      <alignment horizontal="left" vertical="center" wrapText="1"/>
    </xf>
    <xf numFmtId="0" fontId="16" fillId="0" borderId="60" xfId="0" applyFont="1" applyBorder="1" applyAlignment="1">
      <alignment horizontal="center" vertical="center" wrapText="1"/>
    </xf>
    <xf numFmtId="0" fontId="16" fillId="0" borderId="60" xfId="0" applyFont="1" applyBorder="1" applyAlignment="1">
      <alignment horizontal="center" vertical="top" wrapText="1"/>
    </xf>
    <xf numFmtId="168" fontId="30" fillId="0" borderId="7" xfId="0" applyNumberFormat="1" applyFont="1" applyBorder="1" applyAlignment="1">
      <alignment horizontal="right" vertical="center" wrapText="1"/>
    </xf>
    <xf numFmtId="3" fontId="30" fillId="0" borderId="7" xfId="0" applyNumberFormat="1" applyFont="1" applyBorder="1" applyAlignment="1">
      <alignment horizontal="right" vertical="center" wrapText="1"/>
    </xf>
    <xf numFmtId="170" fontId="17" fillId="0" borderId="6" xfId="0" applyNumberFormat="1" applyFont="1" applyBorder="1" applyAlignment="1">
      <alignment horizontal="center" vertical="center" wrapText="1"/>
    </xf>
    <xf numFmtId="170" fontId="17" fillId="0" borderId="6" xfId="0" applyNumberFormat="1" applyFont="1" applyBorder="1" applyAlignment="1">
      <alignment vertical="center" wrapText="1"/>
    </xf>
    <xf numFmtId="3" fontId="30" fillId="0" borderId="7" xfId="0" applyNumberFormat="1" applyFont="1" applyBorder="1" applyAlignment="1">
      <alignment horizontal="right" vertical="center"/>
    </xf>
    <xf numFmtId="3" fontId="30" fillId="7" borderId="7" xfId="0" applyNumberFormat="1" applyFont="1" applyFill="1" applyBorder="1" applyAlignment="1">
      <alignment horizontal="right" vertical="center"/>
    </xf>
    <xf numFmtId="3" fontId="17" fillId="7" borderId="7" xfId="0" applyNumberFormat="1" applyFont="1" applyFill="1" applyBorder="1" applyAlignment="1">
      <alignment horizontal="right" vertical="center" wrapText="1"/>
    </xf>
    <xf numFmtId="0" fontId="15" fillId="0" borderId="7" xfId="0" applyFont="1" applyBorder="1" applyAlignment="1">
      <alignment horizontal="left" vertical="center" wrapText="1"/>
    </xf>
    <xf numFmtId="169" fontId="30" fillId="0" borderId="6" xfId="0" quotePrefix="1" applyNumberFormat="1" applyFont="1" applyBorder="1" applyAlignment="1">
      <alignment vertical="center" wrapText="1"/>
    </xf>
    <xf numFmtId="0" fontId="29" fillId="0" borderId="7" xfId="0" applyFont="1" applyBorder="1" applyAlignment="1">
      <alignment horizontal="left" vertical="center" wrapText="1"/>
    </xf>
    <xf numFmtId="3" fontId="30" fillId="7" borderId="7" xfId="0" applyNumberFormat="1" applyFont="1" applyFill="1" applyBorder="1" applyAlignment="1">
      <alignment horizontal="right" vertical="center" wrapText="1"/>
    </xf>
    <xf numFmtId="170" fontId="30" fillId="0" borderId="6" xfId="0" applyNumberFormat="1" applyFont="1" applyBorder="1" applyAlignment="1">
      <alignment vertical="center" wrapText="1"/>
    </xf>
    <xf numFmtId="3" fontId="16" fillId="0" borderId="48" xfId="0" applyNumberFormat="1" applyFont="1" applyBorder="1" applyAlignment="1">
      <alignment horizontal="right" vertical="center" wrapText="1"/>
    </xf>
    <xf numFmtId="0" fontId="30" fillId="0" borderId="0" xfId="0" applyFont="1" applyAlignment="1">
      <alignment vertical="center"/>
    </xf>
    <xf numFmtId="0" fontId="30" fillId="0" borderId="7" xfId="0" applyFont="1" applyBorder="1" applyAlignment="1">
      <alignment horizontal="left" vertical="center" wrapText="1"/>
    </xf>
    <xf numFmtId="3" fontId="17" fillId="7" borderId="7" xfId="0" applyNumberFormat="1" applyFont="1" applyFill="1" applyBorder="1" applyAlignment="1">
      <alignment horizontal="right" vertical="center"/>
    </xf>
    <xf numFmtId="0" fontId="30" fillId="0" borderId="7" xfId="0" applyFont="1" applyBorder="1" applyAlignment="1">
      <alignment horizontal="center" vertical="center"/>
    </xf>
    <xf numFmtId="0" fontId="30" fillId="0" borderId="7" xfId="0" applyFont="1" applyBorder="1" applyAlignment="1">
      <alignment horizontal="left" vertical="center"/>
    </xf>
    <xf numFmtId="0" fontId="17" fillId="0" borderId="7" xfId="0" applyFont="1" applyBorder="1" applyAlignment="1">
      <alignment vertical="center"/>
    </xf>
    <xf numFmtId="166" fontId="17" fillId="0" borderId="7" xfId="0" applyNumberFormat="1" applyFont="1" applyBorder="1" applyAlignment="1">
      <alignment vertical="center" wrapText="1"/>
    </xf>
    <xf numFmtId="0" fontId="17" fillId="0" borderId="7" xfId="0" applyFont="1" applyBorder="1" applyAlignment="1">
      <alignment vertical="center" wrapText="1"/>
    </xf>
    <xf numFmtId="0" fontId="30" fillId="0" borderId="7" xfId="0" applyFont="1" applyBorder="1" applyAlignment="1">
      <alignment vertical="center" wrapText="1"/>
    </xf>
    <xf numFmtId="170" fontId="17" fillId="0" borderId="7" xfId="0" applyNumberFormat="1" applyFont="1" applyBorder="1" applyAlignment="1">
      <alignment horizontal="center" vertical="center" wrapText="1"/>
    </xf>
    <xf numFmtId="166" fontId="17" fillId="0" borderId="7" xfId="0" applyNumberFormat="1" applyFont="1" applyBorder="1" applyAlignment="1">
      <alignment vertical="center"/>
    </xf>
    <xf numFmtId="0" fontId="16" fillId="0" borderId="7" xfId="0" applyFont="1" applyBorder="1" applyAlignment="1">
      <alignment horizontal="center" vertical="center"/>
    </xf>
    <xf numFmtId="0" fontId="16" fillId="0" borderId="7" xfId="0" applyFont="1" applyBorder="1" applyAlignment="1">
      <alignment horizontal="left" vertical="center"/>
    </xf>
    <xf numFmtId="166" fontId="16" fillId="0" borderId="7" xfId="0" applyNumberFormat="1" applyFont="1" applyBorder="1" applyAlignment="1">
      <alignment horizontal="left" vertical="center" wrapText="1"/>
    </xf>
    <xf numFmtId="0" fontId="16" fillId="0" borderId="7" xfId="0" applyFont="1" applyBorder="1" applyAlignment="1">
      <alignment horizontal="right" vertical="center" wrapText="1"/>
    </xf>
    <xf numFmtId="0" fontId="16" fillId="0" borderId="7" xfId="0" applyFont="1" applyBorder="1" applyAlignment="1">
      <alignment vertical="center" wrapText="1"/>
    </xf>
    <xf numFmtId="166" fontId="16" fillId="0" borderId="7" xfId="0" applyNumberFormat="1" applyFont="1" applyBorder="1" applyAlignment="1">
      <alignment vertical="center" wrapText="1"/>
    </xf>
    <xf numFmtId="170" fontId="17" fillId="0" borderId="7" xfId="0" applyNumberFormat="1" applyFont="1" applyBorder="1" applyAlignment="1">
      <alignment vertical="center" wrapText="1"/>
    </xf>
    <xf numFmtId="49" fontId="17" fillId="7" borderId="19" xfId="0" quotePrefix="1" applyNumberFormat="1" applyFont="1" applyFill="1" applyBorder="1" applyAlignment="1">
      <alignment horizontal="center" vertical="center" wrapText="1"/>
    </xf>
    <xf numFmtId="166" fontId="40" fillId="7" borderId="7" xfId="0" applyNumberFormat="1" applyFont="1" applyFill="1" applyBorder="1" applyAlignment="1">
      <alignment horizontal="center" vertical="center" wrapText="1"/>
    </xf>
    <xf numFmtId="49" fontId="40" fillId="7" borderId="4" xfId="0" applyNumberFormat="1" applyFont="1" applyFill="1" applyBorder="1" applyAlignment="1">
      <alignment horizontal="center" vertical="center" wrapText="1"/>
    </xf>
    <xf numFmtId="167" fontId="40" fillId="7" borderId="4" xfId="0" applyNumberFormat="1" applyFont="1" applyFill="1" applyBorder="1" applyAlignment="1">
      <alignment horizontal="center" vertical="center" wrapText="1"/>
    </xf>
    <xf numFmtId="0" fontId="40" fillId="7" borderId="7" xfId="0" applyFont="1" applyFill="1" applyBorder="1" applyAlignment="1">
      <alignment horizontal="center" vertical="center" wrapText="1"/>
    </xf>
    <xf numFmtId="164" fontId="17" fillId="7" borderId="34" xfId="0" applyNumberFormat="1" applyFont="1" applyFill="1" applyBorder="1" applyAlignment="1">
      <alignment vertical="center" wrapText="1"/>
    </xf>
    <xf numFmtId="164" fontId="17" fillId="7" borderId="51" xfId="0" applyNumberFormat="1" applyFont="1" applyFill="1" applyBorder="1" applyAlignment="1">
      <alignment vertical="center" wrapText="1"/>
    </xf>
    <xf numFmtId="164" fontId="17" fillId="7" borderId="52" xfId="0" applyNumberFormat="1" applyFont="1" applyFill="1" applyBorder="1" applyAlignment="1">
      <alignment horizontal="center" vertical="center" wrapText="1"/>
    </xf>
    <xf numFmtId="164" fontId="17" fillId="7" borderId="52" xfId="0" applyNumberFormat="1" applyFont="1" applyFill="1" applyBorder="1" applyAlignment="1">
      <alignment vertical="center" wrapText="1"/>
    </xf>
    <xf numFmtId="0" fontId="17" fillId="7" borderId="55" xfId="0" applyFont="1" applyFill="1" applyBorder="1" applyAlignment="1">
      <alignment horizontal="center" vertical="top" wrapText="1"/>
    </xf>
    <xf numFmtId="0" fontId="17" fillId="7" borderId="61" xfId="0" applyFont="1" applyFill="1" applyBorder="1" applyAlignment="1">
      <alignment horizontal="left" vertical="top" wrapText="1"/>
    </xf>
    <xf numFmtId="0" fontId="17" fillId="7" borderId="21" xfId="0" applyFont="1" applyFill="1" applyBorder="1" applyAlignment="1">
      <alignment horizontal="center" vertical="center" wrapText="1"/>
    </xf>
    <xf numFmtId="43" fontId="17" fillId="7" borderId="21" xfId="0" applyNumberFormat="1" applyFont="1" applyFill="1" applyBorder="1" applyAlignment="1">
      <alignment horizontal="right" vertical="center" wrapText="1"/>
    </xf>
    <xf numFmtId="164" fontId="17" fillId="7" borderId="21" xfId="0" applyNumberFormat="1" applyFont="1" applyFill="1" applyBorder="1" applyAlignment="1">
      <alignment horizontal="right" vertical="center" wrapText="1"/>
    </xf>
    <xf numFmtId="0" fontId="17" fillId="7" borderId="21" xfId="0" applyFont="1" applyFill="1" applyBorder="1" applyAlignment="1">
      <alignment horizontal="right" vertical="center" wrapText="1"/>
    </xf>
    <xf numFmtId="169" fontId="17" fillId="7" borderId="55" xfId="0" applyNumberFormat="1" applyFont="1" applyFill="1" applyBorder="1" applyAlignment="1">
      <alignment vertical="top" wrapText="1"/>
    </xf>
    <xf numFmtId="0" fontId="25" fillId="7" borderId="62" xfId="0" applyFont="1" applyFill="1" applyBorder="1" applyAlignment="1">
      <alignment horizontal="left"/>
    </xf>
    <xf numFmtId="0" fontId="17" fillId="7" borderId="21" xfId="0" applyFont="1" applyFill="1" applyBorder="1" applyAlignment="1">
      <alignment horizontal="center" vertical="center"/>
    </xf>
    <xf numFmtId="43" fontId="17" fillId="7" borderId="21" xfId="0" applyNumberFormat="1" applyFont="1" applyFill="1" applyBorder="1" applyAlignment="1">
      <alignment horizontal="right" vertical="center"/>
    </xf>
    <xf numFmtId="169" fontId="17" fillId="7" borderId="21" xfId="0" applyNumberFormat="1" applyFont="1" applyFill="1" applyBorder="1" applyAlignment="1">
      <alignment horizontal="right" vertical="center"/>
    </xf>
    <xf numFmtId="164" fontId="17" fillId="7" borderId="21" xfId="0" applyNumberFormat="1" applyFont="1" applyFill="1" applyBorder="1" applyAlignment="1">
      <alignment horizontal="right" vertical="center"/>
    </xf>
    <xf numFmtId="0" fontId="17" fillId="7" borderId="21" xfId="0" applyFont="1" applyFill="1" applyBorder="1" applyAlignment="1">
      <alignment horizontal="right" vertical="center"/>
    </xf>
    <xf numFmtId="169" fontId="16" fillId="7" borderId="55" xfId="0" applyNumberFormat="1" applyFont="1" applyFill="1" applyBorder="1" applyAlignment="1">
      <alignment vertical="top" wrapText="1"/>
    </xf>
    <xf numFmtId="0" fontId="16" fillId="7" borderId="21" xfId="0" applyFont="1" applyFill="1" applyBorder="1" applyAlignment="1">
      <alignment horizontal="center" vertical="center"/>
    </xf>
    <xf numFmtId="164" fontId="16" fillId="7" borderId="21" xfId="0" applyNumberFormat="1" applyFont="1" applyFill="1" applyBorder="1" applyAlignment="1">
      <alignment horizontal="right" vertical="top" wrapText="1"/>
    </xf>
    <xf numFmtId="0" fontId="17" fillId="7" borderId="21" xfId="0" applyFont="1" applyFill="1" applyBorder="1" applyAlignment="1">
      <alignment horizontal="right" vertical="top" wrapText="1"/>
    </xf>
    <xf numFmtId="169" fontId="16" fillId="7" borderId="56" xfId="0" applyNumberFormat="1" applyFont="1" applyFill="1" applyBorder="1" applyAlignment="1">
      <alignment vertical="top" wrapText="1"/>
    </xf>
    <xf numFmtId="0" fontId="16" fillId="7" borderId="1" xfId="0" applyFont="1" applyFill="1" applyBorder="1" applyAlignment="1">
      <alignment horizontal="left"/>
    </xf>
    <xf numFmtId="0" fontId="16" fillId="7" borderId="57" xfId="0" applyFont="1" applyFill="1" applyBorder="1" applyAlignment="1">
      <alignment horizontal="center" vertical="center" wrapText="1"/>
    </xf>
    <xf numFmtId="169" fontId="16" fillId="7" borderId="63" xfId="0" applyNumberFormat="1" applyFont="1" applyFill="1" applyBorder="1" applyAlignment="1">
      <alignment vertical="top" wrapText="1"/>
    </xf>
    <xf numFmtId="0" fontId="46" fillId="7" borderId="64" xfId="0" applyFont="1" applyFill="1" applyBorder="1" applyAlignment="1">
      <alignment horizontal="left" vertical="top"/>
    </xf>
    <xf numFmtId="0" fontId="46" fillId="7" borderId="63" xfId="0" applyFont="1" applyFill="1" applyBorder="1" applyAlignment="1">
      <alignment vertical="top"/>
    </xf>
    <xf numFmtId="0" fontId="16" fillId="7" borderId="21" xfId="0" applyFont="1" applyFill="1" applyBorder="1" applyAlignment="1">
      <alignment horizontal="right" vertical="top" wrapText="1"/>
    </xf>
    <xf numFmtId="0" fontId="46" fillId="7" borderId="61" xfId="0" applyFont="1" applyFill="1" applyBorder="1" applyAlignment="1">
      <alignment horizontal="left" vertical="top" wrapText="1"/>
    </xf>
    <xf numFmtId="169" fontId="46" fillId="7" borderId="61" xfId="0" applyNumberFormat="1" applyFont="1" applyFill="1" applyBorder="1" applyAlignment="1">
      <alignment horizontal="left" vertical="top" wrapText="1"/>
    </xf>
    <xf numFmtId="1" fontId="16" fillId="7" borderId="63" xfId="0" applyNumberFormat="1" applyFont="1" applyFill="1" applyBorder="1" applyAlignment="1">
      <alignment vertical="top" wrapText="1"/>
    </xf>
    <xf numFmtId="0" fontId="16" fillId="7" borderId="61" xfId="0" applyFont="1" applyFill="1" applyBorder="1" applyAlignment="1">
      <alignment horizontal="left" vertical="top" wrapText="1"/>
    </xf>
    <xf numFmtId="169" fontId="46" fillId="7" borderId="63" xfId="0" applyNumberFormat="1" applyFont="1" applyFill="1" applyBorder="1" applyAlignment="1">
      <alignment horizontal="left" vertical="top"/>
    </xf>
    <xf numFmtId="169" fontId="46" fillId="7" borderId="63" xfId="0" applyNumberFormat="1" applyFont="1" applyFill="1" applyBorder="1" applyAlignment="1">
      <alignment vertical="top" wrapText="1"/>
    </xf>
    <xf numFmtId="1" fontId="17" fillId="7" borderId="63" xfId="0" applyNumberFormat="1" applyFont="1" applyFill="1" applyBorder="1" applyAlignment="1">
      <alignment horizontal="center" vertical="top" wrapText="1"/>
    </xf>
    <xf numFmtId="169" fontId="17" fillId="7" borderId="61" xfId="0" applyNumberFormat="1" applyFont="1" applyFill="1" applyBorder="1" applyAlignment="1">
      <alignment vertical="top" wrapText="1"/>
    </xf>
    <xf numFmtId="169" fontId="16" fillId="7" borderId="61" xfId="0" applyNumberFormat="1" applyFont="1" applyFill="1" applyBorder="1" applyAlignment="1">
      <alignment vertical="top" wrapText="1"/>
    </xf>
    <xf numFmtId="0" fontId="54" fillId="7" borderId="21" xfId="0" applyFont="1" applyFill="1" applyBorder="1" applyAlignment="1">
      <alignment horizontal="center" vertical="center"/>
    </xf>
    <xf numFmtId="43" fontId="54" fillId="7" borderId="21" xfId="0" applyNumberFormat="1" applyFont="1" applyFill="1" applyBorder="1" applyAlignment="1">
      <alignment horizontal="right" vertical="center"/>
    </xf>
    <xf numFmtId="164" fontId="54" fillId="7" borderId="21" xfId="0" applyNumberFormat="1" applyFont="1" applyFill="1" applyBorder="1" applyAlignment="1">
      <alignment horizontal="right" vertical="center"/>
    </xf>
    <xf numFmtId="0" fontId="25" fillId="7" borderId="61" xfId="0" applyFont="1" applyFill="1" applyBorder="1" applyAlignment="1">
      <alignment horizontal="left" vertical="top" wrapText="1"/>
    </xf>
    <xf numFmtId="43" fontId="16" fillId="7" borderId="21" xfId="0" applyNumberFormat="1" applyFont="1" applyFill="1" applyBorder="1" applyAlignment="1">
      <alignment horizontal="right" vertical="top" wrapText="1"/>
    </xf>
    <xf numFmtId="43" fontId="16" fillId="7" borderId="21" xfId="0" applyNumberFormat="1" applyFont="1" applyFill="1" applyBorder="1" applyAlignment="1">
      <alignment horizontal="right" vertical="center" wrapText="1"/>
    </xf>
    <xf numFmtId="164" fontId="16" fillId="7" borderId="21" xfId="0" applyNumberFormat="1" applyFont="1" applyFill="1" applyBorder="1" applyAlignment="1">
      <alignment horizontal="right" vertical="center" wrapText="1"/>
    </xf>
    <xf numFmtId="169" fontId="46" fillId="7" borderId="61" xfId="0" applyNumberFormat="1" applyFont="1" applyFill="1" applyBorder="1" applyAlignment="1">
      <alignment vertical="top" wrapText="1"/>
    </xf>
    <xf numFmtId="0" fontId="16" fillId="7" borderId="65" xfId="0" applyFont="1" applyFill="1" applyBorder="1" applyAlignment="1">
      <alignment horizontal="right" vertical="center" wrapText="1"/>
    </xf>
    <xf numFmtId="0" fontId="16" fillId="7" borderId="66" xfId="0" applyFont="1" applyFill="1" applyBorder="1" applyAlignment="1">
      <alignment horizontal="right" vertical="top" wrapText="1"/>
    </xf>
    <xf numFmtId="0" fontId="16" fillId="7" borderId="67" xfId="0" applyFont="1" applyFill="1" applyBorder="1" applyAlignment="1">
      <alignment horizontal="right" vertical="center" wrapText="1"/>
    </xf>
    <xf numFmtId="0" fontId="16" fillId="7" borderId="68" xfId="0" applyFont="1" applyFill="1" applyBorder="1" applyAlignment="1">
      <alignment horizontal="right" vertical="top" wrapText="1"/>
    </xf>
    <xf numFmtId="0" fontId="30" fillId="7" borderId="21" xfId="0" applyFont="1" applyFill="1" applyBorder="1" applyAlignment="1">
      <alignment horizontal="center" vertical="center" wrapText="1"/>
    </xf>
    <xf numFmtId="43" fontId="30" fillId="7" borderId="21" xfId="0" applyNumberFormat="1" applyFont="1" applyFill="1" applyBorder="1" applyAlignment="1">
      <alignment horizontal="center" vertical="center" wrapText="1"/>
    </xf>
    <xf numFmtId="164" fontId="30" fillId="7" borderId="21" xfId="0" applyNumberFormat="1" applyFont="1" applyFill="1" applyBorder="1" applyAlignment="1">
      <alignment horizontal="center" vertical="center" wrapText="1"/>
    </xf>
    <xf numFmtId="0" fontId="30" fillId="7" borderId="61" xfId="0" applyFont="1" applyFill="1" applyBorder="1" applyAlignment="1">
      <alignment horizontal="left" vertical="top" wrapText="1"/>
    </xf>
    <xf numFmtId="0" fontId="16" fillId="7" borderId="21" xfId="0" applyFont="1" applyFill="1" applyBorder="1" applyAlignment="1">
      <alignment horizontal="center" vertical="center" wrapText="1"/>
    </xf>
    <xf numFmtId="0" fontId="16" fillId="7" borderId="21" xfId="0" applyFont="1" applyFill="1" applyBorder="1" applyAlignment="1">
      <alignment horizontal="right" vertical="center" wrapText="1"/>
    </xf>
    <xf numFmtId="1" fontId="16" fillId="7" borderId="55" xfId="0" applyNumberFormat="1" applyFont="1" applyFill="1" applyBorder="1" applyAlignment="1">
      <alignment vertical="top" wrapText="1"/>
    </xf>
    <xf numFmtId="164" fontId="46" fillId="2" borderId="21" xfId="0" applyNumberFormat="1" applyFont="1" applyFill="1" applyBorder="1" applyAlignment="1">
      <alignment horizontal="right" vertical="top" wrapText="1"/>
    </xf>
    <xf numFmtId="1" fontId="16" fillId="7" borderId="56" xfId="0" applyNumberFormat="1" applyFont="1" applyFill="1" applyBorder="1" applyAlignment="1">
      <alignment vertical="top" wrapText="1"/>
    </xf>
    <xf numFmtId="43" fontId="46" fillId="2" borderId="21" xfId="0" applyNumberFormat="1" applyFont="1" applyFill="1" applyBorder="1" applyAlignment="1">
      <alignment horizontal="right" vertical="top" wrapText="1"/>
    </xf>
    <xf numFmtId="1" fontId="17" fillId="7" borderId="63" xfId="0" applyNumberFormat="1" applyFont="1" applyFill="1" applyBorder="1" applyAlignment="1">
      <alignment vertical="top" wrapText="1"/>
    </xf>
    <xf numFmtId="164" fontId="17" fillId="7" borderId="63" xfId="0" applyNumberFormat="1" applyFont="1" applyFill="1" applyBorder="1" applyAlignment="1">
      <alignment vertical="center" wrapText="1"/>
    </xf>
    <xf numFmtId="164" fontId="17" fillId="7" borderId="64" xfId="0" applyNumberFormat="1" applyFont="1" applyFill="1" applyBorder="1" applyAlignment="1">
      <alignment vertical="center" wrapText="1"/>
    </xf>
    <xf numFmtId="0" fontId="16" fillId="7" borderId="57" xfId="0" applyFont="1" applyFill="1" applyBorder="1" applyAlignment="1">
      <alignment horizontal="right" vertical="top" wrapText="1"/>
    </xf>
    <xf numFmtId="1" fontId="17" fillId="7" borderId="1" xfId="0" applyNumberFormat="1" applyFont="1" applyFill="1" applyBorder="1" applyAlignment="1">
      <alignment vertical="top" wrapText="1"/>
    </xf>
    <xf numFmtId="0" fontId="17" fillId="7" borderId="1" xfId="0" applyFont="1" applyFill="1" applyBorder="1" applyAlignment="1">
      <alignment horizontal="left" vertical="top" wrapText="1"/>
    </xf>
    <xf numFmtId="164" fontId="16" fillId="7" borderId="1" xfId="0" applyNumberFormat="1" applyFont="1" applyFill="1" applyBorder="1" applyAlignment="1">
      <alignment horizontal="right" vertical="center" wrapText="1"/>
    </xf>
    <xf numFmtId="164" fontId="16" fillId="7" borderId="1" xfId="0" applyNumberFormat="1" applyFont="1" applyFill="1" applyBorder="1" applyAlignment="1">
      <alignment horizontal="right" vertical="center"/>
    </xf>
    <xf numFmtId="0" fontId="16" fillId="7" borderId="1" xfId="0" applyFont="1" applyFill="1" applyBorder="1" applyAlignment="1">
      <alignment horizontal="right" vertical="center" wrapText="1"/>
    </xf>
    <xf numFmtId="43" fontId="16" fillId="7" borderId="1" xfId="0" applyNumberFormat="1" applyFont="1" applyFill="1" applyBorder="1" applyAlignment="1">
      <alignment horizontal="right" vertical="center" wrapText="1"/>
    </xf>
    <xf numFmtId="0" fontId="16" fillId="7" borderId="1" xfId="0" applyFont="1" applyFill="1" applyBorder="1" applyAlignment="1">
      <alignment horizontal="right" vertical="top" wrapText="1"/>
    </xf>
    <xf numFmtId="1" fontId="16" fillId="7" borderId="1" xfId="0" applyNumberFormat="1" applyFont="1" applyFill="1" applyBorder="1" applyAlignment="1">
      <alignment vertical="top" wrapText="1"/>
    </xf>
    <xf numFmtId="0" fontId="37" fillId="7" borderId="1" xfId="0" applyFont="1" applyFill="1" applyBorder="1" applyAlignment="1">
      <alignment horizontal="right" vertical="top" wrapText="1"/>
    </xf>
    <xf numFmtId="0" fontId="17" fillId="7" borderId="64" xfId="0" applyFont="1" applyFill="1" applyBorder="1" applyAlignment="1">
      <alignment horizontal="left" vertical="top" wrapText="1"/>
    </xf>
    <xf numFmtId="1" fontId="16" fillId="7" borderId="59" xfId="0" applyNumberFormat="1" applyFont="1" applyFill="1" applyBorder="1" applyAlignment="1">
      <alignment vertical="top" wrapText="1"/>
    </xf>
    <xf numFmtId="0" fontId="16" fillId="7" borderId="60" xfId="0" applyFont="1" applyFill="1" applyBorder="1" applyAlignment="1">
      <alignment horizontal="left" vertical="top" wrapText="1"/>
    </xf>
    <xf numFmtId="0" fontId="16" fillId="7" borderId="60" xfId="0" applyFont="1" applyFill="1" applyBorder="1" applyAlignment="1">
      <alignment horizontal="center" vertical="center" wrapText="1"/>
    </xf>
    <xf numFmtId="0" fontId="16" fillId="7" borderId="60" xfId="0" applyFont="1" applyFill="1" applyBorder="1" applyAlignment="1">
      <alignment horizontal="center" vertical="top" wrapText="1"/>
    </xf>
    <xf numFmtId="0" fontId="4" fillId="0" borderId="0" xfId="0" applyFont="1"/>
    <xf numFmtId="0" fontId="10" fillId="0" borderId="1" xfId="0" applyFont="1" applyBorder="1"/>
    <xf numFmtId="0" fontId="10" fillId="0" borderId="1" xfId="0" applyFont="1" applyBorder="1" applyAlignment="1">
      <alignment horizontal="left"/>
    </xf>
    <xf numFmtId="0" fontId="10" fillId="0" borderId="1" xfId="0" applyFont="1" applyBorder="1" applyAlignment="1">
      <alignment horizontal="center"/>
    </xf>
    <xf numFmtId="49" fontId="4" fillId="0" borderId="1" xfId="0" applyNumberFormat="1" applyFont="1" applyBorder="1" applyAlignment="1">
      <alignment horizontal="center" wrapText="1"/>
    </xf>
    <xf numFmtId="49" fontId="4" fillId="0" borderId="1" xfId="0" applyNumberFormat="1" applyFont="1" applyBorder="1" applyAlignment="1">
      <alignment horizontal="left" wrapText="1"/>
    </xf>
    <xf numFmtId="49" fontId="4" fillId="0" borderId="0" xfId="0" applyNumberFormat="1" applyFont="1"/>
    <xf numFmtId="49" fontId="10" fillId="0" borderId="0" xfId="0" applyNumberFormat="1" applyFont="1"/>
    <xf numFmtId="164" fontId="56" fillId="13" borderId="1" xfId="0" applyNumberFormat="1" applyFont="1" applyFill="1" applyBorder="1" applyAlignment="1">
      <alignment horizontal="center"/>
    </xf>
    <xf numFmtId="164" fontId="56" fillId="13" borderId="44" xfId="0" applyNumberFormat="1" applyFont="1" applyFill="1" applyBorder="1" applyAlignment="1">
      <alignment horizontal="left"/>
    </xf>
    <xf numFmtId="49" fontId="57" fillId="13" borderId="44" xfId="0" applyNumberFormat="1" applyFont="1" applyFill="1" applyBorder="1" applyAlignment="1">
      <alignment horizontal="center"/>
    </xf>
    <xf numFmtId="176" fontId="57" fillId="13" borderId="44" xfId="0" applyNumberFormat="1" applyFont="1" applyFill="1" applyBorder="1" applyAlignment="1">
      <alignment horizontal="center"/>
    </xf>
    <xf numFmtId="164" fontId="57" fillId="13" borderId="44" xfId="0" applyNumberFormat="1" applyFont="1" applyFill="1" applyBorder="1"/>
    <xf numFmtId="0" fontId="56" fillId="0" borderId="0" xfId="0" applyFont="1"/>
    <xf numFmtId="0" fontId="57" fillId="0" borderId="0" xfId="0" applyFont="1"/>
    <xf numFmtId="164" fontId="58" fillId="14" borderId="45" xfId="0" applyNumberFormat="1" applyFont="1" applyFill="1" applyBorder="1" applyAlignment="1">
      <alignment horizontal="center"/>
    </xf>
    <xf numFmtId="0" fontId="58" fillId="0" borderId="0" xfId="0" applyFont="1"/>
    <xf numFmtId="0" fontId="59" fillId="0" borderId="0" xfId="0" applyFont="1"/>
    <xf numFmtId="164" fontId="29" fillId="0" borderId="2" xfId="0" applyNumberFormat="1" applyFont="1" applyBorder="1" applyAlignment="1">
      <alignment horizontal="left"/>
    </xf>
    <xf numFmtId="49" fontId="28" fillId="0" borderId="2" xfId="0" applyNumberFormat="1" applyFont="1" applyBorder="1" applyAlignment="1">
      <alignment horizontal="center"/>
    </xf>
    <xf numFmtId="168" fontId="28" fillId="0" borderId="2" xfId="0" applyNumberFormat="1" applyFont="1" applyBorder="1" applyAlignment="1">
      <alignment horizontal="center"/>
    </xf>
    <xf numFmtId="3" fontId="28" fillId="0" borderId="2" xfId="0" applyNumberFormat="1" applyFont="1" applyBorder="1" applyAlignment="1">
      <alignment horizontal="center"/>
    </xf>
    <xf numFmtId="164" fontId="28" fillId="0" borderId="2" xfId="0" applyNumberFormat="1" applyFont="1" applyBorder="1"/>
    <xf numFmtId="0" fontId="29" fillId="0" borderId="0" xfId="0" applyFont="1"/>
    <xf numFmtId="0" fontId="28" fillId="0" borderId="0" xfId="0" applyFont="1"/>
    <xf numFmtId="0" fontId="29" fillId="0" borderId="2" xfId="0" applyFont="1" applyBorder="1" applyAlignment="1">
      <alignment horizontal="left" vertical="top"/>
    </xf>
    <xf numFmtId="49" fontId="29" fillId="0" borderId="2" xfId="0" applyNumberFormat="1" applyFont="1" applyBorder="1" applyAlignment="1">
      <alignment horizontal="center"/>
    </xf>
    <xf numFmtId="168" fontId="29" fillId="0" borderId="2" xfId="0" applyNumberFormat="1" applyFont="1" applyBorder="1" applyAlignment="1">
      <alignment horizontal="center"/>
    </xf>
    <xf numFmtId="3" fontId="29" fillId="0" borderId="2" xfId="0" applyNumberFormat="1" applyFont="1" applyBorder="1" applyAlignment="1">
      <alignment horizontal="center"/>
    </xf>
    <xf numFmtId="0" fontId="29" fillId="0" borderId="2" xfId="0" applyFont="1" applyBorder="1" applyAlignment="1">
      <alignment vertical="top"/>
    </xf>
    <xf numFmtId="0" fontId="29" fillId="0" borderId="0" xfId="0" applyFont="1" applyAlignment="1">
      <alignment vertical="top"/>
    </xf>
    <xf numFmtId="169" fontId="27" fillId="7" borderId="45" xfId="0" applyNumberFormat="1" applyFont="1" applyFill="1" applyBorder="1" applyAlignment="1">
      <alignment horizontal="center" vertical="top"/>
    </xf>
    <xf numFmtId="0" fontId="26" fillId="7" borderId="1" xfId="0" applyFont="1" applyFill="1" applyBorder="1" applyAlignment="1">
      <alignment horizontal="left" vertical="top"/>
    </xf>
    <xf numFmtId="168" fontId="26" fillId="7" borderId="1" xfId="0" applyNumberFormat="1" applyFont="1" applyFill="1" applyBorder="1" applyAlignment="1">
      <alignment horizontal="center"/>
    </xf>
    <xf numFmtId="0" fontId="26" fillId="7" borderId="44" xfId="0" applyFont="1" applyFill="1" applyBorder="1" applyAlignment="1">
      <alignment horizontal="center" vertical="top"/>
    </xf>
    <xf numFmtId="0" fontId="26" fillId="7" borderId="44" xfId="0" applyFont="1" applyFill="1" applyBorder="1" applyAlignment="1">
      <alignment vertical="top"/>
    </xf>
    <xf numFmtId="168" fontId="26" fillId="7" borderId="45" xfId="0" applyNumberFormat="1" applyFont="1" applyFill="1" applyBorder="1" applyAlignment="1">
      <alignment horizontal="center"/>
    </xf>
    <xf numFmtId="0" fontId="26" fillId="7" borderId="64" xfId="0" applyFont="1" applyFill="1" applyBorder="1" applyAlignment="1">
      <alignment horizontal="center"/>
    </xf>
    <xf numFmtId="1" fontId="27" fillId="7" borderId="1" xfId="0" applyNumberFormat="1" applyFont="1" applyFill="1" applyBorder="1" applyAlignment="1">
      <alignment horizontal="center" vertical="top"/>
    </xf>
    <xf numFmtId="1" fontId="26" fillId="7" borderId="45" xfId="0" applyNumberFormat="1" applyFont="1" applyFill="1" applyBorder="1" applyAlignment="1">
      <alignment horizontal="center" vertical="top"/>
    </xf>
    <xf numFmtId="0" fontId="26" fillId="7" borderId="45" xfId="0" applyFont="1" applyFill="1" applyBorder="1" applyAlignment="1">
      <alignment horizontal="center"/>
    </xf>
    <xf numFmtId="3" fontId="26" fillId="7" borderId="44" xfId="0" applyNumberFormat="1" applyFont="1" applyFill="1" applyBorder="1" applyAlignment="1">
      <alignment horizontal="center"/>
    </xf>
    <xf numFmtId="3" fontId="26" fillId="7" borderId="44" xfId="0" applyNumberFormat="1" applyFont="1" applyFill="1" applyBorder="1" applyAlignment="1">
      <alignment horizontal="center" vertical="top"/>
    </xf>
    <xf numFmtId="0" fontId="26" fillId="7" borderId="69" xfId="0" applyFont="1" applyFill="1" applyBorder="1" applyAlignment="1">
      <alignment horizontal="left" vertical="top"/>
    </xf>
    <xf numFmtId="0" fontId="26" fillId="7" borderId="69" xfId="0" applyFont="1" applyFill="1" applyBorder="1" applyAlignment="1">
      <alignment horizontal="center"/>
    </xf>
    <xf numFmtId="1" fontId="46" fillId="7" borderId="1" xfId="0" applyNumberFormat="1" applyFont="1" applyFill="1" applyBorder="1" applyAlignment="1">
      <alignment horizontal="center" vertical="top"/>
    </xf>
    <xf numFmtId="0" fontId="46" fillId="7" borderId="1" xfId="0" applyFont="1" applyFill="1" applyBorder="1" applyAlignment="1">
      <alignment horizontal="center"/>
    </xf>
    <xf numFmtId="3" fontId="46" fillId="7" borderId="44" xfId="0" applyNumberFormat="1" applyFont="1" applyFill="1" applyBorder="1" applyAlignment="1">
      <alignment horizontal="center" vertical="top"/>
    </xf>
    <xf numFmtId="0" fontId="46" fillId="7" borderId="1" xfId="0" applyFont="1" applyFill="1" applyBorder="1"/>
    <xf numFmtId="3" fontId="46" fillId="7" borderId="44" xfId="0" applyNumberFormat="1" applyFont="1" applyFill="1" applyBorder="1" applyAlignment="1">
      <alignment horizontal="center"/>
    </xf>
    <xf numFmtId="170" fontId="46" fillId="7" borderId="1" xfId="0" applyNumberFormat="1" applyFont="1" applyFill="1" applyBorder="1" applyAlignment="1">
      <alignment horizontal="center"/>
    </xf>
    <xf numFmtId="1" fontId="26" fillId="0" borderId="70" xfId="0" applyNumberFormat="1" applyFont="1" applyBorder="1" applyAlignment="1">
      <alignment horizontal="center" vertical="top"/>
    </xf>
    <xf numFmtId="0" fontId="26" fillId="0" borderId="2" xfId="0" applyFont="1" applyBorder="1"/>
    <xf numFmtId="0" fontId="26" fillId="0" borderId="2" xfId="0" applyFont="1" applyBorder="1" applyAlignment="1">
      <alignment horizontal="center"/>
    </xf>
    <xf numFmtId="0" fontId="26" fillId="0" borderId="2" xfId="0" applyFont="1" applyBorder="1" applyAlignment="1">
      <alignment horizontal="center" vertical="top"/>
    </xf>
    <xf numFmtId="0" fontId="4" fillId="0" borderId="0" xfId="0" applyFont="1" applyAlignment="1">
      <alignment vertical="top"/>
    </xf>
    <xf numFmtId="0" fontId="10" fillId="0" borderId="0" xfId="0" applyFont="1" applyAlignment="1">
      <alignment vertical="top"/>
    </xf>
    <xf numFmtId="0" fontId="27" fillId="0" borderId="2" xfId="0" applyFont="1" applyBorder="1" applyAlignment="1">
      <alignment horizontal="left" vertical="top"/>
    </xf>
    <xf numFmtId="0" fontId="58" fillId="0" borderId="2" xfId="0" applyFont="1" applyBorder="1" applyAlignment="1">
      <alignment horizontal="center"/>
    </xf>
    <xf numFmtId="0" fontId="26" fillId="0" borderId="2" xfId="0" applyFont="1" applyBorder="1" applyAlignment="1">
      <alignment vertical="top"/>
    </xf>
    <xf numFmtId="1" fontId="29" fillId="0" borderId="1" xfId="0" applyNumberFormat="1" applyFont="1" applyBorder="1" applyAlignment="1">
      <alignment horizontal="center"/>
    </xf>
    <xf numFmtId="169" fontId="60" fillId="0" borderId="2" xfId="0" applyNumberFormat="1" applyFont="1" applyBorder="1" applyAlignment="1">
      <alignment horizontal="left" vertical="top"/>
    </xf>
    <xf numFmtId="0" fontId="60" fillId="0" borderId="2" xfId="0" applyFont="1" applyBorder="1" applyAlignment="1">
      <alignment horizontal="center"/>
    </xf>
    <xf numFmtId="169" fontId="60" fillId="0" borderId="2" xfId="0" applyNumberFormat="1" applyFont="1" applyBorder="1" applyAlignment="1">
      <alignment horizontal="center"/>
    </xf>
    <xf numFmtId="0" fontId="60" fillId="0" borderId="2" xfId="0" applyFont="1" applyBorder="1" applyAlignment="1">
      <alignment vertical="top"/>
    </xf>
    <xf numFmtId="0" fontId="60" fillId="0" borderId="0" xfId="0" applyFont="1" applyAlignment="1">
      <alignment vertical="top"/>
    </xf>
    <xf numFmtId="0" fontId="60" fillId="0" borderId="0" xfId="0" applyFont="1" applyAlignment="1">
      <alignment horizontal="left" vertical="top"/>
    </xf>
    <xf numFmtId="0" fontId="27" fillId="0" borderId="2" xfId="0" applyFont="1" applyBorder="1" applyAlignment="1">
      <alignment horizontal="center"/>
    </xf>
    <xf numFmtId="169" fontId="27" fillId="0" borderId="2" xfId="0" applyNumberFormat="1" applyFont="1" applyBorder="1" applyAlignment="1">
      <alignment horizontal="center"/>
    </xf>
    <xf numFmtId="168" fontId="26" fillId="0" borderId="2" xfId="0" applyNumberFormat="1" applyFont="1" applyBorder="1" applyAlignment="1">
      <alignment horizontal="center" vertical="top"/>
    </xf>
    <xf numFmtId="169" fontId="26" fillId="0" borderId="2" xfId="0" applyNumberFormat="1" applyFont="1" applyBorder="1" applyAlignment="1">
      <alignment horizontal="left" vertical="top"/>
    </xf>
    <xf numFmtId="2" fontId="27" fillId="0" borderId="2" xfId="0" applyNumberFormat="1" applyFont="1" applyBorder="1" applyAlignment="1">
      <alignment horizontal="center"/>
    </xf>
    <xf numFmtId="0" fontId="27" fillId="0" borderId="0" xfId="0" applyFont="1" applyAlignment="1">
      <alignment vertical="top"/>
    </xf>
    <xf numFmtId="0" fontId="26" fillId="0" borderId="2" xfId="0" applyFont="1" applyBorder="1" applyAlignment="1">
      <alignment horizontal="left" vertical="top"/>
    </xf>
    <xf numFmtId="164" fontId="60" fillId="14" borderId="45" xfId="0" applyNumberFormat="1" applyFont="1" applyFill="1" applyBorder="1" applyAlignment="1">
      <alignment horizontal="center"/>
    </xf>
    <xf numFmtId="0" fontId="60" fillId="0" borderId="2" xfId="0" applyFont="1" applyBorder="1" applyAlignment="1">
      <alignment horizontal="left"/>
    </xf>
    <xf numFmtId="0" fontId="60" fillId="0" borderId="2" xfId="0" applyFont="1" applyBorder="1" applyAlignment="1">
      <alignment horizontal="center" vertical="top"/>
    </xf>
    <xf numFmtId="1" fontId="26" fillId="14" borderId="45" xfId="0" applyNumberFormat="1" applyFont="1" applyFill="1" applyBorder="1" applyAlignment="1">
      <alignment horizontal="center"/>
    </xf>
    <xf numFmtId="1" fontId="58" fillId="14" borderId="45" xfId="0" applyNumberFormat="1" applyFont="1" applyFill="1" applyBorder="1" applyAlignment="1">
      <alignment horizontal="center"/>
    </xf>
    <xf numFmtId="0" fontId="28" fillId="0" borderId="2" xfId="0" applyFont="1" applyBorder="1" applyAlignment="1">
      <alignment horizontal="center"/>
    </xf>
    <xf numFmtId="0" fontId="28" fillId="0" borderId="1" xfId="0" applyFont="1" applyBorder="1" applyAlignment="1">
      <alignment horizontal="center"/>
    </xf>
    <xf numFmtId="0" fontId="62" fillId="2" borderId="1" xfId="0" applyFont="1" applyFill="1" applyBorder="1" applyAlignment="1">
      <alignment horizontal="center"/>
    </xf>
    <xf numFmtId="0" fontId="28" fillId="0" borderId="2" xfId="0" applyFont="1" applyBorder="1" applyAlignment="1">
      <alignment horizontal="center" vertical="top"/>
    </xf>
    <xf numFmtId="0" fontId="28" fillId="0" borderId="2" xfId="0" applyFont="1" applyBorder="1" applyAlignment="1">
      <alignment vertical="top"/>
    </xf>
    <xf numFmtId="0" fontId="60" fillId="0" borderId="2" xfId="0" applyFont="1" applyBorder="1" applyAlignment="1">
      <alignment horizontal="left" vertical="top"/>
    </xf>
    <xf numFmtId="0" fontId="61" fillId="0" borderId="2" xfId="0" applyFont="1" applyBorder="1" applyAlignment="1">
      <alignment horizontal="center"/>
    </xf>
    <xf numFmtId="0" fontId="61" fillId="0" borderId="1" xfId="0" applyFont="1" applyBorder="1" applyAlignment="1">
      <alignment horizontal="center"/>
    </xf>
    <xf numFmtId="0" fontId="61" fillId="0" borderId="2" xfId="0" applyFont="1" applyBorder="1" applyAlignment="1">
      <alignment horizontal="center" vertical="top"/>
    </xf>
    <xf numFmtId="0" fontId="61" fillId="0" borderId="2" xfId="0" applyFont="1" applyBorder="1" applyAlignment="1">
      <alignment vertical="top"/>
    </xf>
    <xf numFmtId="0" fontId="26" fillId="2" borderId="1" xfId="0" applyFont="1" applyFill="1" applyBorder="1" applyAlignment="1">
      <alignment horizontal="center"/>
    </xf>
    <xf numFmtId="169" fontId="27" fillId="0" borderId="2" xfId="0" applyNumberFormat="1" applyFont="1" applyBorder="1" applyAlignment="1">
      <alignment horizontal="left" vertical="top"/>
    </xf>
    <xf numFmtId="164" fontId="27" fillId="0" borderId="2" xfId="0" applyNumberFormat="1" applyFont="1" applyBorder="1" applyAlignment="1">
      <alignment horizontal="left"/>
    </xf>
    <xf numFmtId="164" fontId="4" fillId="0" borderId="1" xfId="0" applyNumberFormat="1" applyFont="1" applyBorder="1" applyAlignment="1">
      <alignment wrapText="1"/>
    </xf>
    <xf numFmtId="164" fontId="4" fillId="13" borderId="1" xfId="0" applyNumberFormat="1" applyFont="1" applyFill="1" applyBorder="1" applyAlignment="1">
      <alignment horizontal="left" wrapText="1"/>
    </xf>
    <xf numFmtId="0" fontId="10" fillId="0" borderId="1" xfId="0" applyFont="1" applyBorder="1" applyAlignment="1">
      <alignment horizontal="center" vertical="top"/>
    </xf>
    <xf numFmtId="0" fontId="10" fillId="0" borderId="1" xfId="0" applyFont="1" applyBorder="1" applyAlignment="1">
      <alignment vertical="top"/>
    </xf>
    <xf numFmtId="0" fontId="22" fillId="0" borderId="0" xfId="0" applyFont="1" applyAlignment="1">
      <alignment horizontal="left"/>
    </xf>
    <xf numFmtId="49" fontId="17" fillId="0" borderId="1" xfId="0" quotePrefix="1" applyNumberFormat="1" applyFont="1" applyBorder="1" applyAlignment="1">
      <alignment horizontal="left" vertical="center" wrapText="1"/>
    </xf>
    <xf numFmtId="164" fontId="17" fillId="13" borderId="52" xfId="0" applyNumberFormat="1" applyFont="1" applyFill="1" applyBorder="1" applyAlignment="1">
      <alignment horizontal="left" vertical="center" wrapText="1"/>
    </xf>
    <xf numFmtId="164" fontId="30" fillId="0" borderId="54" xfId="0" applyNumberFormat="1" applyFont="1" applyBorder="1" applyAlignment="1">
      <alignment vertical="center" wrapText="1"/>
    </xf>
    <xf numFmtId="164" fontId="17" fillId="0" borderId="40" xfId="0" applyNumberFormat="1" applyFont="1" applyBorder="1" applyAlignment="1">
      <alignment horizontal="left" vertical="center" wrapText="1"/>
    </xf>
    <xf numFmtId="0" fontId="15" fillId="0" borderId="71" xfId="0" applyFont="1" applyBorder="1" applyAlignment="1">
      <alignment horizontal="center" vertical="top" wrapText="1"/>
    </xf>
    <xf numFmtId="0" fontId="15" fillId="11" borderId="72" xfId="0" applyFont="1" applyFill="1" applyBorder="1" applyAlignment="1">
      <alignment vertical="top" wrapText="1"/>
    </xf>
    <xf numFmtId="3" fontId="15" fillId="11" borderId="72" xfId="0" applyNumberFormat="1" applyFont="1" applyFill="1" applyBorder="1" applyAlignment="1">
      <alignment wrapText="1"/>
    </xf>
    <xf numFmtId="166" fontId="15" fillId="11" borderId="72" xfId="0" applyNumberFormat="1" applyFont="1" applyFill="1" applyBorder="1" applyAlignment="1">
      <alignment wrapText="1"/>
    </xf>
    <xf numFmtId="168" fontId="17" fillId="7" borderId="21" xfId="0" applyNumberFormat="1" applyFont="1" applyFill="1" applyBorder="1" applyAlignment="1">
      <alignment horizontal="center" vertical="center" wrapText="1"/>
    </xf>
    <xf numFmtId="169" fontId="8" fillId="0" borderId="28" xfId="0" applyNumberFormat="1" applyFont="1" applyBorder="1" applyAlignment="1">
      <alignment wrapText="1"/>
    </xf>
    <xf numFmtId="168" fontId="8" fillId="10" borderId="73" xfId="0" applyNumberFormat="1" applyFont="1" applyFill="1" applyBorder="1" applyAlignment="1">
      <alignment horizontal="right"/>
    </xf>
    <xf numFmtId="168" fontId="8" fillId="10" borderId="74" xfId="0" applyNumberFormat="1" applyFont="1" applyFill="1" applyBorder="1" applyAlignment="1">
      <alignment horizontal="right" wrapText="1"/>
    </xf>
    <xf numFmtId="169" fontId="8" fillId="0" borderId="0" xfId="0" applyNumberFormat="1" applyFont="1" applyAlignment="1">
      <alignment wrapText="1"/>
    </xf>
    <xf numFmtId="168" fontId="8" fillId="10" borderId="75" xfId="0" applyNumberFormat="1" applyFont="1" applyFill="1" applyBorder="1" applyAlignment="1">
      <alignment horizontal="right"/>
    </xf>
    <xf numFmtId="168" fontId="8" fillId="10" borderId="75" xfId="0" applyNumberFormat="1" applyFont="1" applyFill="1" applyBorder="1" applyAlignment="1">
      <alignment horizontal="right" wrapText="1"/>
    </xf>
    <xf numFmtId="3" fontId="15" fillId="11" borderId="72" xfId="0" applyNumberFormat="1" applyFont="1" applyFill="1" applyBorder="1"/>
    <xf numFmtId="166" fontId="15" fillId="11" borderId="72" xfId="0" applyNumberFormat="1" applyFont="1" applyFill="1" applyBorder="1"/>
    <xf numFmtId="168" fontId="15" fillId="11" borderId="72" xfId="0" applyNumberFormat="1" applyFont="1" applyFill="1" applyBorder="1"/>
    <xf numFmtId="169" fontId="8" fillId="0" borderId="53" xfId="0" applyNumberFormat="1" applyFont="1" applyBorder="1" applyAlignment="1">
      <alignment vertical="top" wrapText="1"/>
    </xf>
    <xf numFmtId="168" fontId="8" fillId="0" borderId="76" xfId="0" applyNumberFormat="1" applyFont="1" applyBorder="1" applyAlignment="1">
      <alignment horizontal="right" wrapText="1"/>
    </xf>
    <xf numFmtId="3" fontId="8" fillId="15" borderId="74" xfId="0" applyNumberFormat="1" applyFont="1" applyFill="1" applyBorder="1" applyAlignment="1">
      <alignment horizontal="right"/>
    </xf>
    <xf numFmtId="166" fontId="8" fillId="15" borderId="74" xfId="0" applyNumberFormat="1" applyFont="1" applyFill="1" applyBorder="1" applyAlignment="1">
      <alignment horizontal="right"/>
    </xf>
    <xf numFmtId="168" fontId="8" fillId="15" borderId="74" xfId="0" applyNumberFormat="1" applyFont="1" applyFill="1" applyBorder="1" applyAlignment="1">
      <alignment horizontal="right"/>
    </xf>
    <xf numFmtId="3" fontId="8" fillId="15" borderId="73" xfId="0" applyNumberFormat="1" applyFont="1" applyFill="1" applyBorder="1" applyAlignment="1">
      <alignment horizontal="right"/>
    </xf>
    <xf numFmtId="168" fontId="8" fillId="15" borderId="74" xfId="0" applyNumberFormat="1" applyFont="1" applyFill="1" applyBorder="1" applyAlignment="1">
      <alignment horizontal="right" wrapText="1"/>
    </xf>
    <xf numFmtId="3" fontId="8" fillId="0" borderId="76" xfId="0" applyNumberFormat="1" applyFont="1" applyBorder="1" applyAlignment="1">
      <alignment horizontal="right"/>
    </xf>
    <xf numFmtId="168" fontId="8" fillId="0" borderId="76" xfId="0" applyNumberFormat="1" applyFont="1" applyBorder="1" applyAlignment="1">
      <alignment horizontal="right"/>
    </xf>
    <xf numFmtId="3" fontId="8" fillId="0" borderId="0" xfId="0" applyNumberFormat="1" applyFont="1" applyAlignment="1">
      <alignment horizontal="right"/>
    </xf>
    <xf numFmtId="169" fontId="26" fillId="11" borderId="77" xfId="0" applyNumberFormat="1" applyFont="1" applyFill="1" applyBorder="1" applyAlignment="1">
      <alignment wrapText="1"/>
    </xf>
    <xf numFmtId="166" fontId="8" fillId="2" borderId="74" xfId="0" applyNumberFormat="1" applyFont="1" applyFill="1" applyBorder="1" applyAlignment="1">
      <alignment horizontal="right"/>
    </xf>
    <xf numFmtId="169" fontId="15" fillId="0" borderId="78" xfId="0" applyNumberFormat="1" applyFont="1" applyBorder="1" applyAlignment="1">
      <alignment vertical="top" wrapText="1"/>
    </xf>
    <xf numFmtId="3" fontId="9" fillId="0" borderId="78" xfId="0" applyNumberFormat="1" applyFont="1" applyBorder="1"/>
    <xf numFmtId="166" fontId="9" fillId="0" borderId="78" xfId="0" applyNumberFormat="1" applyFont="1" applyBorder="1"/>
    <xf numFmtId="168" fontId="9" fillId="0" borderId="78" xfId="0" applyNumberFormat="1" applyFont="1" applyBorder="1"/>
    <xf numFmtId="168" fontId="9" fillId="0" borderId="78" xfId="0" applyNumberFormat="1" applyFont="1" applyBorder="1" applyAlignment="1">
      <alignment vertical="top"/>
    </xf>
    <xf numFmtId="169" fontId="8" fillId="0" borderId="54" xfId="0" applyNumberFormat="1" applyFont="1" applyBorder="1" applyAlignment="1">
      <alignment vertical="top" wrapText="1"/>
    </xf>
    <xf numFmtId="3" fontId="9" fillId="0" borderId="54" xfId="0" applyNumberFormat="1" applyFont="1" applyBorder="1"/>
    <xf numFmtId="166" fontId="9" fillId="0" borderId="54" xfId="0" applyNumberFormat="1" applyFont="1" applyBorder="1"/>
    <xf numFmtId="168" fontId="9" fillId="0" borderId="54" xfId="0" applyNumberFormat="1" applyFont="1" applyBorder="1"/>
    <xf numFmtId="168" fontId="9" fillId="0" borderId="54" xfId="0" applyNumberFormat="1" applyFont="1" applyBorder="1" applyAlignment="1">
      <alignment vertical="top"/>
    </xf>
    <xf numFmtId="1" fontId="8" fillId="0" borderId="53" xfId="0" applyNumberFormat="1" applyFont="1" applyBorder="1" applyAlignment="1">
      <alignment vertical="top" wrapText="1"/>
    </xf>
    <xf numFmtId="3" fontId="9" fillId="0" borderId="79" xfId="0" applyNumberFormat="1" applyFont="1" applyBorder="1"/>
    <xf numFmtId="164" fontId="15" fillId="0" borderId="80" xfId="0" applyNumberFormat="1" applyFont="1" applyBorder="1" applyAlignment="1">
      <alignment horizontal="right" wrapText="1"/>
    </xf>
    <xf numFmtId="164" fontId="29" fillId="2" borderId="74" xfId="0" applyNumberFormat="1" applyFont="1" applyFill="1" applyBorder="1" applyAlignment="1">
      <alignment wrapText="1"/>
    </xf>
    <xf numFmtId="3" fontId="9" fillId="2" borderId="74" xfId="0" applyNumberFormat="1" applyFont="1" applyFill="1" applyBorder="1"/>
    <xf numFmtId="166" fontId="9" fillId="2" borderId="74" xfId="0" applyNumberFormat="1" applyFont="1" applyFill="1" applyBorder="1"/>
    <xf numFmtId="168" fontId="9" fillId="2" borderId="74" xfId="0" applyNumberFormat="1" applyFont="1" applyFill="1" applyBorder="1"/>
    <xf numFmtId="1" fontId="15" fillId="0" borderId="80" xfId="0" applyNumberFormat="1" applyFont="1" applyBorder="1" applyAlignment="1">
      <alignment horizontal="center" vertical="top" wrapText="1"/>
    </xf>
    <xf numFmtId="0" fontId="15" fillId="2" borderId="74" xfId="0" applyFont="1" applyFill="1" applyBorder="1" applyAlignment="1">
      <alignment vertical="top" wrapText="1"/>
    </xf>
    <xf numFmtId="0" fontId="15" fillId="11" borderId="74" xfId="0" applyFont="1" applyFill="1" applyBorder="1" applyAlignment="1">
      <alignment vertical="top" wrapText="1"/>
    </xf>
    <xf numFmtId="3" fontId="15" fillId="11" borderId="74" xfId="0" applyNumberFormat="1" applyFont="1" applyFill="1" applyBorder="1" applyAlignment="1">
      <alignment wrapText="1"/>
    </xf>
    <xf numFmtId="166" fontId="15" fillId="11" borderId="74" xfId="0" applyNumberFormat="1" applyFont="1" applyFill="1" applyBorder="1" applyAlignment="1">
      <alignment horizontal="right" wrapText="1"/>
    </xf>
    <xf numFmtId="3" fontId="15" fillId="11" borderId="74" xfId="0" applyNumberFormat="1" applyFont="1" applyFill="1" applyBorder="1" applyAlignment="1">
      <alignment horizontal="right" wrapText="1"/>
    </xf>
    <xf numFmtId="168" fontId="15" fillId="11" borderId="74" xfId="0" applyNumberFormat="1" applyFont="1" applyFill="1" applyBorder="1" applyAlignment="1">
      <alignment horizontal="right" wrapText="1"/>
    </xf>
    <xf numFmtId="3" fontId="15" fillId="11" borderId="73" xfId="0" applyNumberFormat="1" applyFont="1" applyFill="1" applyBorder="1" applyAlignment="1">
      <alignment horizontal="right" wrapText="1"/>
    </xf>
    <xf numFmtId="0" fontId="1" fillId="0" borderId="1" xfId="0" applyFont="1" applyBorder="1"/>
    <xf numFmtId="164" fontId="8" fillId="0" borderId="76" xfId="0" applyNumberFormat="1" applyFont="1" applyBorder="1" applyAlignment="1">
      <alignment wrapText="1"/>
    </xf>
    <xf numFmtId="3" fontId="8" fillId="0" borderId="76" xfId="0" applyNumberFormat="1" applyFont="1" applyBorder="1" applyAlignment="1">
      <alignment horizontal="right" wrapText="1"/>
    </xf>
    <xf numFmtId="3" fontId="8" fillId="0" borderId="0" xfId="0" applyNumberFormat="1" applyFont="1" applyAlignment="1">
      <alignment horizontal="right" wrapText="1"/>
    </xf>
    <xf numFmtId="1" fontId="9" fillId="11" borderId="63" xfId="0" applyNumberFormat="1" applyFont="1" applyFill="1" applyBorder="1" applyAlignment="1">
      <alignment vertical="top"/>
    </xf>
    <xf numFmtId="164" fontId="8" fillId="11" borderId="73" xfId="0" applyNumberFormat="1" applyFont="1" applyFill="1" applyBorder="1" applyAlignment="1">
      <alignment wrapText="1"/>
    </xf>
    <xf numFmtId="3" fontId="15" fillId="11" borderId="73" xfId="0" applyNumberFormat="1" applyFont="1" applyFill="1" applyBorder="1" applyAlignment="1">
      <alignment horizontal="right"/>
    </xf>
    <xf numFmtId="168" fontId="9" fillId="10" borderId="73" xfId="0" applyNumberFormat="1" applyFont="1" applyFill="1" applyBorder="1"/>
    <xf numFmtId="164" fontId="15" fillId="0" borderId="53" xfId="0" applyNumberFormat="1" applyFont="1" applyBorder="1" applyAlignment="1">
      <alignment wrapText="1"/>
    </xf>
    <xf numFmtId="164" fontId="15" fillId="0" borderId="0" xfId="0" applyNumberFormat="1" applyFont="1" applyAlignment="1">
      <alignment wrapText="1"/>
    </xf>
    <xf numFmtId="0" fontId="15" fillId="0" borderId="0" xfId="0" applyFont="1" applyAlignment="1">
      <alignment horizontal="center" wrapText="1"/>
    </xf>
    <xf numFmtId="0" fontId="8" fillId="0" borderId="0" xfId="0" applyFont="1" applyAlignment="1">
      <alignment horizontal="right" wrapText="1"/>
    </xf>
    <xf numFmtId="0" fontId="8" fillId="0" borderId="0" xfId="0" applyFont="1" applyAlignment="1">
      <alignment horizontal="center" vertical="top" wrapText="1"/>
    </xf>
    <xf numFmtId="164" fontId="15" fillId="0" borderId="53" xfId="0" applyNumberFormat="1" applyFont="1" applyBorder="1" applyAlignment="1">
      <alignment horizontal="right" wrapText="1"/>
    </xf>
    <xf numFmtId="164" fontId="15" fillId="0" borderId="54" xfId="0" applyNumberFormat="1" applyFont="1" applyBorder="1" applyAlignment="1">
      <alignment wrapText="1"/>
    </xf>
    <xf numFmtId="0" fontId="9" fillId="0" borderId="54" xfId="0" applyFont="1" applyBorder="1"/>
    <xf numFmtId="0" fontId="9" fillId="0" borderId="54" xfId="0" applyFont="1" applyBorder="1" applyAlignment="1">
      <alignment vertical="top"/>
    </xf>
    <xf numFmtId="1" fontId="15" fillId="0" borderId="53" xfId="0" applyNumberFormat="1" applyFont="1" applyBorder="1" applyAlignment="1">
      <alignment horizontal="center" vertical="top" wrapText="1"/>
    </xf>
    <xf numFmtId="0" fontId="15" fillId="0" borderId="54" xfId="0" applyFont="1" applyBorder="1" applyAlignment="1">
      <alignment vertical="top" wrapText="1"/>
    </xf>
    <xf numFmtId="0" fontId="8" fillId="0" borderId="54" xfId="0" applyFont="1" applyBorder="1" applyAlignment="1">
      <alignment vertical="top" wrapText="1"/>
    </xf>
    <xf numFmtId="164" fontId="8" fillId="0" borderId="54" xfId="0" applyNumberFormat="1" applyFont="1" applyBorder="1" applyAlignment="1">
      <alignment vertical="top" wrapText="1"/>
    </xf>
    <xf numFmtId="169" fontId="15" fillId="0" borderId="54" xfId="0" applyNumberFormat="1" applyFont="1" applyBorder="1" applyAlignment="1">
      <alignment vertical="top" wrapText="1"/>
    </xf>
    <xf numFmtId="164" fontId="9" fillId="0" borderId="54" xfId="0" applyNumberFormat="1" applyFont="1" applyBorder="1" applyAlignment="1">
      <alignment vertical="top"/>
    </xf>
    <xf numFmtId="1" fontId="15" fillId="0" borderId="1" xfId="0" applyNumberFormat="1" applyFont="1" applyBorder="1" applyAlignment="1">
      <alignment horizontal="center" vertical="top" wrapText="1"/>
    </xf>
    <xf numFmtId="169" fontId="15" fillId="0" borderId="1" xfId="0" applyNumberFormat="1" applyFont="1" applyBorder="1" applyAlignment="1">
      <alignment vertical="top" wrapText="1"/>
    </xf>
    <xf numFmtId="3" fontId="9" fillId="0" borderId="1" xfId="0" applyNumberFormat="1" applyFont="1" applyBorder="1"/>
    <xf numFmtId="164" fontId="9" fillId="0" borderId="1" xfId="0" applyNumberFormat="1" applyFont="1" applyBorder="1"/>
    <xf numFmtId="169" fontId="9" fillId="0" borderId="1" xfId="0" applyNumberFormat="1" applyFont="1" applyBorder="1"/>
    <xf numFmtId="168" fontId="9" fillId="0" borderId="1" xfId="0" applyNumberFormat="1" applyFont="1" applyBorder="1"/>
    <xf numFmtId="168" fontId="9" fillId="0" borderId="1" xfId="0" applyNumberFormat="1" applyFont="1" applyBorder="1" applyAlignment="1">
      <alignment vertical="top"/>
    </xf>
    <xf numFmtId="0" fontId="9" fillId="0" borderId="1" xfId="0" applyFont="1" applyBorder="1" applyAlignment="1">
      <alignment vertical="top"/>
    </xf>
    <xf numFmtId="1" fontId="15" fillId="2" borderId="1" xfId="0" applyNumberFormat="1" applyFont="1" applyFill="1" applyBorder="1" applyAlignment="1">
      <alignment horizontal="right" vertical="top" wrapText="1"/>
    </xf>
    <xf numFmtId="164" fontId="29" fillId="0" borderId="1" xfId="0" applyNumberFormat="1" applyFont="1" applyBorder="1" applyAlignment="1">
      <alignment wrapText="1"/>
    </xf>
    <xf numFmtId="1" fontId="9" fillId="0" borderId="1" xfId="0" applyNumberFormat="1" applyFont="1" applyBorder="1"/>
    <xf numFmtId="1" fontId="8" fillId="0" borderId="1" xfId="0" applyNumberFormat="1" applyFont="1" applyBorder="1" applyAlignment="1">
      <alignment horizontal="center" vertical="top" wrapText="1"/>
    </xf>
    <xf numFmtId="1" fontId="9" fillId="7" borderId="1" xfId="0" applyNumberFormat="1" applyFont="1" applyFill="1" applyBorder="1" applyAlignment="1">
      <alignment vertical="top"/>
    </xf>
    <xf numFmtId="0" fontId="15" fillId="7" borderId="1" xfId="0" applyFont="1" applyFill="1" applyBorder="1" applyAlignment="1">
      <alignment wrapText="1"/>
    </xf>
    <xf numFmtId="3" fontId="15" fillId="7" borderId="1" xfId="0" applyNumberFormat="1" applyFont="1" applyFill="1" applyBorder="1"/>
    <xf numFmtId="166" fontId="15" fillId="7" borderId="1" xfId="0" applyNumberFormat="1" applyFont="1" applyFill="1" applyBorder="1"/>
    <xf numFmtId="169" fontId="8" fillId="7" borderId="1" xfId="0" applyNumberFormat="1" applyFont="1" applyFill="1" applyBorder="1" applyAlignment="1">
      <alignment wrapText="1"/>
    </xf>
    <xf numFmtId="3" fontId="8" fillId="7" borderId="1" xfId="0" applyNumberFormat="1" applyFont="1" applyFill="1" applyBorder="1" applyAlignment="1">
      <alignment horizontal="right" wrapText="1"/>
    </xf>
    <xf numFmtId="166" fontId="9" fillId="7" borderId="1" xfId="0" applyNumberFormat="1" applyFont="1" applyFill="1" applyBorder="1"/>
    <xf numFmtId="168" fontId="8" fillId="7" borderId="1" xfId="0" applyNumberFormat="1" applyFont="1" applyFill="1" applyBorder="1" applyAlignment="1">
      <alignment horizontal="right" wrapText="1"/>
    </xf>
    <xf numFmtId="168" fontId="26" fillId="2" borderId="1" xfId="0" applyNumberFormat="1" applyFont="1" applyFill="1" applyBorder="1" applyAlignment="1">
      <alignment horizontal="right"/>
    </xf>
    <xf numFmtId="4" fontId="26" fillId="2" borderId="1" xfId="0" applyNumberFormat="1" applyFont="1" applyFill="1" applyBorder="1" applyAlignment="1">
      <alignment horizontal="right" wrapText="1"/>
    </xf>
    <xf numFmtId="0" fontId="26" fillId="2" borderId="1" xfId="0" applyFont="1" applyFill="1" applyBorder="1" applyAlignment="1">
      <alignment horizontal="center" vertical="top" wrapText="1"/>
    </xf>
    <xf numFmtId="4" fontId="26" fillId="2" borderId="1" xfId="0" applyNumberFormat="1" applyFont="1" applyFill="1" applyBorder="1" applyAlignment="1">
      <alignment horizontal="center" vertical="top" wrapText="1"/>
    </xf>
    <xf numFmtId="164" fontId="8" fillId="7" borderId="1" xfId="0" applyNumberFormat="1" applyFont="1" applyFill="1" applyBorder="1" applyAlignment="1">
      <alignment wrapText="1"/>
    </xf>
    <xf numFmtId="1" fontId="15" fillId="7" borderId="1" xfId="0" applyNumberFormat="1" applyFont="1" applyFill="1" applyBorder="1" applyAlignment="1">
      <alignment vertical="top" wrapText="1"/>
    </xf>
    <xf numFmtId="164" fontId="15" fillId="7" borderId="1" xfId="0" applyNumberFormat="1" applyFont="1" applyFill="1" applyBorder="1" applyAlignment="1">
      <alignment vertical="top" wrapText="1"/>
    </xf>
    <xf numFmtId="177" fontId="15" fillId="7" borderId="1" xfId="0" applyNumberFormat="1" applyFont="1" applyFill="1" applyBorder="1" applyAlignment="1">
      <alignment vertical="top" wrapText="1"/>
    </xf>
    <xf numFmtId="0" fontId="15" fillId="7" borderId="1" xfId="0" applyFont="1" applyFill="1" applyBorder="1" applyAlignment="1">
      <alignment vertical="top" wrapText="1"/>
    </xf>
    <xf numFmtId="164" fontId="9" fillId="7" borderId="1" xfId="0" applyNumberFormat="1" applyFont="1" applyFill="1" applyBorder="1"/>
    <xf numFmtId="164" fontId="15" fillId="7" borderId="1" xfId="0" applyNumberFormat="1" applyFont="1" applyFill="1" applyBorder="1" applyAlignment="1">
      <alignment wrapText="1"/>
    </xf>
    <xf numFmtId="3" fontId="63" fillId="7" borderId="1" xfId="0" applyNumberFormat="1" applyFont="1" applyFill="1" applyBorder="1" applyAlignment="1">
      <alignment horizontal="center" vertical="top"/>
    </xf>
    <xf numFmtId="164" fontId="63" fillId="7" borderId="1" xfId="0" applyNumberFormat="1" applyFont="1" applyFill="1" applyBorder="1" applyAlignment="1">
      <alignment horizontal="center" vertical="top"/>
    </xf>
    <xf numFmtId="1" fontId="15" fillId="7" borderId="1" xfId="0" applyNumberFormat="1" applyFont="1" applyFill="1" applyBorder="1" applyAlignment="1">
      <alignment horizontal="center" wrapText="1"/>
    </xf>
    <xf numFmtId="1" fontId="9" fillId="7" borderId="1" xfId="0" applyNumberFormat="1" applyFont="1" applyFill="1" applyBorder="1"/>
    <xf numFmtId="1" fontId="24" fillId="7" borderId="1" xfId="0" applyNumberFormat="1" applyFont="1" applyFill="1" applyBorder="1"/>
    <xf numFmtId="1" fontId="9" fillId="7" borderId="1" xfId="0" applyNumberFormat="1" applyFont="1" applyFill="1" applyBorder="1" applyAlignment="1">
      <alignment horizontal="center"/>
    </xf>
    <xf numFmtId="1" fontId="24" fillId="7" borderId="1" xfId="0" applyNumberFormat="1" applyFont="1" applyFill="1" applyBorder="1" applyAlignment="1">
      <alignment horizontal="center"/>
    </xf>
    <xf numFmtId="1" fontId="15" fillId="7" borderId="1" xfId="0" applyNumberFormat="1" applyFont="1" applyFill="1" applyBorder="1"/>
    <xf numFmtId="1" fontId="15" fillId="7" borderId="1" xfId="0" applyNumberFormat="1" applyFont="1" applyFill="1" applyBorder="1" applyAlignment="1">
      <alignment horizontal="center"/>
    </xf>
    <xf numFmtId="0" fontId="9" fillId="7" borderId="1" xfId="0" applyFont="1" applyFill="1" applyBorder="1"/>
    <xf numFmtId="177" fontId="9" fillId="7" borderId="1" xfId="0" applyNumberFormat="1" applyFont="1" applyFill="1" applyBorder="1"/>
    <xf numFmtId="0" fontId="9" fillId="7" borderId="1" xfId="0" applyFont="1" applyFill="1" applyBorder="1" applyAlignment="1">
      <alignment vertical="top"/>
    </xf>
    <xf numFmtId="172" fontId="9" fillId="7" borderId="1" xfId="0" applyNumberFormat="1" applyFont="1" applyFill="1" applyBorder="1"/>
    <xf numFmtId="172" fontId="9" fillId="7" borderId="1" xfId="0" applyNumberFormat="1" applyFont="1" applyFill="1" applyBorder="1" applyAlignment="1">
      <alignment vertical="top"/>
    </xf>
    <xf numFmtId="164" fontId="8" fillId="7" borderId="1" xfId="0" applyNumberFormat="1" applyFont="1" applyFill="1" applyBorder="1" applyAlignment="1">
      <alignment vertical="top" wrapText="1"/>
    </xf>
    <xf numFmtId="172" fontId="15" fillId="7" borderId="1" xfId="0" applyNumberFormat="1" applyFont="1" applyFill="1" applyBorder="1" applyAlignment="1">
      <alignment horizontal="center" wrapText="1"/>
    </xf>
    <xf numFmtId="0" fontId="8" fillId="7" borderId="1" xfId="0" applyFont="1" applyFill="1" applyBorder="1" applyAlignment="1">
      <alignment vertical="top" wrapText="1"/>
    </xf>
    <xf numFmtId="0" fontId="15" fillId="7" borderId="1" xfId="0" applyFont="1" applyFill="1" applyBorder="1" applyAlignment="1">
      <alignment horizontal="center" wrapText="1"/>
    </xf>
    <xf numFmtId="0" fontId="17" fillId="0" borderId="88" xfId="0" applyFont="1" applyBorder="1" applyAlignment="1">
      <alignment horizontal="center" vertical="center" wrapText="1"/>
    </xf>
    <xf numFmtId="0" fontId="40" fillId="0" borderId="89" xfId="0" applyFont="1" applyBorder="1" applyAlignment="1">
      <alignment horizontal="center" vertical="center" wrapText="1"/>
    </xf>
    <xf numFmtId="0" fontId="40" fillId="0" borderId="90" xfId="0" applyFont="1" applyBorder="1" applyAlignment="1">
      <alignment horizontal="center" vertical="center" wrapText="1"/>
    </xf>
    <xf numFmtId="0" fontId="40" fillId="5" borderId="90" xfId="0" applyFont="1" applyFill="1" applyBorder="1" applyAlignment="1">
      <alignment horizontal="center" vertical="center" wrapText="1"/>
    </xf>
    <xf numFmtId="0" fontId="40" fillId="10" borderId="91" xfId="0" applyFont="1" applyFill="1" applyBorder="1" applyAlignment="1">
      <alignment horizontal="center" vertical="center" wrapText="1"/>
    </xf>
    <xf numFmtId="49" fontId="17" fillId="0" borderId="92" xfId="0" applyNumberFormat="1" applyFont="1" applyBorder="1" applyAlignment="1">
      <alignment horizontal="center" vertical="center" wrapText="1"/>
    </xf>
    <xf numFmtId="0" fontId="25" fillId="0" borderId="0" xfId="0" applyFont="1"/>
    <xf numFmtId="164" fontId="25" fillId="5" borderId="34" xfId="0" applyNumberFormat="1" applyFont="1" applyFill="1" applyBorder="1" applyAlignment="1">
      <alignment vertical="center" wrapText="1"/>
    </xf>
    <xf numFmtId="1" fontId="25" fillId="5" borderId="52" xfId="0" applyNumberFormat="1" applyFont="1" applyFill="1" applyBorder="1" applyAlignment="1">
      <alignment vertical="center" wrapText="1"/>
    </xf>
    <xf numFmtId="164" fontId="64" fillId="0" borderId="53" xfId="0" applyNumberFormat="1" applyFont="1" applyBorder="1" applyAlignment="1">
      <alignment vertical="center" wrapText="1"/>
    </xf>
    <xf numFmtId="164" fontId="64" fillId="0" borderId="54" xfId="0" applyNumberFormat="1" applyFont="1" applyBorder="1" applyAlignment="1">
      <alignment vertical="center" wrapText="1"/>
    </xf>
    <xf numFmtId="1" fontId="64" fillId="0" borderId="40" xfId="0" applyNumberFormat="1" applyFont="1" applyBorder="1" applyAlignment="1">
      <alignment horizontal="center" vertical="center" wrapText="1"/>
    </xf>
    <xf numFmtId="1" fontId="64" fillId="0" borderId="40" xfId="0" applyNumberFormat="1" applyFont="1" applyBorder="1" applyAlignment="1">
      <alignment horizontal="right" vertical="center" wrapText="1"/>
    </xf>
    <xf numFmtId="1" fontId="64" fillId="0" borderId="40" xfId="0" applyNumberFormat="1" applyFont="1" applyBorder="1" applyAlignment="1">
      <alignment vertical="center" wrapText="1"/>
    </xf>
    <xf numFmtId="0" fontId="17" fillId="0" borderId="89" xfId="0" applyFont="1" applyBorder="1" applyAlignment="1">
      <alignment horizontal="center" vertical="top" wrapText="1"/>
    </xf>
    <xf numFmtId="0" fontId="17" fillId="0" borderId="90" xfId="0" applyFont="1" applyBorder="1" applyAlignment="1">
      <alignment vertical="top" wrapText="1"/>
    </xf>
    <xf numFmtId="0" fontId="17" fillId="0" borderId="90" xfId="0" applyFont="1" applyBorder="1" applyAlignment="1">
      <alignment horizontal="center" vertical="center" wrapText="1"/>
    </xf>
    <xf numFmtId="169" fontId="17" fillId="0" borderId="90" xfId="0" applyNumberFormat="1" applyFont="1" applyBorder="1" applyAlignment="1">
      <alignment horizontal="center" vertical="center" wrapText="1"/>
    </xf>
    <xf numFmtId="0" fontId="16" fillId="0" borderId="93" xfId="0" applyFont="1" applyBorder="1" applyAlignment="1">
      <alignment vertical="top" wrapText="1"/>
    </xf>
    <xf numFmtId="0" fontId="16" fillId="0" borderId="68" xfId="0" applyFont="1" applyBorder="1" applyAlignment="1">
      <alignment vertical="center" wrapText="1"/>
    </xf>
    <xf numFmtId="0" fontId="16" fillId="0" borderId="88" xfId="0" applyFont="1" applyBorder="1" applyAlignment="1">
      <alignment horizontal="center" vertical="center" wrapText="1"/>
    </xf>
    <xf numFmtId="0" fontId="16" fillId="0" borderId="88" xfId="0" applyFont="1" applyBorder="1" applyAlignment="1">
      <alignment horizontal="right" vertical="center" wrapText="1"/>
    </xf>
    <xf numFmtId="169" fontId="16" fillId="0" borderId="88" xfId="0" applyNumberFormat="1" applyFont="1" applyBorder="1" applyAlignment="1">
      <alignment horizontal="right" vertical="center" wrapText="1"/>
    </xf>
    <xf numFmtId="0" fontId="16" fillId="0" borderId="88" xfId="0" applyFont="1" applyBorder="1" applyAlignment="1">
      <alignment horizontal="right" vertical="top" wrapText="1"/>
    </xf>
    <xf numFmtId="0" fontId="16" fillId="0" borderId="94" xfId="0" applyFont="1" applyBorder="1" applyAlignment="1">
      <alignment vertical="top" wrapText="1"/>
    </xf>
    <xf numFmtId="0" fontId="16" fillId="0" borderId="88" xfId="0" applyFont="1" applyBorder="1" applyAlignment="1">
      <alignment vertical="center" wrapText="1"/>
    </xf>
    <xf numFmtId="0" fontId="17" fillId="0" borderId="94" xfId="0" applyFont="1" applyBorder="1" applyAlignment="1">
      <alignment horizontal="right" vertical="top" wrapText="1"/>
    </xf>
    <xf numFmtId="0" fontId="17" fillId="0" borderId="88" xfId="0" applyFont="1" applyBorder="1" applyAlignment="1">
      <alignment vertical="top" wrapText="1"/>
    </xf>
    <xf numFmtId="1" fontId="17" fillId="0" borderId="88" xfId="0" applyNumberFormat="1" applyFont="1" applyBorder="1" applyAlignment="1">
      <alignment horizontal="center" vertical="center" wrapText="1"/>
    </xf>
    <xf numFmtId="169" fontId="17" fillId="0" borderId="88" xfId="0" applyNumberFormat="1" applyFont="1" applyBorder="1" applyAlignment="1">
      <alignment horizontal="center" vertical="center" wrapText="1"/>
    </xf>
    <xf numFmtId="1" fontId="16" fillId="0" borderId="88" xfId="0" applyNumberFormat="1" applyFont="1" applyBorder="1" applyAlignment="1">
      <alignment horizontal="center" vertical="center" wrapText="1"/>
    </xf>
    <xf numFmtId="1" fontId="16" fillId="0" borderId="88" xfId="0" applyNumberFormat="1" applyFont="1" applyBorder="1" applyAlignment="1">
      <alignment horizontal="right" vertical="center" wrapText="1"/>
    </xf>
    <xf numFmtId="1" fontId="16" fillId="0" borderId="88" xfId="0" applyNumberFormat="1" applyFont="1" applyBorder="1" applyAlignment="1">
      <alignment horizontal="right" vertical="top" wrapText="1"/>
    </xf>
    <xf numFmtId="0" fontId="16" fillId="7" borderId="95" xfId="0" applyFont="1" applyFill="1" applyBorder="1" applyAlignment="1">
      <alignment vertical="top" wrapText="1"/>
    </xf>
    <xf numFmtId="0" fontId="16" fillId="7" borderId="88" xfId="0" applyFont="1" applyFill="1" applyBorder="1" applyAlignment="1">
      <alignment vertical="center" wrapText="1"/>
    </xf>
    <xf numFmtId="0" fontId="16" fillId="7" borderId="88" xfId="0" applyFont="1" applyFill="1" applyBorder="1" applyAlignment="1">
      <alignment horizontal="center" vertical="center" wrapText="1"/>
    </xf>
    <xf numFmtId="0" fontId="16" fillId="7" borderId="88" xfId="0" applyFont="1" applyFill="1" applyBorder="1" applyAlignment="1">
      <alignment horizontal="right" vertical="center" wrapText="1"/>
    </xf>
    <xf numFmtId="0" fontId="65" fillId="2" borderId="1" xfId="0" applyFont="1" applyFill="1" applyBorder="1" applyAlignment="1">
      <alignment horizontal="center"/>
    </xf>
    <xf numFmtId="0" fontId="16" fillId="7" borderId="88" xfId="0" applyFont="1" applyFill="1" applyBorder="1" applyAlignment="1">
      <alignment horizontal="right" vertical="top" wrapText="1"/>
    </xf>
    <xf numFmtId="0" fontId="17" fillId="0" borderId="94" xfId="0" applyFont="1" applyBorder="1" applyAlignment="1">
      <alignment horizontal="right" vertical="center" wrapText="1"/>
    </xf>
    <xf numFmtId="0" fontId="17" fillId="0" borderId="88" xfId="0" applyFont="1" applyBorder="1" applyAlignment="1">
      <alignment vertical="center" wrapText="1"/>
    </xf>
    <xf numFmtId="0" fontId="17" fillId="0" borderId="94" xfId="0" applyFont="1" applyBorder="1" applyAlignment="1">
      <alignment horizontal="center" vertical="top" wrapText="1"/>
    </xf>
    <xf numFmtId="0" fontId="17" fillId="0" borderId="96" xfId="0" applyFont="1" applyBorder="1" applyAlignment="1">
      <alignment horizontal="center" vertical="top" wrapText="1"/>
    </xf>
    <xf numFmtId="0" fontId="17" fillId="0" borderId="97" xfId="0" applyFont="1" applyBorder="1" applyAlignment="1">
      <alignment vertical="top" wrapText="1"/>
    </xf>
    <xf numFmtId="168" fontId="17" fillId="0" borderId="88" xfId="0" applyNumberFormat="1" applyFont="1" applyBorder="1" applyAlignment="1">
      <alignment horizontal="center" vertical="center" wrapText="1"/>
    </xf>
    <xf numFmtId="0" fontId="16" fillId="0" borderId="98" xfId="0" applyFont="1" applyBorder="1" applyAlignment="1">
      <alignment vertical="top" wrapText="1"/>
    </xf>
    <xf numFmtId="0" fontId="16" fillId="0" borderId="99" xfId="0" applyFont="1" applyBorder="1" applyAlignment="1">
      <alignment vertical="center" wrapText="1"/>
    </xf>
    <xf numFmtId="0" fontId="16" fillId="0" borderId="88" xfId="0" applyFont="1" applyBorder="1" applyAlignment="1">
      <alignment horizontal="center" vertical="top" wrapText="1"/>
    </xf>
    <xf numFmtId="169" fontId="16" fillId="0" borderId="88" xfId="0" applyNumberFormat="1" applyFont="1" applyBorder="1" applyAlignment="1">
      <alignment horizontal="right" vertical="top" wrapText="1"/>
    </xf>
    <xf numFmtId="0" fontId="9" fillId="0" borderId="88" xfId="0" applyFont="1" applyBorder="1" applyAlignment="1">
      <alignment vertical="top" wrapText="1"/>
    </xf>
    <xf numFmtId="0" fontId="16" fillId="0" borderId="100" xfId="0" applyFont="1" applyBorder="1" applyAlignment="1">
      <alignment vertical="top" wrapText="1"/>
    </xf>
    <xf numFmtId="0" fontId="16" fillId="0" borderId="101" xfId="0" applyFont="1" applyBorder="1" applyAlignment="1">
      <alignment vertical="center" wrapText="1"/>
    </xf>
    <xf numFmtId="0" fontId="17" fillId="0" borderId="88" xfId="0" applyFont="1" applyBorder="1" applyAlignment="1">
      <alignment horizontal="right" vertical="center" wrapText="1"/>
    </xf>
    <xf numFmtId="169" fontId="17" fillId="0" borderId="88" xfId="0" applyNumberFormat="1" applyFont="1" applyBorder="1" applyAlignment="1">
      <alignment horizontal="right" vertical="center" wrapText="1"/>
    </xf>
    <xf numFmtId="0" fontId="17" fillId="0" borderId="88" xfId="0" applyFont="1" applyBorder="1" applyAlignment="1">
      <alignment horizontal="right" vertical="top" wrapText="1"/>
    </xf>
    <xf numFmtId="0" fontId="23" fillId="0" borderId="94" xfId="0" applyFont="1" applyBorder="1" applyAlignment="1">
      <alignment vertical="top" wrapText="1"/>
    </xf>
    <xf numFmtId="0" fontId="66" fillId="0" borderId="88" xfId="0" applyFont="1" applyBorder="1" applyAlignment="1">
      <alignment vertical="top" wrapText="1"/>
    </xf>
    <xf numFmtId="0" fontId="23" fillId="0" borderId="88" xfId="0" applyFont="1" applyBorder="1" applyAlignment="1">
      <alignment horizontal="center" vertical="center" wrapText="1"/>
    </xf>
    <xf numFmtId="169" fontId="23" fillId="0" borderId="88" xfId="0" applyNumberFormat="1" applyFont="1" applyBorder="1" applyAlignment="1">
      <alignment horizontal="center" vertical="center" wrapText="1"/>
    </xf>
    <xf numFmtId="168" fontId="23" fillId="0" borderId="88" xfId="0" applyNumberFormat="1" applyFont="1" applyBorder="1" applyAlignment="1">
      <alignment horizontal="center" vertical="center" wrapText="1"/>
    </xf>
    <xf numFmtId="0" fontId="8" fillId="0" borderId="88" xfId="0" applyFont="1" applyBorder="1" applyAlignment="1">
      <alignment vertical="top" wrapText="1"/>
    </xf>
    <xf numFmtId="0" fontId="17" fillId="0" borderId="94" xfId="0" applyFont="1" applyBorder="1" applyAlignment="1">
      <alignment vertical="center" wrapText="1"/>
    </xf>
    <xf numFmtId="0" fontId="46" fillId="0" borderId="88" xfId="0" applyFont="1" applyBorder="1" applyAlignment="1">
      <alignment horizontal="right" vertical="center" wrapText="1"/>
    </xf>
    <xf numFmtId="0" fontId="46" fillId="0" borderId="88" xfId="0" applyFont="1" applyBorder="1" applyAlignment="1">
      <alignment horizontal="right" vertical="top" wrapText="1"/>
    </xf>
    <xf numFmtId="0" fontId="25" fillId="0" borderId="0" xfId="0" applyFont="1" applyAlignment="1">
      <alignment vertical="top"/>
    </xf>
    <xf numFmtId="0" fontId="46" fillId="0" borderId="88" xfId="0" applyFont="1" applyBorder="1" applyAlignment="1">
      <alignment vertical="top" wrapText="1"/>
    </xf>
    <xf numFmtId="0" fontId="22" fillId="0" borderId="94" xfId="0" applyFont="1" applyBorder="1" applyAlignment="1">
      <alignment vertical="top" wrapText="1"/>
    </xf>
    <xf numFmtId="0" fontId="22" fillId="0" borderId="88" xfId="0" applyFont="1" applyBorder="1" applyAlignment="1">
      <alignment horizontal="right" vertical="center" wrapText="1"/>
    </xf>
    <xf numFmtId="0" fontId="23" fillId="0" borderId="88" xfId="0" applyFont="1" applyBorder="1" applyAlignment="1">
      <alignment horizontal="right" vertical="center" wrapText="1"/>
    </xf>
    <xf numFmtId="169" fontId="22" fillId="0" borderId="88" xfId="0" applyNumberFormat="1" applyFont="1" applyBorder="1" applyAlignment="1">
      <alignment horizontal="right" vertical="center" wrapText="1"/>
    </xf>
    <xf numFmtId="0" fontId="16" fillId="0" borderId="102" xfId="0" applyFont="1" applyBorder="1" applyAlignment="1">
      <alignment vertical="center" wrapText="1"/>
    </xf>
    <xf numFmtId="1" fontId="25" fillId="7" borderId="1" xfId="0" applyNumberFormat="1" applyFont="1" applyFill="1" applyBorder="1" applyAlignment="1">
      <alignment vertical="top" wrapText="1"/>
    </xf>
    <xf numFmtId="0" fontId="9" fillId="0" borderId="0" xfId="0" applyFont="1" applyAlignment="1">
      <alignment horizontal="center" wrapText="1"/>
    </xf>
    <xf numFmtId="178" fontId="17" fillId="13" borderId="52" xfId="0" applyNumberFormat="1" applyFont="1" applyFill="1" applyBorder="1" applyAlignment="1">
      <alignment vertical="center" wrapText="1"/>
    </xf>
    <xf numFmtId="164" fontId="17" fillId="0" borderId="53" xfId="0" applyNumberFormat="1" applyFont="1" applyBorder="1" applyAlignment="1">
      <alignment horizontal="center" vertical="center" wrapText="1"/>
    </xf>
    <xf numFmtId="169" fontId="16" fillId="14" borderId="56" xfId="0" applyNumberFormat="1" applyFont="1" applyFill="1" applyBorder="1" applyAlignment="1">
      <alignment horizontal="center" vertical="top" wrapText="1"/>
    </xf>
    <xf numFmtId="0" fontId="17" fillId="14" borderId="57" xfId="0" applyFont="1" applyFill="1" applyBorder="1" applyAlignment="1">
      <alignment horizontal="center" vertical="center"/>
    </xf>
    <xf numFmtId="169" fontId="16" fillId="7" borderId="103" xfId="0" applyNumberFormat="1" applyFont="1" applyFill="1" applyBorder="1" applyAlignment="1">
      <alignment horizontal="center" vertical="top" wrapText="1"/>
    </xf>
    <xf numFmtId="0" fontId="16" fillId="14" borderId="104" xfId="0" applyFont="1" applyFill="1" applyBorder="1" applyAlignment="1">
      <alignment horizontal="left" vertical="top" wrapText="1"/>
    </xf>
    <xf numFmtId="0" fontId="16" fillId="14" borderId="104" xfId="0" applyFont="1" applyFill="1" applyBorder="1" applyAlignment="1">
      <alignment horizontal="center" vertical="center"/>
    </xf>
    <xf numFmtId="0" fontId="26" fillId="0" borderId="104" xfId="0" applyFont="1" applyBorder="1" applyAlignment="1">
      <alignment horizontal="center" vertical="center"/>
    </xf>
    <xf numFmtId="0" fontId="16" fillId="14" borderId="105" xfId="0" applyFont="1" applyFill="1" applyBorder="1" applyAlignment="1">
      <alignment horizontal="center" vertical="center"/>
    </xf>
    <xf numFmtId="169" fontId="16" fillId="7" borderId="106" xfId="0" applyNumberFormat="1" applyFont="1" applyFill="1" applyBorder="1" applyAlignment="1">
      <alignment horizontal="center" vertical="top" wrapText="1"/>
    </xf>
    <xf numFmtId="0" fontId="16" fillId="7" borderId="62" xfId="0" applyFont="1" applyFill="1" applyBorder="1" applyAlignment="1">
      <alignment horizontal="left" vertical="top" wrapText="1"/>
    </xf>
    <xf numFmtId="0" fontId="16" fillId="7" borderId="62" xfId="0" applyFont="1" applyFill="1" applyBorder="1" applyAlignment="1">
      <alignment horizontal="center" vertical="center" wrapText="1"/>
    </xf>
    <xf numFmtId="0" fontId="26" fillId="0" borderId="62" xfId="0" applyFont="1" applyBorder="1" applyAlignment="1">
      <alignment horizontal="center" vertical="center"/>
    </xf>
    <xf numFmtId="0" fontId="16" fillId="7" borderId="107" xfId="0" applyFont="1" applyFill="1" applyBorder="1" applyAlignment="1">
      <alignment horizontal="center" vertical="center"/>
    </xf>
    <xf numFmtId="0" fontId="17" fillId="7" borderId="21" xfId="0" applyFont="1" applyFill="1" applyBorder="1" applyAlignment="1">
      <alignment horizontal="center" vertical="top" wrapText="1"/>
    </xf>
    <xf numFmtId="169" fontId="16" fillId="0" borderId="106" xfId="0" applyNumberFormat="1" applyFont="1" applyBorder="1" applyAlignment="1">
      <alignment horizontal="center" vertical="top" wrapText="1"/>
    </xf>
    <xf numFmtId="0" fontId="16" fillId="0" borderId="62" xfId="0" applyFont="1" applyBorder="1" applyAlignment="1">
      <alignment horizontal="left" vertical="top" wrapText="1"/>
    </xf>
    <xf numFmtId="0" fontId="16" fillId="0" borderId="62" xfId="0" applyFont="1" applyBorder="1" applyAlignment="1">
      <alignment horizontal="center" vertical="center"/>
    </xf>
    <xf numFmtId="0" fontId="16" fillId="0" borderId="107" xfId="0" applyFont="1" applyBorder="1" applyAlignment="1">
      <alignment horizontal="center" vertical="center"/>
    </xf>
    <xf numFmtId="169" fontId="16" fillId="0" borderId="108" xfId="0" applyNumberFormat="1" applyFont="1" applyBorder="1" applyAlignment="1">
      <alignment horizontal="center" vertical="top" wrapText="1"/>
    </xf>
    <xf numFmtId="0" fontId="16" fillId="0" borderId="109" xfId="0" applyFont="1" applyBorder="1" applyAlignment="1">
      <alignment horizontal="center" vertical="center"/>
    </xf>
    <xf numFmtId="0" fontId="26" fillId="0" borderId="109" xfId="0" applyFont="1" applyBorder="1" applyAlignment="1">
      <alignment horizontal="center" vertical="center"/>
    </xf>
    <xf numFmtId="0" fontId="16" fillId="0" borderId="110" xfId="0" applyFont="1" applyBorder="1" applyAlignment="1">
      <alignment horizontal="center" vertical="center"/>
    </xf>
    <xf numFmtId="169" fontId="16" fillId="0" borderId="111" xfId="0" applyNumberFormat="1" applyFont="1" applyBorder="1" applyAlignment="1">
      <alignment horizontal="center" vertical="top" wrapText="1"/>
    </xf>
    <xf numFmtId="0" fontId="16" fillId="0" borderId="112" xfId="0" applyFont="1" applyBorder="1" applyAlignment="1">
      <alignment horizontal="left" vertical="top" wrapText="1"/>
    </xf>
    <xf numFmtId="0" fontId="16" fillId="0" borderId="112" xfId="0" applyFont="1" applyBorder="1" applyAlignment="1">
      <alignment horizontal="center" vertical="center"/>
    </xf>
    <xf numFmtId="0" fontId="26" fillId="0" borderId="112" xfId="0" applyFont="1" applyBorder="1" applyAlignment="1">
      <alignment horizontal="center" vertical="center"/>
    </xf>
    <xf numFmtId="0" fontId="16" fillId="0" borderId="113" xfId="0" applyFont="1" applyBorder="1" applyAlignment="1">
      <alignment horizontal="center" vertical="center"/>
    </xf>
    <xf numFmtId="0" fontId="16" fillId="0" borderId="40" xfId="0" applyFont="1" applyBorder="1" applyAlignment="1">
      <alignment horizontal="center" vertical="center"/>
    </xf>
    <xf numFmtId="169" fontId="16" fillId="14" borderId="63" xfId="0" applyNumberFormat="1" applyFont="1" applyFill="1" applyBorder="1" applyAlignment="1">
      <alignment horizontal="center" vertical="top" wrapText="1"/>
    </xf>
    <xf numFmtId="0" fontId="23" fillId="14" borderId="61" xfId="0" applyFont="1" applyFill="1" applyBorder="1" applyAlignment="1">
      <alignment horizontal="left" vertical="top" wrapText="1"/>
    </xf>
    <xf numFmtId="0" fontId="17" fillId="14" borderId="21" xfId="0" applyFont="1" applyFill="1" applyBorder="1" applyAlignment="1">
      <alignment horizontal="center" vertical="center"/>
    </xf>
    <xf numFmtId="0" fontId="16" fillId="7" borderId="21" xfId="0" applyFont="1" applyFill="1" applyBorder="1" applyAlignment="1">
      <alignment horizontal="center" vertical="top" wrapText="1"/>
    </xf>
    <xf numFmtId="0" fontId="16" fillId="7" borderId="57" xfId="0" applyFont="1" applyFill="1" applyBorder="1" applyAlignment="1">
      <alignment horizontal="center" vertical="center"/>
    </xf>
    <xf numFmtId="0" fontId="17" fillId="0" borderId="40" xfId="0" applyFont="1" applyBorder="1" applyAlignment="1">
      <alignment horizontal="center" vertical="center" wrapText="1"/>
    </xf>
    <xf numFmtId="169" fontId="16" fillId="0" borderId="55" xfId="0" applyNumberFormat="1" applyFont="1" applyBorder="1" applyAlignment="1">
      <alignment horizontal="center" vertical="top" wrapText="1"/>
    </xf>
    <xf numFmtId="169" fontId="16" fillId="0" borderId="53" xfId="0" applyNumberFormat="1" applyFont="1" applyBorder="1" applyAlignment="1">
      <alignment horizontal="center" vertical="top" wrapText="1"/>
    </xf>
    <xf numFmtId="1" fontId="17" fillId="0" borderId="53" xfId="0" applyNumberFormat="1" applyFont="1" applyBorder="1" applyAlignment="1">
      <alignment vertical="top" wrapText="1"/>
    </xf>
    <xf numFmtId="169" fontId="17" fillId="0" borderId="1" xfId="0" applyNumberFormat="1" applyFont="1" applyBorder="1" applyAlignment="1">
      <alignment vertical="center" wrapText="1"/>
    </xf>
    <xf numFmtId="0" fontId="16" fillId="14" borderId="21" xfId="0" applyFont="1" applyFill="1" applyBorder="1" applyAlignment="1">
      <alignment horizontal="left" vertical="center" wrapText="1"/>
    </xf>
    <xf numFmtId="0" fontId="17" fillId="14" borderId="21" xfId="0" applyFont="1" applyFill="1" applyBorder="1" applyAlignment="1">
      <alignment horizontal="center" vertical="center" wrapText="1"/>
    </xf>
    <xf numFmtId="0" fontId="8" fillId="0" borderId="1" xfId="0" applyFont="1" applyBorder="1" applyAlignment="1">
      <alignment horizontal="center" wrapText="1"/>
    </xf>
    <xf numFmtId="0" fontId="9" fillId="0" borderId="1" xfId="0" applyFont="1" applyBorder="1" applyAlignment="1">
      <alignment wrapText="1"/>
    </xf>
    <xf numFmtId="0" fontId="16" fillId="0" borderId="1" xfId="0" applyFont="1" applyBorder="1"/>
    <xf numFmtId="0" fontId="17" fillId="0" borderId="1" xfId="0" applyFont="1" applyBorder="1" applyAlignment="1">
      <alignment horizontal="center" wrapText="1"/>
    </xf>
    <xf numFmtId="0" fontId="26" fillId="0" borderId="1" xfId="0" applyFont="1" applyBorder="1"/>
    <xf numFmtId="0" fontId="70" fillId="0" borderId="1" xfId="0" applyFont="1" applyBorder="1" applyAlignment="1">
      <alignment horizontal="center"/>
    </xf>
    <xf numFmtId="0" fontId="70" fillId="0" borderId="1" xfId="0" applyFont="1" applyBorder="1"/>
    <xf numFmtId="166" fontId="70" fillId="0" borderId="1" xfId="0" applyNumberFormat="1" applyFont="1" applyBorder="1"/>
    <xf numFmtId="164" fontId="70" fillId="0" borderId="1" xfId="0" applyNumberFormat="1" applyFont="1" applyBorder="1"/>
    <xf numFmtId="0" fontId="27" fillId="0" borderId="1" xfId="0" applyFont="1" applyBorder="1" applyAlignment="1">
      <alignment horizontal="center"/>
    </xf>
    <xf numFmtId="0" fontId="69" fillId="5" borderId="1" xfId="0" applyFont="1" applyFill="1" applyBorder="1" applyAlignment="1">
      <alignment horizontal="center"/>
    </xf>
    <xf numFmtId="0" fontId="69" fillId="0" borderId="1" xfId="0" applyFont="1" applyBorder="1" applyAlignment="1">
      <alignment horizontal="center"/>
    </xf>
    <xf numFmtId="0" fontId="69" fillId="10" borderId="1" xfId="0" applyFont="1" applyFill="1" applyBorder="1" applyAlignment="1">
      <alignment horizontal="center"/>
    </xf>
    <xf numFmtId="0" fontId="26" fillId="0" borderId="1" xfId="0" applyFont="1" applyBorder="1" applyAlignment="1">
      <alignment horizontal="center"/>
    </xf>
    <xf numFmtId="0" fontId="27" fillId="13" borderId="1" xfId="0" applyFont="1" applyFill="1" applyBorder="1" applyAlignment="1">
      <alignment horizontal="center"/>
    </xf>
    <xf numFmtId="0" fontId="27" fillId="13" borderId="1" xfId="0" applyFont="1" applyFill="1" applyBorder="1" applyAlignment="1">
      <alignment horizontal="left"/>
    </xf>
    <xf numFmtId="0" fontId="70" fillId="13" borderId="1" xfId="0" applyFont="1" applyFill="1" applyBorder="1"/>
    <xf numFmtId="3" fontId="70" fillId="13" borderId="1" xfId="0" applyNumberFormat="1" applyFont="1" applyFill="1" applyBorder="1"/>
    <xf numFmtId="0" fontId="27" fillId="0" borderId="1" xfId="0" applyFont="1" applyBorder="1" applyAlignment="1">
      <alignment horizontal="left"/>
    </xf>
    <xf numFmtId="3" fontId="27" fillId="0" borderId="1" xfId="0" applyNumberFormat="1" applyFont="1" applyBorder="1" applyAlignment="1">
      <alignment horizontal="center"/>
    </xf>
    <xf numFmtId="179" fontId="27" fillId="0" borderId="1" xfId="0" applyNumberFormat="1" applyFont="1" applyBorder="1" applyAlignment="1">
      <alignment horizontal="center"/>
    </xf>
    <xf numFmtId="0" fontId="27" fillId="0" borderId="1" xfId="0" applyFont="1" applyBorder="1" applyAlignment="1">
      <alignment horizontal="center" vertical="top"/>
    </xf>
    <xf numFmtId="0" fontId="27" fillId="0" borderId="1" xfId="0" applyFont="1" applyBorder="1" applyAlignment="1">
      <alignment horizontal="left" vertical="top"/>
    </xf>
    <xf numFmtId="179" fontId="27" fillId="0" borderId="1" xfId="0" applyNumberFormat="1" applyFont="1" applyBorder="1" applyAlignment="1">
      <alignment horizontal="center" vertical="top"/>
    </xf>
    <xf numFmtId="0" fontId="27" fillId="5" borderId="1" xfId="0" applyFont="1" applyFill="1" applyBorder="1" applyAlignment="1">
      <alignment horizontal="center" vertical="top"/>
    </xf>
    <xf numFmtId="0" fontId="27" fillId="5" borderId="1" xfId="0" applyFont="1" applyFill="1" applyBorder="1" applyAlignment="1">
      <alignment horizontal="left" vertical="top"/>
    </xf>
    <xf numFmtId="0" fontId="65" fillId="5" borderId="1" xfId="0" applyFont="1" applyFill="1" applyBorder="1" applyAlignment="1">
      <alignment horizontal="center"/>
    </xf>
    <xf numFmtId="0" fontId="65" fillId="0" borderId="1" xfId="0" applyFont="1" applyBorder="1" applyAlignment="1">
      <alignment horizontal="center"/>
    </xf>
    <xf numFmtId="0" fontId="26" fillId="0" borderId="1" xfId="0" applyFont="1" applyBorder="1" applyAlignment="1">
      <alignment horizontal="center" vertical="top"/>
    </xf>
    <xf numFmtId="0" fontId="26" fillId="2" borderId="1" xfId="0" applyFont="1" applyFill="1" applyBorder="1" applyAlignment="1">
      <alignment horizontal="left"/>
    </xf>
    <xf numFmtId="0" fontId="70" fillId="0" borderId="1" xfId="0" applyFont="1" applyBorder="1" applyAlignment="1">
      <alignment horizontal="center" vertical="top"/>
    </xf>
    <xf numFmtId="0" fontId="70" fillId="2" borderId="1" xfId="0" applyFont="1" applyFill="1" applyBorder="1" applyAlignment="1">
      <alignment horizontal="left"/>
    </xf>
    <xf numFmtId="0" fontId="26" fillId="0" borderId="1" xfId="0" applyFont="1" applyBorder="1" applyAlignment="1">
      <alignment horizontal="left" vertical="top"/>
    </xf>
    <xf numFmtId="0" fontId="70" fillId="0" borderId="1" xfId="0" applyFont="1" applyBorder="1" applyAlignment="1">
      <alignment horizontal="left" vertical="center" wrapText="1"/>
    </xf>
    <xf numFmtId="0" fontId="70" fillId="0" borderId="1" xfId="0" applyFont="1" applyBorder="1" applyAlignment="1">
      <alignment horizontal="center" vertical="center" wrapText="1"/>
    </xf>
    <xf numFmtId="170" fontId="70" fillId="0" borderId="1" xfId="0" applyNumberFormat="1" applyFont="1" applyBorder="1" applyAlignment="1">
      <alignment horizontal="center" vertical="center" wrapText="1"/>
    </xf>
    <xf numFmtId="0" fontId="70" fillId="0" borderId="1" xfId="0" applyFont="1" applyBorder="1" applyAlignment="1">
      <alignment horizontal="left"/>
    </xf>
    <xf numFmtId="0" fontId="27" fillId="2" borderId="1" xfId="0" applyFont="1" applyFill="1" applyBorder="1" applyAlignment="1">
      <alignment horizontal="left"/>
    </xf>
    <xf numFmtId="0" fontId="15" fillId="2" borderId="1" xfId="0" applyFont="1" applyFill="1" applyBorder="1" applyAlignment="1">
      <alignment horizontal="left"/>
    </xf>
    <xf numFmtId="0" fontId="70" fillId="2" borderId="1" xfId="0" applyFont="1" applyFill="1" applyBorder="1"/>
    <xf numFmtId="0" fontId="70" fillId="5" borderId="1" xfId="0" applyFont="1" applyFill="1" applyBorder="1" applyAlignment="1">
      <alignment horizontal="center" vertical="top"/>
    </xf>
    <xf numFmtId="0" fontId="27" fillId="5" borderId="1" xfId="0" applyFont="1" applyFill="1" applyBorder="1" applyAlignment="1">
      <alignment horizontal="left"/>
    </xf>
    <xf numFmtId="0" fontId="29" fillId="5" borderId="1" xfId="0" applyFont="1" applyFill="1" applyBorder="1" applyAlignment="1">
      <alignment horizontal="center"/>
    </xf>
    <xf numFmtId="0" fontId="8" fillId="2" borderId="1" xfId="0" applyFont="1" applyFill="1" applyBorder="1" applyAlignment="1">
      <alignment horizontal="left"/>
    </xf>
    <xf numFmtId="0" fontId="43" fillId="2" borderId="1" xfId="0" applyFont="1" applyFill="1" applyBorder="1" applyAlignment="1">
      <alignment horizontal="center"/>
    </xf>
    <xf numFmtId="0" fontId="9" fillId="2" borderId="1" xfId="0" applyFont="1" applyFill="1" applyBorder="1" applyAlignment="1">
      <alignment horizontal="center"/>
    </xf>
    <xf numFmtId="168" fontId="16" fillId="2" borderId="1" xfId="0" applyNumberFormat="1" applyFont="1" applyFill="1" applyBorder="1" applyAlignment="1">
      <alignment horizontal="center" vertical="center" wrapText="1"/>
    </xf>
    <xf numFmtId="0" fontId="3" fillId="2" borderId="1" xfId="0" applyFont="1" applyFill="1" applyBorder="1" applyAlignment="1">
      <alignment horizontal="center"/>
    </xf>
    <xf numFmtId="1" fontId="27" fillId="0" borderId="1" xfId="0" applyNumberFormat="1" applyFont="1" applyBorder="1" applyAlignment="1">
      <alignment horizontal="center" vertical="top"/>
    </xf>
    <xf numFmtId="0" fontId="9" fillId="0" borderId="1" xfId="0" applyFont="1" applyBorder="1"/>
    <xf numFmtId="1" fontId="26" fillId="0" borderId="1" xfId="0" applyNumberFormat="1" applyFont="1" applyBorder="1" applyAlignment="1">
      <alignment horizontal="center" vertical="top"/>
    </xf>
    <xf numFmtId="169" fontId="8" fillId="2" borderId="1" xfId="0" applyNumberFormat="1" applyFont="1" applyFill="1" applyBorder="1" applyAlignment="1">
      <alignment horizontal="left"/>
    </xf>
    <xf numFmtId="164" fontId="27" fillId="0" borderId="1" xfId="0" applyNumberFormat="1" applyFont="1" applyBorder="1" applyAlignment="1">
      <alignment horizontal="center"/>
    </xf>
    <xf numFmtId="164" fontId="27" fillId="0" borderId="1" xfId="0" applyNumberFormat="1" applyFont="1" applyBorder="1" applyAlignment="1">
      <alignment horizontal="left"/>
    </xf>
    <xf numFmtId="0" fontId="70" fillId="0" borderId="1" xfId="0" applyFont="1" applyBorder="1" applyAlignment="1">
      <alignment vertical="top"/>
    </xf>
    <xf numFmtId="168" fontId="65" fillId="2" borderId="1" xfId="0" applyNumberFormat="1" applyFont="1" applyFill="1" applyBorder="1" applyAlignment="1">
      <alignment horizontal="center"/>
    </xf>
    <xf numFmtId="169" fontId="26" fillId="0" borderId="1" xfId="0" applyNumberFormat="1" applyFont="1" applyBorder="1" applyAlignment="1">
      <alignment horizontal="center" vertical="top"/>
    </xf>
    <xf numFmtId="170" fontId="26" fillId="0" borderId="1" xfId="0" applyNumberFormat="1" applyFont="1" applyBorder="1" applyAlignment="1">
      <alignment horizontal="center"/>
    </xf>
    <xf numFmtId="170" fontId="65" fillId="2" borderId="1" xfId="0" applyNumberFormat="1" applyFont="1" applyFill="1" applyBorder="1" applyAlignment="1">
      <alignment horizontal="center"/>
    </xf>
    <xf numFmtId="168" fontId="70" fillId="0" borderId="1" xfId="0" applyNumberFormat="1" applyFont="1" applyBorder="1" applyAlignment="1">
      <alignment horizontal="left" vertical="top"/>
    </xf>
    <xf numFmtId="169" fontId="27" fillId="0" borderId="1" xfId="0" applyNumberFormat="1" applyFont="1" applyBorder="1" applyAlignment="1">
      <alignment horizontal="left" vertical="top"/>
    </xf>
    <xf numFmtId="1" fontId="70" fillId="0" borderId="1" xfId="0" applyNumberFormat="1" applyFont="1" applyBorder="1" applyAlignment="1">
      <alignment horizontal="center" vertical="top"/>
    </xf>
    <xf numFmtId="169" fontId="26" fillId="0" borderId="1" xfId="0" applyNumberFormat="1" applyFont="1" applyBorder="1" applyAlignment="1">
      <alignment horizontal="left" vertical="top"/>
    </xf>
    <xf numFmtId="0" fontId="26" fillId="0" borderId="53" xfId="0" applyFont="1" applyBorder="1" applyAlignment="1">
      <alignment horizontal="right" vertical="top"/>
    </xf>
    <xf numFmtId="0" fontId="26" fillId="0" borderId="54" xfId="0" applyFont="1" applyBorder="1" applyAlignment="1">
      <alignment vertical="top"/>
    </xf>
    <xf numFmtId="0" fontId="26" fillId="0" borderId="54" xfId="0" applyFont="1" applyBorder="1" applyAlignment="1">
      <alignment horizontal="center"/>
    </xf>
    <xf numFmtId="0" fontId="70" fillId="2" borderId="1" xfId="0" applyFont="1" applyFill="1" applyBorder="1" applyAlignment="1">
      <alignment horizontal="center"/>
    </xf>
    <xf numFmtId="0" fontId="26" fillId="0" borderId="50" xfId="0" applyFont="1" applyBorder="1" applyAlignment="1">
      <alignment horizontal="right" vertical="top"/>
    </xf>
    <xf numFmtId="0" fontId="70" fillId="0" borderId="1" xfId="0" applyFont="1" applyBorder="1" applyAlignment="1">
      <alignment horizontal="right"/>
    </xf>
    <xf numFmtId="0" fontId="65" fillId="5" borderId="63" xfId="0" applyFont="1" applyFill="1" applyBorder="1" applyAlignment="1">
      <alignment horizontal="left"/>
    </xf>
    <xf numFmtId="0" fontId="27" fillId="13" borderId="1" xfId="0" applyFont="1" applyFill="1" applyBorder="1" applyAlignment="1">
      <alignment horizontal="center" vertical="top"/>
    </xf>
    <xf numFmtId="0" fontId="26" fillId="13" borderId="1" xfId="0" applyFont="1" applyFill="1" applyBorder="1" applyAlignment="1">
      <alignment horizontal="left"/>
    </xf>
    <xf numFmtId="0" fontId="26" fillId="13" borderId="1" xfId="0" applyFont="1" applyFill="1" applyBorder="1"/>
    <xf numFmtId="0" fontId="70" fillId="13" borderId="1" xfId="0" applyFont="1" applyFill="1" applyBorder="1" applyAlignment="1">
      <alignment horizontal="left"/>
    </xf>
    <xf numFmtId="0" fontId="70" fillId="13" borderId="1" xfId="0" applyFont="1" applyFill="1" applyBorder="1" applyAlignment="1">
      <alignment vertical="top"/>
    </xf>
    <xf numFmtId="0" fontId="70" fillId="13" borderId="1" xfId="0" applyFont="1" applyFill="1" applyBorder="1" applyAlignment="1">
      <alignment horizontal="center" vertical="top"/>
    </xf>
    <xf numFmtId="172" fontId="70" fillId="0" borderId="1" xfId="0" applyNumberFormat="1" applyFont="1" applyBorder="1"/>
    <xf numFmtId="172" fontId="70" fillId="13" borderId="1" xfId="0" applyNumberFormat="1" applyFont="1" applyFill="1" applyBorder="1"/>
    <xf numFmtId="172" fontId="70" fillId="13" borderId="1" xfId="0" applyNumberFormat="1" applyFont="1" applyFill="1" applyBorder="1" applyAlignment="1">
      <alignment vertical="top"/>
    </xf>
    <xf numFmtId="172" fontId="70" fillId="13" borderId="1" xfId="0" applyNumberFormat="1" applyFont="1" applyFill="1" applyBorder="1" applyAlignment="1">
      <alignment horizontal="left"/>
    </xf>
    <xf numFmtId="0" fontId="70" fillId="13" borderId="1" xfId="0" applyFont="1" applyFill="1" applyBorder="1" applyAlignment="1">
      <alignment horizontal="center"/>
    </xf>
    <xf numFmtId="0" fontId="27" fillId="13" borderId="1" xfId="0" applyFont="1" applyFill="1" applyBorder="1" applyAlignment="1">
      <alignment horizontal="left" vertical="top"/>
    </xf>
    <xf numFmtId="0" fontId="26" fillId="0" borderId="1" xfId="0" applyFont="1" applyBorder="1" applyAlignment="1">
      <alignment horizontal="left"/>
    </xf>
    <xf numFmtId="0" fontId="22" fillId="0" borderId="0" xfId="0" applyFont="1" applyAlignment="1">
      <alignment vertical="center" wrapText="1"/>
    </xf>
    <xf numFmtId="49" fontId="40" fillId="0" borderId="1" xfId="0" applyNumberFormat="1" applyFont="1" applyBorder="1" applyAlignment="1">
      <alignment horizontal="center" vertical="center" wrapText="1"/>
    </xf>
    <xf numFmtId="164" fontId="17" fillId="13" borderId="1" xfId="0" applyNumberFormat="1" applyFont="1" applyFill="1" applyBorder="1" applyAlignment="1">
      <alignment horizontal="center" vertical="center" wrapText="1"/>
    </xf>
    <xf numFmtId="164" fontId="30" fillId="13" borderId="1" xfId="0" applyNumberFormat="1" applyFont="1" applyFill="1" applyBorder="1" applyAlignment="1">
      <alignment vertical="center" wrapText="1"/>
    </xf>
    <xf numFmtId="164" fontId="17" fillId="13" borderId="1" xfId="0" applyNumberFormat="1" applyFont="1" applyFill="1" applyBorder="1" applyAlignment="1">
      <alignment vertical="center" wrapText="1"/>
    </xf>
    <xf numFmtId="164" fontId="17" fillId="14" borderId="1" xfId="0" applyNumberFormat="1" applyFont="1" applyFill="1" applyBorder="1" applyAlignment="1">
      <alignment horizontal="center" vertical="center" wrapText="1"/>
    </xf>
    <xf numFmtId="164" fontId="17" fillId="14" borderId="1" xfId="0" applyNumberFormat="1" applyFont="1" applyFill="1" applyBorder="1" applyAlignment="1">
      <alignment vertical="center" wrapText="1"/>
    </xf>
    <xf numFmtId="164" fontId="30" fillId="0" borderId="1" xfId="0" applyNumberFormat="1" applyFont="1" applyBorder="1" applyAlignment="1">
      <alignment vertical="center" wrapText="1"/>
    </xf>
    <xf numFmtId="0" fontId="17" fillId="17" borderId="1" xfId="0" applyFont="1" applyFill="1" applyBorder="1" applyAlignment="1">
      <alignment horizontal="center" vertical="center" wrapText="1"/>
    </xf>
    <xf numFmtId="0" fontId="17" fillId="17" borderId="1" xfId="0" applyFont="1" applyFill="1" applyBorder="1" applyAlignment="1">
      <alignment horizontal="left" vertical="center" wrapText="1"/>
    </xf>
    <xf numFmtId="1" fontId="17" fillId="17" borderId="42" xfId="0" applyNumberFormat="1" applyFont="1" applyFill="1" applyBorder="1" applyAlignment="1">
      <alignment horizontal="center" vertical="center" wrapText="1"/>
    </xf>
    <xf numFmtId="169" fontId="16" fillId="7" borderId="1" xfId="0" applyNumberFormat="1" applyFont="1" applyFill="1" applyBorder="1" applyAlignment="1">
      <alignment horizontal="center" vertical="center" wrapText="1"/>
    </xf>
    <xf numFmtId="0" fontId="8" fillId="7" borderId="43" xfId="0" applyFont="1" applyFill="1" applyBorder="1" applyAlignment="1">
      <alignment horizontal="left" vertical="center" shrinkToFit="1"/>
    </xf>
    <xf numFmtId="2" fontId="16" fillId="7" borderId="1" xfId="0" applyNumberFormat="1" applyFont="1" applyFill="1" applyBorder="1" applyAlignment="1">
      <alignment horizontal="center" vertical="center" wrapText="1"/>
    </xf>
    <xf numFmtId="1" fontId="16" fillId="7" borderId="1" xfId="0" applyNumberFormat="1" applyFont="1" applyFill="1" applyBorder="1" applyAlignment="1">
      <alignment horizontal="center" vertical="center" wrapText="1"/>
    </xf>
    <xf numFmtId="0" fontId="16" fillId="7" borderId="43" xfId="0" applyFont="1" applyFill="1" applyBorder="1" applyAlignment="1">
      <alignment vertical="center" wrapText="1"/>
    </xf>
    <xf numFmtId="0" fontId="16" fillId="7" borderId="43" xfId="0" applyFont="1" applyFill="1" applyBorder="1" applyAlignment="1">
      <alignment horizontal="left" vertical="top" wrapText="1"/>
    </xf>
    <xf numFmtId="169" fontId="16" fillId="18" borderId="1" xfId="0" applyNumberFormat="1" applyFont="1" applyFill="1" applyBorder="1" applyAlignment="1">
      <alignment horizontal="center" vertical="center" wrapText="1"/>
    </xf>
    <xf numFmtId="0" fontId="17" fillId="18" borderId="43" xfId="0" applyFont="1" applyFill="1" applyBorder="1" applyAlignment="1">
      <alignment vertical="center" wrapText="1"/>
    </xf>
    <xf numFmtId="0" fontId="16" fillId="18" borderId="1" xfId="0" applyFont="1" applyFill="1" applyBorder="1" applyAlignment="1">
      <alignment horizontal="center" vertical="center" wrapText="1"/>
    </xf>
    <xf numFmtId="2" fontId="16" fillId="7" borderId="44" xfId="0" applyNumberFormat="1" applyFont="1" applyFill="1" applyBorder="1" applyAlignment="1">
      <alignment horizontal="center" vertical="center" wrapText="1"/>
    </xf>
    <xf numFmtId="164" fontId="30" fillId="7" borderId="1" xfId="0" applyNumberFormat="1" applyFont="1" applyFill="1" applyBorder="1" applyAlignment="1">
      <alignment horizontal="center" vertical="center" wrapText="1"/>
    </xf>
    <xf numFmtId="164" fontId="30" fillId="7" borderId="1" xfId="0" applyNumberFormat="1" applyFont="1" applyFill="1" applyBorder="1" applyAlignment="1">
      <alignment vertical="center" wrapText="1"/>
    </xf>
    <xf numFmtId="168" fontId="30" fillId="7" borderId="1" xfId="0" applyNumberFormat="1" applyFont="1" applyFill="1" applyBorder="1" applyAlignment="1">
      <alignment horizontal="center" vertical="center" wrapText="1"/>
    </xf>
    <xf numFmtId="2" fontId="30" fillId="7" borderId="1" xfId="0" applyNumberFormat="1" applyFont="1" applyFill="1" applyBorder="1" applyAlignment="1">
      <alignment horizontal="center" vertical="center" wrapText="1"/>
    </xf>
    <xf numFmtId="0" fontId="17" fillId="0" borderId="90" xfId="0" applyFont="1" applyBorder="1" applyAlignment="1">
      <alignment vertical="center" wrapText="1"/>
    </xf>
    <xf numFmtId="168" fontId="17" fillId="7" borderId="1" xfId="0" applyNumberFormat="1" applyFont="1" applyFill="1" applyBorder="1" applyAlignment="1">
      <alignment horizontal="center" vertical="center" wrapText="1"/>
    </xf>
    <xf numFmtId="2" fontId="17" fillId="7" borderId="1" xfId="0" applyNumberFormat="1" applyFont="1" applyFill="1" applyBorder="1" applyAlignment="1">
      <alignment horizontal="center" vertical="center" wrapText="1"/>
    </xf>
    <xf numFmtId="169" fontId="16" fillId="7" borderId="1" xfId="0" applyNumberFormat="1" applyFont="1" applyFill="1" applyBorder="1" applyAlignment="1">
      <alignment horizontal="left" vertical="top" wrapText="1"/>
    </xf>
    <xf numFmtId="169" fontId="16" fillId="7" borderId="1" xfId="0" applyNumberFormat="1" applyFont="1" applyFill="1" applyBorder="1" applyAlignment="1">
      <alignment vertical="top" wrapText="1"/>
    </xf>
    <xf numFmtId="0" fontId="30"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17" fillId="0" borderId="1" xfId="0" applyFont="1" applyBorder="1" applyAlignment="1">
      <alignment horizontal="left" vertical="center" wrapText="1"/>
    </xf>
    <xf numFmtId="169"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0" fontId="29" fillId="0" borderId="1" xfId="0" applyFont="1" applyBorder="1" applyAlignment="1">
      <alignment horizontal="center"/>
    </xf>
    <xf numFmtId="0" fontId="71" fillId="0" borderId="1" xfId="0" applyFont="1" applyBorder="1"/>
    <xf numFmtId="0" fontId="38" fillId="0" borderId="1" xfId="0" applyFont="1" applyBorder="1" applyAlignment="1">
      <alignment horizontal="center"/>
    </xf>
    <xf numFmtId="0" fontId="38" fillId="0" borderId="1" xfId="0" applyFont="1" applyBorder="1"/>
    <xf numFmtId="0" fontId="24" fillId="0" borderId="1" xfId="0" applyFont="1" applyBorder="1"/>
    <xf numFmtId="0" fontId="9" fillId="0" borderId="1" xfId="0" applyFont="1" applyBorder="1" applyAlignment="1">
      <alignment horizontal="center"/>
    </xf>
    <xf numFmtId="0" fontId="24" fillId="0" borderId="1" xfId="0" applyFont="1" applyBorder="1" applyAlignment="1">
      <alignment horizontal="center"/>
    </xf>
    <xf numFmtId="0" fontId="15" fillId="0" borderId="0" xfId="0" applyFont="1" applyAlignment="1">
      <alignment horizontal="left"/>
    </xf>
    <xf numFmtId="0" fontId="15" fillId="0" borderId="0" xfId="0" applyFont="1" applyAlignment="1">
      <alignment wrapText="1"/>
    </xf>
    <xf numFmtId="0" fontId="8" fillId="0" borderId="0" xfId="0" applyFont="1" applyAlignment="1">
      <alignment vertical="center" wrapText="1"/>
    </xf>
    <xf numFmtId="0" fontId="15" fillId="0" borderId="0" xfId="0" applyFont="1" applyAlignment="1">
      <alignment horizontal="right" wrapText="1"/>
    </xf>
    <xf numFmtId="0" fontId="48" fillId="0" borderId="0" xfId="0" applyFont="1"/>
    <xf numFmtId="0" fontId="48" fillId="0" borderId="0" xfId="0" applyFont="1" applyAlignment="1">
      <alignment horizontal="center" vertical="center"/>
    </xf>
    <xf numFmtId="0" fontId="48" fillId="0" borderId="0" xfId="0" applyFont="1" applyAlignment="1">
      <alignment vertical="center"/>
    </xf>
    <xf numFmtId="0" fontId="48" fillId="0" borderId="0" xfId="0" applyFont="1" applyAlignment="1">
      <alignment horizontal="center"/>
    </xf>
    <xf numFmtId="49" fontId="15" fillId="0" borderId="19" xfId="0" quotePrefix="1" applyNumberFormat="1" applyFont="1" applyBorder="1" applyAlignment="1">
      <alignment horizontal="center" vertical="center" wrapText="1"/>
    </xf>
    <xf numFmtId="49" fontId="15" fillId="0" borderId="1" xfId="0" quotePrefix="1"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49" fontId="15" fillId="0" borderId="20" xfId="0" applyNumberFormat="1" applyFont="1" applyBorder="1" applyAlignment="1">
      <alignment horizontal="center" vertical="center" wrapText="1"/>
    </xf>
    <xf numFmtId="0" fontId="15" fillId="9" borderId="34" xfId="0" applyFont="1" applyFill="1" applyBorder="1" applyAlignment="1">
      <alignment horizontal="center" vertical="center" wrapText="1"/>
    </xf>
    <xf numFmtId="0" fontId="15" fillId="9" borderId="52" xfId="0" applyFont="1" applyFill="1" applyBorder="1" applyAlignment="1">
      <alignment horizontal="left" vertical="center" wrapText="1"/>
    </xf>
    <xf numFmtId="0" fontId="8" fillId="9" borderId="52" xfId="0" quotePrefix="1" applyFont="1" applyFill="1" applyBorder="1" applyAlignment="1">
      <alignment horizontal="center" vertical="center" wrapText="1"/>
    </xf>
    <xf numFmtId="0" fontId="15" fillId="9" borderId="52" xfId="0" applyFont="1" applyFill="1" applyBorder="1" applyAlignment="1">
      <alignment horizontal="left" vertical="center"/>
    </xf>
    <xf numFmtId="0" fontId="15" fillId="9" borderId="52" xfId="0" applyFont="1" applyFill="1" applyBorder="1" applyAlignment="1">
      <alignment horizontal="center" vertical="center" wrapText="1"/>
    </xf>
    <xf numFmtId="0" fontId="8" fillId="9" borderId="114" xfId="0" applyFont="1" applyFill="1" applyBorder="1" applyAlignment="1">
      <alignment vertical="top"/>
    </xf>
    <xf numFmtId="0" fontId="15" fillId="0" borderId="53" xfId="0" applyFont="1" applyBorder="1" applyAlignment="1">
      <alignment horizontal="center" vertical="center" wrapText="1"/>
    </xf>
    <xf numFmtId="0" fontId="15" fillId="0" borderId="40" xfId="0" applyFont="1" applyBorder="1" applyAlignment="1">
      <alignment horizontal="left" vertical="center" wrapText="1"/>
    </xf>
    <xf numFmtId="0" fontId="15" fillId="0" borderId="40" xfId="0" applyFont="1" applyBorder="1" applyAlignment="1">
      <alignment horizontal="left" vertical="center"/>
    </xf>
    <xf numFmtId="0" fontId="15" fillId="0" borderId="40" xfId="0" applyFont="1" applyBorder="1" applyAlignment="1">
      <alignment horizontal="center" vertical="center" wrapText="1"/>
    </xf>
    <xf numFmtId="0" fontId="15" fillId="0" borderId="115" xfId="0" applyFont="1" applyBorder="1" applyAlignment="1">
      <alignment vertical="top"/>
    </xf>
    <xf numFmtId="0" fontId="26" fillId="0" borderId="55" xfId="0" applyFont="1" applyBorder="1" applyAlignment="1">
      <alignment horizontal="center" vertical="center" wrapText="1"/>
    </xf>
    <xf numFmtId="0" fontId="8" fillId="0" borderId="21" xfId="0" applyFont="1" applyBorder="1" applyAlignment="1">
      <alignment horizontal="left" vertical="center"/>
    </xf>
    <xf numFmtId="0" fontId="8" fillId="0" borderId="21" xfId="0" applyFont="1" applyBorder="1" applyAlignment="1">
      <alignment horizontal="left" vertical="center" wrapText="1"/>
    </xf>
    <xf numFmtId="0" fontId="8" fillId="0" borderId="21" xfId="0" applyFont="1" applyBorder="1" applyAlignment="1">
      <alignment horizontal="center" vertical="center" wrapText="1"/>
    </xf>
    <xf numFmtId="0" fontId="8" fillId="0" borderId="116" xfId="0" applyFont="1" applyBorder="1" applyAlignment="1">
      <alignment horizontal="center" vertical="center" wrapText="1"/>
    </xf>
    <xf numFmtId="0" fontId="27" fillId="0" borderId="55" xfId="0" applyFont="1" applyBorder="1" applyAlignment="1">
      <alignment horizontal="center" vertical="center" wrapText="1"/>
    </xf>
    <xf numFmtId="0" fontId="15" fillId="0" borderId="21" xfId="0" applyFont="1" applyBorder="1" applyAlignment="1">
      <alignment horizontal="left" vertical="center" wrapText="1"/>
    </xf>
    <xf numFmtId="0" fontId="8" fillId="0" borderId="21" xfId="0" applyFont="1" applyBorder="1" applyAlignment="1">
      <alignment vertical="center"/>
    </xf>
    <xf numFmtId="0" fontId="15" fillId="0" borderId="21" xfId="0" applyFont="1" applyBorder="1" applyAlignment="1">
      <alignment horizontal="center" vertical="center" wrapText="1"/>
    </xf>
    <xf numFmtId="0" fontId="15" fillId="0" borderId="116" xfId="0" applyFont="1" applyBorder="1" applyAlignment="1">
      <alignment vertical="top"/>
    </xf>
    <xf numFmtId="0" fontId="8" fillId="0" borderId="21" xfId="0" applyFont="1" applyBorder="1" applyAlignment="1">
      <alignment vertical="center" wrapText="1"/>
    </xf>
    <xf numFmtId="0" fontId="8" fillId="0" borderId="116" xfId="0" applyFont="1" applyBorder="1" applyAlignment="1">
      <alignment vertical="center"/>
    </xf>
    <xf numFmtId="0" fontId="8" fillId="0" borderId="117" xfId="0" applyFont="1" applyBorder="1" applyAlignment="1">
      <alignment horizontal="center" vertical="center" wrapText="1"/>
    </xf>
    <xf numFmtId="0" fontId="8" fillId="0" borderId="22" xfId="0" applyFont="1" applyBorder="1" applyAlignment="1">
      <alignment horizontal="left" vertical="center" wrapText="1"/>
    </xf>
    <xf numFmtId="0" fontId="8" fillId="0" borderId="22" xfId="0" applyFont="1" applyBorder="1" applyAlignment="1">
      <alignment horizontal="left" vertical="center"/>
    </xf>
    <xf numFmtId="0" fontId="8" fillId="0" borderId="22" xfId="0" applyFont="1" applyBorder="1" applyAlignment="1">
      <alignment horizontal="center" vertical="center" wrapText="1"/>
    </xf>
    <xf numFmtId="0" fontId="15" fillId="0" borderId="118" xfId="0" applyFont="1" applyBorder="1" applyAlignment="1">
      <alignment vertical="top"/>
    </xf>
    <xf numFmtId="0" fontId="8" fillId="9" borderId="52" xfId="0" applyFont="1" applyFill="1" applyBorder="1" applyAlignment="1">
      <alignment horizontal="center" vertical="center" wrapText="1"/>
    </xf>
    <xf numFmtId="0" fontId="15" fillId="0" borderId="115" xfId="0" applyFont="1" applyBorder="1" applyAlignment="1">
      <alignment vertical="center"/>
    </xf>
    <xf numFmtId="0" fontId="15" fillId="0" borderId="119" xfId="0" applyFont="1" applyBorder="1" applyAlignment="1">
      <alignment vertical="center"/>
    </xf>
    <xf numFmtId="0" fontId="15" fillId="0" borderId="60" xfId="0" applyFont="1" applyBorder="1" applyAlignment="1">
      <alignment horizontal="left" vertical="top" wrapText="1"/>
    </xf>
    <xf numFmtId="0" fontId="15" fillId="0" borderId="60" xfId="0" applyFont="1" applyBorder="1" applyAlignment="1">
      <alignment horizontal="left" vertical="top"/>
    </xf>
    <xf numFmtId="0" fontId="15" fillId="0" borderId="60" xfId="0" applyFont="1" applyBorder="1" applyAlignment="1">
      <alignment horizontal="center" vertical="center" wrapText="1"/>
    </xf>
    <xf numFmtId="0" fontId="15" fillId="0" borderId="60" xfId="0" applyFont="1" applyBorder="1" applyAlignment="1">
      <alignment horizontal="center" vertical="top" wrapText="1"/>
    </xf>
    <xf numFmtId="0" fontId="15" fillId="0" borderId="120" xfId="0" applyFont="1" applyBorder="1" applyAlignment="1">
      <alignment vertical="top"/>
    </xf>
    <xf numFmtId="0" fontId="8" fillId="0" borderId="0" xfId="0" applyFont="1" applyAlignment="1">
      <alignment horizontal="left"/>
    </xf>
    <xf numFmtId="0" fontId="2" fillId="2" borderId="1" xfId="0" applyFont="1" applyFill="1" applyBorder="1" applyAlignment="1">
      <alignment horizontal="center"/>
    </xf>
    <xf numFmtId="0" fontId="2" fillId="2" borderId="44" xfId="0" applyFont="1" applyFill="1" applyBorder="1" applyAlignment="1">
      <alignment horizontal="left"/>
    </xf>
    <xf numFmtId="0" fontId="2" fillId="2" borderId="44" xfId="0" applyFont="1" applyFill="1" applyBorder="1"/>
    <xf numFmtId="0" fontId="2" fillId="2" borderId="44" xfId="0" applyFont="1" applyFill="1" applyBorder="1" applyAlignment="1">
      <alignment horizontal="center"/>
    </xf>
    <xf numFmtId="0" fontId="43" fillId="2" borderId="45" xfId="0" applyFont="1" applyFill="1" applyBorder="1" applyAlignment="1">
      <alignment horizontal="center"/>
    </xf>
    <xf numFmtId="0" fontId="75" fillId="0" borderId="0" xfId="0" applyFont="1" applyAlignment="1">
      <alignment horizontal="center"/>
    </xf>
    <xf numFmtId="0" fontId="76" fillId="0" borderId="0" xfId="0" applyFont="1" applyAlignment="1">
      <alignment horizontal="center"/>
    </xf>
    <xf numFmtId="0" fontId="74" fillId="0" borderId="0" xfId="0" applyFont="1" applyAlignment="1">
      <alignment horizontal="center"/>
    </xf>
    <xf numFmtId="0" fontId="75" fillId="0" borderId="0" xfId="0" applyFont="1" applyAlignment="1">
      <alignment wrapText="1"/>
    </xf>
    <xf numFmtId="0" fontId="75" fillId="0" borderId="0" xfId="0" applyFont="1"/>
    <xf numFmtId="0" fontId="35" fillId="0" borderId="123" xfId="0" applyFont="1" applyBorder="1" applyAlignment="1">
      <alignment horizontal="center" vertical="center" wrapText="1"/>
    </xf>
    <xf numFmtId="0" fontId="35" fillId="0" borderId="124" xfId="0" applyFont="1" applyBorder="1" applyAlignment="1">
      <alignment horizontal="center" vertical="center" wrapText="1"/>
    </xf>
    <xf numFmtId="0" fontId="78" fillId="0" borderId="2" xfId="0" applyFont="1" applyBorder="1" applyAlignment="1">
      <alignment horizontal="center" wrapText="1"/>
    </xf>
    <xf numFmtId="0" fontId="76" fillId="0" borderId="2" xfId="0" applyFont="1" applyBorder="1"/>
    <xf numFmtId="0" fontId="35" fillId="0" borderId="125" xfId="0" applyFont="1" applyBorder="1" applyAlignment="1">
      <alignment horizontal="center" vertical="center" wrapText="1"/>
    </xf>
    <xf numFmtId="0" fontId="35" fillId="0" borderId="126" xfId="0" applyFont="1" applyBorder="1" applyAlignment="1">
      <alignment horizontal="center" vertical="center" wrapText="1"/>
    </xf>
    <xf numFmtId="0" fontId="77" fillId="0" borderId="2" xfId="0" applyFont="1" applyBorder="1" applyAlignment="1">
      <alignment wrapText="1"/>
    </xf>
    <xf numFmtId="9" fontId="77" fillId="0" borderId="2" xfId="0" applyNumberFormat="1" applyFont="1" applyBorder="1" applyAlignment="1">
      <alignment horizontal="center"/>
    </xf>
    <xf numFmtId="0" fontId="75" fillId="0" borderId="2" xfId="0" applyFont="1" applyBorder="1"/>
    <xf numFmtId="0" fontId="77" fillId="0" borderId="2" xfId="0" applyFont="1" applyBorder="1" applyAlignment="1">
      <alignment horizontal="center"/>
    </xf>
    <xf numFmtId="0" fontId="20" fillId="0" borderId="125" xfId="0" applyFont="1" applyBorder="1" applyAlignment="1">
      <alignment horizontal="center" vertical="center" wrapText="1"/>
    </xf>
    <xf numFmtId="0" fontId="20" fillId="0" borderId="126" xfId="0" applyFont="1" applyBorder="1" applyAlignment="1">
      <alignment vertical="center" wrapText="1"/>
    </xf>
    <xf numFmtId="9" fontId="20" fillId="0" borderId="126" xfId="0" applyNumberFormat="1" applyFont="1" applyBorder="1" applyAlignment="1">
      <alignment horizontal="center" vertical="center" wrapText="1"/>
    </xf>
    <xf numFmtId="0" fontId="79" fillId="0" borderId="2" xfId="0" applyFont="1" applyBorder="1" applyAlignment="1">
      <alignment wrapText="1"/>
    </xf>
    <xf numFmtId="0" fontId="80" fillId="0" borderId="2" xfId="0" applyFont="1" applyBorder="1" applyAlignment="1">
      <alignment wrapText="1"/>
    </xf>
    <xf numFmtId="9" fontId="80" fillId="0" borderId="2" xfId="0" applyNumberFormat="1" applyFont="1" applyBorder="1" applyAlignment="1">
      <alignment horizontal="center"/>
    </xf>
    <xf numFmtId="0" fontId="80" fillId="0" borderId="2" xfId="0" applyFont="1" applyBorder="1" applyAlignment="1">
      <alignment horizontal="center"/>
    </xf>
    <xf numFmtId="0" fontId="77" fillId="0" borderId="1" xfId="0" applyFont="1" applyBorder="1"/>
    <xf numFmtId="9" fontId="77" fillId="0" borderId="1" xfId="0" applyNumberFormat="1" applyFont="1" applyBorder="1" applyAlignment="1">
      <alignment horizontal="center"/>
    </xf>
    <xf numFmtId="0" fontId="21" fillId="0" borderId="1" xfId="0" applyFont="1" applyBorder="1"/>
    <xf numFmtId="0" fontId="77" fillId="0" borderId="1" xfId="0" applyFont="1" applyBorder="1" applyAlignment="1">
      <alignment horizontal="center"/>
    </xf>
    <xf numFmtId="0" fontId="21" fillId="0" borderId="1" xfId="0" applyFont="1" applyBorder="1" applyAlignment="1">
      <alignment wrapText="1"/>
    </xf>
    <xf numFmtId="9" fontId="21" fillId="0" borderId="1" xfId="0" applyNumberFormat="1" applyFont="1" applyBorder="1" applyAlignment="1">
      <alignment horizontal="center" vertical="center"/>
    </xf>
    <xf numFmtId="0" fontId="21" fillId="0" borderId="1" xfId="0" applyFont="1" applyBorder="1" applyAlignment="1">
      <alignment horizontal="center" vertical="center"/>
    </xf>
    <xf numFmtId="164" fontId="17" fillId="0" borderId="0" xfId="0" applyNumberFormat="1" applyFont="1" applyAlignment="1">
      <alignment horizontal="center" vertical="center" wrapText="1"/>
    </xf>
    <xf numFmtId="164" fontId="17" fillId="0" borderId="0" xfId="0" applyNumberFormat="1" applyFont="1" applyAlignment="1">
      <alignment vertical="center" wrapText="1"/>
    </xf>
    <xf numFmtId="0" fontId="8" fillId="0" borderId="0" xfId="0" applyFont="1" applyAlignment="1">
      <alignment vertical="center"/>
    </xf>
    <xf numFmtId="164" fontId="17" fillId="0" borderId="1" xfId="0" applyNumberFormat="1" applyFont="1" applyBorder="1" applyAlignment="1">
      <alignment horizontal="center" vertical="center"/>
    </xf>
    <xf numFmtId="164" fontId="16" fillId="0" borderId="1" xfId="0" applyNumberFormat="1" applyFont="1" applyBorder="1" applyAlignment="1">
      <alignment horizontal="right" vertical="center" wrapText="1"/>
    </xf>
    <xf numFmtId="4" fontId="17" fillId="0" borderId="1" xfId="0" applyNumberFormat="1" applyFont="1" applyBorder="1" applyAlignment="1">
      <alignment horizontal="center" vertical="center"/>
    </xf>
    <xf numFmtId="9" fontId="16" fillId="0" borderId="1" xfId="0" applyNumberFormat="1" applyFont="1" applyBorder="1" applyAlignment="1">
      <alignment horizontal="right" vertical="center" wrapText="1"/>
    </xf>
    <xf numFmtId="0" fontId="17" fillId="0" borderId="1" xfId="0" applyFont="1" applyBorder="1" applyAlignment="1">
      <alignment horizontal="center"/>
    </xf>
    <xf numFmtId="164" fontId="16" fillId="0" borderId="1" xfId="0" applyNumberFormat="1" applyFont="1" applyBorder="1" applyAlignment="1">
      <alignment horizontal="center" vertical="center"/>
    </xf>
    <xf numFmtId="3" fontId="16" fillId="0" borderId="1" xfId="0" applyNumberFormat="1" applyFont="1" applyBorder="1" applyAlignment="1">
      <alignment horizontal="right" vertical="center" wrapText="1"/>
    </xf>
    <xf numFmtId="0" fontId="16" fillId="0" borderId="1" xfId="0" applyFont="1" applyBorder="1" applyAlignment="1">
      <alignment horizontal="center"/>
    </xf>
    <xf numFmtId="164" fontId="16" fillId="0" borderId="1"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4" fontId="16" fillId="0" borderId="1" xfId="0" applyNumberFormat="1" applyFont="1" applyBorder="1" applyAlignment="1">
      <alignment horizontal="left"/>
    </xf>
    <xf numFmtId="38" fontId="15" fillId="0" borderId="1" xfId="0" applyNumberFormat="1" applyFont="1" applyBorder="1"/>
    <xf numFmtId="0" fontId="26" fillId="7" borderId="1" xfId="0" applyFont="1" applyFill="1" applyBorder="1" applyAlignment="1">
      <alignment horizontal="center" vertical="center" wrapText="1"/>
    </xf>
    <xf numFmtId="0" fontId="26" fillId="7" borderId="1" xfId="0" applyFont="1" applyFill="1" applyBorder="1" applyAlignment="1">
      <alignment vertical="top" wrapText="1"/>
    </xf>
    <xf numFmtId="0" fontId="26" fillId="7" borderId="1" xfId="0" applyFont="1" applyFill="1" applyBorder="1" applyAlignment="1">
      <alignment horizontal="left" vertical="center" wrapText="1"/>
    </xf>
    <xf numFmtId="164" fontId="26" fillId="7" borderId="1" xfId="0" applyNumberFormat="1" applyFont="1" applyFill="1" applyBorder="1" applyAlignment="1">
      <alignment horizontal="right" vertical="center" wrapText="1"/>
    </xf>
    <xf numFmtId="164" fontId="26" fillId="7" borderId="1" xfId="0" applyNumberFormat="1" applyFont="1" applyFill="1" applyBorder="1" applyAlignment="1">
      <alignment horizontal="center" vertical="center"/>
    </xf>
    <xf numFmtId="0" fontId="27" fillId="7" borderId="1" xfId="0" applyFont="1" applyFill="1" applyBorder="1" applyAlignment="1">
      <alignment horizontal="center" vertical="center"/>
    </xf>
    <xf numFmtId="0" fontId="26" fillId="7" borderId="1" xfId="0" applyFont="1" applyFill="1" applyBorder="1" applyAlignment="1">
      <alignment wrapText="1"/>
    </xf>
    <xf numFmtId="164" fontId="46" fillId="7" borderId="1" xfId="0" applyNumberFormat="1" applyFont="1" applyFill="1" applyBorder="1" applyAlignment="1">
      <alignment horizontal="right" vertical="center" wrapText="1"/>
    </xf>
    <xf numFmtId="164" fontId="46" fillId="7" borderId="1" xfId="0" applyNumberFormat="1" applyFont="1" applyFill="1" applyBorder="1" applyAlignment="1">
      <alignment horizontal="center" vertical="center"/>
    </xf>
    <xf numFmtId="164" fontId="46" fillId="7" borderId="1" xfId="0" applyNumberFormat="1" applyFont="1" applyFill="1" applyBorder="1" applyAlignment="1">
      <alignment horizontal="center"/>
    </xf>
    <xf numFmtId="164" fontId="16" fillId="7" borderId="1" xfId="0" applyNumberFormat="1" applyFont="1" applyFill="1" applyBorder="1" applyAlignment="1">
      <alignment horizontal="right"/>
    </xf>
    <xf numFmtId="164" fontId="16" fillId="7" borderId="1" xfId="0" applyNumberFormat="1" applyFont="1" applyFill="1" applyBorder="1" applyAlignment="1">
      <alignment horizontal="center"/>
    </xf>
    <xf numFmtId="0" fontId="8" fillId="7" borderId="45" xfId="0" applyFont="1" applyFill="1" applyBorder="1" applyAlignment="1">
      <alignment wrapText="1"/>
    </xf>
    <xf numFmtId="0" fontId="17" fillId="7" borderId="1" xfId="0" applyFont="1" applyFill="1" applyBorder="1" applyAlignment="1">
      <alignment vertical="center" wrapText="1"/>
    </xf>
    <xf numFmtId="164" fontId="16" fillId="7" borderId="1" xfId="0" applyNumberFormat="1" applyFont="1" applyFill="1" applyBorder="1" applyAlignment="1">
      <alignment horizontal="center" vertical="center"/>
    </xf>
    <xf numFmtId="0" fontId="46" fillId="7" borderId="1" xfId="0" applyFont="1" applyFill="1" applyBorder="1" applyAlignment="1">
      <alignment wrapText="1"/>
    </xf>
    <xf numFmtId="0" fontId="46" fillId="7" borderId="1" xfId="0" applyFont="1" applyFill="1" applyBorder="1" applyAlignment="1">
      <alignment vertical="center" wrapText="1"/>
    </xf>
    <xf numFmtId="0" fontId="16" fillId="7" borderId="1" xfId="0" applyFont="1" applyFill="1" applyBorder="1"/>
    <xf numFmtId="3" fontId="17" fillId="0" borderId="1" xfId="0" applyNumberFormat="1" applyFont="1" applyBorder="1" applyAlignment="1">
      <alignment horizontal="right" vertical="center" wrapText="1"/>
    </xf>
    <xf numFmtId="170" fontId="16" fillId="0" borderId="1" xfId="0" applyNumberFormat="1" applyFont="1" applyBorder="1" applyAlignment="1">
      <alignment horizontal="center" vertical="center" wrapText="1"/>
    </xf>
    <xf numFmtId="170" fontId="16" fillId="7" borderId="1" xfId="0" applyNumberFormat="1" applyFont="1" applyFill="1" applyBorder="1" applyAlignment="1">
      <alignment horizontal="center" vertical="center" wrapText="1"/>
    </xf>
    <xf numFmtId="164" fontId="16" fillId="7" borderId="1" xfId="0" applyNumberFormat="1" applyFont="1" applyFill="1" applyBorder="1" applyAlignment="1">
      <alignment vertical="center"/>
    </xf>
    <xf numFmtId="170" fontId="16" fillId="7" borderId="1" xfId="0" quotePrefix="1" applyNumberFormat="1" applyFont="1" applyFill="1" applyBorder="1" applyAlignment="1">
      <alignment horizontal="center" vertical="center" wrapText="1"/>
    </xf>
    <xf numFmtId="0" fontId="16" fillId="7" borderId="45" xfId="0" applyFont="1" applyFill="1" applyBorder="1" applyAlignment="1">
      <alignment horizontal="left" vertical="center" wrapText="1"/>
    </xf>
    <xf numFmtId="164" fontId="16" fillId="7" borderId="1" xfId="0" applyNumberFormat="1" applyFont="1" applyFill="1" applyBorder="1" applyAlignment="1">
      <alignment vertical="center" wrapText="1"/>
    </xf>
    <xf numFmtId="164" fontId="37" fillId="7" borderId="1" xfId="0" applyNumberFormat="1" applyFont="1" applyFill="1" applyBorder="1" applyAlignment="1">
      <alignment horizontal="center" vertical="center" wrapText="1"/>
    </xf>
    <xf numFmtId="164" fontId="16" fillId="7" borderId="42" xfId="0" applyNumberFormat="1" applyFont="1" applyFill="1" applyBorder="1" applyAlignment="1">
      <alignment horizontal="center" vertical="center" wrapText="1"/>
    </xf>
    <xf numFmtId="3" fontId="16" fillId="7" borderId="1" xfId="0" applyNumberFormat="1" applyFont="1" applyFill="1" applyBorder="1" applyAlignment="1">
      <alignment horizontal="right"/>
    </xf>
    <xf numFmtId="0" fontId="16" fillId="7" borderId="44" xfId="0" applyFont="1" applyFill="1" applyBorder="1" applyAlignment="1">
      <alignment horizontal="center" vertical="center"/>
    </xf>
    <xf numFmtId="164" fontId="10" fillId="7" borderId="1" xfId="0" applyNumberFormat="1" applyFont="1" applyFill="1" applyBorder="1"/>
    <xf numFmtId="0" fontId="37" fillId="7" borderId="1" xfId="0" applyFont="1" applyFill="1" applyBorder="1" applyAlignment="1">
      <alignment horizontal="left" vertical="center" wrapText="1"/>
    </xf>
    <xf numFmtId="164" fontId="37" fillId="0" borderId="1" xfId="0" applyNumberFormat="1" applyFont="1" applyBorder="1" applyAlignment="1">
      <alignment horizontal="center" vertical="center" wrapText="1"/>
    </xf>
    <xf numFmtId="3" fontId="37" fillId="0" borderId="1" xfId="0" applyNumberFormat="1" applyFont="1" applyBorder="1" applyAlignment="1">
      <alignment horizontal="right" vertical="center" wrapText="1"/>
    </xf>
    <xf numFmtId="170" fontId="16" fillId="5" borderId="1" xfId="0" applyNumberFormat="1" applyFont="1" applyFill="1" applyBorder="1" applyAlignment="1">
      <alignment horizontal="center" vertical="center" wrapText="1"/>
    </xf>
    <xf numFmtId="0" fontId="16" fillId="5" borderId="1" xfId="0" applyFont="1" applyFill="1" applyBorder="1" applyAlignment="1">
      <alignment vertical="center" wrapText="1"/>
    </xf>
    <xf numFmtId="0" fontId="16" fillId="5" borderId="1" xfId="0" applyFont="1" applyFill="1" applyBorder="1" applyAlignment="1">
      <alignment horizontal="center" vertical="center" wrapText="1"/>
    </xf>
    <xf numFmtId="0" fontId="16" fillId="5" borderId="1" xfId="0" applyFont="1" applyFill="1" applyBorder="1" applyAlignment="1">
      <alignment horizontal="left" vertical="center" wrapText="1"/>
    </xf>
    <xf numFmtId="0" fontId="16" fillId="5" borderId="1" xfId="0" applyFont="1" applyFill="1" applyBorder="1"/>
    <xf numFmtId="164" fontId="37" fillId="5" borderId="1" xfId="0" applyNumberFormat="1" applyFont="1" applyFill="1" applyBorder="1" applyAlignment="1">
      <alignment horizontal="center" vertical="center" wrapText="1"/>
    </xf>
    <xf numFmtId="3" fontId="16" fillId="5" borderId="1" xfId="0" applyNumberFormat="1" applyFont="1" applyFill="1" applyBorder="1" applyAlignment="1">
      <alignment horizontal="right" vertical="center" wrapText="1"/>
    </xf>
    <xf numFmtId="0" fontId="16" fillId="5" borderId="1" xfId="0" applyFont="1" applyFill="1" applyBorder="1" applyAlignment="1">
      <alignment horizontal="center"/>
    </xf>
    <xf numFmtId="0" fontId="16" fillId="7" borderId="1" xfId="0" applyFont="1" applyFill="1" applyBorder="1" applyAlignment="1">
      <alignment horizontal="center"/>
    </xf>
    <xf numFmtId="164" fontId="17" fillId="5" borderId="1" xfId="0" applyNumberFormat="1" applyFont="1" applyFill="1" applyBorder="1" applyAlignment="1">
      <alignment horizontal="center" vertical="center" wrapText="1"/>
    </xf>
    <xf numFmtId="164" fontId="16" fillId="5"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xf>
    <xf numFmtId="0" fontId="17" fillId="0" borderId="0" xfId="0" applyFont="1" applyAlignment="1">
      <alignment horizontal="left" vertical="center" wrapText="1"/>
    </xf>
    <xf numFmtId="0" fontId="8" fillId="0" borderId="0" xfId="0" quotePrefix="1" applyFont="1" applyAlignment="1">
      <alignment horizontal="left" vertical="center"/>
    </xf>
    <xf numFmtId="164" fontId="16" fillId="0" borderId="0" xfId="0" applyNumberFormat="1" applyFont="1" applyAlignment="1">
      <alignment horizontal="center" vertical="center" wrapText="1"/>
    </xf>
    <xf numFmtId="164" fontId="16" fillId="0" borderId="0" xfId="0" applyNumberFormat="1" applyFont="1" applyAlignment="1">
      <alignment vertical="center" wrapText="1"/>
    </xf>
    <xf numFmtId="3" fontId="8" fillId="0" borderId="0" xfId="0" applyNumberFormat="1" applyFont="1" applyAlignment="1">
      <alignment horizontal="right" vertical="center" wrapText="1"/>
    </xf>
    <xf numFmtId="0" fontId="15" fillId="0" borderId="1" xfId="0" applyFont="1" applyBorder="1" applyAlignment="1">
      <alignment horizontal="center" vertical="top" wrapText="1"/>
    </xf>
    <xf numFmtId="3" fontId="15" fillId="0" borderId="1" xfId="0" applyNumberFormat="1" applyFont="1" applyBorder="1" applyAlignment="1">
      <alignment horizontal="center" vertical="top" wrapText="1"/>
    </xf>
    <xf numFmtId="0" fontId="4" fillId="0" borderId="1" xfId="0" applyFont="1" applyBorder="1" applyAlignment="1">
      <alignment horizontal="center" vertical="top" wrapText="1"/>
    </xf>
    <xf numFmtId="0" fontId="17" fillId="0" borderId="1" xfId="0" applyFont="1" applyBorder="1"/>
    <xf numFmtId="0" fontId="8" fillId="0" borderId="1" xfId="0" applyFont="1" applyBorder="1" applyAlignment="1">
      <alignment horizontal="center" vertical="top" wrapText="1"/>
    </xf>
    <xf numFmtId="3" fontId="8" fillId="0" borderId="1" xfId="0" applyNumberFormat="1" applyFont="1" applyBorder="1" applyAlignment="1">
      <alignment horizontal="right" vertical="top" wrapText="1"/>
    </xf>
    <xf numFmtId="3" fontId="4" fillId="0" borderId="1" xfId="0" applyNumberFormat="1" applyFont="1" applyBorder="1" applyAlignment="1">
      <alignment horizontal="right" vertical="top" wrapText="1"/>
    </xf>
    <xf numFmtId="0" fontId="8" fillId="0" borderId="1" xfId="0" applyFont="1" applyBorder="1"/>
    <xf numFmtId="3" fontId="10" fillId="0" borderId="1" xfId="0" applyNumberFormat="1" applyFont="1" applyBorder="1" applyAlignment="1">
      <alignment horizontal="right" vertical="top" wrapText="1"/>
    </xf>
    <xf numFmtId="0" fontId="8" fillId="0" borderId="1" xfId="0" applyFont="1" applyBorder="1" applyAlignment="1">
      <alignment horizontal="right" vertical="center"/>
    </xf>
    <xf numFmtId="0" fontId="8" fillId="0" borderId="1" xfId="0" applyFont="1" applyBorder="1" applyAlignment="1">
      <alignment horizontal="center"/>
    </xf>
    <xf numFmtId="0" fontId="8" fillId="0" borderId="1" xfId="0" applyFont="1" applyBorder="1" applyAlignment="1">
      <alignment vertical="center"/>
    </xf>
    <xf numFmtId="0" fontId="10" fillId="0" borderId="1" xfId="0" applyFont="1" applyBorder="1" applyAlignment="1">
      <alignment horizontal="right"/>
    </xf>
    <xf numFmtId="0" fontId="8" fillId="0" borderId="1" xfId="0" applyFont="1" applyBorder="1" applyAlignment="1">
      <alignment horizontal="right"/>
    </xf>
    <xf numFmtId="0" fontId="8" fillId="0" borderId="1" xfId="0" applyFont="1" applyBorder="1" applyAlignment="1">
      <alignment horizontal="center" vertical="center" wrapText="1"/>
    </xf>
    <xf numFmtId="3" fontId="8" fillId="0" borderId="1" xfId="0" applyNumberFormat="1" applyFont="1" applyBorder="1" applyAlignment="1">
      <alignment horizontal="right" vertical="center" wrapText="1"/>
    </xf>
    <xf numFmtId="0" fontId="10" fillId="0" borderId="1" xfId="0" applyFont="1" applyBorder="1" applyAlignment="1">
      <alignment horizontal="right" vertical="center"/>
    </xf>
    <xf numFmtId="0" fontId="17" fillId="0" borderId="0" xfId="0" applyFont="1"/>
    <xf numFmtId="0" fontId="16" fillId="0" borderId="1" xfId="0" applyFont="1" applyBorder="1" applyAlignment="1">
      <alignment horizontal="center" vertical="top" wrapText="1"/>
    </xf>
    <xf numFmtId="3" fontId="13" fillId="0" borderId="1" xfId="0" applyNumberFormat="1" applyFont="1" applyBorder="1" applyAlignment="1">
      <alignment horizontal="right" vertical="top" wrapText="1"/>
    </xf>
    <xf numFmtId="0" fontId="17" fillId="0" borderId="1" xfId="0" applyFont="1" applyBorder="1" applyAlignment="1">
      <alignment vertical="top" wrapText="1"/>
    </xf>
    <xf numFmtId="0" fontId="16" fillId="0" borderId="1" xfId="0" applyFont="1" applyBorder="1" applyAlignment="1">
      <alignment horizontal="right"/>
    </xf>
    <xf numFmtId="3" fontId="8" fillId="0" borderId="1" xfId="0" applyNumberFormat="1" applyFont="1" applyBorder="1"/>
    <xf numFmtId="0" fontId="15" fillId="0" borderId="1" xfId="0" applyFont="1" applyBorder="1" applyAlignment="1">
      <alignment horizontal="left" vertical="top" wrapText="1"/>
    </xf>
    <xf numFmtId="0" fontId="8" fillId="0" borderId="1" xfId="0" applyFont="1" applyBorder="1" applyAlignment="1">
      <alignment horizontal="right" vertical="top" wrapText="1"/>
    </xf>
    <xf numFmtId="0" fontId="4" fillId="0" borderId="0" xfId="0" applyFont="1" applyAlignment="1">
      <alignment horizontal="left"/>
    </xf>
    <xf numFmtId="164" fontId="4" fillId="0" borderId="0" xfId="0" applyNumberFormat="1" applyFont="1" applyAlignment="1">
      <alignment horizontal="left" vertical="top"/>
    </xf>
    <xf numFmtId="0" fontId="77" fillId="0" borderId="0" xfId="0" applyFont="1"/>
    <xf numFmtId="0" fontId="15" fillId="0" borderId="2" xfId="0" applyFont="1" applyBorder="1" applyAlignment="1">
      <alignment horizontal="center" vertical="top"/>
    </xf>
    <xf numFmtId="0" fontId="4" fillId="0" borderId="2" xfId="0" applyFont="1" applyBorder="1" applyAlignment="1">
      <alignment horizontal="center" vertical="top"/>
    </xf>
    <xf numFmtId="0" fontId="15" fillId="0" borderId="2" xfId="0" applyFont="1" applyBorder="1" applyAlignment="1">
      <alignment horizontal="left"/>
    </xf>
    <xf numFmtId="0" fontId="8" fillId="0" borderId="2" xfId="0" applyFont="1" applyBorder="1" applyAlignment="1">
      <alignment horizontal="center" vertical="top"/>
    </xf>
    <xf numFmtId="0" fontId="8" fillId="0" borderId="2" xfId="0" applyFont="1" applyBorder="1" applyAlignment="1">
      <alignment horizontal="right" vertical="top"/>
    </xf>
    <xf numFmtId="0" fontId="10" fillId="0" borderId="2" xfId="0" applyFont="1" applyBorder="1" applyAlignment="1">
      <alignment horizontal="right" vertical="top"/>
    </xf>
    <xf numFmtId="0" fontId="8" fillId="0" borderId="2" xfId="0" applyFont="1" applyBorder="1"/>
    <xf numFmtId="0" fontId="10" fillId="0" borderId="2" xfId="0" applyFont="1" applyBorder="1" applyAlignment="1">
      <alignment horizontal="left" wrapText="1"/>
    </xf>
    <xf numFmtId="3" fontId="8" fillId="0" borderId="2" xfId="0" applyNumberFormat="1" applyFont="1" applyBorder="1" applyAlignment="1">
      <alignment horizontal="center" vertical="top"/>
    </xf>
    <xf numFmtId="3" fontId="10" fillId="0" borderId="2" xfId="0" applyNumberFormat="1" applyFont="1" applyBorder="1" applyAlignment="1">
      <alignment horizontal="center" vertical="top"/>
    </xf>
    <xf numFmtId="0" fontId="8" fillId="0" borderId="2" xfId="0" applyFont="1" applyBorder="1" applyAlignment="1">
      <alignment horizontal="right"/>
    </xf>
    <xf numFmtId="0" fontId="10" fillId="0" borderId="2" xfId="0" applyFont="1" applyBorder="1" applyAlignment="1">
      <alignment horizontal="left"/>
    </xf>
    <xf numFmtId="0" fontId="10" fillId="0" borderId="2" xfId="0" applyFont="1" applyBorder="1" applyAlignment="1">
      <alignment horizontal="right"/>
    </xf>
    <xf numFmtId="0" fontId="8" fillId="0" borderId="2" xfId="0" applyFont="1" applyBorder="1" applyAlignment="1">
      <alignment horizontal="center"/>
    </xf>
    <xf numFmtId="0" fontId="15" fillId="0" borderId="2" xfId="0" applyFont="1" applyBorder="1" applyAlignment="1">
      <alignment horizontal="left" vertical="top"/>
    </xf>
    <xf numFmtId="0" fontId="15" fillId="0" borderId="2" xfId="0" applyFont="1" applyBorder="1" applyAlignment="1">
      <alignment vertical="top"/>
    </xf>
    <xf numFmtId="0" fontId="10" fillId="0" borderId="0" xfId="0" applyFont="1" applyAlignment="1">
      <alignment horizontal="left"/>
    </xf>
    <xf numFmtId="3" fontId="8" fillId="0" borderId="2" xfId="0" applyNumberFormat="1" applyFont="1" applyBorder="1" applyAlignment="1">
      <alignment horizontal="center"/>
    </xf>
    <xf numFmtId="0" fontId="10" fillId="0" borderId="2" xfId="0" applyFont="1" applyBorder="1"/>
    <xf numFmtId="3" fontId="4" fillId="0" borderId="2" xfId="0" applyNumberFormat="1" applyFont="1" applyBorder="1" applyAlignment="1">
      <alignment horizontal="center" vertical="top"/>
    </xf>
    <xf numFmtId="0" fontId="15" fillId="0" borderId="1" xfId="0" applyFont="1" applyBorder="1" applyAlignment="1">
      <alignment horizontal="center" vertical="center" wrapText="1"/>
    </xf>
    <xf numFmtId="180" fontId="15" fillId="0" borderId="1" xfId="0" applyNumberFormat="1" applyFont="1" applyBorder="1" applyAlignment="1">
      <alignment horizontal="center" vertical="center" wrapText="1"/>
    </xf>
    <xf numFmtId="0" fontId="4" fillId="0" borderId="1" xfId="0" applyFont="1" applyBorder="1" applyAlignment="1">
      <alignment horizontal="center" wrapText="1"/>
    </xf>
    <xf numFmtId="0" fontId="15" fillId="0" borderId="1" xfId="0" applyFont="1" applyBorder="1" applyAlignment="1">
      <alignment horizontal="left" vertical="center" wrapText="1"/>
    </xf>
    <xf numFmtId="0" fontId="8" fillId="0" borderId="1" xfId="0" applyFont="1" applyBorder="1" applyAlignment="1">
      <alignment horizontal="left" vertical="center" wrapText="1"/>
    </xf>
    <xf numFmtId="180" fontId="8" fillId="0" borderId="1" xfId="0" applyNumberFormat="1" applyFont="1" applyBorder="1" applyAlignment="1">
      <alignment horizontal="left" vertical="center" wrapText="1"/>
    </xf>
    <xf numFmtId="180" fontId="15" fillId="0" borderId="1" xfId="0" applyNumberFormat="1" applyFont="1" applyBorder="1" applyAlignment="1">
      <alignment horizontal="right" vertical="center" wrapText="1"/>
    </xf>
    <xf numFmtId="180" fontId="8" fillId="0" borderId="1" xfId="0" applyNumberFormat="1" applyFont="1" applyBorder="1" applyAlignment="1">
      <alignment horizontal="center" vertical="center" wrapText="1"/>
    </xf>
    <xf numFmtId="0" fontId="15" fillId="0" borderId="52" xfId="0" applyFont="1" applyBorder="1" applyAlignment="1">
      <alignment horizontal="center" vertical="center" wrapText="1"/>
    </xf>
    <xf numFmtId="0" fontId="15" fillId="0" borderId="52" xfId="0" applyFont="1" applyBorder="1" applyAlignment="1">
      <alignment horizontal="left" vertical="center" wrapText="1"/>
    </xf>
    <xf numFmtId="0" fontId="8" fillId="0" borderId="52" xfId="0" applyFont="1" applyBorder="1" applyAlignment="1">
      <alignment horizontal="center" vertical="center" wrapText="1"/>
    </xf>
    <xf numFmtId="180" fontId="8" fillId="0" borderId="52" xfId="0" applyNumberFormat="1" applyFont="1" applyBorder="1" applyAlignment="1">
      <alignment horizontal="right" vertical="center" wrapText="1"/>
    </xf>
    <xf numFmtId="180" fontId="15" fillId="0" borderId="52" xfId="0" applyNumberFormat="1" applyFont="1" applyBorder="1" applyAlignment="1">
      <alignment horizontal="right" vertical="center" wrapText="1"/>
    </xf>
    <xf numFmtId="0" fontId="8" fillId="0" borderId="52" xfId="0" applyFont="1" applyBorder="1" applyAlignment="1">
      <alignment horizontal="left" vertical="center" wrapText="1"/>
    </xf>
    <xf numFmtId="180" fontId="8" fillId="0" borderId="21" xfId="0" applyNumberFormat="1" applyFont="1" applyBorder="1" applyAlignment="1">
      <alignment horizontal="right" vertical="center" wrapText="1"/>
    </xf>
    <xf numFmtId="180" fontId="15" fillId="0" borderId="21" xfId="0" applyNumberFormat="1" applyFont="1" applyBorder="1" applyAlignment="1">
      <alignment horizontal="right" vertical="center" wrapText="1"/>
    </xf>
    <xf numFmtId="180" fontId="8" fillId="7" borderId="21" xfId="0" applyNumberFormat="1" applyFont="1" applyFill="1" applyBorder="1" applyAlignment="1">
      <alignment horizontal="right" vertical="center" wrapText="1"/>
    </xf>
    <xf numFmtId="0" fontId="15" fillId="0" borderId="22" xfId="0" applyFont="1" applyBorder="1" applyAlignment="1">
      <alignment horizontal="left" vertical="center" wrapText="1"/>
    </xf>
    <xf numFmtId="0" fontId="4" fillId="0" borderId="1" xfId="0" applyFont="1" applyBorder="1"/>
    <xf numFmtId="180" fontId="8" fillId="0" borderId="1" xfId="0" applyNumberFormat="1" applyFont="1" applyBorder="1" applyAlignment="1">
      <alignment horizontal="right" vertical="center" wrapText="1"/>
    </xf>
    <xf numFmtId="0" fontId="8" fillId="0" borderId="1" xfId="0" applyFont="1" applyBorder="1" applyAlignment="1">
      <alignment vertical="center" wrapText="1"/>
    </xf>
    <xf numFmtId="0" fontId="15" fillId="0" borderId="0" xfId="0" applyFont="1" applyAlignment="1">
      <alignment horizontal="left" vertical="center" wrapText="1"/>
    </xf>
    <xf numFmtId="180" fontId="8" fillId="0" borderId="0" xfId="0" applyNumberFormat="1" applyFont="1" applyAlignment="1">
      <alignment horizontal="right" vertical="center" wrapText="1"/>
    </xf>
    <xf numFmtId="180" fontId="15" fillId="0" borderId="0" xfId="0" applyNumberFormat="1" applyFont="1" applyAlignment="1">
      <alignment horizontal="right" vertical="center" wrapText="1"/>
    </xf>
    <xf numFmtId="0" fontId="35" fillId="0" borderId="0" xfId="0" applyFont="1" applyAlignment="1">
      <alignment horizontal="center"/>
    </xf>
    <xf numFmtId="0" fontId="8" fillId="0" borderId="2" xfId="0" applyFont="1" applyBorder="1" applyAlignment="1">
      <alignment horizontal="center" wrapText="1"/>
    </xf>
    <xf numFmtId="0" fontId="4" fillId="0" borderId="2" xfId="0" applyFont="1" applyBorder="1" applyAlignment="1">
      <alignment horizontal="center"/>
    </xf>
    <xf numFmtId="0" fontId="8" fillId="0" borderId="2" xfId="0" applyFont="1" applyBorder="1" applyAlignment="1">
      <alignment wrapText="1"/>
    </xf>
    <xf numFmtId="3" fontId="10" fillId="0" borderId="2" xfId="0" applyNumberFormat="1" applyFont="1" applyBorder="1" applyAlignment="1">
      <alignment horizontal="center"/>
    </xf>
    <xf numFmtId="0" fontId="10" fillId="0" borderId="2" xfId="0" applyFont="1" applyBorder="1" applyAlignment="1">
      <alignment horizontal="center"/>
    </xf>
    <xf numFmtId="3" fontId="4" fillId="0" borderId="2" xfId="0" applyNumberFormat="1"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left"/>
    </xf>
    <xf numFmtId="164" fontId="4" fillId="0" borderId="2" xfId="0" applyNumberFormat="1" applyFont="1" applyBorder="1" applyAlignment="1">
      <alignment horizontal="center"/>
    </xf>
    <xf numFmtId="0" fontId="13" fillId="0" borderId="2" xfId="0" applyFont="1" applyBorder="1" applyAlignment="1">
      <alignment horizontal="left"/>
    </xf>
    <xf numFmtId="0" fontId="10" fillId="0" borderId="2" xfId="0" applyFont="1" applyBorder="1" applyAlignment="1">
      <alignment wrapText="1"/>
    </xf>
    <xf numFmtId="170" fontId="10" fillId="0" borderId="1" xfId="0" applyNumberFormat="1" applyFont="1" applyBorder="1" applyAlignment="1">
      <alignment horizontal="center"/>
    </xf>
    <xf numFmtId="164" fontId="10" fillId="0" borderId="2" xfId="0" applyNumberFormat="1" applyFont="1" applyBorder="1" applyAlignment="1">
      <alignment horizontal="center"/>
    </xf>
    <xf numFmtId="0" fontId="10" fillId="0" borderId="2" xfId="0" applyFont="1" applyBorder="1" applyAlignment="1">
      <alignment horizontal="left" vertical="top"/>
    </xf>
    <xf numFmtId="0" fontId="4" fillId="0" borderId="2" xfId="0" applyFont="1" applyBorder="1"/>
    <xf numFmtId="0" fontId="4" fillId="0" borderId="2" xfId="0" applyFont="1" applyBorder="1" applyAlignment="1">
      <alignment horizontal="left" wrapText="1"/>
    </xf>
    <xf numFmtId="3" fontId="4" fillId="0" borderId="2" xfId="0" applyNumberFormat="1" applyFont="1" applyBorder="1"/>
    <xf numFmtId="3" fontId="10" fillId="0" borderId="2" xfId="0" applyNumberFormat="1" applyFont="1" applyBorder="1"/>
    <xf numFmtId="3" fontId="10" fillId="0" borderId="1" xfId="0" applyNumberFormat="1" applyFont="1" applyBorder="1" applyAlignment="1">
      <alignment horizontal="center"/>
    </xf>
    <xf numFmtId="164" fontId="4" fillId="0" borderId="0" xfId="0" applyNumberFormat="1" applyFont="1" applyAlignment="1">
      <alignment horizontal="center"/>
    </xf>
    <xf numFmtId="0" fontId="4" fillId="0" borderId="1" xfId="0" applyFont="1" applyBorder="1" applyAlignment="1">
      <alignment horizontal="left"/>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3" fontId="8" fillId="0" borderId="1" xfId="0" applyNumberFormat="1" applyFont="1" applyBorder="1" applyAlignment="1">
      <alignment horizontal="center"/>
    </xf>
    <xf numFmtId="181" fontId="8" fillId="0" borderId="1" xfId="0" applyNumberFormat="1" applyFont="1" applyBorder="1"/>
    <xf numFmtId="0" fontId="8" fillId="0" borderId="1" xfId="0" applyFont="1" applyBorder="1" applyAlignment="1">
      <alignment wrapText="1"/>
    </xf>
    <xf numFmtId="3" fontId="10" fillId="0" borderId="1" xfId="0" applyNumberFormat="1" applyFont="1" applyBorder="1" applyAlignment="1">
      <alignment horizontal="right"/>
    </xf>
    <xf numFmtId="3" fontId="4" fillId="0" borderId="1" xfId="0" applyNumberFormat="1" applyFont="1" applyBorder="1" applyAlignment="1">
      <alignment horizontal="right"/>
    </xf>
    <xf numFmtId="0" fontId="10" fillId="0" borderId="1" xfId="0" applyFont="1" applyBorder="1" applyAlignment="1">
      <alignment wrapText="1"/>
    </xf>
    <xf numFmtId="0" fontId="8" fillId="0" borderId="1" xfId="0" applyFont="1" applyBorder="1" applyAlignment="1">
      <alignment vertical="top"/>
    </xf>
    <xf numFmtId="0" fontId="82" fillId="0" borderId="0" xfId="0" applyFont="1" applyAlignment="1">
      <alignment horizontal="left"/>
    </xf>
    <xf numFmtId="0" fontId="35" fillId="0" borderId="0" xfId="0" applyFont="1" applyAlignment="1">
      <alignment horizontal="left"/>
    </xf>
    <xf numFmtId="0" fontId="35" fillId="0" borderId="0" xfId="0" applyFont="1"/>
    <xf numFmtId="0" fontId="83" fillId="0" borderId="0" xfId="0" applyFont="1" applyAlignment="1">
      <alignment horizontal="center" wrapText="1"/>
    </xf>
    <xf numFmtId="0" fontId="83" fillId="0" borderId="0" xfId="0" applyFont="1" applyAlignment="1">
      <alignment horizontal="center"/>
    </xf>
    <xf numFmtId="0" fontId="39" fillId="2" borderId="42"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0" borderId="1" xfId="0" applyFont="1" applyBorder="1" applyAlignment="1">
      <alignment horizontal="center" vertical="center" wrapText="1"/>
    </xf>
    <xf numFmtId="0" fontId="39" fillId="2" borderId="43"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16" fillId="2" borderId="42" xfId="0" applyFont="1" applyFill="1" applyBorder="1" applyAlignment="1">
      <alignment horizontal="center"/>
    </xf>
    <xf numFmtId="0" fontId="41" fillId="2" borderId="1" xfId="0" applyFont="1" applyFill="1" applyBorder="1" applyAlignment="1">
      <alignment horizontal="center" vertical="top"/>
    </xf>
    <xf numFmtId="3" fontId="41" fillId="2" borderId="1" xfId="0" applyNumberFormat="1" applyFont="1" applyFill="1" applyBorder="1" applyAlignment="1">
      <alignment horizontal="center" vertical="top"/>
    </xf>
    <xf numFmtId="3" fontId="41" fillId="0" borderId="1" xfId="0" applyNumberFormat="1" applyFont="1" applyBorder="1" applyAlignment="1">
      <alignment horizontal="center" vertical="top"/>
    </xf>
    <xf numFmtId="3" fontId="41" fillId="2" borderId="1" xfId="0" applyNumberFormat="1" applyFont="1" applyFill="1" applyBorder="1" applyAlignment="1">
      <alignment horizontal="center" vertical="top" wrapText="1"/>
    </xf>
    <xf numFmtId="3" fontId="41" fillId="2" borderId="43" xfId="0" applyNumberFormat="1" applyFont="1" applyFill="1" applyBorder="1" applyAlignment="1">
      <alignment horizontal="center" vertical="top"/>
    </xf>
    <xf numFmtId="3" fontId="16" fillId="2" borderId="1" xfId="0" applyNumberFormat="1" applyFont="1" applyFill="1" applyBorder="1" applyAlignment="1">
      <alignment horizontal="right"/>
    </xf>
    <xf numFmtId="0" fontId="17" fillId="0" borderId="1" xfId="0" applyFont="1" applyBorder="1" applyAlignment="1">
      <alignment horizontal="center" vertical="top" wrapText="1"/>
    </xf>
    <xf numFmtId="3" fontId="8" fillId="2" borderId="1" xfId="0" applyNumberFormat="1" applyFont="1" applyFill="1" applyBorder="1" applyAlignment="1">
      <alignment horizontal="center"/>
    </xf>
    <xf numFmtId="3" fontId="8" fillId="2" borderId="1" xfId="0" applyNumberFormat="1" applyFont="1" applyFill="1" applyBorder="1" applyAlignment="1">
      <alignment horizontal="center" wrapText="1"/>
    </xf>
    <xf numFmtId="3" fontId="8" fillId="0" borderId="1" xfId="0" applyNumberFormat="1" applyFont="1" applyBorder="1" applyAlignment="1">
      <alignment horizontal="right"/>
    </xf>
    <xf numFmtId="0" fontId="4" fillId="0" borderId="1" xfId="0" applyFont="1" applyBorder="1" applyAlignment="1">
      <alignment horizontal="left" vertical="center"/>
    </xf>
    <xf numFmtId="0" fontId="8" fillId="0" borderId="1" xfId="0" applyFont="1" applyBorder="1" applyAlignment="1">
      <alignment horizontal="left"/>
    </xf>
    <xf numFmtId="3" fontId="8" fillId="0" borderId="1" xfId="0" applyNumberFormat="1" applyFont="1" applyBorder="1" applyAlignment="1">
      <alignment wrapText="1"/>
    </xf>
    <xf numFmtId="3" fontId="4" fillId="0" borderId="1" xfId="0" applyNumberFormat="1" applyFont="1" applyBorder="1"/>
    <xf numFmtId="3" fontId="8" fillId="0" borderId="0" xfId="0" applyNumberFormat="1" applyFont="1"/>
    <xf numFmtId="3" fontId="8" fillId="0" borderId="0" xfId="0" applyNumberFormat="1" applyFont="1" applyAlignment="1">
      <alignment wrapText="1"/>
    </xf>
    <xf numFmtId="3" fontId="4" fillId="0" borderId="0" xfId="0" applyNumberFormat="1" applyFont="1"/>
    <xf numFmtId="0" fontId="84" fillId="0" borderId="0" xfId="0" applyFont="1" applyAlignment="1">
      <alignment horizontal="center" vertical="center" wrapText="1"/>
    </xf>
    <xf numFmtId="0" fontId="4" fillId="0" borderId="1" xfId="0" applyFont="1" applyBorder="1" applyAlignment="1">
      <alignment horizontal="center" vertical="center"/>
    </xf>
    <xf numFmtId="180" fontId="4" fillId="0" borderId="1" xfId="0" applyNumberFormat="1" applyFont="1" applyBorder="1" applyAlignment="1">
      <alignment horizontal="center" vertical="center" wrapText="1"/>
    </xf>
    <xf numFmtId="43" fontId="4" fillId="0" borderId="1" xfId="0" applyNumberFormat="1"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180" fontId="10" fillId="0" borderId="1" xfId="0" quotePrefix="1" applyNumberFormat="1" applyFont="1" applyBorder="1" applyAlignment="1">
      <alignment horizontal="center" vertical="center" wrapText="1"/>
    </xf>
    <xf numFmtId="180" fontId="10" fillId="0" borderId="1" xfId="0" quotePrefix="1" applyNumberFormat="1" applyFont="1" applyBorder="1" applyAlignment="1">
      <alignment wrapText="1"/>
    </xf>
    <xf numFmtId="180" fontId="4" fillId="0" borderId="1" xfId="0" applyNumberFormat="1" applyFont="1" applyBorder="1" applyAlignment="1">
      <alignment vertical="center"/>
    </xf>
    <xf numFmtId="43" fontId="4" fillId="0" borderId="1" xfId="0" applyNumberFormat="1" applyFont="1" applyBorder="1" applyAlignment="1">
      <alignment vertical="center"/>
    </xf>
    <xf numFmtId="0" fontId="4" fillId="0" borderId="1" xfId="0" applyFont="1" applyBorder="1" applyAlignment="1">
      <alignment vertical="center" wrapText="1"/>
    </xf>
    <xf numFmtId="0" fontId="10" fillId="0" borderId="52" xfId="0" applyFont="1" applyBorder="1" applyAlignment="1">
      <alignment horizontal="center" vertical="center"/>
    </xf>
    <xf numFmtId="0" fontId="4" fillId="0" borderId="52" xfId="0" applyFont="1" applyBorder="1" applyAlignment="1">
      <alignment horizontal="center" vertical="center"/>
    </xf>
    <xf numFmtId="0" fontId="4" fillId="0" borderId="52" xfId="0" applyFont="1" applyBorder="1" applyAlignment="1">
      <alignment vertical="center" wrapText="1"/>
    </xf>
    <xf numFmtId="180" fontId="4" fillId="0" borderId="52" xfId="0" applyNumberFormat="1" applyFont="1" applyBorder="1" applyAlignment="1">
      <alignment vertical="center"/>
    </xf>
    <xf numFmtId="43" fontId="4" fillId="0" borderId="52" xfId="0" applyNumberFormat="1" applyFont="1" applyBorder="1" applyAlignment="1">
      <alignment vertical="center"/>
    </xf>
    <xf numFmtId="0" fontId="4" fillId="0" borderId="128" xfId="0" applyFont="1" applyBorder="1" applyAlignment="1">
      <alignment vertical="center" wrapText="1"/>
    </xf>
    <xf numFmtId="0" fontId="5" fillId="0" borderId="1" xfId="0" applyFont="1" applyBorder="1" applyAlignment="1">
      <alignment horizontal="center" vertical="center"/>
    </xf>
    <xf numFmtId="0" fontId="5" fillId="0" borderId="1" xfId="0" applyFont="1" applyBorder="1" applyAlignment="1">
      <alignment vertical="center" wrapText="1"/>
    </xf>
    <xf numFmtId="180" fontId="5" fillId="0" borderId="1" xfId="0" applyNumberFormat="1" applyFont="1" applyBorder="1" applyAlignment="1">
      <alignment vertical="center"/>
    </xf>
    <xf numFmtId="43" fontId="5" fillId="0" borderId="1" xfId="0" applyNumberFormat="1" applyFont="1" applyBorder="1" applyAlignment="1">
      <alignment vertical="center"/>
    </xf>
    <xf numFmtId="180" fontId="10" fillId="0" borderId="1" xfId="0" applyNumberFormat="1" applyFont="1" applyBorder="1" applyAlignment="1">
      <alignment vertical="center"/>
    </xf>
    <xf numFmtId="43" fontId="10" fillId="0" borderId="1" xfId="0" applyNumberFormat="1" applyFont="1" applyBorder="1" applyAlignment="1">
      <alignment vertical="center"/>
    </xf>
    <xf numFmtId="180" fontId="10" fillId="0" borderId="1" xfId="0" applyNumberFormat="1" applyFont="1" applyBorder="1" applyAlignment="1">
      <alignment horizontal="right"/>
    </xf>
    <xf numFmtId="3" fontId="5" fillId="0" borderId="1" xfId="0" applyNumberFormat="1" applyFont="1" applyBorder="1" applyAlignment="1">
      <alignment horizontal="right" vertical="center"/>
    </xf>
    <xf numFmtId="180" fontId="10" fillId="0" borderId="1" xfId="0" applyNumberFormat="1" applyFont="1" applyBorder="1" applyAlignment="1">
      <alignment horizontal="right" vertical="center"/>
    </xf>
    <xf numFmtId="180" fontId="13" fillId="0" borderId="1" xfId="0" applyNumberFormat="1" applyFont="1" applyBorder="1" applyAlignment="1">
      <alignment horizontal="right" vertical="center"/>
    </xf>
    <xf numFmtId="0" fontId="10" fillId="0" borderId="40" xfId="0" applyFont="1" applyBorder="1" applyAlignment="1">
      <alignment horizontal="center" vertical="center"/>
    </xf>
    <xf numFmtId="0" fontId="10" fillId="0" borderId="22" xfId="0" applyFont="1" applyBorder="1" applyAlignment="1">
      <alignment horizontal="center" vertical="center"/>
    </xf>
    <xf numFmtId="0" fontId="10" fillId="0" borderId="0" xfId="0" applyFont="1" applyAlignment="1">
      <alignment vertical="center" wrapText="1"/>
    </xf>
    <xf numFmtId="180" fontId="4" fillId="0" borderId="0" xfId="0" applyNumberFormat="1" applyFont="1" applyAlignment="1">
      <alignment vertical="center"/>
    </xf>
    <xf numFmtId="43" fontId="4" fillId="0" borderId="0" xfId="0" applyNumberFormat="1" applyFont="1" applyAlignment="1">
      <alignment vertical="center"/>
    </xf>
    <xf numFmtId="0" fontId="15" fillId="0" borderId="0" xfId="0" applyFont="1" applyAlignment="1">
      <alignment horizontal="left" vertical="top" wrapText="1"/>
    </xf>
    <xf numFmtId="3" fontId="8" fillId="0" borderId="0" xfId="0" applyNumberFormat="1" applyFont="1" applyAlignment="1">
      <alignment horizontal="right" vertical="top" wrapText="1"/>
    </xf>
    <xf numFmtId="3" fontId="4" fillId="0" borderId="0" xfId="0" applyNumberFormat="1" applyFont="1" applyAlignment="1">
      <alignment horizontal="right" vertical="top" wrapText="1"/>
    </xf>
    <xf numFmtId="0" fontId="8" fillId="0" borderId="0" xfId="0" applyFont="1" applyAlignment="1">
      <alignment horizontal="right" vertical="top" wrapText="1"/>
    </xf>
    <xf numFmtId="0" fontId="78" fillId="0" borderId="0" xfId="0" applyFont="1"/>
    <xf numFmtId="164" fontId="13" fillId="0" borderId="2" xfId="0" applyNumberFormat="1" applyFont="1" applyBorder="1" applyAlignment="1">
      <alignment horizontal="center" vertical="top"/>
    </xf>
    <xf numFmtId="0" fontId="5" fillId="0" borderId="2" xfId="0" applyFont="1" applyBorder="1" applyAlignment="1">
      <alignment horizontal="left" vertical="top"/>
    </xf>
    <xf numFmtId="0" fontId="5" fillId="0" borderId="2" xfId="0" applyFont="1" applyBorder="1" applyAlignment="1">
      <alignment horizontal="center" vertical="top"/>
    </xf>
    <xf numFmtId="164" fontId="5" fillId="0" borderId="2" xfId="0" applyNumberFormat="1" applyFont="1" applyBorder="1" applyAlignment="1">
      <alignment horizontal="left" vertical="top"/>
    </xf>
    <xf numFmtId="170" fontId="5" fillId="0" borderId="1" xfId="0" applyNumberFormat="1" applyFont="1" applyBorder="1" applyAlignment="1">
      <alignment horizontal="center" vertical="top"/>
    </xf>
    <xf numFmtId="164" fontId="5" fillId="0" borderId="2" xfId="0" applyNumberFormat="1" applyFont="1" applyBorder="1" applyAlignment="1">
      <alignment horizontal="center" vertical="top"/>
    </xf>
    <xf numFmtId="0" fontId="10" fillId="0" borderId="2" xfId="0" applyFont="1" applyBorder="1" applyAlignment="1">
      <alignment horizontal="center" vertical="top"/>
    </xf>
    <xf numFmtId="164" fontId="4" fillId="0" borderId="2" xfId="0" applyNumberFormat="1" applyFont="1" applyBorder="1" applyAlignment="1">
      <alignment horizontal="left" vertical="top"/>
    </xf>
    <xf numFmtId="0" fontId="4" fillId="0" borderId="70" xfId="0" applyFont="1" applyBorder="1" applyAlignment="1">
      <alignment horizontal="center"/>
    </xf>
    <xf numFmtId="164" fontId="10" fillId="0" borderId="2" xfId="0" applyNumberFormat="1" applyFont="1" applyBorder="1" applyAlignment="1">
      <alignment horizontal="left" vertical="top"/>
    </xf>
    <xf numFmtId="0" fontId="10" fillId="0" borderId="70" xfId="0" applyFont="1" applyBorder="1" applyAlignment="1">
      <alignment horizontal="center"/>
    </xf>
    <xf numFmtId="0" fontId="10" fillId="0" borderId="1" xfId="0" applyFont="1" applyBorder="1" applyAlignment="1">
      <alignment horizontal="left" vertical="top"/>
    </xf>
    <xf numFmtId="170" fontId="10" fillId="0" borderId="70" xfId="0" applyNumberFormat="1" applyFont="1" applyBorder="1" applyAlignment="1">
      <alignment horizontal="center"/>
    </xf>
    <xf numFmtId="170" fontId="10" fillId="0" borderId="70" xfId="0" applyNumberFormat="1" applyFont="1" applyBorder="1" applyAlignment="1">
      <alignment horizontal="center" vertical="top"/>
    </xf>
    <xf numFmtId="0" fontId="10" fillId="0" borderId="70" xfId="0" applyFont="1" applyBorder="1" applyAlignment="1">
      <alignment horizontal="center" vertical="top"/>
    </xf>
    <xf numFmtId="0" fontId="4" fillId="0" borderId="2" xfId="0" applyFont="1" applyBorder="1" applyAlignment="1">
      <alignment vertical="top"/>
    </xf>
    <xf numFmtId="0" fontId="4" fillId="0" borderId="70" xfId="0" applyFont="1" applyBorder="1" applyAlignment="1">
      <alignment vertical="top"/>
    </xf>
    <xf numFmtId="0" fontId="10" fillId="0" borderId="0" xfId="0" applyFont="1" applyAlignment="1">
      <alignment horizontal="center" vertical="top"/>
    </xf>
    <xf numFmtId="164" fontId="13" fillId="0" borderId="2" xfId="0" applyNumberFormat="1" applyFont="1" applyBorder="1" applyAlignment="1">
      <alignment horizontal="left" vertical="top"/>
    </xf>
    <xf numFmtId="164" fontId="13" fillId="0" borderId="2" xfId="0" applyNumberFormat="1" applyFont="1" applyBorder="1" applyAlignment="1">
      <alignment horizontal="left"/>
    </xf>
    <xf numFmtId="164" fontId="5" fillId="0" borderId="2" xfId="0" applyNumberFormat="1" applyFont="1" applyBorder="1" applyAlignment="1">
      <alignment horizontal="left"/>
    </xf>
    <xf numFmtId="164" fontId="4" fillId="0" borderId="2" xfId="0" applyNumberFormat="1" applyFont="1" applyBorder="1" applyAlignment="1">
      <alignment horizontal="left"/>
    </xf>
    <xf numFmtId="164" fontId="10" fillId="0" borderId="70" xfId="0" applyNumberFormat="1" applyFont="1" applyBorder="1" applyAlignment="1">
      <alignment horizontal="center"/>
    </xf>
    <xf numFmtId="164" fontId="10" fillId="0" borderId="1" xfId="0" applyNumberFormat="1" applyFont="1" applyBorder="1" applyAlignment="1">
      <alignment horizontal="left" vertical="top"/>
    </xf>
    <xf numFmtId="164" fontId="10" fillId="0" borderId="2" xfId="0" applyNumberFormat="1" applyFont="1" applyBorder="1" applyAlignment="1">
      <alignment horizontal="left"/>
    </xf>
    <xf numFmtId="164" fontId="4" fillId="0" borderId="2" xfId="0" applyNumberFormat="1" applyFont="1" applyBorder="1" applyAlignment="1">
      <alignment vertical="top"/>
    </xf>
    <xf numFmtId="164" fontId="4" fillId="0" borderId="70" xfId="0" applyNumberFormat="1" applyFont="1" applyBorder="1" applyAlignment="1">
      <alignment vertical="top"/>
    </xf>
    <xf numFmtId="164" fontId="4" fillId="0" borderId="0" xfId="0" applyNumberFormat="1" applyFont="1" applyAlignment="1">
      <alignment horizontal="left"/>
    </xf>
    <xf numFmtId="164" fontId="4" fillId="0" borderId="0" xfId="0" applyNumberFormat="1" applyFont="1" applyAlignment="1">
      <alignment vertical="top"/>
    </xf>
    <xf numFmtId="49"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0" fontId="5" fillId="0" borderId="1" xfId="0" applyFont="1" applyBorder="1" applyAlignment="1">
      <alignment horizontal="center" vertical="center" wrapText="1"/>
    </xf>
    <xf numFmtId="49" fontId="5" fillId="0" borderId="1" xfId="0" applyNumberFormat="1" applyFont="1" applyBorder="1" applyAlignment="1">
      <alignment vertical="top" wrapText="1"/>
    </xf>
    <xf numFmtId="0" fontId="5" fillId="0" borderId="1" xfId="0" applyFont="1" applyBorder="1" applyAlignment="1">
      <alignment horizontal="center" vertical="top" wrapText="1"/>
    </xf>
    <xf numFmtId="164" fontId="5" fillId="0" borderId="1" xfId="0" applyNumberFormat="1" applyFont="1" applyBorder="1" applyAlignment="1">
      <alignment horizontal="center" vertical="top" wrapText="1"/>
    </xf>
    <xf numFmtId="164" fontId="5" fillId="0" borderId="1" xfId="0" applyNumberFormat="1" applyFont="1" applyBorder="1" applyAlignment="1">
      <alignment vertical="top" wrapText="1"/>
    </xf>
    <xf numFmtId="164" fontId="4" fillId="0" borderId="1" xfId="0" applyNumberFormat="1" applyFont="1" applyBorder="1" applyAlignment="1">
      <alignment vertical="top" wrapText="1"/>
    </xf>
    <xf numFmtId="49" fontId="4" fillId="0" borderId="1" xfId="0" applyNumberFormat="1" applyFont="1" applyBorder="1" applyAlignment="1">
      <alignment horizontal="left" vertical="center" wrapText="1"/>
    </xf>
    <xf numFmtId="0" fontId="10" fillId="0" borderId="1" xfId="0" applyFont="1" applyBorder="1" applyAlignment="1">
      <alignment horizontal="center" vertical="top" wrapText="1"/>
    </xf>
    <xf numFmtId="49" fontId="10" fillId="0" borderId="1" xfId="0" applyNumberFormat="1" applyFont="1" applyBorder="1" applyAlignment="1">
      <alignment horizontal="left" vertical="center" wrapText="1"/>
    </xf>
    <xf numFmtId="164" fontId="10" fillId="0" borderId="1" xfId="0" applyNumberFormat="1" applyFont="1" applyBorder="1" applyAlignment="1">
      <alignment vertical="top" wrapText="1"/>
    </xf>
    <xf numFmtId="0" fontId="10" fillId="0" borderId="123" xfId="0" applyFont="1" applyBorder="1" applyAlignment="1">
      <alignment vertical="top" wrapText="1"/>
    </xf>
    <xf numFmtId="0" fontId="10" fillId="0" borderId="129" xfId="0" applyFont="1" applyBorder="1" applyAlignment="1">
      <alignment vertical="top" wrapText="1"/>
    </xf>
    <xf numFmtId="0" fontId="10" fillId="0" borderId="1" xfId="0" applyFont="1" applyBorder="1" applyAlignment="1">
      <alignment vertical="top" wrapText="1"/>
    </xf>
    <xf numFmtId="164" fontId="10" fillId="0" borderId="1" xfId="0" applyNumberFormat="1" applyFont="1" applyBorder="1" applyAlignment="1">
      <alignment vertical="center" wrapText="1"/>
    </xf>
    <xf numFmtId="0" fontId="85" fillId="0" borderId="1" xfId="0" applyFont="1" applyBorder="1" applyAlignment="1">
      <alignment horizontal="center"/>
    </xf>
    <xf numFmtId="0" fontId="85" fillId="0" borderId="2" xfId="0" applyFont="1" applyBorder="1" applyAlignment="1">
      <alignment horizontal="left"/>
    </xf>
    <xf numFmtId="0" fontId="85" fillId="0" borderId="2" xfId="0" applyFont="1" applyBorder="1" applyAlignment="1">
      <alignment horizontal="center"/>
    </xf>
    <xf numFmtId="3" fontId="85" fillId="0" borderId="2" xfId="0" applyNumberFormat="1" applyFont="1" applyBorder="1" applyAlignment="1">
      <alignment horizontal="center"/>
    </xf>
    <xf numFmtId="0" fontId="87" fillId="0" borderId="2" xfId="0" applyFont="1" applyBorder="1" applyAlignment="1">
      <alignment horizontal="left" vertical="center" wrapText="1"/>
    </xf>
    <xf numFmtId="0" fontId="87" fillId="0" borderId="2" xfId="0" applyFont="1" applyBorder="1" applyAlignment="1">
      <alignment horizontal="center"/>
    </xf>
    <xf numFmtId="0" fontId="87" fillId="0" borderId="2" xfId="0" applyFont="1" applyBorder="1" applyAlignment="1">
      <alignment horizontal="center" vertical="center"/>
    </xf>
    <xf numFmtId="3" fontId="87" fillId="0" borderId="2" xfId="0" applyNumberFormat="1" applyFont="1" applyBorder="1" applyAlignment="1">
      <alignment horizontal="center" vertical="center"/>
    </xf>
    <xf numFmtId="3" fontId="87" fillId="0" borderId="2" xfId="0" applyNumberFormat="1" applyFont="1" applyBorder="1" applyAlignment="1">
      <alignment horizontal="center"/>
    </xf>
    <xf numFmtId="0" fontId="87" fillId="0" borderId="2" xfId="0" applyFont="1" applyBorder="1" applyAlignment="1">
      <alignment horizontal="left"/>
    </xf>
    <xf numFmtId="0" fontId="87" fillId="0" borderId="2" xfId="0" applyFont="1" applyBorder="1" applyAlignment="1">
      <alignment wrapText="1"/>
    </xf>
    <xf numFmtId="0" fontId="87" fillId="0" borderId="2" xfId="0" applyFont="1" applyBorder="1" applyAlignment="1">
      <alignment horizontal="left" wrapText="1"/>
    </xf>
    <xf numFmtId="0" fontId="87" fillId="0" borderId="2" xfId="0" applyFont="1" applyBorder="1"/>
    <xf numFmtId="0" fontId="87" fillId="0" borderId="2" xfId="0" applyFont="1" applyBorder="1" applyAlignment="1">
      <alignment vertical="center"/>
    </xf>
    <xf numFmtId="0" fontId="87" fillId="0" borderId="2" xfId="0" applyFont="1" applyBorder="1" applyAlignment="1">
      <alignment horizontal="left" vertical="center"/>
    </xf>
    <xf numFmtId="0" fontId="88" fillId="0" borderId="2" xfId="0" applyFont="1" applyBorder="1" applyAlignment="1">
      <alignment horizontal="left"/>
    </xf>
    <xf numFmtId="0" fontId="88" fillId="0" borderId="2" xfId="0" applyFont="1" applyBorder="1" applyAlignment="1">
      <alignment horizontal="center"/>
    </xf>
    <xf numFmtId="3" fontId="88" fillId="0" borderId="2" xfId="0" applyNumberFormat="1" applyFont="1" applyBorder="1" applyAlignment="1">
      <alignment horizontal="center"/>
    </xf>
    <xf numFmtId="0" fontId="15" fillId="0" borderId="1" xfId="0" applyFont="1" applyBorder="1" applyAlignment="1">
      <alignment horizontal="center"/>
    </xf>
    <xf numFmtId="0" fontId="8" fillId="2" borderId="45" xfId="0" applyFont="1" applyFill="1" applyBorder="1" applyAlignment="1">
      <alignment horizontal="center"/>
    </xf>
    <xf numFmtId="3" fontId="8" fillId="0" borderId="2" xfId="0" applyNumberFormat="1" applyFont="1" applyBorder="1" applyAlignment="1">
      <alignment horizontal="center" vertical="center"/>
    </xf>
    <xf numFmtId="0" fontId="8" fillId="0" borderId="2" xfId="0" applyFont="1" applyBorder="1" applyAlignment="1">
      <alignment horizontal="left"/>
    </xf>
    <xf numFmtId="0" fontId="8" fillId="0" borderId="2" xfId="0" applyFont="1" applyBorder="1" applyAlignment="1">
      <alignment horizontal="left" wrapText="1"/>
    </xf>
    <xf numFmtId="0" fontId="15" fillId="0" borderId="2" xfId="0" applyFont="1" applyBorder="1" applyAlignment="1">
      <alignment horizontal="center"/>
    </xf>
    <xf numFmtId="3" fontId="15" fillId="0" borderId="2" xfId="0" applyNumberFormat="1" applyFont="1" applyBorder="1" applyAlignment="1">
      <alignment horizontal="center"/>
    </xf>
    <xf numFmtId="0" fontId="8" fillId="0" borderId="2" xfId="0" applyFont="1" applyBorder="1" applyAlignment="1">
      <alignment horizontal="lef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8" fillId="0" borderId="2" xfId="0" applyFont="1" applyBorder="1" applyAlignment="1">
      <alignment horizontal="left" vertical="center"/>
    </xf>
    <xf numFmtId="0" fontId="16" fillId="0" borderId="1" xfId="0" applyFont="1" applyBorder="1" applyAlignment="1">
      <alignment horizontal="left" vertical="center"/>
    </xf>
    <xf numFmtId="0" fontId="89" fillId="0" borderId="123" xfId="0" applyFont="1" applyBorder="1" applyAlignment="1">
      <alignment horizontal="center" wrapText="1"/>
    </xf>
    <xf numFmtId="0" fontId="89" fillId="0" borderId="124" xfId="0" applyFont="1" applyBorder="1" applyAlignment="1">
      <alignment horizontal="center" wrapText="1"/>
    </xf>
    <xf numFmtId="0" fontId="89" fillId="0" borderId="125" xfId="0" applyFont="1" applyBorder="1" applyAlignment="1">
      <alignment horizontal="center" wrapText="1"/>
    </xf>
    <xf numFmtId="0" fontId="89" fillId="0" borderId="126" xfId="0" applyFont="1" applyBorder="1" applyAlignment="1">
      <alignment horizontal="center" wrapText="1"/>
    </xf>
    <xf numFmtId="0" fontId="9" fillId="0" borderId="126" xfId="0" applyFont="1" applyBorder="1"/>
    <xf numFmtId="0" fontId="89" fillId="0" borderId="129" xfId="0" applyFont="1" applyBorder="1" applyAlignment="1">
      <alignment horizontal="center" wrapText="1"/>
    </xf>
    <xf numFmtId="0" fontId="89" fillId="0" borderId="126" xfId="0" applyFont="1" applyBorder="1" applyAlignment="1">
      <alignment wrapText="1"/>
    </xf>
    <xf numFmtId="0" fontId="9" fillId="0" borderId="131" xfId="0" applyFont="1" applyBorder="1"/>
    <xf numFmtId="0" fontId="89" fillId="0" borderId="131" xfId="0" applyFont="1" applyBorder="1" applyAlignment="1">
      <alignment horizontal="center" wrapText="1"/>
    </xf>
    <xf numFmtId="0" fontId="86" fillId="0" borderId="129" xfId="0" applyFont="1" applyBorder="1" applyAlignment="1">
      <alignment horizontal="center" wrapText="1"/>
    </xf>
    <xf numFmtId="0" fontId="86" fillId="0" borderId="132" xfId="0" applyFont="1" applyBorder="1" applyAlignment="1">
      <alignment vertical="top" wrapText="1"/>
    </xf>
    <xf numFmtId="3" fontId="9" fillId="0" borderId="131" xfId="0" applyNumberFormat="1" applyFont="1" applyBorder="1" applyAlignment="1">
      <alignment horizontal="right" wrapText="1"/>
    </xf>
    <xf numFmtId="0" fontId="86" fillId="0" borderId="0" xfId="0" applyFont="1" applyAlignment="1">
      <alignment vertical="top" wrapText="1"/>
    </xf>
    <xf numFmtId="0" fontId="86" fillId="5" borderId="129" xfId="0" applyFont="1" applyFill="1" applyBorder="1" applyAlignment="1">
      <alignment horizontal="center" wrapText="1"/>
    </xf>
    <xf numFmtId="0" fontId="9" fillId="5" borderId="131" xfId="0" applyFont="1" applyFill="1" applyBorder="1" applyAlignment="1">
      <alignment vertical="top"/>
    </xf>
    <xf numFmtId="0" fontId="9" fillId="5" borderId="131" xfId="0" applyFont="1" applyFill="1" applyBorder="1"/>
    <xf numFmtId="3" fontId="24" fillId="5" borderId="131" xfId="0" applyNumberFormat="1" applyFont="1" applyFill="1" applyBorder="1" applyAlignment="1">
      <alignment horizontal="right" wrapText="1"/>
    </xf>
    <xf numFmtId="0" fontId="89" fillId="5" borderId="126" xfId="0" applyFont="1" applyFill="1" applyBorder="1" applyAlignment="1">
      <alignment wrapText="1"/>
    </xf>
    <xf numFmtId="0" fontId="9" fillId="0" borderId="131" xfId="0" applyFont="1" applyBorder="1" applyAlignment="1">
      <alignment horizontal="center" wrapText="1"/>
    </xf>
    <xf numFmtId="0" fontId="9" fillId="0" borderId="131" xfId="0" applyFont="1" applyBorder="1" applyAlignment="1">
      <alignment horizontal="right" wrapText="1"/>
    </xf>
    <xf numFmtId="0" fontId="9" fillId="0" borderId="126" xfId="0" applyFont="1" applyBorder="1" applyAlignment="1">
      <alignment horizontal="center" wrapText="1"/>
    </xf>
    <xf numFmtId="0" fontId="9" fillId="0" borderId="129" xfId="0" applyFont="1" applyBorder="1"/>
    <xf numFmtId="0" fontId="24" fillId="0" borderId="131" xfId="0" applyFont="1" applyBorder="1" applyAlignment="1">
      <alignment horizontal="right" wrapText="1"/>
    </xf>
    <xf numFmtId="0" fontId="34" fillId="0" borderId="0" xfId="0" applyFont="1" applyAlignment="1">
      <alignment wrapText="1"/>
    </xf>
    <xf numFmtId="0" fontId="23" fillId="0" borderId="0" xfId="0" applyFont="1" applyAlignment="1">
      <alignment vertical="center"/>
    </xf>
    <xf numFmtId="164" fontId="17" fillId="10" borderId="1" xfId="0" applyNumberFormat="1" applyFont="1" applyFill="1" applyBorder="1" applyAlignment="1">
      <alignment horizontal="center" vertical="center" wrapText="1"/>
    </xf>
    <xf numFmtId="164" fontId="17" fillId="10" borderId="1" xfId="0" applyNumberFormat="1" applyFont="1" applyFill="1" applyBorder="1" applyAlignment="1">
      <alignment horizontal="left" vertical="center" wrapText="1"/>
    </xf>
    <xf numFmtId="3" fontId="17" fillId="7" borderId="1" xfId="0" applyNumberFormat="1" applyFont="1" applyFill="1" applyBorder="1" applyAlignment="1">
      <alignment horizontal="right" vertical="center" wrapText="1"/>
    </xf>
    <xf numFmtId="170" fontId="16" fillId="0" borderId="1" xfId="0" applyNumberFormat="1" applyFont="1" applyBorder="1" applyAlignment="1">
      <alignment horizontal="center" vertical="center"/>
    </xf>
    <xf numFmtId="0" fontId="16" fillId="7" borderId="1" xfId="0" applyFont="1" applyFill="1" applyBorder="1" applyAlignment="1">
      <alignment horizontal="left" vertical="center"/>
    </xf>
    <xf numFmtId="0" fontId="9" fillId="0" borderId="2" xfId="0" applyFont="1" applyBorder="1"/>
    <xf numFmtId="171" fontId="16" fillId="0" borderId="1" xfId="0" applyNumberFormat="1" applyFont="1" applyBorder="1" applyAlignment="1">
      <alignment horizontal="center" vertical="center" wrapText="1"/>
    </xf>
    <xf numFmtId="0" fontId="16" fillId="0" borderId="1" xfId="0" applyFont="1" applyBorder="1" applyAlignment="1">
      <alignment wrapText="1"/>
    </xf>
    <xf numFmtId="164" fontId="16" fillId="0" borderId="1" xfId="0" applyNumberFormat="1" applyFont="1" applyBorder="1" applyAlignment="1">
      <alignment horizontal="center"/>
    </xf>
    <xf numFmtId="171" fontId="16" fillId="0" borderId="1" xfId="0" applyNumberFormat="1" applyFont="1" applyBorder="1" applyAlignment="1">
      <alignment horizontal="center"/>
    </xf>
    <xf numFmtId="3" fontId="16" fillId="0" borderId="1" xfId="0" applyNumberFormat="1" applyFont="1" applyBorder="1" applyAlignment="1">
      <alignment horizontal="right"/>
    </xf>
    <xf numFmtId="164" fontId="16" fillId="0" borderId="1" xfId="0" applyNumberFormat="1" applyFont="1" applyBorder="1" applyAlignment="1">
      <alignment horizontal="left" vertical="center"/>
    </xf>
    <xf numFmtId="171" fontId="16" fillId="0" borderId="1" xfId="0" applyNumberFormat="1" applyFont="1" applyBorder="1" applyAlignment="1">
      <alignment horizontal="center" vertical="center"/>
    </xf>
    <xf numFmtId="3" fontId="16" fillId="0" borderId="1" xfId="0" applyNumberFormat="1" applyFont="1" applyBorder="1" applyAlignment="1">
      <alignment horizontal="right" vertical="center"/>
    </xf>
    <xf numFmtId="164" fontId="16" fillId="2" borderId="1" xfId="0" applyNumberFormat="1" applyFont="1" applyFill="1" applyBorder="1" applyAlignment="1">
      <alignment horizontal="left" vertical="center"/>
    </xf>
    <xf numFmtId="164" fontId="16" fillId="0" borderId="1" xfId="0" applyNumberFormat="1" applyFont="1" applyBorder="1" applyAlignment="1">
      <alignment vertical="center" wrapText="1"/>
    </xf>
    <xf numFmtId="170" fontId="17" fillId="5" borderId="1" xfId="0" applyNumberFormat="1" applyFont="1" applyFill="1" applyBorder="1" applyAlignment="1">
      <alignment horizontal="center" vertical="center"/>
    </xf>
    <xf numFmtId="3" fontId="17" fillId="5" borderId="1" xfId="0" applyNumberFormat="1" applyFont="1" applyFill="1" applyBorder="1" applyAlignment="1">
      <alignment horizontal="right" vertical="center" wrapText="1"/>
    </xf>
    <xf numFmtId="0" fontId="16" fillId="5" borderId="1" xfId="0" applyFont="1" applyFill="1" applyBorder="1" applyAlignment="1">
      <alignment vertical="center"/>
    </xf>
    <xf numFmtId="0" fontId="17" fillId="5" borderId="1" xfId="0" applyFont="1" applyFill="1" applyBorder="1" applyAlignment="1">
      <alignment vertical="center" wrapText="1"/>
    </xf>
    <xf numFmtId="182" fontId="16" fillId="0" borderId="1" xfId="0" applyNumberFormat="1" applyFont="1" applyBorder="1" applyAlignment="1">
      <alignment horizontal="center" vertical="center" wrapText="1"/>
    </xf>
    <xf numFmtId="182" fontId="16" fillId="0" borderId="1" xfId="0" applyNumberFormat="1" applyFont="1" applyBorder="1" applyAlignment="1">
      <alignment horizontal="right" vertical="center" wrapText="1"/>
    </xf>
    <xf numFmtId="0" fontId="16" fillId="0" borderId="1" xfId="0" applyFont="1" applyBorder="1" applyAlignment="1">
      <alignment horizontal="right" vertical="center" wrapText="1"/>
    </xf>
    <xf numFmtId="3" fontId="16" fillId="5" borderId="1" xfId="0" applyNumberFormat="1" applyFont="1" applyFill="1" applyBorder="1" applyAlignment="1">
      <alignment horizontal="center" vertical="center" wrapText="1"/>
    </xf>
    <xf numFmtId="0" fontId="17" fillId="5" borderId="1" xfId="0" applyFont="1" applyFill="1" applyBorder="1" applyAlignment="1">
      <alignment vertical="center"/>
    </xf>
    <xf numFmtId="0" fontId="77" fillId="0" borderId="0" xfId="0" applyFont="1" applyAlignment="1">
      <alignment horizontal="center" vertical="center"/>
    </xf>
    <xf numFmtId="0" fontId="78" fillId="0" borderId="0" xfId="0" applyFont="1" applyAlignment="1">
      <alignment vertical="center"/>
    </xf>
    <xf numFmtId="0" fontId="77" fillId="0" borderId="0" xfId="0" applyFont="1" applyAlignment="1">
      <alignment vertical="center"/>
    </xf>
    <xf numFmtId="0" fontId="77" fillId="0" borderId="0" xfId="0" applyFont="1" applyAlignment="1">
      <alignment horizontal="center"/>
    </xf>
    <xf numFmtId="0" fontId="77" fillId="0" borderId="0" xfId="0" applyFont="1" applyAlignment="1">
      <alignment horizontal="center" vertical="center" wrapText="1"/>
    </xf>
    <xf numFmtId="0" fontId="77" fillId="0" borderId="0" xfId="0" applyFont="1" applyAlignment="1">
      <alignment vertical="center" wrapText="1"/>
    </xf>
    <xf numFmtId="0" fontId="77" fillId="0" borderId="0" xfId="0" applyFont="1" applyAlignment="1">
      <alignment horizontal="left" vertical="center" wrapText="1"/>
    </xf>
    <xf numFmtId="0" fontId="78" fillId="22" borderId="42" xfId="0" applyFont="1" applyFill="1" applyBorder="1" applyAlignment="1">
      <alignment horizontal="center" vertical="center"/>
    </xf>
    <xf numFmtId="0" fontId="78" fillId="0" borderId="1" xfId="0" applyFont="1" applyBorder="1" applyAlignment="1">
      <alignment horizontal="center" vertical="center"/>
    </xf>
    <xf numFmtId="0" fontId="78" fillId="7" borderId="42" xfId="0" applyFont="1" applyFill="1" applyBorder="1" applyAlignment="1">
      <alignment horizontal="center"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horizontal="center" vertical="center" wrapText="1"/>
    </xf>
    <xf numFmtId="0" fontId="77" fillId="0" borderId="1" xfId="0" applyFont="1" applyBorder="1" applyAlignment="1">
      <alignment horizontal="center" vertical="center"/>
    </xf>
    <xf numFmtId="0" fontId="77" fillId="7" borderId="1" xfId="0" applyFont="1" applyFill="1" applyBorder="1" applyAlignment="1">
      <alignment horizontal="center" vertical="center"/>
    </xf>
    <xf numFmtId="0" fontId="78" fillId="7" borderId="1" xfId="0" applyFont="1" applyFill="1" applyBorder="1" applyAlignment="1">
      <alignment vertical="center" wrapText="1"/>
    </xf>
    <xf numFmtId="0" fontId="77" fillId="7" borderId="45" xfId="0" applyFont="1" applyFill="1" applyBorder="1" applyAlignment="1">
      <alignment horizontal="left" vertical="center" wrapText="1"/>
    </xf>
    <xf numFmtId="0" fontId="77" fillId="7" borderId="45" xfId="0" applyFont="1" applyFill="1" applyBorder="1" applyAlignment="1">
      <alignment horizontal="center" vertical="center" wrapText="1"/>
    </xf>
    <xf numFmtId="0" fontId="77" fillId="7" borderId="45" xfId="0" applyFont="1" applyFill="1" applyBorder="1" applyAlignment="1">
      <alignment horizontal="center" vertical="center"/>
    </xf>
    <xf numFmtId="0" fontId="77" fillId="7" borderId="42" xfId="0" applyFont="1" applyFill="1" applyBorder="1" applyAlignment="1">
      <alignment horizontal="left" vertical="center" wrapText="1"/>
    </xf>
    <xf numFmtId="0" fontId="77" fillId="7" borderId="42" xfId="0" applyFont="1" applyFill="1" applyBorder="1" applyAlignment="1">
      <alignment horizontal="center" vertical="center" wrapText="1"/>
    </xf>
    <xf numFmtId="0" fontId="77" fillId="7" borderId="42" xfId="0" applyFont="1" applyFill="1" applyBorder="1" applyAlignment="1">
      <alignment horizontal="center" vertical="center"/>
    </xf>
    <xf numFmtId="0" fontId="77" fillId="7" borderId="1" xfId="0" applyFont="1" applyFill="1" applyBorder="1" applyAlignment="1">
      <alignment horizontal="center" vertical="center" wrapText="1"/>
    </xf>
    <xf numFmtId="0" fontId="77" fillId="2" borderId="64" xfId="0" applyFont="1" applyFill="1" applyBorder="1" applyAlignment="1">
      <alignment horizontal="left" vertical="center" wrapText="1"/>
    </xf>
    <xf numFmtId="0" fontId="77" fillId="2" borderId="64" xfId="0" applyFont="1" applyFill="1" applyBorder="1" applyAlignment="1">
      <alignment horizontal="center" vertical="center"/>
    </xf>
    <xf numFmtId="0" fontId="78" fillId="2" borderId="64" xfId="0" applyFont="1" applyFill="1" applyBorder="1" applyAlignment="1">
      <alignment horizontal="center" vertical="center" wrapText="1"/>
    </xf>
    <xf numFmtId="0" fontId="78" fillId="7" borderId="45" xfId="0" applyFont="1" applyFill="1" applyBorder="1" applyAlignment="1">
      <alignment horizontal="left" vertical="center" wrapText="1"/>
    </xf>
    <xf numFmtId="0" fontId="77" fillId="7" borderId="43" xfId="0" applyFont="1" applyFill="1" applyBorder="1" applyAlignment="1">
      <alignment horizontal="center" vertical="center" wrapText="1"/>
    </xf>
    <xf numFmtId="0" fontId="77" fillId="7" borderId="44" xfId="0" applyFont="1" applyFill="1" applyBorder="1" applyAlignment="1">
      <alignment horizontal="center" vertical="center" wrapText="1"/>
    </xf>
    <xf numFmtId="0" fontId="77" fillId="7" borderId="44" xfId="0" applyFont="1" applyFill="1" applyBorder="1" applyAlignment="1">
      <alignment horizontal="center" vertical="center"/>
    </xf>
    <xf numFmtId="0" fontId="78" fillId="7" borderId="1" xfId="0" applyFont="1" applyFill="1" applyBorder="1" applyAlignment="1">
      <alignment horizontal="left" vertical="center" wrapText="1"/>
    </xf>
    <xf numFmtId="0" fontId="78" fillId="7" borderId="1" xfId="0" applyFont="1" applyFill="1" applyBorder="1" applyAlignment="1">
      <alignment horizontal="center" vertical="center"/>
    </xf>
    <xf numFmtId="0" fontId="78" fillId="22" borderId="1" xfId="0" applyFont="1" applyFill="1" applyBorder="1" applyAlignment="1">
      <alignment horizontal="center" vertical="center" wrapText="1"/>
    </xf>
    <xf numFmtId="0" fontId="78" fillId="22" borderId="43" xfId="0" applyFont="1" applyFill="1" applyBorder="1" applyAlignment="1">
      <alignment horizontal="left" vertical="center" wrapText="1"/>
    </xf>
    <xf numFmtId="0" fontId="78" fillId="22" borderId="44" xfId="0" applyFont="1" applyFill="1" applyBorder="1" applyAlignment="1">
      <alignment horizontal="left" vertical="center" wrapText="1"/>
    </xf>
    <xf numFmtId="14" fontId="77" fillId="7" borderId="1" xfId="0" applyNumberFormat="1" applyFont="1" applyFill="1" applyBorder="1" applyAlignment="1">
      <alignment horizontal="center" vertical="center"/>
    </xf>
    <xf numFmtId="0" fontId="77" fillId="0" borderId="1" xfId="0" applyFont="1" applyBorder="1" applyAlignment="1">
      <alignment horizontal="left" vertical="center" wrapText="1"/>
    </xf>
    <xf numFmtId="14" fontId="77" fillId="7" borderId="1" xfId="0" applyNumberFormat="1" applyFont="1" applyFill="1" applyBorder="1" applyAlignment="1">
      <alignment horizontal="center" vertical="center" wrapText="1"/>
    </xf>
    <xf numFmtId="0" fontId="78" fillId="7" borderId="1" xfId="0" applyFont="1" applyFill="1" applyBorder="1" applyAlignment="1">
      <alignment horizontal="center" vertical="center" wrapText="1"/>
    </xf>
    <xf numFmtId="0" fontId="77" fillId="7" borderId="1" xfId="0" applyFont="1" applyFill="1" applyBorder="1" applyAlignment="1">
      <alignment horizontal="left" vertical="center" wrapText="1"/>
    </xf>
    <xf numFmtId="0" fontId="78" fillId="7" borderId="43" xfId="0" applyFont="1" applyFill="1" applyBorder="1" applyAlignment="1">
      <alignment horizontal="left" vertical="center" wrapText="1"/>
    </xf>
    <xf numFmtId="0" fontId="78" fillId="7" borderId="44" xfId="0" applyFont="1" applyFill="1" applyBorder="1" applyAlignment="1">
      <alignment horizontal="left" vertical="center" wrapText="1"/>
    </xf>
    <xf numFmtId="0" fontId="78" fillId="0" borderId="1" xfId="0" applyFont="1" applyBorder="1" applyAlignment="1">
      <alignment horizontal="left" vertical="center" wrapText="1"/>
    </xf>
    <xf numFmtId="17" fontId="77" fillId="0" borderId="1" xfId="0" applyNumberFormat="1" applyFont="1" applyBorder="1" applyAlignment="1">
      <alignment horizontal="left" vertical="center" wrapText="1"/>
    </xf>
    <xf numFmtId="0" fontId="78" fillId="22" borderId="1" xfId="0" applyFont="1" applyFill="1" applyBorder="1" applyAlignment="1">
      <alignment horizontal="center" vertical="center"/>
    </xf>
    <xf numFmtId="0" fontId="78" fillId="23" borderId="1" xfId="0" applyFont="1" applyFill="1" applyBorder="1" applyAlignment="1">
      <alignment horizontal="center" vertical="center" wrapText="1"/>
    </xf>
    <xf numFmtId="0" fontId="78" fillId="23" borderId="137" xfId="0" applyFont="1" applyFill="1" applyBorder="1" applyAlignment="1">
      <alignment horizontal="left" vertical="center" wrapText="1"/>
    </xf>
    <xf numFmtId="0" fontId="78" fillId="23" borderId="44" xfId="0" applyFont="1" applyFill="1" applyBorder="1" applyAlignment="1">
      <alignment horizontal="left" vertical="center" wrapText="1"/>
    </xf>
    <xf numFmtId="164" fontId="77" fillId="0" borderId="1" xfId="0" applyNumberFormat="1"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horizontal="left" vertical="center" wrapText="1"/>
    </xf>
    <xf numFmtId="3" fontId="77" fillId="0" borderId="1" xfId="0" applyNumberFormat="1" applyFont="1" applyBorder="1" applyAlignment="1">
      <alignment horizontal="center" vertical="center" wrapText="1"/>
    </xf>
    <xf numFmtId="0" fontId="43" fillId="2" borderId="1" xfId="0" applyFont="1" applyFill="1" applyBorder="1"/>
    <xf numFmtId="0" fontId="78" fillId="24" borderId="1" xfId="0" applyFont="1" applyFill="1" applyBorder="1" applyAlignment="1">
      <alignment horizontal="center" vertical="center" wrapText="1"/>
    </xf>
    <xf numFmtId="0" fontId="78" fillId="24" borderId="43" xfId="0" applyFont="1" applyFill="1" applyBorder="1" applyAlignment="1">
      <alignment horizontal="left" vertical="center" wrapText="1"/>
    </xf>
    <xf numFmtId="0" fontId="78" fillId="24" borderId="44" xfId="0" applyFont="1" applyFill="1" applyBorder="1" applyAlignment="1">
      <alignment horizontal="left" vertical="center" wrapText="1"/>
    </xf>
    <xf numFmtId="0" fontId="77" fillId="0" borderId="1" xfId="0" applyFont="1" applyBorder="1" applyAlignment="1">
      <alignment vertical="center"/>
    </xf>
    <xf numFmtId="0" fontId="77" fillId="0" borderId="1" xfId="0" applyFont="1" applyBorder="1" applyAlignment="1">
      <alignment horizontal="center" wrapText="1"/>
    </xf>
    <xf numFmtId="164" fontId="77" fillId="0" borderId="1" xfId="0" applyNumberFormat="1" applyFont="1" applyBorder="1" applyAlignment="1">
      <alignment vertical="center" wrapText="1"/>
    </xf>
    <xf numFmtId="0" fontId="43" fillId="2" borderId="1" xfId="0" applyFont="1" applyFill="1" applyBorder="1" applyAlignment="1">
      <alignment horizontal="left" wrapText="1"/>
    </xf>
    <xf numFmtId="0" fontId="77" fillId="0" borderId="1" xfId="0" applyFont="1" applyBorder="1" applyAlignment="1">
      <alignment vertical="center" wrapText="1"/>
    </xf>
    <xf numFmtId="170" fontId="77" fillId="0" borderId="1" xfId="0" applyNumberFormat="1" applyFont="1" applyBorder="1" applyAlignment="1">
      <alignment horizontal="center" vertical="center" wrapText="1"/>
    </xf>
    <xf numFmtId="0" fontId="78" fillId="25" borderId="1" xfId="0" applyFont="1" applyFill="1" applyBorder="1" applyAlignment="1">
      <alignment horizontal="center" vertical="center" wrapText="1"/>
    </xf>
    <xf numFmtId="0" fontId="78" fillId="25" borderId="43" xfId="0" applyFont="1" applyFill="1" applyBorder="1" applyAlignment="1">
      <alignment horizontal="left" vertical="center" wrapText="1"/>
    </xf>
    <xf numFmtId="0" fontId="78" fillId="25" borderId="44" xfId="0" applyFont="1" applyFill="1" applyBorder="1" applyAlignment="1">
      <alignment horizontal="left" vertical="center" wrapText="1"/>
    </xf>
    <xf numFmtId="0" fontId="43" fillId="2" borderId="1" xfId="0" applyFont="1" applyFill="1" applyBorder="1" applyAlignment="1">
      <alignment horizontal="left" vertical="center" wrapText="1"/>
    </xf>
    <xf numFmtId="0" fontId="43" fillId="0" borderId="1" xfId="0" applyFont="1" applyBorder="1" applyAlignment="1">
      <alignment horizontal="center" vertical="center"/>
    </xf>
    <xf numFmtId="183" fontId="77" fillId="0" borderId="1" xfId="0" applyNumberFormat="1" applyFont="1" applyBorder="1" applyAlignment="1">
      <alignment horizontal="center" vertical="center" wrapText="1"/>
    </xf>
    <xf numFmtId="184" fontId="77" fillId="0" borderId="1" xfId="0" applyNumberFormat="1" applyFont="1" applyBorder="1" applyAlignment="1">
      <alignment horizontal="center" vertical="center" wrapText="1"/>
    </xf>
    <xf numFmtId="3" fontId="77" fillId="0" borderId="1" xfId="0" applyNumberFormat="1" applyFont="1" applyBorder="1" applyAlignment="1">
      <alignment horizontal="right" vertical="center" wrapText="1"/>
    </xf>
    <xf numFmtId="185" fontId="77" fillId="0" borderId="1" xfId="0" applyNumberFormat="1" applyFont="1" applyBorder="1" applyAlignment="1">
      <alignment horizontal="center" vertical="center" wrapText="1"/>
    </xf>
    <xf numFmtId="0" fontId="26" fillId="2" borderId="1" xfId="0" applyFont="1" applyFill="1" applyBorder="1" applyAlignment="1">
      <alignment horizontal="center" vertical="center"/>
    </xf>
    <xf numFmtId="0" fontId="8" fillId="0" borderId="1" xfId="0" applyFont="1" applyBorder="1" applyAlignment="1">
      <alignment horizontal="center" vertical="center"/>
    </xf>
    <xf numFmtId="0" fontId="43" fillId="0" borderId="0" xfId="0" applyFont="1" applyAlignment="1">
      <alignment horizontal="left" vertical="center" wrapText="1"/>
    </xf>
    <xf numFmtId="0" fontId="77" fillId="0" borderId="135" xfId="0" applyFont="1" applyBorder="1" applyAlignment="1">
      <alignment horizontal="center" vertical="center" wrapText="1"/>
    </xf>
    <xf numFmtId="0" fontId="77" fillId="0" borderId="135" xfId="0" applyFont="1" applyBorder="1" applyAlignment="1">
      <alignment vertical="center"/>
    </xf>
    <xf numFmtId="164" fontId="77" fillId="0" borderId="0" xfId="0" applyNumberFormat="1" applyFont="1" applyAlignment="1">
      <alignment vertical="center"/>
    </xf>
    <xf numFmtId="0" fontId="77" fillId="0" borderId="0" xfId="0" applyFont="1" applyAlignment="1">
      <alignment horizontal="center" wrapText="1"/>
    </xf>
    <xf numFmtId="0" fontId="78" fillId="0" borderId="0" xfId="0" applyFont="1" applyAlignment="1">
      <alignment horizontal="left" vertical="center" wrapText="1"/>
    </xf>
    <xf numFmtId="164" fontId="78" fillId="0" borderId="0" xfId="0" applyNumberFormat="1" applyFont="1" applyAlignment="1">
      <alignment vertical="center"/>
    </xf>
    <xf numFmtId="0" fontId="77" fillId="0" borderId="0" xfId="0" applyFont="1" applyAlignment="1">
      <alignment wrapText="1"/>
    </xf>
    <xf numFmtId="0" fontId="4" fillId="7" borderId="1" xfId="0" applyFont="1" applyFill="1" applyBorder="1" applyAlignment="1">
      <alignment horizontal="center" vertical="center" shrinkToFit="1"/>
    </xf>
    <xf numFmtId="14" fontId="4" fillId="7" borderId="1" xfId="0" applyNumberFormat="1" applyFont="1" applyFill="1" applyBorder="1" applyAlignment="1">
      <alignment horizontal="center" vertical="center" shrinkToFit="1"/>
    </xf>
    <xf numFmtId="49" fontId="4" fillId="7" borderId="1" xfId="0" applyNumberFormat="1" applyFont="1" applyFill="1" applyBorder="1" applyAlignment="1">
      <alignment horizontal="center" vertical="center" shrinkToFit="1"/>
    </xf>
    <xf numFmtId="183" fontId="4" fillId="7" borderId="1" xfId="0" applyNumberFormat="1" applyFont="1" applyFill="1" applyBorder="1" applyAlignment="1">
      <alignment horizontal="center" vertical="center" shrinkToFit="1"/>
    </xf>
    <xf numFmtId="49" fontId="4" fillId="7" borderId="1" xfId="0" applyNumberFormat="1" applyFont="1" applyFill="1" applyBorder="1" applyAlignment="1">
      <alignment vertical="center" shrinkToFit="1"/>
    </xf>
    <xf numFmtId="0" fontId="10" fillId="7" borderId="1" xfId="0" applyFont="1" applyFill="1" applyBorder="1" applyAlignment="1">
      <alignment horizontal="center" vertical="center" shrinkToFit="1"/>
    </xf>
    <xf numFmtId="0" fontId="10" fillId="7" borderId="1" xfId="0" applyFont="1" applyFill="1" applyBorder="1" applyAlignment="1">
      <alignment vertical="center" shrinkToFit="1"/>
    </xf>
    <xf numFmtId="49" fontId="10" fillId="7" borderId="1" xfId="0" applyNumberFormat="1" applyFont="1" applyFill="1" applyBorder="1" applyAlignment="1">
      <alignment horizontal="center" vertical="center" shrinkToFit="1"/>
    </xf>
    <xf numFmtId="14" fontId="10" fillId="7" borderId="1" xfId="0" applyNumberFormat="1" applyFont="1" applyFill="1" applyBorder="1" applyAlignment="1">
      <alignment horizontal="center" vertical="center" shrinkToFit="1"/>
    </xf>
    <xf numFmtId="0" fontId="10" fillId="7" borderId="1" xfId="0" applyFont="1" applyFill="1" applyBorder="1" applyAlignment="1">
      <alignment horizontal="left" vertical="center" shrinkToFit="1"/>
    </xf>
    <xf numFmtId="183" fontId="10" fillId="7" borderId="1" xfId="0" applyNumberFormat="1" applyFont="1" applyFill="1" applyBorder="1" applyAlignment="1">
      <alignment vertical="center" shrinkToFit="1"/>
    </xf>
    <xf numFmtId="186" fontId="10" fillId="7" borderId="1" xfId="0" applyNumberFormat="1" applyFont="1" applyFill="1" applyBorder="1" applyAlignment="1">
      <alignment horizontal="center" vertical="center" shrinkToFit="1"/>
    </xf>
    <xf numFmtId="186" fontId="10" fillId="7" borderId="1" xfId="0" applyNumberFormat="1" applyFont="1" applyFill="1" applyBorder="1" applyAlignment="1">
      <alignment vertical="center" shrinkToFit="1"/>
    </xf>
    <xf numFmtId="0" fontId="10" fillId="5" borderId="1" xfId="0" applyFont="1" applyFill="1" applyBorder="1" applyAlignment="1">
      <alignment vertical="center" shrinkToFit="1"/>
    </xf>
    <xf numFmtId="183" fontId="10" fillId="7" borderId="1" xfId="0" quotePrefix="1" applyNumberFormat="1" applyFont="1" applyFill="1" applyBorder="1" applyAlignment="1">
      <alignment vertical="center" shrinkToFit="1"/>
    </xf>
    <xf numFmtId="1" fontId="10" fillId="7" borderId="1" xfId="0" applyNumberFormat="1" applyFont="1" applyFill="1" applyBorder="1" applyAlignment="1">
      <alignment horizontal="center" vertical="center" shrinkToFit="1"/>
    </xf>
    <xf numFmtId="14" fontId="10" fillId="7" borderId="1" xfId="0" applyNumberFormat="1" applyFont="1" applyFill="1" applyBorder="1" applyAlignment="1">
      <alignment vertical="center" shrinkToFit="1"/>
    </xf>
    <xf numFmtId="3" fontId="10" fillId="7" borderId="1" xfId="0" quotePrefix="1" applyNumberFormat="1" applyFont="1" applyFill="1" applyBorder="1" applyAlignment="1">
      <alignment horizontal="center" vertical="center" shrinkToFit="1"/>
    </xf>
    <xf numFmtId="14" fontId="10" fillId="7" borderId="1" xfId="0" applyNumberFormat="1" applyFont="1" applyFill="1" applyBorder="1" applyAlignment="1">
      <alignment vertical="center"/>
    </xf>
    <xf numFmtId="0" fontId="14" fillId="7" borderId="1" xfId="0" applyFont="1" applyFill="1" applyBorder="1" applyAlignment="1">
      <alignment vertical="center" shrinkToFit="1"/>
    </xf>
    <xf numFmtId="49" fontId="14" fillId="7" borderId="1" xfId="0" applyNumberFormat="1" applyFont="1" applyFill="1" applyBorder="1" applyAlignment="1">
      <alignment horizontal="center" vertical="center" shrinkToFit="1"/>
    </xf>
    <xf numFmtId="14" fontId="14" fillId="7" borderId="1" xfId="0" applyNumberFormat="1" applyFont="1" applyFill="1" applyBorder="1" applyAlignment="1">
      <alignment horizontal="center" vertical="center" shrinkToFit="1"/>
    </xf>
    <xf numFmtId="0" fontId="14" fillId="7" borderId="1" xfId="0" applyFont="1" applyFill="1" applyBorder="1" applyAlignment="1">
      <alignment horizontal="left" vertical="center" shrinkToFit="1"/>
    </xf>
    <xf numFmtId="0" fontId="14" fillId="7" borderId="1" xfId="0" applyFont="1" applyFill="1" applyBorder="1" applyAlignment="1">
      <alignment horizontal="center" vertical="center" shrinkToFit="1"/>
    </xf>
    <xf numFmtId="1" fontId="14" fillId="7" borderId="1" xfId="0" applyNumberFormat="1" applyFont="1" applyFill="1" applyBorder="1" applyAlignment="1">
      <alignment horizontal="center" vertical="center" shrinkToFit="1"/>
    </xf>
    <xf numFmtId="186" fontId="14" fillId="7" borderId="1" xfId="0" applyNumberFormat="1" applyFont="1" applyFill="1" applyBorder="1" applyAlignment="1">
      <alignment horizontal="center" vertical="center" shrinkToFit="1"/>
    </xf>
    <xf numFmtId="49" fontId="10" fillId="7" borderId="1" xfId="0" applyNumberFormat="1" applyFont="1" applyFill="1" applyBorder="1" applyAlignment="1">
      <alignment horizontal="left" vertical="center" shrinkToFit="1"/>
    </xf>
    <xf numFmtId="17" fontId="10" fillId="7" borderId="1" xfId="0" applyNumberFormat="1" applyFont="1" applyFill="1" applyBorder="1" applyAlignment="1">
      <alignment vertical="center" shrinkToFit="1"/>
    </xf>
    <xf numFmtId="0" fontId="10" fillId="7" borderId="1" xfId="0" applyFont="1" applyFill="1" applyBorder="1" applyAlignment="1">
      <alignment vertical="center"/>
    </xf>
    <xf numFmtId="0" fontId="10" fillId="7" borderId="1" xfId="0" applyFont="1" applyFill="1" applyBorder="1" applyAlignment="1">
      <alignment horizontal="center" vertical="center"/>
    </xf>
    <xf numFmtId="14" fontId="10" fillId="7" borderId="1" xfId="0" applyNumberFormat="1" applyFont="1" applyFill="1" applyBorder="1" applyAlignment="1">
      <alignment horizontal="center" vertical="center"/>
    </xf>
    <xf numFmtId="49" fontId="10" fillId="7" borderId="1" xfId="0" applyNumberFormat="1" applyFont="1" applyFill="1" applyBorder="1" applyAlignment="1">
      <alignment horizontal="center" vertical="center"/>
    </xf>
    <xf numFmtId="0" fontId="14" fillId="7" borderId="1" xfId="0" applyFont="1" applyFill="1" applyBorder="1" applyAlignment="1">
      <alignment vertical="center"/>
    </xf>
    <xf numFmtId="0" fontId="10" fillId="7" borderId="1" xfId="0" applyFont="1" applyFill="1" applyBorder="1" applyAlignment="1">
      <alignment horizontal="center" vertical="center" wrapText="1"/>
    </xf>
    <xf numFmtId="0" fontId="94" fillId="0" borderId="1" xfId="0" applyFont="1" applyBorder="1" applyAlignment="1">
      <alignment vertical="center" shrinkToFit="1"/>
    </xf>
    <xf numFmtId="171" fontId="10" fillId="0" borderId="0" xfId="0" applyNumberFormat="1" applyFont="1" applyAlignment="1">
      <alignment vertical="center" wrapText="1"/>
    </xf>
    <xf numFmtId="171" fontId="22" fillId="0" borderId="0" xfId="0" applyNumberFormat="1" applyFont="1" applyAlignment="1">
      <alignment vertical="center"/>
    </xf>
    <xf numFmtId="164" fontId="15" fillId="0" borderId="1" xfId="0" applyNumberFormat="1" applyFont="1" applyBorder="1" applyAlignment="1">
      <alignment horizontal="center" vertical="center" wrapText="1"/>
    </xf>
    <xf numFmtId="171" fontId="15" fillId="0" borderId="1" xfId="0" applyNumberFormat="1" applyFont="1" applyBorder="1" applyAlignment="1">
      <alignment horizontal="center" vertical="center" wrapText="1"/>
    </xf>
    <xf numFmtId="164" fontId="15" fillId="9" borderId="1" xfId="0" applyNumberFormat="1" applyFont="1" applyFill="1" applyBorder="1" applyAlignment="1">
      <alignment horizontal="center" vertical="center" wrapText="1"/>
    </xf>
    <xf numFmtId="164" fontId="15" fillId="9" borderId="1" xfId="0" applyNumberFormat="1" applyFont="1" applyFill="1" applyBorder="1" applyAlignment="1">
      <alignment horizontal="left" vertical="center" wrapText="1"/>
    </xf>
    <xf numFmtId="171" fontId="15" fillId="9" borderId="1" xfId="0" applyNumberFormat="1" applyFont="1" applyFill="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horizontal="left" vertical="center" wrapText="1"/>
    </xf>
    <xf numFmtId="171" fontId="49" fillId="0" borderId="1" xfId="0" applyNumberFormat="1" applyFont="1" applyBorder="1" applyAlignment="1">
      <alignment horizontal="left" vertical="center" wrapText="1"/>
    </xf>
    <xf numFmtId="171" fontId="49" fillId="0" borderId="1" xfId="0" applyNumberFormat="1" applyFont="1" applyBorder="1" applyAlignment="1">
      <alignment horizontal="center" vertical="center" wrapText="1"/>
    </xf>
    <xf numFmtId="171" fontId="8" fillId="0" borderId="1" xfId="0" applyNumberFormat="1" applyFont="1" applyBorder="1" applyAlignment="1">
      <alignment horizontal="left" vertical="center" wrapText="1"/>
    </xf>
    <xf numFmtId="171" fontId="8" fillId="0" borderId="1" xfId="0" applyNumberFormat="1" applyFont="1" applyBorder="1" applyAlignment="1">
      <alignment horizontal="center" vertical="center" wrapText="1"/>
    </xf>
    <xf numFmtId="171" fontId="15" fillId="0" borderId="1" xfId="0" applyNumberFormat="1" applyFont="1" applyBorder="1" applyAlignment="1">
      <alignment horizontal="left" vertical="center" wrapText="1"/>
    </xf>
    <xf numFmtId="0" fontId="49" fillId="0" borderId="1" xfId="0" applyFont="1" applyBorder="1" applyAlignment="1">
      <alignment vertical="center"/>
    </xf>
    <xf numFmtId="3" fontId="8" fillId="0" borderId="1" xfId="0" applyNumberFormat="1" applyFont="1" applyBorder="1" applyAlignment="1">
      <alignment horizontal="center" vertical="center" wrapText="1"/>
    </xf>
    <xf numFmtId="170" fontId="8" fillId="0" borderId="1" xfId="0" applyNumberFormat="1" applyFont="1" applyBorder="1" applyAlignment="1">
      <alignment horizontal="center" vertical="center" wrapText="1"/>
    </xf>
    <xf numFmtId="0" fontId="8" fillId="0" borderId="0" xfId="0" applyFont="1" applyAlignment="1">
      <alignment horizontal="left" vertical="center" wrapText="1"/>
    </xf>
    <xf numFmtId="0" fontId="26" fillId="0" borderId="1" xfId="0" applyFont="1" applyBorder="1" applyAlignment="1">
      <alignment vertical="center"/>
    </xf>
    <xf numFmtId="0" fontId="26" fillId="0" borderId="1" xfId="0" applyFont="1" applyBorder="1" applyAlignment="1">
      <alignment horizontal="left" vertical="center" wrapText="1"/>
    </xf>
    <xf numFmtId="0" fontId="26" fillId="0" borderId="2" xfId="0" applyFont="1" applyBorder="1" applyAlignment="1">
      <alignment horizontal="left" vertical="center"/>
    </xf>
    <xf numFmtId="171" fontId="27" fillId="0" borderId="2" xfId="0" applyNumberFormat="1" applyFont="1" applyBorder="1" applyAlignment="1">
      <alignment horizontal="center" vertical="center"/>
    </xf>
    <xf numFmtId="0" fontId="26" fillId="0" borderId="2" xfId="0" applyFont="1" applyBorder="1" applyAlignment="1">
      <alignment vertical="center"/>
    </xf>
    <xf numFmtId="164" fontId="8" fillId="7" borderId="1" xfId="0" applyNumberFormat="1" applyFont="1" applyFill="1" applyBorder="1" applyAlignment="1">
      <alignment horizontal="left" vertical="center" wrapText="1"/>
    </xf>
    <xf numFmtId="171" fontId="8" fillId="7" borderId="45" xfId="0" applyNumberFormat="1" applyFont="1" applyFill="1" applyBorder="1" applyAlignment="1">
      <alignment horizontal="center" vertical="center" wrapText="1"/>
    </xf>
    <xf numFmtId="171" fontId="15" fillId="9" borderId="45" xfId="0" applyNumberFormat="1" applyFont="1" applyFill="1" applyBorder="1" applyAlignment="1">
      <alignment horizontal="center" vertical="center" wrapText="1"/>
    </xf>
    <xf numFmtId="171" fontId="49" fillId="0" borderId="1" xfId="0" applyNumberFormat="1" applyFont="1" applyBorder="1" applyAlignment="1">
      <alignment horizontal="right" vertical="center" wrapText="1"/>
    </xf>
    <xf numFmtId="0" fontId="48" fillId="0" borderId="1" xfId="0" applyFont="1" applyBorder="1" applyAlignment="1">
      <alignment vertical="center"/>
    </xf>
    <xf numFmtId="0" fontId="8" fillId="0" borderId="1" xfId="0" applyFont="1" applyBorder="1" applyAlignment="1">
      <alignment horizontal="left" vertical="top" wrapText="1"/>
    </xf>
    <xf numFmtId="171" fontId="8" fillId="0" borderId="1" xfId="0" applyNumberFormat="1" applyFont="1" applyBorder="1" applyAlignment="1">
      <alignment horizontal="right" vertical="center" wrapText="1"/>
    </xf>
    <xf numFmtId="171" fontId="8" fillId="0" borderId="1" xfId="0" applyNumberFormat="1" applyFont="1" applyBorder="1" applyAlignment="1">
      <alignment horizontal="right" vertical="top" wrapText="1"/>
    </xf>
    <xf numFmtId="189" fontId="26" fillId="0" borderId="1" xfId="0" applyNumberFormat="1" applyFont="1" applyBorder="1" applyAlignment="1">
      <alignment horizontal="center" vertical="center" wrapText="1"/>
    </xf>
    <xf numFmtId="0" fontId="26" fillId="2" borderId="1" xfId="0" applyFont="1" applyFill="1" applyBorder="1" applyAlignment="1">
      <alignment horizontal="left" vertical="top" wrapText="1"/>
    </xf>
    <xf numFmtId="0" fontId="26" fillId="2" borderId="44" xfId="0" applyFont="1" applyFill="1" applyBorder="1" applyAlignment="1">
      <alignment horizontal="left" vertical="top" wrapText="1"/>
    </xf>
    <xf numFmtId="171" fontId="26" fillId="0" borderId="1" xfId="0" applyNumberFormat="1" applyFont="1" applyBorder="1" applyAlignment="1">
      <alignment horizontal="right" vertical="center" wrapText="1"/>
    </xf>
    <xf numFmtId="0" fontId="26" fillId="2" borderId="45" xfId="0" applyFont="1" applyFill="1" applyBorder="1" applyAlignment="1">
      <alignment horizontal="left" vertical="top" wrapText="1"/>
    </xf>
    <xf numFmtId="0" fontId="26" fillId="2" borderId="1" xfId="0" applyFont="1" applyFill="1" applyBorder="1" applyAlignment="1">
      <alignment wrapText="1"/>
    </xf>
    <xf numFmtId="0" fontId="26" fillId="0" borderId="1" xfId="0" applyFont="1" applyBorder="1" applyAlignment="1">
      <alignment vertical="center" wrapText="1"/>
    </xf>
    <xf numFmtId="164" fontId="26" fillId="7" borderId="1" xfId="0" applyNumberFormat="1" applyFont="1" applyFill="1" applyBorder="1" applyAlignment="1">
      <alignment horizontal="left" vertical="center" wrapText="1"/>
    </xf>
    <xf numFmtId="189" fontId="26" fillId="5" borderId="1" xfId="0" applyNumberFormat="1" applyFont="1" applyFill="1" applyBorder="1" applyAlignment="1">
      <alignment horizontal="center" vertical="center" wrapText="1"/>
    </xf>
    <xf numFmtId="0" fontId="8" fillId="5" borderId="1" xfId="0" applyFont="1" applyFill="1" applyBorder="1" applyAlignment="1">
      <alignment horizontal="left" vertical="center" wrapText="1"/>
    </xf>
    <xf numFmtId="171" fontId="8" fillId="5" borderId="1" xfId="0" applyNumberFormat="1" applyFont="1" applyFill="1" applyBorder="1" applyAlignment="1">
      <alignment horizontal="center" vertical="center" wrapText="1"/>
    </xf>
    <xf numFmtId="171" fontId="26" fillId="5" borderId="1" xfId="0" applyNumberFormat="1" applyFont="1" applyFill="1" applyBorder="1" applyAlignment="1">
      <alignment horizontal="right" vertical="center" wrapText="1"/>
    </xf>
    <xf numFmtId="164" fontId="26" fillId="5" borderId="1" xfId="0" applyNumberFormat="1" applyFont="1" applyFill="1" applyBorder="1" applyAlignment="1">
      <alignment horizontal="left" vertical="center" wrapText="1"/>
    </xf>
    <xf numFmtId="189" fontId="8" fillId="5" borderId="1" xfId="0" applyNumberFormat="1" applyFont="1" applyFill="1" applyBorder="1" applyAlignment="1">
      <alignment horizontal="center" vertical="center" wrapText="1"/>
    </xf>
    <xf numFmtId="171" fontId="15" fillId="5" borderId="1" xfId="0" applyNumberFormat="1" applyFont="1" applyFill="1" applyBorder="1" applyAlignment="1">
      <alignment horizontal="right" vertical="center" wrapText="1"/>
    </xf>
    <xf numFmtId="0" fontId="8" fillId="5" borderId="1" xfId="0" applyFont="1" applyFill="1" applyBorder="1" applyAlignment="1">
      <alignment vertical="center"/>
    </xf>
    <xf numFmtId="171" fontId="15" fillId="0" borderId="1" xfId="0" applyNumberFormat="1" applyFont="1" applyBorder="1" applyAlignment="1">
      <alignment horizontal="right" vertical="center" wrapText="1"/>
    </xf>
    <xf numFmtId="171" fontId="8" fillId="7" borderId="1" xfId="0" applyNumberFormat="1" applyFont="1" applyFill="1" applyBorder="1" applyAlignment="1">
      <alignment vertical="center" wrapText="1"/>
    </xf>
    <xf numFmtId="171" fontId="8" fillId="7" borderId="1" xfId="0" applyNumberFormat="1" applyFont="1" applyFill="1" applyBorder="1" applyAlignment="1">
      <alignment horizontal="right" vertical="center" wrapText="1"/>
    </xf>
    <xf numFmtId="171" fontId="8" fillId="7" borderId="1" xfId="0" applyNumberFormat="1" applyFont="1" applyFill="1" applyBorder="1" applyAlignment="1">
      <alignment horizontal="center" vertical="center"/>
    </xf>
    <xf numFmtId="189" fontId="8" fillId="0" borderId="1" xfId="0" applyNumberFormat="1" applyFont="1" applyBorder="1" applyAlignment="1">
      <alignment horizontal="center" vertical="center" wrapText="1"/>
    </xf>
    <xf numFmtId="0" fontId="26" fillId="0" borderId="1" xfId="0" applyFont="1" applyBorder="1" applyAlignment="1">
      <alignment horizontal="left" wrapText="1"/>
    </xf>
    <xf numFmtId="171" fontId="8" fillId="0" borderId="1" xfId="0" applyNumberFormat="1" applyFont="1" applyBorder="1" applyAlignment="1">
      <alignment vertical="center" wrapText="1"/>
    </xf>
    <xf numFmtId="164" fontId="8" fillId="0" borderId="1" xfId="0" applyNumberFormat="1" applyFont="1" applyBorder="1" applyAlignment="1">
      <alignment horizontal="center" vertical="center" wrapText="1"/>
    </xf>
    <xf numFmtId="171" fontId="8" fillId="0" borderId="0" xfId="0" applyNumberFormat="1" applyFont="1" applyAlignment="1">
      <alignment horizontal="right" vertical="center"/>
    </xf>
    <xf numFmtId="164" fontId="8" fillId="0" borderId="1" xfId="0" applyNumberFormat="1" applyFont="1" applyBorder="1" applyAlignment="1">
      <alignment horizontal="left" wrapText="1"/>
    </xf>
    <xf numFmtId="164" fontId="15" fillId="0" borderId="1" xfId="0" applyNumberFormat="1" applyFont="1" applyBorder="1" applyAlignment="1">
      <alignment horizontal="left" vertical="center" wrapText="1"/>
    </xf>
    <xf numFmtId="0" fontId="20" fillId="0" borderId="0" xfId="0" applyFont="1" applyAlignment="1">
      <alignment vertical="center"/>
    </xf>
    <xf numFmtId="0" fontId="10" fillId="0" borderId="0" xfId="0" applyFont="1" applyAlignment="1">
      <alignment horizontal="center" vertical="center" wrapText="1"/>
    </xf>
    <xf numFmtId="164" fontId="15" fillId="0" borderId="1" xfId="0" applyNumberFormat="1" applyFont="1" applyBorder="1" applyAlignment="1">
      <alignment horizontal="center" vertical="center"/>
    </xf>
    <xf numFmtId="0" fontId="48" fillId="0" borderId="1" xfId="0" applyFont="1" applyBorder="1" applyAlignment="1">
      <alignment horizontal="center" vertical="center" wrapText="1"/>
    </xf>
    <xf numFmtId="0" fontId="8" fillId="0" borderId="1" xfId="0" applyFont="1" applyBorder="1" applyAlignment="1">
      <alignment horizontal="left" wrapText="1"/>
    </xf>
    <xf numFmtId="0" fontId="10" fillId="0" borderId="0" xfId="0" applyFont="1" applyAlignment="1">
      <alignment horizontal="left" vertical="center"/>
    </xf>
    <xf numFmtId="3" fontId="16" fillId="0" borderId="0" xfId="0" applyNumberFormat="1" applyFont="1" applyAlignment="1">
      <alignment vertical="center"/>
    </xf>
    <xf numFmtId="0" fontId="16" fillId="0" borderId="1" xfId="0" quotePrefix="1" applyFont="1" applyBorder="1" applyAlignment="1">
      <alignment horizontal="left" vertical="center" wrapText="1"/>
    </xf>
    <xf numFmtId="190" fontId="16" fillId="0" borderId="1" xfId="0" applyNumberFormat="1" applyFont="1" applyBorder="1" applyAlignment="1">
      <alignment horizontal="left" vertical="center"/>
    </xf>
    <xf numFmtId="190" fontId="16" fillId="0" borderId="1" xfId="0" applyNumberFormat="1" applyFont="1" applyBorder="1" applyAlignment="1">
      <alignment horizontal="left" vertical="center" wrapText="1"/>
    </xf>
    <xf numFmtId="190" fontId="16" fillId="7" borderId="1" xfId="0" applyNumberFormat="1" applyFont="1" applyFill="1" applyBorder="1" applyAlignment="1">
      <alignment horizontal="left" vertical="center" wrapText="1"/>
    </xf>
    <xf numFmtId="3" fontId="16" fillId="7" borderId="43" xfId="0" applyNumberFormat="1" applyFont="1" applyFill="1" applyBorder="1" applyAlignment="1">
      <alignment vertical="center"/>
    </xf>
    <xf numFmtId="0" fontId="16" fillId="7" borderId="64" xfId="0" applyFont="1" applyFill="1" applyBorder="1" applyAlignment="1">
      <alignment horizontal="left" vertical="center" wrapText="1"/>
    </xf>
    <xf numFmtId="0" fontId="16" fillId="7" borderId="64" xfId="0" applyFont="1" applyFill="1" applyBorder="1" applyAlignment="1">
      <alignment horizontal="center" vertical="center"/>
    </xf>
    <xf numFmtId="0" fontId="16" fillId="7" borderId="64" xfId="0" applyFont="1" applyFill="1" applyBorder="1" applyAlignment="1">
      <alignment horizontal="left" vertical="center"/>
    </xf>
    <xf numFmtId="0" fontId="16" fillId="2" borderId="1" xfId="0" applyFont="1" applyFill="1" applyBorder="1" applyAlignment="1">
      <alignment horizontal="left" vertical="center" wrapText="1"/>
    </xf>
    <xf numFmtId="190" fontId="16" fillId="0" borderId="1" xfId="0" applyNumberFormat="1" applyFont="1" applyBorder="1" applyAlignment="1">
      <alignment horizontal="center" vertical="center" wrapText="1"/>
    </xf>
    <xf numFmtId="0" fontId="16" fillId="0" borderId="2" xfId="0" applyFont="1" applyBorder="1" applyAlignment="1">
      <alignment horizontal="center" vertical="center"/>
    </xf>
    <xf numFmtId="0" fontId="5" fillId="0" borderId="0" xfId="0" applyFont="1" applyAlignment="1">
      <alignment vertical="center" wrapText="1"/>
    </xf>
    <xf numFmtId="0" fontId="10" fillId="0" borderId="0" xfId="0" applyFont="1" applyAlignment="1">
      <alignment horizontal="left" vertical="center" wrapText="1"/>
    </xf>
    <xf numFmtId="0" fontId="20" fillId="0" borderId="0" xfId="0" applyFont="1" applyAlignment="1">
      <alignment vertical="center" wrapText="1"/>
    </xf>
    <xf numFmtId="3" fontId="20" fillId="0" borderId="0" xfId="0" applyNumberFormat="1" applyFont="1" applyAlignment="1">
      <alignment vertical="center"/>
    </xf>
    <xf numFmtId="0" fontId="15" fillId="0" borderId="1" xfId="0" applyFont="1" applyBorder="1" applyAlignment="1">
      <alignment horizontal="center" vertical="center"/>
    </xf>
    <xf numFmtId="0" fontId="27" fillId="0" borderId="1" xfId="0" applyFont="1" applyBorder="1" applyAlignment="1">
      <alignment horizontal="center" wrapText="1"/>
    </xf>
    <xf numFmtId="171" fontId="27" fillId="0" borderId="1" xfId="0" applyNumberFormat="1" applyFont="1" applyBorder="1" applyAlignment="1">
      <alignment horizontal="center"/>
    </xf>
    <xf numFmtId="3" fontId="95" fillId="0" borderId="2" xfId="0" applyNumberFormat="1" applyFont="1" applyBorder="1" applyAlignment="1">
      <alignment horizontal="right" wrapText="1"/>
    </xf>
    <xf numFmtId="0" fontId="48" fillId="0" borderId="0" xfId="0" applyFont="1" applyAlignment="1">
      <alignment vertical="center" wrapText="1"/>
    </xf>
    <xf numFmtId="164" fontId="10" fillId="0" borderId="0" xfId="0" applyNumberFormat="1" applyFont="1" applyAlignment="1">
      <alignment vertical="center"/>
    </xf>
    <xf numFmtId="164" fontId="14" fillId="0" borderId="0" xfId="0" applyNumberFormat="1" applyFont="1" applyAlignment="1">
      <alignment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7" xfId="0" applyFont="1" applyBorder="1" applyAlignment="1">
      <alignment horizontal="center" vertical="center" wrapText="1"/>
    </xf>
    <xf numFmtId="164" fontId="4" fillId="0" borderId="17" xfId="0" applyNumberFormat="1" applyFont="1" applyBorder="1" applyAlignment="1">
      <alignment horizontal="center" vertical="center" wrapText="1"/>
    </xf>
    <xf numFmtId="0" fontId="4" fillId="0" borderId="18" xfId="0" applyFont="1" applyBorder="1" applyAlignment="1">
      <alignment horizontal="center" vertical="center"/>
    </xf>
    <xf numFmtId="164" fontId="8" fillId="0" borderId="119" xfId="0" quotePrefix="1" applyNumberFormat="1" applyFont="1" applyBorder="1" applyAlignment="1">
      <alignment horizontal="center" vertical="center"/>
    </xf>
    <xf numFmtId="0" fontId="8" fillId="0" borderId="119" xfId="0" quotePrefix="1" applyFont="1" applyBorder="1" applyAlignment="1">
      <alignment horizontal="center" vertical="center"/>
    </xf>
    <xf numFmtId="0" fontId="10" fillId="0" borderId="138" xfId="0" applyFont="1" applyBorder="1" applyAlignment="1">
      <alignment vertical="center"/>
    </xf>
    <xf numFmtId="0" fontId="4" fillId="0" borderId="138" xfId="0" applyFont="1" applyBorder="1" applyAlignment="1">
      <alignment vertical="center"/>
    </xf>
    <xf numFmtId="0" fontId="10" fillId="0" borderId="59" xfId="0" applyFont="1" applyBorder="1" applyAlignment="1">
      <alignment horizontal="center" vertical="center"/>
    </xf>
    <xf numFmtId="0" fontId="10" fillId="0" borderId="60" xfId="0" applyFont="1" applyBorder="1" applyAlignment="1">
      <alignment vertical="center"/>
    </xf>
    <xf numFmtId="0" fontId="4" fillId="0" borderId="60" xfId="0" applyFont="1" applyBorder="1" applyAlignment="1">
      <alignment vertical="center"/>
    </xf>
    <xf numFmtId="164" fontId="10" fillId="0" borderId="60" xfId="0" applyNumberFormat="1" applyFont="1" applyBorder="1" applyAlignment="1">
      <alignment horizontal="center" vertical="center"/>
    </xf>
    <xf numFmtId="164" fontId="10" fillId="0" borderId="60" xfId="0" applyNumberFormat="1" applyFont="1" applyBorder="1" applyAlignment="1">
      <alignment vertical="center"/>
    </xf>
    <xf numFmtId="0" fontId="10" fillId="0" borderId="120" xfId="0" applyFont="1" applyBorder="1" applyAlignment="1">
      <alignment vertical="center"/>
    </xf>
    <xf numFmtId="1" fontId="20" fillId="0" borderId="0" xfId="0" applyNumberFormat="1" applyFont="1" applyAlignment="1">
      <alignment vertical="center"/>
    </xf>
    <xf numFmtId="0" fontId="5" fillId="0" borderId="0" xfId="0" applyFont="1" applyAlignment="1">
      <alignment horizontal="right" vertical="center"/>
    </xf>
    <xf numFmtId="0" fontId="4" fillId="0" borderId="139" xfId="0" applyFont="1" applyBorder="1" applyAlignment="1">
      <alignment horizontal="center" vertical="center"/>
    </xf>
    <xf numFmtId="0" fontId="4" fillId="6" borderId="52" xfId="0" applyFont="1" applyFill="1" applyBorder="1" applyAlignment="1">
      <alignment horizontal="center" vertical="center"/>
    </xf>
    <xf numFmtId="0" fontId="4" fillId="6" borderId="52" xfId="0" applyFont="1" applyFill="1" applyBorder="1" applyAlignment="1">
      <alignment vertical="center"/>
    </xf>
    <xf numFmtId="3" fontId="4" fillId="6" borderId="52" xfId="0" applyNumberFormat="1" applyFont="1" applyFill="1" applyBorder="1" applyAlignment="1">
      <alignment vertical="center"/>
    </xf>
    <xf numFmtId="0" fontId="10" fillId="0" borderId="21" xfId="0" applyFont="1" applyBorder="1" applyAlignment="1">
      <alignment horizontal="center" vertical="center"/>
    </xf>
    <xf numFmtId="0" fontId="10" fillId="0" borderId="21" xfId="0" applyFont="1" applyBorder="1" applyAlignment="1">
      <alignment horizontal="left" vertical="center" wrapText="1"/>
    </xf>
    <xf numFmtId="3" fontId="10" fillId="0" borderId="21" xfId="0" applyNumberFormat="1" applyFont="1" applyBorder="1" applyAlignment="1">
      <alignment vertical="center"/>
    </xf>
    <xf numFmtId="0" fontId="10" fillId="0" borderId="21" xfId="0" applyFont="1" applyBorder="1" applyAlignment="1">
      <alignment vertical="center" wrapText="1"/>
    </xf>
    <xf numFmtId="0" fontId="5" fillId="0" borderId="21" xfId="0" applyFont="1" applyBorder="1" applyAlignment="1">
      <alignment horizontal="center" vertical="center"/>
    </xf>
    <xf numFmtId="0" fontId="5" fillId="0" borderId="21" xfId="0" applyFont="1" applyBorder="1" applyAlignment="1">
      <alignment horizontal="left" vertical="center" wrapText="1"/>
    </xf>
    <xf numFmtId="3" fontId="5" fillId="0" borderId="21" xfId="0" applyNumberFormat="1" applyFont="1" applyBorder="1" applyAlignment="1">
      <alignment vertical="center"/>
    </xf>
    <xf numFmtId="0" fontId="5" fillId="0" borderId="21" xfId="0" applyFont="1" applyBorder="1" applyAlignment="1">
      <alignment vertical="center"/>
    </xf>
    <xf numFmtId="0" fontId="5" fillId="7" borderId="21" xfId="0" applyFont="1" applyFill="1" applyBorder="1" applyAlignment="1">
      <alignment vertical="center" wrapText="1"/>
    </xf>
    <xf numFmtId="0" fontId="10" fillId="7" borderId="21" xfId="0" applyFont="1" applyFill="1" applyBorder="1" applyAlignment="1">
      <alignment vertical="center" wrapText="1"/>
    </xf>
    <xf numFmtId="0" fontId="10" fillId="0" borderId="21" xfId="0" applyFont="1" applyBorder="1" applyAlignment="1">
      <alignment vertical="center"/>
    </xf>
    <xf numFmtId="170" fontId="10" fillId="0" borderId="21" xfId="0" applyNumberFormat="1" applyFont="1" applyBorder="1" applyAlignment="1">
      <alignment horizontal="center" vertical="center"/>
    </xf>
    <xf numFmtId="43" fontId="10" fillId="0" borderId="21" xfId="0" applyNumberFormat="1" applyFont="1" applyBorder="1" applyAlignment="1">
      <alignment vertical="center"/>
    </xf>
    <xf numFmtId="3" fontId="10" fillId="5" borderId="21" xfId="0" applyNumberFormat="1" applyFont="1" applyFill="1" applyBorder="1" applyAlignment="1">
      <alignment vertical="center"/>
    </xf>
    <xf numFmtId="0" fontId="4" fillId="6" borderId="21" xfId="0" applyFont="1" applyFill="1" applyBorder="1" applyAlignment="1">
      <alignment horizontal="center" vertical="center"/>
    </xf>
    <xf numFmtId="0" fontId="4" fillId="6" borderId="21" xfId="0" applyFont="1" applyFill="1" applyBorder="1" applyAlignment="1">
      <alignment vertical="center"/>
    </xf>
    <xf numFmtId="3" fontId="4" fillId="6" borderId="21" xfId="0" applyNumberFormat="1" applyFont="1" applyFill="1" applyBorder="1" applyAlignment="1">
      <alignment vertical="center"/>
    </xf>
    <xf numFmtId="0" fontId="10" fillId="0" borderId="21" xfId="0" quotePrefix="1" applyFont="1" applyBorder="1" applyAlignment="1">
      <alignment horizontal="center" vertical="center"/>
    </xf>
    <xf numFmtId="3" fontId="10" fillId="0" borderId="140" xfId="0" applyNumberFormat="1" applyFont="1" applyBorder="1" applyAlignment="1">
      <alignment vertical="center"/>
    </xf>
    <xf numFmtId="3" fontId="10" fillId="7" borderId="21" xfId="0" applyNumberFormat="1" applyFont="1" applyFill="1" applyBorder="1" applyAlignment="1">
      <alignment vertical="center"/>
    </xf>
    <xf numFmtId="43" fontId="10" fillId="7" borderId="21" xfId="0" applyNumberFormat="1" applyFont="1" applyFill="1" applyBorder="1" applyAlignment="1">
      <alignment vertical="center"/>
    </xf>
    <xf numFmtId="0" fontId="4" fillId="6" borderId="21" xfId="0" applyFont="1" applyFill="1" applyBorder="1" applyAlignment="1">
      <alignment vertical="center" wrapText="1"/>
    </xf>
    <xf numFmtId="164" fontId="4" fillId="6" borderId="21" xfId="0" applyNumberFormat="1" applyFont="1" applyFill="1" applyBorder="1" applyAlignment="1">
      <alignment vertical="center"/>
    </xf>
    <xf numFmtId="0" fontId="4" fillId="0" borderId="21" xfId="0" applyFont="1" applyBorder="1" applyAlignment="1">
      <alignment horizontal="center" vertical="center"/>
    </xf>
    <xf numFmtId="0" fontId="4" fillId="0" borderId="21" xfId="0" applyFont="1" applyBorder="1" applyAlignment="1">
      <alignment vertical="center" wrapText="1"/>
    </xf>
    <xf numFmtId="0" fontId="96" fillId="2" borderId="0" xfId="0" applyFont="1" applyFill="1" applyAlignment="1">
      <alignment wrapText="1"/>
    </xf>
    <xf numFmtId="0" fontId="4" fillId="6" borderId="22" xfId="0" applyFont="1" applyFill="1" applyBorder="1" applyAlignment="1">
      <alignment horizontal="center" vertical="center"/>
    </xf>
    <xf numFmtId="0" fontId="4" fillId="6" borderId="22" xfId="0" applyFont="1" applyFill="1" applyBorder="1" applyAlignment="1">
      <alignment vertical="center" wrapText="1"/>
    </xf>
    <xf numFmtId="3" fontId="4" fillId="6" borderId="22" xfId="0" applyNumberFormat="1" applyFont="1" applyFill="1" applyBorder="1" applyAlignment="1">
      <alignment vertical="center"/>
    </xf>
    <xf numFmtId="0" fontId="4" fillId="0" borderId="70" xfId="0" applyFont="1" applyBorder="1" applyAlignment="1">
      <alignment horizontal="center" vertical="center"/>
    </xf>
    <xf numFmtId="3" fontId="4" fillId="0" borderId="1" xfId="0" applyNumberFormat="1" applyFont="1" applyBorder="1" applyAlignment="1">
      <alignment vertical="center"/>
    </xf>
    <xf numFmtId="1" fontId="5" fillId="0" borderId="0" xfId="0" applyNumberFormat="1" applyFont="1" applyAlignment="1">
      <alignment horizontal="left" vertical="center" wrapText="1"/>
    </xf>
    <xf numFmtId="0" fontId="15" fillId="0" borderId="1" xfId="0" applyFont="1" applyBorder="1"/>
    <xf numFmtId="0" fontId="15" fillId="0" borderId="1" xfId="0" applyFont="1" applyBorder="1" applyAlignment="1">
      <alignment wrapText="1"/>
    </xf>
    <xf numFmtId="164" fontId="8" fillId="0" borderId="1" xfId="0" applyNumberFormat="1" applyFont="1" applyBorder="1"/>
    <xf numFmtId="164" fontId="8" fillId="0" borderId="0" xfId="0" applyNumberFormat="1" applyFont="1"/>
    <xf numFmtId="164" fontId="8" fillId="5" borderId="1" xfId="0" applyNumberFormat="1" applyFont="1" applyFill="1" applyBorder="1"/>
    <xf numFmtId="164" fontId="15" fillId="0" borderId="0" xfId="0" applyNumberFormat="1" applyFont="1"/>
    <xf numFmtId="0" fontId="78" fillId="7" borderId="137" xfId="0" applyFont="1" applyFill="1" applyBorder="1" applyAlignment="1">
      <alignment horizontal="center" vertical="center" wrapText="1"/>
    </xf>
    <xf numFmtId="0" fontId="80" fillId="7" borderId="137" xfId="0" applyFont="1" applyFill="1" applyBorder="1" applyAlignment="1">
      <alignment horizontal="right" vertical="center"/>
    </xf>
    <xf numFmtId="0" fontId="80" fillId="7" borderId="137" xfId="0" applyFont="1" applyFill="1" applyBorder="1" applyAlignment="1">
      <alignment vertical="center" wrapText="1"/>
    </xf>
    <xf numFmtId="3" fontId="78" fillId="7" borderId="42" xfId="0" applyNumberFormat="1" applyFont="1" applyFill="1" applyBorder="1" applyAlignment="1">
      <alignment horizontal="center" vertical="center" wrapText="1"/>
    </xf>
    <xf numFmtId="0" fontId="78" fillId="7" borderId="45" xfId="0" applyFont="1" applyFill="1" applyBorder="1" applyAlignment="1">
      <alignment horizontal="center" vertical="center" wrapText="1"/>
    </xf>
    <xf numFmtId="3" fontId="78" fillId="7" borderId="45" xfId="0" applyNumberFormat="1" applyFont="1" applyFill="1" applyBorder="1" applyAlignment="1">
      <alignment horizontal="center" vertical="center" wrapText="1"/>
    </xf>
    <xf numFmtId="3" fontId="78" fillId="7" borderId="1" xfId="0" applyNumberFormat="1" applyFont="1" applyFill="1" applyBorder="1" applyAlignment="1">
      <alignment horizontal="center" vertical="center" wrapText="1"/>
    </xf>
    <xf numFmtId="3" fontId="77" fillId="7" borderId="1" xfId="0" applyNumberFormat="1" applyFont="1" applyFill="1" applyBorder="1" applyAlignment="1">
      <alignment horizontal="left" vertical="center" wrapText="1"/>
    </xf>
    <xf numFmtId="3" fontId="77" fillId="7" borderId="1" xfId="0" applyNumberFormat="1" applyFont="1" applyFill="1" applyBorder="1" applyAlignment="1">
      <alignment horizontal="right" vertical="center" wrapText="1"/>
    </xf>
    <xf numFmtId="0" fontId="77" fillId="7" borderId="1" xfId="0" applyFont="1" applyFill="1" applyBorder="1" applyAlignment="1">
      <alignment wrapText="1"/>
    </xf>
    <xf numFmtId="3" fontId="77" fillId="7" borderId="1" xfId="0" applyNumberFormat="1" applyFont="1" applyFill="1" applyBorder="1" applyAlignment="1">
      <alignment horizontal="right"/>
    </xf>
    <xf numFmtId="0" fontId="90" fillId="7" borderId="1" xfId="0" applyFont="1" applyFill="1" applyBorder="1" applyAlignment="1">
      <alignment horizontal="center" wrapText="1"/>
    </xf>
    <xf numFmtId="0" fontId="90" fillId="7" borderId="1" xfId="0" applyFont="1" applyFill="1" applyBorder="1" applyAlignment="1">
      <alignment wrapText="1"/>
    </xf>
    <xf numFmtId="3" fontId="90" fillId="7" borderId="1" xfId="0" applyNumberFormat="1" applyFont="1" applyFill="1" applyBorder="1" applyAlignment="1">
      <alignment horizontal="right" vertical="center" wrapText="1"/>
    </xf>
    <xf numFmtId="3" fontId="90" fillId="7" borderId="1" xfId="0" applyNumberFormat="1" applyFont="1" applyFill="1" applyBorder="1" applyAlignment="1">
      <alignment horizontal="right"/>
    </xf>
    <xf numFmtId="0" fontId="77" fillId="7" borderId="1" xfId="0" applyFont="1" applyFill="1" applyBorder="1" applyAlignment="1">
      <alignment horizontal="center" wrapText="1"/>
    </xf>
    <xf numFmtId="0" fontId="77" fillId="7" borderId="1" xfId="0" applyFont="1" applyFill="1" applyBorder="1"/>
    <xf numFmtId="0" fontId="78" fillId="7" borderId="1" xfId="0" applyFont="1" applyFill="1" applyBorder="1" applyAlignment="1">
      <alignment horizontal="center" wrapText="1"/>
    </xf>
    <xf numFmtId="3" fontId="78" fillId="7" borderId="1" xfId="0" applyNumberFormat="1" applyFont="1" applyFill="1" applyBorder="1" applyAlignment="1">
      <alignment horizontal="right"/>
    </xf>
    <xf numFmtId="0" fontId="6" fillId="0" borderId="136" xfId="0" applyFont="1" applyBorder="1"/>
    <xf numFmtId="0" fontId="0" fillId="0" borderId="0" xfId="0" applyAlignment="1">
      <alignment horizontal="left"/>
    </xf>
    <xf numFmtId="0" fontId="15" fillId="26" borderId="141" xfId="0" applyFont="1" applyFill="1" applyBorder="1" applyAlignment="1">
      <alignment horizontal="left" vertical="center" wrapText="1"/>
    </xf>
    <xf numFmtId="0" fontId="8" fillId="0" borderId="141" xfId="0" applyFont="1" applyBorder="1" applyAlignment="1">
      <alignment horizontal="left" wrapText="1"/>
    </xf>
    <xf numFmtId="0" fontId="8" fillId="0" borderId="141" xfId="0" applyFont="1" applyBorder="1" applyAlignment="1">
      <alignment horizontal="left"/>
    </xf>
    <xf numFmtId="0" fontId="8" fillId="26" borderId="141" xfId="0" applyFont="1" applyFill="1" applyBorder="1" applyAlignment="1">
      <alignment horizontal="left" vertical="center" wrapText="1"/>
    </xf>
    <xf numFmtId="0" fontId="102" fillId="26" borderId="141" xfId="0" applyFont="1" applyFill="1" applyBorder="1" applyAlignment="1">
      <alignment horizontal="center" vertical="center" wrapText="1"/>
    </xf>
    <xf numFmtId="0" fontId="15" fillId="27" borderId="141" xfId="0" applyFont="1" applyFill="1" applyBorder="1" applyAlignment="1">
      <alignment horizontal="left" vertical="center" wrapText="1"/>
    </xf>
    <xf numFmtId="0" fontId="8" fillId="27" borderId="141" xfId="0" applyFont="1" applyFill="1" applyBorder="1" applyAlignment="1">
      <alignment horizontal="left" vertical="center" wrapText="1"/>
    </xf>
    <xf numFmtId="0" fontId="102" fillId="27" borderId="141" xfId="0" applyFont="1" applyFill="1" applyBorder="1" applyAlignment="1">
      <alignment horizontal="center" vertical="center" wrapText="1"/>
    </xf>
    <xf numFmtId="0" fontId="15" fillId="28" borderId="141" xfId="0" applyFont="1" applyFill="1" applyBorder="1" applyAlignment="1">
      <alignment horizontal="left" vertical="center" wrapText="1"/>
    </xf>
    <xf numFmtId="0" fontId="8" fillId="28" borderId="141" xfId="0" applyFont="1" applyFill="1" applyBorder="1" applyAlignment="1">
      <alignment horizontal="left" vertical="center" wrapText="1"/>
    </xf>
    <xf numFmtId="0" fontId="102" fillId="28" borderId="141" xfId="0" applyFont="1" applyFill="1" applyBorder="1" applyAlignment="1">
      <alignment horizontal="center" vertical="center" wrapText="1"/>
    </xf>
    <xf numFmtId="0" fontId="8" fillId="28" borderId="141" xfId="0" applyFont="1" applyFill="1" applyBorder="1" applyAlignment="1">
      <alignment horizontal="left" wrapText="1"/>
    </xf>
    <xf numFmtId="0" fontId="103" fillId="0" borderId="141" xfId="0" applyFont="1" applyBorder="1" applyAlignment="1">
      <alignment horizontal="center" vertical="center" wrapText="1"/>
    </xf>
    <xf numFmtId="0" fontId="103" fillId="0" borderId="141" xfId="0" applyFont="1" applyBorder="1" applyAlignment="1">
      <alignment horizontal="center" vertical="center"/>
    </xf>
    <xf numFmtId="0" fontId="2" fillId="0" borderId="44" xfId="0" applyFont="1" applyBorder="1" applyAlignment="1">
      <alignment horizontal="center" wrapText="1"/>
    </xf>
    <xf numFmtId="0" fontId="2" fillId="0" borderId="45" xfId="0" applyFont="1" applyBorder="1" applyAlignment="1">
      <alignment horizontal="center"/>
    </xf>
    <xf numFmtId="0" fontId="4" fillId="2" borderId="2" xfId="0" applyFont="1" applyFill="1" applyBorder="1" applyAlignment="1">
      <alignment wrapText="1"/>
    </xf>
    <xf numFmtId="0" fontId="1" fillId="0" borderId="45" xfId="0" applyFont="1" applyBorder="1" applyAlignment="1">
      <alignment horizontal="center"/>
    </xf>
    <xf numFmtId="0" fontId="5" fillId="2" borderId="2" xfId="0" applyFont="1" applyFill="1" applyBorder="1" applyAlignment="1">
      <alignment wrapText="1"/>
    </xf>
    <xf numFmtId="0" fontId="6" fillId="0" borderId="44" xfId="0" applyFont="1" applyBorder="1"/>
    <xf numFmtId="0" fontId="4" fillId="0" borderId="43" xfId="0" applyFont="1" applyBorder="1" applyAlignment="1">
      <alignment horizontal="center" vertical="center"/>
    </xf>
    <xf numFmtId="165" fontId="12" fillId="4" borderId="9" xfId="0" applyNumberFormat="1" applyFont="1" applyFill="1" applyBorder="1" applyAlignment="1">
      <alignment horizontal="center" vertical="center" wrapText="1"/>
    </xf>
    <xf numFmtId="0" fontId="16" fillId="7" borderId="9" xfId="0" applyFont="1" applyFill="1" applyBorder="1" applyAlignment="1">
      <alignment horizontal="center" vertical="center"/>
    </xf>
    <xf numFmtId="0" fontId="17" fillId="7" borderId="9" xfId="0" applyFont="1" applyFill="1" applyBorder="1" applyAlignment="1">
      <alignment vertical="center" wrapText="1"/>
    </xf>
    <xf numFmtId="0" fontId="16" fillId="7" borderId="9" xfId="0" applyFont="1" applyFill="1" applyBorder="1" applyAlignment="1">
      <alignment vertical="center" wrapText="1"/>
    </xf>
    <xf numFmtId="1" fontId="16" fillId="7" borderId="9" xfId="0" applyNumberFormat="1" applyFont="1" applyFill="1" applyBorder="1" applyAlignment="1">
      <alignment vertical="center" wrapText="1"/>
    </xf>
    <xf numFmtId="0" fontId="4" fillId="7" borderId="9" xfId="0" applyFont="1" applyFill="1" applyBorder="1" applyAlignment="1">
      <alignment horizontal="center" vertical="center" wrapText="1"/>
    </xf>
    <xf numFmtId="0" fontId="10" fillId="7" borderId="9" xfId="0" applyFont="1" applyFill="1" applyBorder="1" applyAlignment="1">
      <alignment horizontal="left" vertical="center" wrapText="1"/>
    </xf>
    <xf numFmtId="0" fontId="16" fillId="7" borderId="9" xfId="0" applyFont="1" applyFill="1" applyBorder="1" applyAlignment="1">
      <alignment horizontal="left" vertical="center" wrapText="1"/>
    </xf>
    <xf numFmtId="1" fontId="16" fillId="7" borderId="9" xfId="0" applyNumberFormat="1" applyFont="1" applyFill="1" applyBorder="1" applyAlignment="1">
      <alignment horizontal="left" vertical="center" wrapText="1"/>
    </xf>
    <xf numFmtId="0" fontId="1" fillId="7" borderId="9" xfId="0" applyFont="1" applyFill="1" applyBorder="1" applyAlignment="1">
      <alignment horizontal="left" vertical="center" wrapText="1"/>
    </xf>
    <xf numFmtId="0" fontId="16" fillId="7" borderId="9" xfId="0" applyFont="1" applyFill="1" applyBorder="1" applyAlignment="1">
      <alignment horizontal="center"/>
    </xf>
    <xf numFmtId="0" fontId="17" fillId="7" borderId="9" xfId="0" applyFont="1" applyFill="1" applyBorder="1" applyAlignment="1">
      <alignment wrapText="1"/>
    </xf>
    <xf numFmtId="0" fontId="16" fillId="7" borderId="9" xfId="0" applyFont="1" applyFill="1" applyBorder="1" applyAlignment="1">
      <alignment wrapText="1"/>
    </xf>
    <xf numFmtId="0" fontId="26" fillId="7" borderId="9" xfId="0" applyFont="1" applyFill="1" applyBorder="1" applyAlignment="1">
      <alignment wrapText="1"/>
    </xf>
    <xf numFmtId="0" fontId="26" fillId="7" borderId="9" xfId="0" applyFont="1" applyFill="1" applyBorder="1"/>
    <xf numFmtId="164" fontId="17" fillId="0" borderId="45" xfId="0" applyNumberFormat="1" applyFont="1" applyBorder="1" applyAlignment="1">
      <alignment horizontal="left" vertical="center" wrapText="1"/>
    </xf>
    <xf numFmtId="164" fontId="17" fillId="0" borderId="45" xfId="0" applyNumberFormat="1" applyFont="1" applyBorder="1" applyAlignment="1">
      <alignment horizontal="center" vertical="center" wrapText="1"/>
    </xf>
    <xf numFmtId="0" fontId="43" fillId="5" borderId="2" xfId="0" applyFont="1" applyFill="1" applyBorder="1" applyAlignment="1">
      <alignment horizontal="left"/>
    </xf>
    <xf numFmtId="0" fontId="43" fillId="5" borderId="2" xfId="0" applyFont="1" applyFill="1" applyBorder="1" applyAlignment="1">
      <alignment horizontal="center"/>
    </xf>
    <xf numFmtId="0" fontId="9" fillId="5" borderId="9" xfId="0" applyFont="1" applyFill="1" applyBorder="1"/>
    <xf numFmtId="0" fontId="3" fillId="5" borderId="2" xfId="0" applyFont="1" applyFill="1" applyBorder="1" applyAlignment="1">
      <alignment horizontal="center"/>
    </xf>
    <xf numFmtId="0" fontId="44" fillId="5" borderId="2" xfId="0" applyFont="1" applyFill="1" applyBorder="1" applyAlignment="1">
      <alignment horizontal="left"/>
    </xf>
    <xf numFmtId="0" fontId="45" fillId="5" borderId="2" xfId="0" applyFont="1" applyFill="1" applyBorder="1" applyAlignment="1">
      <alignment horizontal="center"/>
    </xf>
    <xf numFmtId="0" fontId="44" fillId="5" borderId="2" xfId="0" applyFont="1" applyFill="1" applyBorder="1" applyAlignment="1">
      <alignment horizontal="center"/>
    </xf>
    <xf numFmtId="0" fontId="43" fillId="11" borderId="2" xfId="0" applyFont="1" applyFill="1" applyBorder="1" applyAlignment="1">
      <alignment horizontal="left"/>
    </xf>
    <xf numFmtId="171" fontId="16" fillId="10" borderId="9" xfId="0" applyNumberFormat="1" applyFont="1" applyFill="1" applyBorder="1" applyAlignment="1">
      <alignment horizontal="right" vertical="center" wrapText="1"/>
    </xf>
    <xf numFmtId="166" fontId="16" fillId="10" borderId="9" xfId="0" applyNumberFormat="1" applyFont="1" applyFill="1" applyBorder="1" applyAlignment="1">
      <alignment horizontal="right" vertical="center" wrapText="1"/>
    </xf>
    <xf numFmtId="164" fontId="17" fillId="0" borderId="69" xfId="0" applyNumberFormat="1" applyFont="1" applyBorder="1" applyAlignment="1">
      <alignment vertical="center" wrapText="1"/>
    </xf>
    <xf numFmtId="164" fontId="17" fillId="0" borderId="42" xfId="0" applyNumberFormat="1" applyFont="1" applyBorder="1" applyAlignment="1">
      <alignment horizontal="center" vertical="center" wrapText="1"/>
    </xf>
    <xf numFmtId="164" fontId="17" fillId="0" borderId="42" xfId="0" applyNumberFormat="1" applyFont="1" applyBorder="1" applyAlignment="1">
      <alignment vertical="center" wrapText="1"/>
    </xf>
    <xf numFmtId="0" fontId="16" fillId="0" borderId="44" xfId="0" applyFont="1" applyBorder="1" applyAlignment="1">
      <alignment horizontal="left" vertical="top" wrapText="1"/>
    </xf>
    <xf numFmtId="0" fontId="17" fillId="0" borderId="44" xfId="0" applyFont="1" applyBorder="1" applyAlignment="1">
      <alignment horizontal="center" vertical="top" wrapText="1"/>
    </xf>
    <xf numFmtId="0" fontId="17" fillId="0" borderId="42" xfId="0" applyFont="1" applyBorder="1" applyAlignment="1">
      <alignment horizontal="center" vertical="center" wrapText="1"/>
    </xf>
    <xf numFmtId="164" fontId="17" fillId="14" borderId="53" xfId="0" applyNumberFormat="1" applyFont="1" applyFill="1" applyBorder="1" applyAlignment="1">
      <alignment vertical="center" wrapText="1"/>
    </xf>
    <xf numFmtId="164" fontId="17" fillId="14" borderId="54" xfId="0" applyNumberFormat="1" applyFont="1" applyFill="1" applyBorder="1" applyAlignment="1">
      <alignment vertical="center" wrapText="1"/>
    </xf>
    <xf numFmtId="164" fontId="17" fillId="14" borderId="40" xfId="0" applyNumberFormat="1" applyFont="1" applyFill="1" applyBorder="1" applyAlignment="1">
      <alignment vertical="center" wrapText="1"/>
    </xf>
    <xf numFmtId="0" fontId="17" fillId="0" borderId="61" xfId="0" applyFont="1" applyBorder="1" applyAlignment="1">
      <alignment horizontal="left" vertical="top" wrapText="1"/>
    </xf>
    <xf numFmtId="169" fontId="16" fillId="0" borderId="56" xfId="0" applyNumberFormat="1" applyFont="1" applyBorder="1" applyAlignment="1">
      <alignment vertical="top" wrapText="1"/>
    </xf>
    <xf numFmtId="0" fontId="16" fillId="0" borderId="57" xfId="0" applyFont="1" applyBorder="1" applyAlignment="1">
      <alignment horizontal="center" vertical="center" wrapText="1"/>
    </xf>
    <xf numFmtId="0" fontId="37" fillId="0" borderId="57" xfId="0" applyFont="1" applyBorder="1" applyAlignment="1">
      <alignment horizontal="center" vertical="center" wrapText="1"/>
    </xf>
    <xf numFmtId="169" fontId="37" fillId="0" borderId="56" xfId="0" applyNumberFormat="1" applyFont="1" applyBorder="1" applyAlignment="1">
      <alignment vertical="top" wrapText="1"/>
    </xf>
    <xf numFmtId="169" fontId="16" fillId="0" borderId="63" xfId="0" applyNumberFormat="1" applyFont="1" applyBorder="1" applyAlignment="1">
      <alignment vertical="top" wrapText="1"/>
    </xf>
    <xf numFmtId="169" fontId="26" fillId="2" borderId="9" xfId="0" applyNumberFormat="1" applyFont="1" applyFill="1" applyBorder="1" applyAlignment="1">
      <alignment horizontal="left"/>
    </xf>
    <xf numFmtId="0" fontId="16" fillId="0" borderId="61" xfId="0" applyFont="1" applyBorder="1" applyAlignment="1">
      <alignment horizontal="left" vertical="top" wrapText="1"/>
    </xf>
    <xf numFmtId="169" fontId="28" fillId="2" borderId="9" xfId="0" applyNumberFormat="1" applyFont="1" applyFill="1" applyBorder="1" applyAlignment="1">
      <alignment horizontal="left"/>
    </xf>
    <xf numFmtId="0" fontId="37" fillId="0" borderId="61" xfId="0" applyFont="1" applyBorder="1" applyAlignment="1">
      <alignment horizontal="left" vertical="top" wrapText="1"/>
    </xf>
    <xf numFmtId="169" fontId="17" fillId="0" borderId="63" xfId="0" applyNumberFormat="1" applyFont="1" applyBorder="1" applyAlignment="1">
      <alignment horizontal="center" vertical="top" wrapText="1"/>
    </xf>
    <xf numFmtId="0" fontId="25" fillId="2" borderId="9" xfId="0" applyFont="1" applyFill="1" applyBorder="1" applyAlignment="1">
      <alignment horizontal="center"/>
    </xf>
    <xf numFmtId="0" fontId="52" fillId="2" borderId="9" xfId="0" applyFont="1" applyFill="1" applyBorder="1" applyAlignment="1">
      <alignment horizontal="center"/>
    </xf>
    <xf numFmtId="1" fontId="17" fillId="0" borderId="63" xfId="0" applyNumberFormat="1" applyFont="1" applyBorder="1" applyAlignment="1">
      <alignment horizontal="center" vertical="top" wrapText="1"/>
    </xf>
    <xf numFmtId="169" fontId="17" fillId="0" borderId="61" xfId="0" applyNumberFormat="1" applyFont="1" applyBorder="1" applyAlignment="1">
      <alignment vertical="top" wrapText="1"/>
    </xf>
    <xf numFmtId="0" fontId="53" fillId="2" borderId="9" xfId="0" applyFont="1" applyFill="1" applyBorder="1" applyAlignment="1">
      <alignment horizontal="center"/>
    </xf>
    <xf numFmtId="168" fontId="53" fillId="2" borderId="9" xfId="0" applyNumberFormat="1" applyFont="1" applyFill="1" applyBorder="1" applyAlignment="1">
      <alignment horizontal="center"/>
    </xf>
    <xf numFmtId="0" fontId="22" fillId="7" borderId="9" xfId="0" applyFont="1" applyFill="1" applyBorder="1" applyAlignment="1">
      <alignment vertical="center"/>
    </xf>
    <xf numFmtId="0" fontId="17" fillId="7" borderId="9" xfId="0" applyFont="1" applyFill="1" applyBorder="1" applyAlignment="1">
      <alignment vertical="center"/>
    </xf>
    <xf numFmtId="164" fontId="17" fillId="14" borderId="40" xfId="0" applyNumberFormat="1" applyFont="1" applyFill="1" applyBorder="1" applyAlignment="1">
      <alignment horizontal="center" vertical="center" wrapText="1"/>
    </xf>
    <xf numFmtId="1" fontId="16" fillId="0" borderId="63" xfId="0" applyNumberFormat="1" applyFont="1" applyBorder="1" applyAlignment="1">
      <alignment vertical="top" wrapText="1"/>
    </xf>
    <xf numFmtId="169" fontId="16" fillId="0" borderId="61" xfId="0" applyNumberFormat="1" applyFont="1" applyBorder="1" applyAlignment="1">
      <alignment vertical="top" wrapText="1"/>
    </xf>
    <xf numFmtId="0" fontId="16" fillId="0" borderId="122" xfId="0" applyFont="1" applyBorder="1" applyAlignment="1">
      <alignment horizontal="center" vertical="center" wrapText="1"/>
    </xf>
    <xf numFmtId="169" fontId="16" fillId="0" borderId="57" xfId="0" applyNumberFormat="1" applyFont="1" applyBorder="1" applyAlignment="1">
      <alignment horizontal="center" vertical="top" wrapText="1"/>
    </xf>
    <xf numFmtId="1" fontId="16" fillId="0" borderId="56" xfId="0" applyNumberFormat="1" applyFont="1" applyBorder="1" applyAlignment="1">
      <alignment vertical="top" wrapText="1"/>
    </xf>
    <xf numFmtId="1" fontId="17" fillId="0" borderId="63" xfId="0" applyNumberFormat="1" applyFont="1" applyBorder="1" applyAlignment="1">
      <alignment vertical="top" wrapText="1"/>
    </xf>
    <xf numFmtId="164" fontId="17" fillId="0" borderId="63" xfId="0" applyNumberFormat="1" applyFont="1" applyBorder="1" applyAlignment="1">
      <alignment vertical="center" wrapText="1"/>
    </xf>
    <xf numFmtId="164" fontId="17" fillId="0" borderId="64" xfId="0" applyNumberFormat="1" applyFont="1" applyBorder="1" applyAlignment="1">
      <alignment vertical="center" wrapText="1"/>
    </xf>
    <xf numFmtId="169" fontId="16" fillId="0" borderId="57" xfId="0" applyNumberFormat="1" applyFont="1" applyBorder="1" applyAlignment="1">
      <alignment horizontal="center" vertical="center" wrapText="1"/>
    </xf>
    <xf numFmtId="0" fontId="16" fillId="0" borderId="57" xfId="0" applyFont="1" applyBorder="1" applyAlignment="1">
      <alignment horizontal="center" vertical="top" wrapText="1"/>
    </xf>
    <xf numFmtId="0" fontId="17" fillId="13" borderId="58" xfId="0" applyFont="1" applyFill="1" applyBorder="1" applyAlignment="1">
      <alignment horizontal="left" vertical="top" wrapText="1"/>
    </xf>
    <xf numFmtId="164" fontId="17" fillId="13" borderId="53" xfId="0" applyNumberFormat="1" applyFont="1" applyFill="1" applyBorder="1" applyAlignment="1">
      <alignment vertical="center" wrapText="1"/>
    </xf>
    <xf numFmtId="164" fontId="17" fillId="13" borderId="54" xfId="0" applyNumberFormat="1" applyFont="1" applyFill="1" applyBorder="1" applyAlignment="1">
      <alignment vertical="center" wrapText="1"/>
    </xf>
    <xf numFmtId="0" fontId="16" fillId="13" borderId="58" xfId="0" applyFont="1" applyFill="1" applyBorder="1" applyAlignment="1">
      <alignment horizontal="left" vertical="top" wrapText="1"/>
    </xf>
    <xf numFmtId="0" fontId="16" fillId="0" borderId="57" xfId="0" applyFont="1" applyBorder="1" applyAlignment="1">
      <alignment horizontal="left" vertical="center" wrapText="1"/>
    </xf>
    <xf numFmtId="0" fontId="8" fillId="7" borderId="9" xfId="0" applyFont="1" applyFill="1" applyBorder="1" applyAlignment="1">
      <alignment horizontal="center"/>
    </xf>
    <xf numFmtId="0" fontId="16" fillId="7" borderId="9" xfId="0" applyFont="1" applyFill="1" applyBorder="1" applyAlignment="1">
      <alignment horizontal="center" wrapText="1"/>
    </xf>
    <xf numFmtId="0" fontId="17" fillId="7" borderId="9" xfId="0" applyFont="1" applyFill="1" applyBorder="1" applyAlignment="1">
      <alignment horizontal="center" wrapText="1"/>
    </xf>
    <xf numFmtId="0" fontId="16" fillId="7" borderId="9" xfId="0" applyFont="1" applyFill="1" applyBorder="1"/>
    <xf numFmtId="0" fontId="9" fillId="7" borderId="9" xfId="0" applyFont="1" applyFill="1" applyBorder="1"/>
    <xf numFmtId="0" fontId="17" fillId="7" borderId="9" xfId="0" applyFont="1" applyFill="1" applyBorder="1" applyAlignment="1">
      <alignment horizontal="center"/>
    </xf>
    <xf numFmtId="0" fontId="22" fillId="7" borderId="9" xfId="0" applyFont="1" applyFill="1" applyBorder="1"/>
    <xf numFmtId="0" fontId="22" fillId="7" borderId="9" xfId="0" applyFont="1" applyFill="1" applyBorder="1" applyAlignment="1">
      <alignment horizontal="center"/>
    </xf>
    <xf numFmtId="49" fontId="16" fillId="7" borderId="9" xfId="0" applyNumberFormat="1" applyFont="1" applyFill="1" applyBorder="1" applyAlignment="1">
      <alignment horizontal="center"/>
    </xf>
    <xf numFmtId="164" fontId="17" fillId="7" borderId="53" xfId="0" applyNumberFormat="1" applyFont="1" applyFill="1" applyBorder="1" applyAlignment="1">
      <alignment vertical="center" wrapText="1"/>
    </xf>
    <xf numFmtId="164" fontId="17" fillId="7" borderId="54" xfId="0" applyNumberFormat="1" applyFont="1" applyFill="1" applyBorder="1" applyAlignment="1">
      <alignment vertical="center" wrapText="1"/>
    </xf>
    <xf numFmtId="164" fontId="17" fillId="7" borderId="40" xfId="0" applyNumberFormat="1" applyFont="1" applyFill="1" applyBorder="1" applyAlignment="1">
      <alignment horizontal="center" vertical="center" wrapText="1"/>
    </xf>
    <xf numFmtId="164" fontId="17" fillId="7" borderId="40" xfId="0" applyNumberFormat="1" applyFont="1" applyFill="1" applyBorder="1" applyAlignment="1">
      <alignment horizontal="right" vertical="center" wrapText="1"/>
    </xf>
    <xf numFmtId="164" fontId="16" fillId="7" borderId="9" xfId="0" applyNumberFormat="1" applyFont="1" applyFill="1" applyBorder="1"/>
    <xf numFmtId="164" fontId="54" fillId="7" borderId="53" xfId="0" applyNumberFormat="1" applyFont="1" applyFill="1" applyBorder="1" applyAlignment="1">
      <alignment vertical="center" wrapText="1"/>
    </xf>
    <xf numFmtId="164" fontId="54" fillId="7" borderId="54" xfId="0" applyNumberFormat="1" applyFont="1" applyFill="1" applyBorder="1" applyAlignment="1">
      <alignment vertical="center" wrapText="1"/>
    </xf>
    <xf numFmtId="164" fontId="54" fillId="7" borderId="40" xfId="0" applyNumberFormat="1" applyFont="1" applyFill="1" applyBorder="1" applyAlignment="1">
      <alignment horizontal="center" vertical="center" wrapText="1"/>
    </xf>
    <xf numFmtId="164" fontId="54" fillId="7" borderId="40" xfId="0" applyNumberFormat="1" applyFont="1" applyFill="1" applyBorder="1" applyAlignment="1">
      <alignment horizontal="right" vertical="center" wrapText="1"/>
    </xf>
    <xf numFmtId="0" fontId="54" fillId="7" borderId="9" xfId="0" applyFont="1" applyFill="1" applyBorder="1"/>
    <xf numFmtId="0" fontId="17" fillId="7" borderId="9" xfId="0" applyFont="1" applyFill="1" applyBorder="1" applyAlignment="1">
      <alignment vertical="top"/>
    </xf>
    <xf numFmtId="0" fontId="46" fillId="7" borderId="122" xfId="0" applyFont="1" applyFill="1" applyBorder="1" applyAlignment="1">
      <alignment horizontal="left"/>
    </xf>
    <xf numFmtId="43" fontId="16" fillId="7" borderId="40" xfId="0" applyNumberFormat="1" applyFont="1" applyFill="1" applyBorder="1" applyAlignment="1">
      <alignment horizontal="right" vertical="center" wrapText="1"/>
    </xf>
    <xf numFmtId="164" fontId="16" fillId="7" borderId="40" xfId="0" applyNumberFormat="1" applyFont="1" applyFill="1" applyBorder="1" applyAlignment="1">
      <alignment horizontal="right" vertical="center" wrapText="1"/>
    </xf>
    <xf numFmtId="0" fontId="30" fillId="7" borderId="9" xfId="0" applyFont="1" applyFill="1" applyBorder="1" applyAlignment="1">
      <alignment vertical="top"/>
    </xf>
    <xf numFmtId="169" fontId="16" fillId="7" borderId="53" xfId="0" applyNumberFormat="1" applyFont="1" applyFill="1" applyBorder="1" applyAlignment="1">
      <alignment vertical="top" wrapText="1"/>
    </xf>
    <xf numFmtId="0" fontId="25" fillId="7" borderId="9" xfId="0" applyFont="1" applyFill="1" applyBorder="1" applyAlignment="1">
      <alignment horizontal="left"/>
    </xf>
    <xf numFmtId="0" fontId="54" fillId="7" borderId="9" xfId="0" applyFont="1" applyFill="1" applyBorder="1" applyAlignment="1">
      <alignment vertical="top"/>
    </xf>
    <xf numFmtId="0" fontId="17" fillId="7" borderId="40" xfId="0" applyFont="1" applyFill="1" applyBorder="1" applyAlignment="1">
      <alignment horizontal="center" vertical="center" wrapText="1"/>
    </xf>
    <xf numFmtId="43" fontId="17" fillId="7" borderId="40" xfId="0" applyNumberFormat="1" applyFont="1" applyFill="1" applyBorder="1" applyAlignment="1">
      <alignment horizontal="right" vertical="center" wrapText="1"/>
    </xf>
    <xf numFmtId="0" fontId="17" fillId="7" borderId="40" xfId="0" applyFont="1" applyFill="1" applyBorder="1" applyAlignment="1">
      <alignment horizontal="right" vertical="center" wrapText="1"/>
    </xf>
    <xf numFmtId="0" fontId="16" fillId="7" borderId="40" xfId="0" applyFont="1" applyFill="1" applyBorder="1" applyAlignment="1">
      <alignment horizontal="center" vertical="center" wrapText="1"/>
    </xf>
    <xf numFmtId="0" fontId="17" fillId="7" borderId="9" xfId="0" applyFont="1" applyFill="1" applyBorder="1"/>
    <xf numFmtId="0" fontId="16" fillId="7" borderId="9" xfId="0" applyFont="1" applyFill="1" applyBorder="1" applyAlignment="1">
      <alignment vertical="center"/>
    </xf>
    <xf numFmtId="0" fontId="42" fillId="7" borderId="9" xfId="0" applyFont="1" applyFill="1" applyBorder="1" applyAlignment="1">
      <alignment horizontal="right" vertical="top"/>
    </xf>
    <xf numFmtId="1" fontId="16" fillId="7" borderId="53" xfId="0" applyNumberFormat="1" applyFont="1" applyFill="1" applyBorder="1" applyAlignment="1">
      <alignment vertical="top" wrapText="1"/>
    </xf>
    <xf numFmtId="0" fontId="55" fillId="7" borderId="40" xfId="0" applyFont="1" applyFill="1" applyBorder="1" applyAlignment="1">
      <alignment horizontal="center" vertical="center" wrapText="1"/>
    </xf>
    <xf numFmtId="43" fontId="55" fillId="7" borderId="40" xfId="0" applyNumberFormat="1" applyFont="1" applyFill="1" applyBorder="1" applyAlignment="1">
      <alignment horizontal="right" vertical="center" wrapText="1"/>
    </xf>
    <xf numFmtId="164" fontId="55" fillId="7" borderId="40" xfId="0" applyNumberFormat="1" applyFont="1" applyFill="1" applyBorder="1" applyAlignment="1">
      <alignment horizontal="right" vertical="center" wrapText="1"/>
    </xf>
    <xf numFmtId="0" fontId="55" fillId="7" borderId="40" xfId="0" applyFont="1" applyFill="1" applyBorder="1" applyAlignment="1">
      <alignment horizontal="right" vertical="center" wrapText="1"/>
    </xf>
    <xf numFmtId="0" fontId="16" fillId="7" borderId="40" xfId="0" applyFont="1" applyFill="1" applyBorder="1" applyAlignment="1">
      <alignment horizontal="right" vertical="center" wrapText="1"/>
    </xf>
    <xf numFmtId="1" fontId="17" fillId="7" borderId="53" xfId="0" applyNumberFormat="1" applyFont="1" applyFill="1" applyBorder="1" applyAlignment="1">
      <alignment horizontal="center" vertical="top" wrapText="1"/>
    </xf>
    <xf numFmtId="164" fontId="30" fillId="7" borderId="54" xfId="0" applyNumberFormat="1" applyFont="1" applyFill="1" applyBorder="1" applyAlignment="1">
      <alignment vertical="center" wrapText="1"/>
    </xf>
    <xf numFmtId="43" fontId="46" fillId="2" borderId="40" xfId="0" applyNumberFormat="1" applyFont="1" applyFill="1" applyBorder="1" applyAlignment="1">
      <alignment horizontal="right" vertical="center" wrapText="1"/>
    </xf>
    <xf numFmtId="164" fontId="16" fillId="7" borderId="9" xfId="0" applyNumberFormat="1" applyFont="1" applyFill="1" applyBorder="1" applyAlignment="1">
      <alignment vertical="top"/>
    </xf>
    <xf numFmtId="0" fontId="16" fillId="7" borderId="9" xfId="0" applyFont="1" applyFill="1" applyBorder="1" applyAlignment="1">
      <alignment vertical="top"/>
    </xf>
    <xf numFmtId="0" fontId="37" fillId="7" borderId="9" xfId="0" applyFont="1" applyFill="1" applyBorder="1" applyAlignment="1">
      <alignment vertical="top"/>
    </xf>
    <xf numFmtId="0" fontId="16" fillId="7" borderId="122" xfId="0" applyFont="1" applyFill="1" applyBorder="1" applyAlignment="1">
      <alignment horizontal="right" vertical="center" wrapText="1"/>
    </xf>
    <xf numFmtId="0" fontId="37" fillId="7" borderId="122" xfId="0" applyFont="1" applyFill="1" applyBorder="1" applyAlignment="1">
      <alignment horizontal="right" vertical="top" wrapText="1"/>
    </xf>
    <xf numFmtId="0" fontId="16" fillId="7" borderId="9" xfId="0" quotePrefix="1" applyFont="1" applyFill="1" applyBorder="1" applyAlignment="1">
      <alignment horizontal="left"/>
    </xf>
    <xf numFmtId="172" fontId="16" fillId="7" borderId="9" xfId="0" applyNumberFormat="1" applyFont="1" applyFill="1" applyBorder="1" applyAlignment="1">
      <alignment horizontal="center" wrapText="1"/>
    </xf>
    <xf numFmtId="172" fontId="16" fillId="7" borderId="9" xfId="0" applyNumberFormat="1" applyFont="1" applyFill="1" applyBorder="1" applyAlignment="1">
      <alignment wrapText="1"/>
    </xf>
    <xf numFmtId="164" fontId="58" fillId="14" borderId="2" xfId="0" applyNumberFormat="1" applyFont="1" applyFill="1" applyBorder="1" applyAlignment="1">
      <alignment horizontal="left"/>
    </xf>
    <xf numFmtId="49" fontId="59" fillId="14" borderId="2" xfId="0" applyNumberFormat="1" applyFont="1" applyFill="1" applyBorder="1" applyAlignment="1">
      <alignment horizontal="center"/>
    </xf>
    <xf numFmtId="168" fontId="59" fillId="14" borderId="2" xfId="0" applyNumberFormat="1" applyFont="1" applyFill="1" applyBorder="1" applyAlignment="1">
      <alignment horizontal="center"/>
    </xf>
    <xf numFmtId="4" fontId="59" fillId="14" borderId="2" xfId="0" applyNumberFormat="1" applyFont="1" applyFill="1" applyBorder="1" applyAlignment="1">
      <alignment horizontal="center"/>
    </xf>
    <xf numFmtId="164" fontId="59" fillId="14" borderId="2" xfId="0" applyNumberFormat="1" applyFont="1" applyFill="1" applyBorder="1"/>
    <xf numFmtId="164" fontId="29" fillId="0" borderId="45" xfId="0" applyNumberFormat="1" applyFont="1" applyBorder="1" applyAlignment="1">
      <alignment horizontal="center"/>
    </xf>
    <xf numFmtId="0" fontId="29" fillId="0" borderId="45" xfId="0" applyFont="1" applyBorder="1" applyAlignment="1">
      <alignment horizontal="center" vertical="top"/>
    </xf>
    <xf numFmtId="168" fontId="29" fillId="11" borderId="2" xfId="0" applyNumberFormat="1" applyFont="1" applyFill="1" applyBorder="1" applyAlignment="1">
      <alignment horizontal="center"/>
    </xf>
    <xf numFmtId="3" fontId="29" fillId="11" borderId="2" xfId="0" applyNumberFormat="1" applyFont="1" applyFill="1" applyBorder="1" applyAlignment="1">
      <alignment horizontal="center"/>
    </xf>
    <xf numFmtId="0" fontId="27" fillId="7" borderId="9" xfId="0" applyFont="1" applyFill="1" applyBorder="1" applyAlignment="1">
      <alignment horizontal="left" vertical="top"/>
    </xf>
    <xf numFmtId="0" fontId="27" fillId="7" borderId="9" xfId="0" applyFont="1" applyFill="1" applyBorder="1" applyAlignment="1">
      <alignment horizontal="center"/>
    </xf>
    <xf numFmtId="168" fontId="27" fillId="7" borderId="9" xfId="0" applyNumberFormat="1" applyFont="1" applyFill="1" applyBorder="1" applyAlignment="1">
      <alignment horizontal="center"/>
    </xf>
    <xf numFmtId="0" fontId="27" fillId="7" borderId="9" xfId="0" applyFont="1" applyFill="1" applyBorder="1" applyAlignment="1">
      <alignment vertical="top"/>
    </xf>
    <xf numFmtId="0" fontId="27" fillId="7" borderId="9" xfId="0" applyFont="1" applyFill="1" applyBorder="1"/>
    <xf numFmtId="169" fontId="26" fillId="7" borderId="70" xfId="0" applyNumberFormat="1" applyFont="1" applyFill="1" applyBorder="1" applyAlignment="1">
      <alignment horizontal="center" vertical="top"/>
    </xf>
    <xf numFmtId="0" fontId="26" fillId="7" borderId="2" xfId="0" applyFont="1" applyFill="1" applyBorder="1" applyAlignment="1">
      <alignment horizontal="center"/>
    </xf>
    <xf numFmtId="0" fontId="26" fillId="7" borderId="2" xfId="0" applyFont="1" applyFill="1" applyBorder="1" applyAlignment="1">
      <alignment horizontal="center" vertical="top"/>
    </xf>
    <xf numFmtId="0" fontId="26" fillId="7" borderId="2" xfId="0" applyFont="1" applyFill="1" applyBorder="1" applyAlignment="1">
      <alignment vertical="top"/>
    </xf>
    <xf numFmtId="0" fontId="26" fillId="7" borderId="2" xfId="0" applyFont="1" applyFill="1" applyBorder="1"/>
    <xf numFmtId="0" fontId="26" fillId="7" borderId="122" xfId="0" applyFont="1" applyFill="1" applyBorder="1" applyAlignment="1">
      <alignment horizontal="left" vertical="top"/>
    </xf>
    <xf numFmtId="168" fontId="26" fillId="7" borderId="122" xfId="0" applyNumberFormat="1" applyFont="1" applyFill="1" applyBorder="1" applyAlignment="1">
      <alignment horizontal="center"/>
    </xf>
    <xf numFmtId="0" fontId="2" fillId="7" borderId="9" xfId="0" applyFont="1" applyFill="1" applyBorder="1" applyAlignment="1">
      <alignment vertical="top"/>
    </xf>
    <xf numFmtId="4" fontId="27" fillId="7" borderId="9" xfId="0" applyNumberFormat="1" applyFont="1" applyFill="1" applyBorder="1" applyAlignment="1">
      <alignment horizontal="center"/>
    </xf>
    <xf numFmtId="3" fontId="27" fillId="7" borderId="9" xfId="0" applyNumberFormat="1" applyFont="1" applyFill="1" applyBorder="1" applyAlignment="1">
      <alignment horizontal="center"/>
    </xf>
    <xf numFmtId="0" fontId="1" fillId="7" borderId="9" xfId="0" applyFont="1" applyFill="1" applyBorder="1" applyAlignment="1">
      <alignment vertical="top"/>
    </xf>
    <xf numFmtId="0" fontId="26" fillId="7" borderId="2" xfId="0" applyFont="1" applyFill="1" applyBorder="1" applyAlignment="1">
      <alignment horizontal="left" vertical="top"/>
    </xf>
    <xf numFmtId="0" fontId="26" fillId="7" borderId="122" xfId="0" applyFont="1" applyFill="1" applyBorder="1" applyAlignment="1">
      <alignment horizontal="center"/>
    </xf>
    <xf numFmtId="0" fontId="46" fillId="7" borderId="2" xfId="0" applyFont="1" applyFill="1" applyBorder="1" applyAlignment="1">
      <alignment horizontal="center"/>
    </xf>
    <xf numFmtId="3" fontId="46" fillId="7" borderId="9" xfId="0" applyNumberFormat="1" applyFont="1" applyFill="1" applyBorder="1" applyAlignment="1">
      <alignment horizontal="center"/>
    </xf>
    <xf numFmtId="0" fontId="46" fillId="7" borderId="2" xfId="0" applyFont="1" applyFill="1" applyBorder="1"/>
    <xf numFmtId="0" fontId="25" fillId="7" borderId="9" xfId="0" applyFont="1" applyFill="1" applyBorder="1" applyAlignment="1">
      <alignment vertical="top"/>
    </xf>
    <xf numFmtId="0" fontId="46" fillId="7" borderId="9" xfId="0" applyFont="1" applyFill="1" applyBorder="1" applyAlignment="1">
      <alignment vertical="top"/>
    </xf>
    <xf numFmtId="0" fontId="46" fillId="7" borderId="9" xfId="0" applyFont="1" applyFill="1" applyBorder="1"/>
    <xf numFmtId="0" fontId="26" fillId="2" borderId="2" xfId="0" applyFont="1" applyFill="1" applyBorder="1" applyAlignment="1">
      <alignment horizontal="center"/>
    </xf>
    <xf numFmtId="1" fontId="27" fillId="0" borderId="45" xfId="0" applyNumberFormat="1" applyFont="1" applyBorder="1" applyAlignment="1">
      <alignment horizontal="center" vertical="top"/>
    </xf>
    <xf numFmtId="0" fontId="58" fillId="2" borderId="2" xfId="0" applyFont="1" applyFill="1" applyBorder="1" applyAlignment="1">
      <alignment horizontal="center"/>
    </xf>
    <xf numFmtId="1" fontId="26" fillId="0" borderId="63" xfId="0" applyNumberFormat="1" applyFont="1" applyBorder="1" applyAlignment="1">
      <alignment horizontal="center" vertical="top"/>
    </xf>
    <xf numFmtId="0" fontId="26" fillId="0" borderId="64" xfId="0" applyFont="1" applyBorder="1" applyAlignment="1">
      <alignment horizontal="left" vertical="top"/>
    </xf>
    <xf numFmtId="0" fontId="29" fillId="0" borderId="44" xfId="0" applyFont="1" applyBorder="1" applyAlignment="1">
      <alignment horizontal="left"/>
    </xf>
    <xf numFmtId="0" fontId="29" fillId="0" borderId="44" xfId="0" applyFont="1" applyBorder="1" applyAlignment="1">
      <alignment horizontal="center"/>
    </xf>
    <xf numFmtId="169" fontId="29" fillId="0" borderId="44" xfId="0" applyNumberFormat="1" applyFont="1" applyBorder="1" applyAlignment="1">
      <alignment horizontal="center"/>
    </xf>
    <xf numFmtId="0" fontId="28" fillId="0" borderId="44" xfId="0" applyFont="1" applyBorder="1" applyAlignment="1">
      <alignment vertical="top"/>
    </xf>
    <xf numFmtId="1" fontId="60" fillId="0" borderId="45" xfId="0" applyNumberFormat="1" applyFont="1" applyBorder="1" applyAlignment="1">
      <alignment horizontal="center" vertical="top"/>
    </xf>
    <xf numFmtId="0" fontId="60" fillId="2" borderId="9" xfId="0" applyFont="1" applyFill="1" applyBorder="1" applyAlignment="1">
      <alignment horizontal="left"/>
    </xf>
    <xf numFmtId="1" fontId="26" fillId="0" borderId="45" xfId="0" applyNumberFormat="1" applyFont="1" applyBorder="1" applyAlignment="1">
      <alignment horizontal="center" vertical="top"/>
    </xf>
    <xf numFmtId="169" fontId="26" fillId="2" borderId="2" xfId="0" applyNumberFormat="1" applyFont="1" applyFill="1" applyBorder="1" applyAlignment="1">
      <alignment horizontal="left" vertical="top"/>
    </xf>
    <xf numFmtId="164" fontId="26" fillId="0" borderId="45" xfId="0" applyNumberFormat="1" applyFont="1" applyBorder="1" applyAlignment="1">
      <alignment horizontal="center" vertical="top"/>
    </xf>
    <xf numFmtId="0" fontId="26" fillId="0" borderId="45" xfId="0" applyFont="1" applyBorder="1" applyAlignment="1">
      <alignment horizontal="center" vertical="top"/>
    </xf>
    <xf numFmtId="169" fontId="26" fillId="0" borderId="45" xfId="0" applyNumberFormat="1" applyFont="1" applyBorder="1" applyAlignment="1">
      <alignment horizontal="center" vertical="top"/>
    </xf>
    <xf numFmtId="0" fontId="61" fillId="14" borderId="2" xfId="0" applyFont="1" applyFill="1" applyBorder="1" applyAlignment="1">
      <alignment vertical="top"/>
    </xf>
    <xf numFmtId="0" fontId="26" fillId="14" borderId="2" xfId="0" applyFont="1" applyFill="1" applyBorder="1" applyAlignment="1">
      <alignment horizontal="left"/>
    </xf>
    <xf numFmtId="0" fontId="26" fillId="14" borderId="2" xfId="0" applyFont="1" applyFill="1" applyBorder="1" applyAlignment="1">
      <alignment horizontal="center"/>
    </xf>
    <xf numFmtId="0" fontId="26" fillId="14" borderId="2" xfId="0" applyFont="1" applyFill="1" applyBorder="1" applyAlignment="1">
      <alignment horizontal="center" vertical="top"/>
    </xf>
    <xf numFmtId="0" fontId="26" fillId="14" borderId="2" xfId="0" applyFont="1" applyFill="1" applyBorder="1" applyAlignment="1">
      <alignment vertical="top"/>
    </xf>
    <xf numFmtId="0" fontId="58" fillId="14" borderId="2" xfId="0" applyFont="1" applyFill="1" applyBorder="1" applyAlignment="1">
      <alignment horizontal="left"/>
    </xf>
    <xf numFmtId="0" fontId="59" fillId="14" borderId="2" xfId="0" applyFont="1" applyFill="1" applyBorder="1" applyAlignment="1">
      <alignment horizontal="center"/>
    </xf>
    <xf numFmtId="0" fontId="59" fillId="14" borderId="2" xfId="0" applyFont="1" applyFill="1" applyBorder="1" applyAlignment="1">
      <alignment horizontal="center" vertical="top"/>
    </xf>
    <xf numFmtId="0" fontId="59" fillId="14" borderId="2" xfId="0" applyFont="1" applyFill="1" applyBorder="1" applyAlignment="1">
      <alignment vertical="top"/>
    </xf>
    <xf numFmtId="1" fontId="29" fillId="0" borderId="45" xfId="0" applyNumberFormat="1" applyFont="1" applyBorder="1" applyAlignment="1">
      <alignment horizontal="center"/>
    </xf>
    <xf numFmtId="1" fontId="60" fillId="0" borderId="45" xfId="0" applyNumberFormat="1" applyFont="1" applyBorder="1" applyAlignment="1">
      <alignment horizontal="center"/>
    </xf>
    <xf numFmtId="164" fontId="27" fillId="0" borderId="45" xfId="0" applyNumberFormat="1" applyFont="1" applyBorder="1" applyAlignment="1">
      <alignment horizontal="center"/>
    </xf>
    <xf numFmtId="164" fontId="17" fillId="14" borderId="40" xfId="0" applyNumberFormat="1" applyFont="1" applyFill="1" applyBorder="1" applyAlignment="1">
      <alignment horizontal="left" vertical="center" wrapText="1"/>
    </xf>
    <xf numFmtId="0" fontId="8" fillId="0" borderId="74" xfId="0" applyFont="1" applyBorder="1" applyAlignment="1">
      <alignment wrapText="1"/>
    </xf>
    <xf numFmtId="3" fontId="8" fillId="0" borderId="74" xfId="0" applyNumberFormat="1" applyFont="1" applyBorder="1" applyAlignment="1">
      <alignment horizontal="right"/>
    </xf>
    <xf numFmtId="166" fontId="8" fillId="0" borderId="74" xfId="0" applyNumberFormat="1" applyFont="1" applyBorder="1" applyAlignment="1">
      <alignment horizontal="right"/>
    </xf>
    <xf numFmtId="168" fontId="8" fillId="0" borderId="74" xfId="0" applyNumberFormat="1" applyFont="1" applyBorder="1" applyAlignment="1">
      <alignment horizontal="right"/>
    </xf>
    <xf numFmtId="3" fontId="8" fillId="0" borderId="73" xfId="0" applyNumberFormat="1" applyFont="1" applyBorder="1" applyAlignment="1">
      <alignment horizontal="right"/>
    </xf>
    <xf numFmtId="168" fontId="8" fillId="10" borderId="9" xfId="0" applyNumberFormat="1" applyFont="1" applyFill="1" applyBorder="1" applyAlignment="1">
      <alignment horizontal="right"/>
    </xf>
    <xf numFmtId="168" fontId="8" fillId="10" borderId="76" xfId="0" applyNumberFormat="1" applyFont="1" applyFill="1" applyBorder="1" applyAlignment="1">
      <alignment horizontal="right" wrapText="1"/>
    </xf>
    <xf numFmtId="168" fontId="8" fillId="0" borderId="74" xfId="0" applyNumberFormat="1" applyFont="1" applyBorder="1" applyAlignment="1">
      <alignment horizontal="right" wrapText="1"/>
    </xf>
    <xf numFmtId="3" fontId="9" fillId="0" borderId="74" xfId="0" applyNumberFormat="1" applyFont="1" applyBorder="1"/>
    <xf numFmtId="0" fontId="9" fillId="0" borderId="74" xfId="0" applyFont="1" applyBorder="1"/>
    <xf numFmtId="168" fontId="9" fillId="0" borderId="74" xfId="0" applyNumberFormat="1" applyFont="1" applyBorder="1"/>
    <xf numFmtId="3" fontId="9" fillId="0" borderId="73" xfId="0" applyNumberFormat="1" applyFont="1" applyBorder="1"/>
    <xf numFmtId="0" fontId="8" fillId="0" borderId="75" xfId="0" applyFont="1" applyBorder="1" applyAlignment="1">
      <alignment wrapText="1"/>
    </xf>
    <xf numFmtId="3" fontId="8" fillId="0" borderId="75" xfId="0" applyNumberFormat="1" applyFont="1" applyBorder="1" applyAlignment="1">
      <alignment horizontal="right"/>
    </xf>
    <xf numFmtId="0" fontId="8" fillId="0" borderId="75" xfId="0" applyFont="1" applyBorder="1" applyAlignment="1">
      <alignment horizontal="right"/>
    </xf>
    <xf numFmtId="168" fontId="8" fillId="0" borderId="75" xfId="0" applyNumberFormat="1" applyFont="1" applyBorder="1" applyAlignment="1">
      <alignment horizontal="right"/>
    </xf>
    <xf numFmtId="168" fontId="8" fillId="0" borderId="75" xfId="0" applyNumberFormat="1" applyFont="1" applyBorder="1" applyAlignment="1">
      <alignment horizontal="right" wrapText="1"/>
    </xf>
    <xf numFmtId="1" fontId="8" fillId="7" borderId="9" xfId="0" applyNumberFormat="1" applyFont="1" applyFill="1" applyBorder="1" applyAlignment="1">
      <alignment vertical="top" wrapText="1"/>
    </xf>
    <xf numFmtId="0" fontId="8" fillId="7" borderId="9" xfId="0" applyFont="1" applyFill="1" applyBorder="1" applyAlignment="1">
      <alignment vertical="top" wrapText="1"/>
    </xf>
    <xf numFmtId="3" fontId="8" fillId="7" borderId="9" xfId="0" applyNumberFormat="1" applyFont="1" applyFill="1" applyBorder="1"/>
    <xf numFmtId="166" fontId="8" fillId="7" borderId="9" xfId="0" applyNumberFormat="1" applyFont="1" applyFill="1" applyBorder="1"/>
    <xf numFmtId="169" fontId="8" fillId="7" borderId="9" xfId="0" applyNumberFormat="1" applyFont="1" applyFill="1" applyBorder="1" applyAlignment="1">
      <alignment wrapText="1"/>
    </xf>
    <xf numFmtId="168" fontId="8" fillId="7" borderId="9" xfId="0" applyNumberFormat="1" applyFont="1" applyFill="1" applyBorder="1"/>
    <xf numFmtId="1" fontId="15" fillId="11" borderId="53" xfId="0" applyNumberFormat="1" applyFont="1" applyFill="1" applyBorder="1" applyAlignment="1">
      <alignment vertical="top" wrapText="1"/>
    </xf>
    <xf numFmtId="169" fontId="15" fillId="11" borderId="58" xfId="0" applyNumberFormat="1" applyFont="1" applyFill="1" applyBorder="1" applyAlignment="1">
      <alignment wrapText="1"/>
    </xf>
    <xf numFmtId="1" fontId="8" fillId="0" borderId="63" xfId="0" applyNumberFormat="1" applyFont="1" applyBorder="1" applyAlignment="1">
      <alignment vertical="top" wrapText="1"/>
    </xf>
    <xf numFmtId="3" fontId="8" fillId="0" borderId="74" xfId="0" applyNumberFormat="1" applyFont="1" applyBorder="1" applyAlignment="1">
      <alignment horizontal="right" wrapText="1"/>
    </xf>
    <xf numFmtId="0" fontId="8" fillId="0" borderId="74" xfId="0" applyFont="1" applyBorder="1" applyAlignment="1">
      <alignment horizontal="right" wrapText="1"/>
    </xf>
    <xf numFmtId="0" fontId="8" fillId="0" borderId="74" xfId="0" applyFont="1" applyBorder="1" applyAlignment="1">
      <alignment horizontal="right"/>
    </xf>
    <xf numFmtId="168" fontId="8" fillId="10" borderId="9" xfId="0" applyNumberFormat="1" applyFont="1" applyFill="1" applyBorder="1" applyAlignment="1">
      <alignment horizontal="right" wrapText="1"/>
    </xf>
    <xf numFmtId="168" fontId="8" fillId="0" borderId="73" xfId="0" applyNumberFormat="1" applyFont="1" applyBorder="1" applyAlignment="1">
      <alignment horizontal="right" wrapText="1"/>
    </xf>
    <xf numFmtId="168" fontId="8" fillId="15" borderId="9" xfId="0" applyNumberFormat="1" applyFont="1" applyFill="1" applyBorder="1" applyAlignment="1">
      <alignment horizontal="right"/>
    </xf>
    <xf numFmtId="168" fontId="8" fillId="15" borderId="76" xfId="0" applyNumberFormat="1" applyFont="1" applyFill="1" applyBorder="1" applyAlignment="1">
      <alignment horizontal="right" wrapText="1"/>
    </xf>
    <xf numFmtId="1" fontId="9" fillId="0" borderId="63" xfId="0" applyNumberFormat="1" applyFont="1" applyBorder="1" applyAlignment="1">
      <alignment vertical="top"/>
    </xf>
    <xf numFmtId="3" fontId="15" fillId="11" borderId="9" xfId="0" applyNumberFormat="1" applyFont="1" applyFill="1" applyBorder="1"/>
    <xf numFmtId="166" fontId="15" fillId="11" borderId="9" xfId="0" applyNumberFormat="1" applyFont="1" applyFill="1" applyBorder="1"/>
    <xf numFmtId="168" fontId="15" fillId="11" borderId="9" xfId="0" applyNumberFormat="1" applyFont="1" applyFill="1" applyBorder="1"/>
    <xf numFmtId="1" fontId="8" fillId="0" borderId="63" xfId="0" applyNumberFormat="1" applyFont="1" applyBorder="1" applyAlignment="1">
      <alignment horizontal="center" vertical="top" wrapText="1"/>
    </xf>
    <xf numFmtId="169" fontId="8" fillId="0" borderId="74" xfId="0" applyNumberFormat="1" applyFont="1" applyBorder="1" applyAlignment="1">
      <alignment wrapText="1"/>
    </xf>
    <xf numFmtId="1" fontId="15" fillId="0" borderId="63" xfId="0" applyNumberFormat="1" applyFont="1" applyBorder="1" applyAlignment="1">
      <alignment horizontal="center" vertical="top" wrapText="1"/>
    </xf>
    <xf numFmtId="164" fontId="8" fillId="0" borderId="74" xfId="0" applyNumberFormat="1" applyFont="1" applyBorder="1" applyAlignment="1">
      <alignment wrapText="1"/>
    </xf>
    <xf numFmtId="169" fontId="8" fillId="2" borderId="79" xfId="0" applyNumberFormat="1" applyFont="1" applyFill="1" applyBorder="1" applyAlignment="1">
      <alignment vertical="top" wrapText="1"/>
    </xf>
    <xf numFmtId="3" fontId="9" fillId="2" borderId="79" xfId="0" applyNumberFormat="1" applyFont="1" applyFill="1" applyBorder="1"/>
    <xf numFmtId="170" fontId="9" fillId="2" borderId="79" xfId="0" applyNumberFormat="1" applyFont="1" applyFill="1" applyBorder="1"/>
    <xf numFmtId="168" fontId="9" fillId="2" borderId="79" xfId="0" applyNumberFormat="1" applyFont="1" applyFill="1" applyBorder="1"/>
    <xf numFmtId="168" fontId="9" fillId="0" borderId="64" xfId="0" applyNumberFormat="1" applyFont="1" applyBorder="1"/>
    <xf numFmtId="168" fontId="15" fillId="11" borderId="79" xfId="0" applyNumberFormat="1" applyFont="1" applyFill="1" applyBorder="1" applyAlignment="1">
      <alignment horizontal="right" wrapText="1"/>
    </xf>
    <xf numFmtId="168" fontId="15" fillId="11" borderId="79" xfId="0" applyNumberFormat="1" applyFont="1" applyFill="1" applyBorder="1" applyAlignment="1">
      <alignment horizontal="center" wrapText="1"/>
    </xf>
    <xf numFmtId="168" fontId="15" fillId="11" borderId="79" xfId="0" applyNumberFormat="1" applyFont="1" applyFill="1" applyBorder="1" applyAlignment="1">
      <alignment horizontal="center" vertical="top" wrapText="1"/>
    </xf>
    <xf numFmtId="3" fontId="8" fillId="11" borderId="79" xfId="0" applyNumberFormat="1" applyFont="1" applyFill="1" applyBorder="1" applyAlignment="1">
      <alignment horizontal="center" vertical="top" wrapText="1"/>
    </xf>
    <xf numFmtId="0" fontId="17" fillId="5" borderId="9" xfId="0" applyFont="1" applyFill="1" applyBorder="1" applyAlignment="1">
      <alignment vertical="top"/>
    </xf>
    <xf numFmtId="166" fontId="9" fillId="0" borderId="74" xfId="0" applyNumberFormat="1" applyFont="1" applyBorder="1"/>
    <xf numFmtId="3" fontId="8" fillId="0" borderId="73" xfId="0" applyNumberFormat="1" applyFont="1" applyBorder="1" applyAlignment="1">
      <alignment horizontal="right" wrapText="1"/>
    </xf>
    <xf numFmtId="168" fontId="9" fillId="10" borderId="9" xfId="0" applyNumberFormat="1" applyFont="1" applyFill="1" applyBorder="1"/>
    <xf numFmtId="169" fontId="8" fillId="0" borderId="63" xfId="0" applyNumberFormat="1" applyFont="1" applyBorder="1" applyAlignment="1">
      <alignment vertical="top" wrapText="1"/>
    </xf>
    <xf numFmtId="0" fontId="1" fillId="0" borderId="45" xfId="0" applyFont="1" applyBorder="1"/>
    <xf numFmtId="169" fontId="1" fillId="0" borderId="45" xfId="0" applyNumberFormat="1" applyFont="1" applyBorder="1"/>
    <xf numFmtId="0" fontId="10" fillId="0" borderId="45" xfId="0" applyFont="1" applyBorder="1"/>
    <xf numFmtId="169" fontId="10" fillId="0" borderId="45" xfId="0" applyNumberFormat="1" applyFont="1" applyBorder="1"/>
    <xf numFmtId="0" fontId="8" fillId="0" borderId="75" xfId="0" applyFont="1" applyBorder="1" applyAlignment="1">
      <alignment horizontal="center" wrapText="1"/>
    </xf>
    <xf numFmtId="0" fontId="8" fillId="0" borderId="75" xfId="0" applyFont="1" applyBorder="1" applyAlignment="1">
      <alignment horizontal="center" vertical="top" wrapText="1"/>
    </xf>
    <xf numFmtId="169" fontId="8" fillId="0" borderId="64" xfId="0" applyNumberFormat="1" applyFont="1" applyBorder="1" applyAlignment="1">
      <alignment vertical="top" wrapText="1"/>
    </xf>
    <xf numFmtId="0" fontId="9" fillId="0" borderId="64" xfId="0" applyFont="1" applyBorder="1"/>
    <xf numFmtId="164" fontId="9" fillId="0" borderId="64" xfId="0" applyNumberFormat="1" applyFont="1" applyBorder="1" applyAlignment="1">
      <alignment vertical="top"/>
    </xf>
    <xf numFmtId="49" fontId="17" fillId="0" borderId="42" xfId="0" applyNumberFormat="1" applyFont="1" applyBorder="1" applyAlignment="1">
      <alignment horizontal="center" vertical="center" wrapText="1"/>
    </xf>
    <xf numFmtId="49" fontId="40" fillId="0" borderId="42" xfId="0" applyNumberFormat="1" applyFont="1" applyBorder="1" applyAlignment="1">
      <alignment horizontal="center" vertical="center" wrapText="1"/>
    </xf>
    <xf numFmtId="164" fontId="30" fillId="16" borderId="53" xfId="0" applyNumberFormat="1" applyFont="1" applyFill="1" applyBorder="1" applyAlignment="1">
      <alignment vertical="center" wrapText="1"/>
    </xf>
    <xf numFmtId="164" fontId="30" fillId="16" borderId="54" xfId="0" applyNumberFormat="1" applyFont="1" applyFill="1" applyBorder="1" applyAlignment="1">
      <alignment vertical="center" wrapText="1"/>
    </xf>
    <xf numFmtId="1" fontId="30" fillId="16" borderId="40" xfId="0" applyNumberFormat="1" applyFont="1" applyFill="1" applyBorder="1" applyAlignment="1">
      <alignment vertical="center" wrapText="1"/>
    </xf>
    <xf numFmtId="178" fontId="17" fillId="14" borderId="40" xfId="0" applyNumberFormat="1" applyFont="1" applyFill="1" applyBorder="1" applyAlignment="1">
      <alignment horizontal="left" vertical="center" wrapText="1"/>
    </xf>
    <xf numFmtId="0" fontId="17" fillId="0" borderId="64" xfId="0" applyFont="1" applyBorder="1" applyAlignment="1">
      <alignment horizontal="center" vertical="top"/>
    </xf>
    <xf numFmtId="0" fontId="23" fillId="14" borderId="58" xfId="0" applyFont="1" applyFill="1" applyBorder="1" applyAlignment="1">
      <alignment horizontal="left" vertical="top" wrapText="1"/>
    </xf>
    <xf numFmtId="0" fontId="17" fillId="14" borderId="58" xfId="0" applyFont="1" applyFill="1" applyBorder="1" applyAlignment="1">
      <alignment horizontal="center" vertical="center" wrapText="1"/>
    </xf>
    <xf numFmtId="169" fontId="16" fillId="0" borderId="63" xfId="0" applyNumberFormat="1" applyFont="1" applyBorder="1" applyAlignment="1">
      <alignment horizontal="center" vertical="top" wrapText="1"/>
    </xf>
    <xf numFmtId="0" fontId="26" fillId="0" borderId="45" xfId="0" applyFont="1" applyBorder="1" applyAlignment="1">
      <alignment horizontal="center" vertical="center"/>
    </xf>
    <xf numFmtId="169" fontId="16" fillId="0" borderId="56" xfId="0" applyNumberFormat="1" applyFont="1" applyBorder="1" applyAlignment="1">
      <alignment horizontal="center" vertical="top" wrapText="1"/>
    </xf>
    <xf numFmtId="169" fontId="16" fillId="0" borderId="56" xfId="0" applyNumberFormat="1" applyFont="1" applyBorder="1" applyAlignment="1">
      <alignment horizontal="center" vertical="center" wrapText="1"/>
    </xf>
    <xf numFmtId="0" fontId="16" fillId="0" borderId="61" xfId="0" applyFont="1" applyBorder="1" applyAlignment="1">
      <alignment horizontal="left" vertical="center" wrapText="1"/>
    </xf>
    <xf numFmtId="169" fontId="16" fillId="0" borderId="63" xfId="0" applyNumberFormat="1" applyFont="1" applyBorder="1" applyAlignment="1">
      <alignment horizontal="center" vertical="center" wrapText="1"/>
    </xf>
    <xf numFmtId="0" fontId="16" fillId="0" borderId="57" xfId="0" applyFont="1" applyBorder="1" applyAlignment="1">
      <alignment horizontal="center" vertical="center"/>
    </xf>
    <xf numFmtId="1" fontId="16" fillId="0" borderId="63" xfId="0" applyNumberFormat="1" applyFont="1" applyBorder="1" applyAlignment="1">
      <alignment horizontal="center" vertical="top" wrapText="1"/>
    </xf>
    <xf numFmtId="0" fontId="46" fillId="0" borderId="64" xfId="0" applyFont="1" applyBorder="1" applyAlignment="1">
      <alignment horizontal="left" vertical="top" wrapText="1"/>
    </xf>
    <xf numFmtId="0" fontId="46" fillId="0" borderId="122" xfId="0" applyFont="1" applyBorder="1" applyAlignment="1">
      <alignment wrapText="1"/>
    </xf>
    <xf numFmtId="169" fontId="46" fillId="0" borderId="122" xfId="0" applyNumberFormat="1" applyFont="1" applyBorder="1" applyAlignment="1">
      <alignment wrapText="1"/>
    </xf>
    <xf numFmtId="169" fontId="46" fillId="0" borderId="64" xfId="0" applyNumberFormat="1" applyFont="1" applyBorder="1" applyAlignment="1">
      <alignment vertical="top" wrapText="1"/>
    </xf>
    <xf numFmtId="0" fontId="23" fillId="0" borderId="61" xfId="0" applyFont="1" applyBorder="1" applyAlignment="1">
      <alignment horizontal="left" vertical="top" wrapText="1"/>
    </xf>
    <xf numFmtId="169" fontId="23" fillId="0" borderId="61" xfId="0" applyNumberFormat="1" applyFont="1" applyBorder="1" applyAlignment="1">
      <alignment vertical="top" wrapText="1"/>
    </xf>
    <xf numFmtId="0" fontId="29" fillId="0" borderId="63" xfId="0" applyFont="1" applyBorder="1" applyAlignment="1">
      <alignment horizontal="center" vertical="top"/>
    </xf>
    <xf numFmtId="0" fontId="15" fillId="5" borderId="9" xfId="0" applyFont="1" applyFill="1" applyBorder="1" applyAlignment="1">
      <alignment horizontal="left"/>
    </xf>
    <xf numFmtId="0" fontId="27" fillId="5" borderId="122" xfId="0" applyFont="1" applyFill="1" applyBorder="1" applyAlignment="1">
      <alignment horizontal="center"/>
    </xf>
    <xf numFmtId="0" fontId="29" fillId="0" borderId="63" xfId="0" applyFont="1" applyBorder="1" applyAlignment="1">
      <alignment horizontal="right" vertical="top"/>
    </xf>
    <xf numFmtId="0" fontId="26" fillId="0" borderId="63" xfId="0" applyFont="1" applyBorder="1" applyAlignment="1">
      <alignment horizontal="right" vertical="top"/>
    </xf>
    <xf numFmtId="0" fontId="70" fillId="0" borderId="45" xfId="0" applyFont="1" applyBorder="1" applyAlignment="1">
      <alignment horizontal="right"/>
    </xf>
    <xf numFmtId="0" fontId="70" fillId="0" borderId="63" xfId="0" applyFont="1" applyBorder="1" applyAlignment="1">
      <alignment horizontal="right" vertical="top"/>
    </xf>
    <xf numFmtId="0" fontId="27" fillId="5" borderId="54" xfId="0" applyFont="1" applyFill="1" applyBorder="1" applyAlignment="1">
      <alignment horizontal="left"/>
    </xf>
    <xf numFmtId="0" fontId="27" fillId="5" borderId="54" xfId="0" applyFont="1" applyFill="1" applyBorder="1" applyAlignment="1">
      <alignment horizontal="center"/>
    </xf>
    <xf numFmtId="0" fontId="70" fillId="0" borderId="63" xfId="0" applyFont="1" applyBorder="1" applyAlignment="1">
      <alignment horizontal="center" vertical="top"/>
    </xf>
    <xf numFmtId="0" fontId="16" fillId="18" borderId="122" xfId="0" applyFont="1" applyFill="1" applyBorder="1" applyAlignment="1">
      <alignment horizontal="center" vertical="center"/>
    </xf>
    <xf numFmtId="2" fontId="16" fillId="18" borderId="122" xfId="0" applyNumberFormat="1" applyFont="1" applyFill="1" applyBorder="1" applyAlignment="1">
      <alignment horizontal="center" vertical="center"/>
    </xf>
    <xf numFmtId="164" fontId="30" fillId="0" borderId="45" xfId="0" applyNumberFormat="1" applyFont="1" applyBorder="1" applyAlignment="1">
      <alignment vertical="center" wrapText="1"/>
    </xf>
    <xf numFmtId="0" fontId="16" fillId="0" borderId="43" xfId="0" applyFont="1" applyBorder="1" applyAlignment="1">
      <alignment horizontal="left" vertical="top" wrapText="1"/>
    </xf>
    <xf numFmtId="0" fontId="16" fillId="0" borderId="44" xfId="0" applyFont="1" applyBorder="1" applyAlignment="1">
      <alignment horizontal="center" vertical="center" wrapText="1"/>
    </xf>
    <xf numFmtId="169" fontId="16" fillId="0" borderId="43" xfId="0" applyNumberFormat="1" applyFont="1" applyBorder="1" applyAlignment="1">
      <alignment vertical="top" wrapText="1"/>
    </xf>
    <xf numFmtId="0" fontId="16" fillId="0" borderId="45" xfId="0" applyFont="1" applyBorder="1" applyAlignment="1">
      <alignment horizontal="center" vertical="center" wrapText="1"/>
    </xf>
    <xf numFmtId="1" fontId="16" fillId="0" borderId="42" xfId="0" applyNumberFormat="1" applyFont="1" applyBorder="1" applyAlignment="1">
      <alignment horizontal="center" vertical="center" wrapText="1"/>
    </xf>
    <xf numFmtId="169" fontId="16" fillId="0" borderId="42" xfId="0" applyNumberFormat="1" applyFont="1" applyBorder="1" applyAlignment="1">
      <alignment vertical="center" wrapText="1"/>
    </xf>
    <xf numFmtId="0" fontId="16" fillId="0" borderId="42" xfId="0" applyFont="1" applyBorder="1" applyAlignment="1">
      <alignment horizontal="center" vertical="center" wrapText="1"/>
    </xf>
    <xf numFmtId="0" fontId="17" fillId="0" borderId="69" xfId="0" applyFont="1" applyBorder="1" applyAlignment="1">
      <alignment horizontal="center" vertical="center" wrapText="1"/>
    </xf>
    <xf numFmtId="169" fontId="15" fillId="0" borderId="63" xfId="0" applyNumberFormat="1" applyFont="1" applyBorder="1" applyAlignment="1">
      <alignment vertical="top" wrapText="1"/>
    </xf>
    <xf numFmtId="0" fontId="15" fillId="0" borderId="122" xfId="0" applyFont="1" applyBorder="1" applyAlignment="1">
      <alignment horizontal="left" vertical="center" wrapText="1"/>
    </xf>
    <xf numFmtId="0" fontId="15" fillId="0" borderId="122" xfId="0" applyFont="1" applyBorder="1" applyAlignment="1">
      <alignment horizontal="left" vertical="center"/>
    </xf>
    <xf numFmtId="0" fontId="15" fillId="0" borderId="122" xfId="0" applyFont="1" applyBorder="1" applyAlignment="1">
      <alignment horizontal="center" vertical="center" wrapText="1"/>
    </xf>
    <xf numFmtId="0" fontId="43" fillId="2" borderId="9" xfId="0" applyFont="1" applyFill="1" applyBorder="1" applyAlignment="1">
      <alignment horizontal="center"/>
    </xf>
    <xf numFmtId="0" fontId="43" fillId="2" borderId="9" xfId="0" applyFont="1" applyFill="1" applyBorder="1" applyAlignment="1">
      <alignment horizontal="left"/>
    </xf>
    <xf numFmtId="0" fontId="43" fillId="2" borderId="9" xfId="0" applyFont="1" applyFill="1" applyBorder="1"/>
    <xf numFmtId="0" fontId="43" fillId="2" borderId="2" xfId="0" applyFont="1" applyFill="1" applyBorder="1" applyAlignment="1">
      <alignment horizontal="left"/>
    </xf>
    <xf numFmtId="0" fontId="43" fillId="2" borderId="2" xfId="0" applyFont="1" applyFill="1" applyBorder="1" applyAlignment="1">
      <alignment horizontal="center"/>
    </xf>
    <xf numFmtId="0" fontId="3" fillId="2" borderId="2" xfId="0" applyFont="1" applyFill="1" applyBorder="1" applyAlignment="1">
      <alignment horizontal="center"/>
    </xf>
    <xf numFmtId="0" fontId="44" fillId="2" borderId="2" xfId="0" applyFont="1" applyFill="1" applyBorder="1" applyAlignment="1">
      <alignment horizontal="left"/>
    </xf>
    <xf numFmtId="0" fontId="45" fillId="2" borderId="2" xfId="0" applyFont="1" applyFill="1" applyBorder="1" applyAlignment="1">
      <alignment horizontal="center"/>
    </xf>
    <xf numFmtId="0" fontId="44" fillId="2" borderId="2" xfId="0" applyFont="1" applyFill="1" applyBorder="1" applyAlignment="1">
      <alignment horizontal="center"/>
    </xf>
    <xf numFmtId="0" fontId="74" fillId="19" borderId="9" xfId="0" applyFont="1" applyFill="1" applyBorder="1" applyAlignment="1">
      <alignment horizontal="center" vertical="center"/>
    </xf>
    <xf numFmtId="0" fontId="78" fillId="0" borderId="44" xfId="0" applyFont="1" applyBorder="1" applyAlignment="1">
      <alignment horizontal="center" wrapText="1"/>
    </xf>
    <xf numFmtId="0" fontId="77" fillId="0" borderId="45" xfId="0" applyFont="1" applyBorder="1" applyAlignment="1">
      <alignment horizontal="center"/>
    </xf>
    <xf numFmtId="0" fontId="75" fillId="0" borderId="45" xfId="0" applyFont="1" applyBorder="1"/>
    <xf numFmtId="0" fontId="77" fillId="0" borderId="122" xfId="0" applyFont="1" applyBorder="1" applyAlignment="1">
      <alignment horizontal="center"/>
    </xf>
    <xf numFmtId="9" fontId="77" fillId="0" borderId="137" xfId="0" applyNumberFormat="1" applyFont="1" applyBorder="1" applyAlignment="1">
      <alignment horizontal="center"/>
    </xf>
    <xf numFmtId="0" fontId="79" fillId="5" borderId="2" xfId="0" applyFont="1" applyFill="1" applyBorder="1" applyAlignment="1">
      <alignment wrapText="1"/>
    </xf>
    <xf numFmtId="9" fontId="80" fillId="0" borderId="137" xfId="0" applyNumberFormat="1" applyFont="1" applyBorder="1" applyAlignment="1">
      <alignment horizontal="center"/>
    </xf>
    <xf numFmtId="0" fontId="4" fillId="7" borderId="9" xfId="0" applyFont="1" applyFill="1" applyBorder="1" applyAlignment="1">
      <alignment horizontal="right"/>
    </xf>
    <xf numFmtId="0" fontId="8" fillId="7" borderId="9" xfId="0" applyFont="1" applyFill="1" applyBorder="1"/>
    <xf numFmtId="0" fontId="8" fillId="7" borderId="136" xfId="0" applyFont="1" applyFill="1" applyBorder="1"/>
    <xf numFmtId="0" fontId="15" fillId="7" borderId="9" xfId="0" applyFont="1" applyFill="1" applyBorder="1"/>
    <xf numFmtId="164" fontId="17" fillId="7" borderId="134" xfId="0" applyNumberFormat="1" applyFont="1" applyFill="1" applyBorder="1" applyAlignment="1">
      <alignment horizontal="center" vertical="center" wrapText="1"/>
    </xf>
    <xf numFmtId="164" fontId="26" fillId="7" borderId="2" xfId="0" applyNumberFormat="1" applyFont="1" applyFill="1" applyBorder="1" applyAlignment="1">
      <alignment horizontal="left"/>
    </xf>
    <xf numFmtId="0" fontId="26" fillId="7" borderId="2" xfId="0" applyFont="1" applyFill="1" applyBorder="1" applyAlignment="1">
      <alignment horizontal="left"/>
    </xf>
    <xf numFmtId="164" fontId="26" fillId="7" borderId="2" xfId="0" applyNumberFormat="1" applyFont="1" applyFill="1" applyBorder="1" applyAlignment="1">
      <alignment horizontal="center"/>
    </xf>
    <xf numFmtId="49" fontId="36" fillId="7" borderId="122" xfId="0" applyNumberFormat="1" applyFont="1" applyFill="1" applyBorder="1" applyAlignment="1">
      <alignment horizontal="center"/>
    </xf>
    <xf numFmtId="0" fontId="48" fillId="7" borderId="9" xfId="0" applyFont="1" applyFill="1" applyBorder="1"/>
    <xf numFmtId="0" fontId="26" fillId="7" borderId="122" xfId="0" applyFont="1" applyFill="1" applyBorder="1"/>
    <xf numFmtId="0" fontId="8" fillId="7" borderId="70" xfId="0" applyFont="1" applyFill="1" applyBorder="1" applyAlignment="1">
      <alignment horizontal="center" wrapText="1"/>
    </xf>
    <xf numFmtId="164" fontId="8" fillId="7" borderId="2" xfId="0" applyNumberFormat="1" applyFont="1" applyFill="1" applyBorder="1" applyAlignment="1">
      <alignment horizontal="center" wrapText="1"/>
    </xf>
    <xf numFmtId="164" fontId="8" fillId="7" borderId="2" xfId="0" applyNumberFormat="1" applyFont="1" applyFill="1" applyBorder="1" applyAlignment="1">
      <alignment horizontal="center"/>
    </xf>
    <xf numFmtId="164" fontId="8" fillId="7" borderId="2" xfId="0" applyNumberFormat="1" applyFont="1" applyFill="1" applyBorder="1" applyAlignment="1">
      <alignment wrapText="1"/>
    </xf>
    <xf numFmtId="164" fontId="8" fillId="7" borderId="2" xfId="0" applyNumberFormat="1" applyFont="1" applyFill="1" applyBorder="1"/>
    <xf numFmtId="173" fontId="17" fillId="7" borderId="9" xfId="0" applyNumberFormat="1" applyFont="1" applyFill="1" applyBorder="1" applyAlignment="1">
      <alignment vertical="top"/>
    </xf>
    <xf numFmtId="0" fontId="17" fillId="7" borderId="135" xfId="0" applyFont="1" applyFill="1" applyBorder="1" applyAlignment="1">
      <alignment horizontal="center" vertical="center" wrapText="1"/>
    </xf>
    <xf numFmtId="173" fontId="17" fillId="7" borderId="135" xfId="0" applyNumberFormat="1" applyFont="1" applyFill="1" applyBorder="1" applyAlignment="1">
      <alignment vertical="center"/>
    </xf>
    <xf numFmtId="0" fontId="17" fillId="7" borderId="135" xfId="0" applyFont="1" applyFill="1" applyBorder="1" applyAlignment="1">
      <alignment vertical="center"/>
    </xf>
    <xf numFmtId="0" fontId="47" fillId="7" borderId="9" xfId="0" applyFont="1" applyFill="1" applyBorder="1" applyAlignment="1">
      <alignment horizontal="center" vertical="center" wrapText="1"/>
    </xf>
    <xf numFmtId="0" fontId="8" fillId="7" borderId="9" xfId="0" applyFont="1" applyFill="1" applyBorder="1" applyAlignment="1">
      <alignment wrapText="1"/>
    </xf>
    <xf numFmtId="0" fontId="8" fillId="7" borderId="9" xfId="0" applyFont="1" applyFill="1" applyBorder="1" applyAlignment="1">
      <alignment horizontal="center" wrapText="1"/>
    </xf>
    <xf numFmtId="0" fontId="16" fillId="0" borderId="42" xfId="0" applyFont="1" applyBorder="1" applyAlignment="1">
      <alignment horizontal="left" vertical="center" wrapText="1"/>
    </xf>
    <xf numFmtId="0" fontId="16" fillId="0" borderId="42" xfId="0" applyFont="1" applyBorder="1" applyAlignment="1">
      <alignment vertical="center" wrapText="1"/>
    </xf>
    <xf numFmtId="164" fontId="16" fillId="0" borderId="42" xfId="0" applyNumberFormat="1" applyFont="1" applyBorder="1" applyAlignment="1">
      <alignment vertical="center" wrapText="1"/>
    </xf>
    <xf numFmtId="170" fontId="16" fillId="0" borderId="43" xfId="0" applyNumberFormat="1" applyFont="1" applyBorder="1" applyAlignment="1">
      <alignment horizontal="center" vertical="center" wrapText="1"/>
    </xf>
    <xf numFmtId="3" fontId="16" fillId="0" borderId="42" xfId="0" applyNumberFormat="1" applyFont="1" applyBorder="1" applyAlignment="1">
      <alignment horizontal="right" vertical="center" wrapText="1"/>
    </xf>
    <xf numFmtId="3" fontId="16" fillId="0" borderId="45" xfId="0" applyNumberFormat="1" applyFont="1" applyBorder="1" applyAlignment="1">
      <alignment horizontal="right" vertical="center" wrapText="1"/>
    </xf>
    <xf numFmtId="0" fontId="23" fillId="7" borderId="9" xfId="0" applyFont="1" applyFill="1" applyBorder="1" applyAlignment="1">
      <alignment horizontal="center" vertical="center" wrapText="1"/>
    </xf>
    <xf numFmtId="0" fontId="16" fillId="7" borderId="9" xfId="0" applyFont="1" applyFill="1" applyBorder="1" applyAlignment="1">
      <alignment horizontal="center" vertical="center" wrapText="1"/>
    </xf>
    <xf numFmtId="164" fontId="17" fillId="7" borderId="9" xfId="0" applyNumberFormat="1" applyFont="1" applyFill="1" applyBorder="1" applyAlignment="1">
      <alignment horizontal="center" vertical="center" wrapText="1"/>
    </xf>
    <xf numFmtId="0" fontId="15" fillId="0" borderId="45" xfId="0" applyFont="1" applyBorder="1" applyAlignment="1">
      <alignment horizontal="center" vertical="top"/>
    </xf>
    <xf numFmtId="0" fontId="8" fillId="0" borderId="45" xfId="0" applyFont="1" applyBorder="1" applyAlignment="1">
      <alignment horizontal="center" vertical="top"/>
    </xf>
    <xf numFmtId="0" fontId="8" fillId="0" borderId="45" xfId="0" applyFont="1" applyBorder="1" applyAlignment="1">
      <alignment horizontal="center"/>
    </xf>
    <xf numFmtId="0" fontId="15" fillId="0" borderId="45" xfId="0" applyFont="1" applyBorder="1" applyAlignment="1">
      <alignment horizontal="center"/>
    </xf>
    <xf numFmtId="0" fontId="10" fillId="0" borderId="44" xfId="0" applyFont="1" applyBorder="1" applyAlignment="1">
      <alignment horizontal="left"/>
    </xf>
    <xf numFmtId="0" fontId="10" fillId="0" borderId="44" xfId="0" applyFont="1" applyBorder="1"/>
    <xf numFmtId="0" fontId="15" fillId="8" borderId="9" xfId="0" applyFont="1" applyFill="1" applyBorder="1" applyAlignment="1">
      <alignment horizontal="center"/>
    </xf>
    <xf numFmtId="0" fontId="8" fillId="8" borderId="9" xfId="0" applyFont="1" applyFill="1" applyBorder="1" applyAlignment="1">
      <alignment horizontal="center" vertical="top"/>
    </xf>
    <xf numFmtId="0" fontId="15" fillId="8" borderId="9" xfId="0" applyFont="1" applyFill="1" applyBorder="1" applyAlignment="1">
      <alignment vertical="top"/>
    </xf>
    <xf numFmtId="3" fontId="4" fillId="8" borderId="9" xfId="0" applyNumberFormat="1" applyFont="1" applyFill="1" applyBorder="1" applyAlignment="1">
      <alignment horizontal="center" vertical="top"/>
    </xf>
    <xf numFmtId="0" fontId="8" fillId="8" borderId="9" xfId="0" applyFont="1" applyFill="1" applyBorder="1" applyAlignment="1">
      <alignment horizontal="right" vertical="top"/>
    </xf>
    <xf numFmtId="0" fontId="8" fillId="8" borderId="9" xfId="0" applyFont="1" applyFill="1" applyBorder="1"/>
    <xf numFmtId="0" fontId="8" fillId="8" borderId="9" xfId="0" applyFont="1" applyFill="1" applyBorder="1" applyAlignment="1">
      <alignment wrapText="1"/>
    </xf>
    <xf numFmtId="0" fontId="10" fillId="0" borderId="43" xfId="0" applyFont="1" applyBorder="1" applyAlignment="1">
      <alignment horizontal="left" wrapText="1"/>
    </xf>
    <xf numFmtId="0" fontId="8" fillId="0" borderId="45" xfId="0" applyFont="1" applyBorder="1" applyAlignment="1">
      <alignment horizontal="center" vertical="center" wrapText="1"/>
    </xf>
    <xf numFmtId="0" fontId="8" fillId="0" borderId="45" xfId="0" applyFont="1" applyBorder="1" applyAlignment="1">
      <alignment horizontal="left" vertical="center" wrapText="1"/>
    </xf>
    <xf numFmtId="180" fontId="8" fillId="0" borderId="45" xfId="0" applyNumberFormat="1" applyFont="1" applyBorder="1" applyAlignment="1">
      <alignment horizontal="center" vertical="center" wrapText="1"/>
    </xf>
    <xf numFmtId="180" fontId="8" fillId="0" borderId="45" xfId="0" applyNumberFormat="1" applyFont="1" applyBorder="1" applyAlignment="1">
      <alignment horizontal="right" vertical="center" wrapText="1"/>
    </xf>
    <xf numFmtId="180" fontId="8" fillId="0" borderId="57" xfId="0" applyNumberFormat="1" applyFont="1" applyBorder="1" applyAlignment="1">
      <alignment horizontal="right" vertical="center" wrapText="1"/>
    </xf>
    <xf numFmtId="0" fontId="15" fillId="0" borderId="57" xfId="0" applyFont="1" applyBorder="1" applyAlignment="1">
      <alignment horizontal="center" vertical="center" wrapText="1"/>
    </xf>
    <xf numFmtId="180" fontId="15" fillId="0" borderId="57" xfId="0" applyNumberFormat="1" applyFont="1" applyBorder="1" applyAlignment="1">
      <alignment horizontal="right" vertical="center" wrapText="1"/>
    </xf>
    <xf numFmtId="0" fontId="15" fillId="0" borderId="57" xfId="0" applyFont="1" applyBorder="1" applyAlignment="1">
      <alignment vertical="center" wrapText="1"/>
    </xf>
    <xf numFmtId="0" fontId="8" fillId="0" borderId="57" xfId="0" applyFont="1" applyBorder="1" applyAlignment="1">
      <alignment horizontal="center" vertical="center" wrapText="1"/>
    </xf>
    <xf numFmtId="0" fontId="8" fillId="0" borderId="57" xfId="0" applyFont="1" applyBorder="1" applyAlignment="1">
      <alignment horizontal="left" vertical="center" wrapText="1"/>
    </xf>
    <xf numFmtId="0" fontId="8" fillId="0" borderId="57" xfId="0" applyFont="1" applyBorder="1" applyAlignment="1">
      <alignment vertical="center" wrapText="1"/>
    </xf>
    <xf numFmtId="0" fontId="15" fillId="8" borderId="9" xfId="0" applyFont="1" applyFill="1" applyBorder="1" applyAlignment="1">
      <alignment horizontal="center" vertical="center" wrapText="1"/>
    </xf>
    <xf numFmtId="0" fontId="15" fillId="8" borderId="9" xfId="0" applyFont="1" applyFill="1" applyBorder="1" applyAlignment="1">
      <alignment horizontal="left" vertical="center" wrapText="1"/>
    </xf>
    <xf numFmtId="0" fontId="8" fillId="8" borderId="9" xfId="0" applyFont="1" applyFill="1" applyBorder="1" applyAlignment="1">
      <alignment horizontal="center" vertical="center" wrapText="1"/>
    </xf>
    <xf numFmtId="180" fontId="8" fillId="8" borderId="9" xfId="0" applyNumberFormat="1" applyFont="1" applyFill="1" applyBorder="1" applyAlignment="1">
      <alignment horizontal="right" vertical="center" wrapText="1"/>
    </xf>
    <xf numFmtId="180" fontId="15" fillId="8" borderId="9" xfId="0" applyNumberFormat="1" applyFont="1" applyFill="1" applyBorder="1" applyAlignment="1">
      <alignment horizontal="right" vertical="center" wrapText="1"/>
    </xf>
    <xf numFmtId="0" fontId="8" fillId="8" borderId="9" xfId="0" applyFont="1" applyFill="1" applyBorder="1" applyAlignment="1">
      <alignment vertical="center" wrapText="1"/>
    </xf>
    <xf numFmtId="0" fontId="10" fillId="8" borderId="9" xfId="0" applyFont="1" applyFill="1" applyBorder="1"/>
    <xf numFmtId="0" fontId="4" fillId="0" borderId="42" xfId="0" applyFont="1" applyBorder="1" applyAlignment="1">
      <alignment horizontal="center"/>
    </xf>
    <xf numFmtId="0" fontId="4" fillId="0" borderId="44" xfId="0" applyFont="1" applyBorder="1" applyAlignment="1">
      <alignment horizontal="center"/>
    </xf>
    <xf numFmtId="0" fontId="4" fillId="0" borderId="44" xfId="0" applyFont="1" applyBorder="1" applyAlignment="1">
      <alignment horizontal="center" wrapText="1"/>
    </xf>
    <xf numFmtId="0" fontId="8" fillId="0" borderId="64" xfId="0" applyFont="1" applyBorder="1" applyAlignment="1">
      <alignment horizontal="center"/>
    </xf>
    <xf numFmtId="0" fontId="4" fillId="0" borderId="69" xfId="0" applyFont="1" applyBorder="1" applyAlignment="1">
      <alignment horizontal="left" vertical="top"/>
    </xf>
    <xf numFmtId="0" fontId="8" fillId="0" borderId="64" xfId="0" applyFont="1" applyBorder="1"/>
    <xf numFmtId="0" fontId="10" fillId="0" borderId="44" xfId="0" applyFont="1" applyBorder="1" applyAlignment="1">
      <alignment horizontal="center"/>
    </xf>
    <xf numFmtId="0" fontId="10" fillId="0" borderId="69" xfId="0" applyFont="1" applyBorder="1" applyAlignment="1">
      <alignment horizontal="center"/>
    </xf>
    <xf numFmtId="0" fontId="10" fillId="0" borderId="64" xfId="0" applyFont="1" applyBorder="1" applyAlignment="1">
      <alignment wrapText="1"/>
    </xf>
    <xf numFmtId="0" fontId="10" fillId="0" borderId="137" xfId="0" applyFont="1" applyBorder="1" applyAlignment="1">
      <alignment horizontal="center"/>
    </xf>
    <xf numFmtId="0" fontId="10" fillId="0" borderId="64" xfId="0" applyFont="1" applyBorder="1"/>
    <xf numFmtId="0" fontId="10" fillId="0" borderId="64" xfId="0" applyFont="1" applyBorder="1" applyAlignment="1">
      <alignment horizontal="left" wrapText="1"/>
    </xf>
    <xf numFmtId="0" fontId="10" fillId="0" borderId="64" xfId="0" applyFont="1" applyBorder="1" applyAlignment="1">
      <alignment horizontal="left"/>
    </xf>
    <xf numFmtId="0" fontId="10" fillId="0" borderId="69" xfId="0" applyFont="1" applyBorder="1" applyAlignment="1">
      <alignment wrapText="1"/>
    </xf>
    <xf numFmtId="0" fontId="10" fillId="0" borderId="69" xfId="0" applyFont="1" applyBorder="1" applyAlignment="1">
      <alignment horizontal="left"/>
    </xf>
    <xf numFmtId="0" fontId="10" fillId="0" borderId="69" xfId="0" applyFont="1" applyBorder="1" applyAlignment="1">
      <alignment horizontal="left" vertical="top"/>
    </xf>
    <xf numFmtId="0" fontId="10" fillId="0" borderId="64" xfId="0" applyFont="1" applyBorder="1" applyAlignment="1">
      <alignment horizontal="left" vertical="top"/>
    </xf>
    <xf numFmtId="0" fontId="10" fillId="0" borderId="64" xfId="0" applyFont="1" applyBorder="1" applyAlignment="1">
      <alignment vertical="top"/>
    </xf>
    <xf numFmtId="0" fontId="10" fillId="0" borderId="69" xfId="0" applyFont="1" applyBorder="1"/>
    <xf numFmtId="0" fontId="10" fillId="0" borderId="64" xfId="0" applyFont="1" applyBorder="1" applyAlignment="1">
      <alignment horizontal="center"/>
    </xf>
    <xf numFmtId="0" fontId="10" fillId="0" borderId="42" xfId="0" applyFont="1" applyBorder="1" applyAlignment="1">
      <alignment horizontal="center"/>
    </xf>
    <xf numFmtId="0" fontId="4" fillId="0" borderId="64" xfId="0" applyFont="1" applyBorder="1" applyAlignment="1">
      <alignment horizontal="left"/>
    </xf>
    <xf numFmtId="0" fontId="10" fillId="0" borderId="122" xfId="0" applyFont="1" applyBorder="1" applyAlignment="1">
      <alignment horizontal="center"/>
    </xf>
    <xf numFmtId="0" fontId="4" fillId="0" borderId="69" xfId="0" applyFont="1" applyBorder="1" applyAlignment="1">
      <alignment horizontal="left"/>
    </xf>
    <xf numFmtId="0" fontId="8" fillId="0" borderId="122" xfId="0" applyFont="1" applyBorder="1" applyAlignment="1">
      <alignment horizontal="center"/>
    </xf>
    <xf numFmtId="0" fontId="4" fillId="0" borderId="69" xfId="0" applyFont="1" applyBorder="1"/>
    <xf numFmtId="3" fontId="10" fillId="0" borderId="64" xfId="0" applyNumberFormat="1" applyFont="1" applyBorder="1" applyAlignment="1">
      <alignment horizontal="center"/>
    </xf>
    <xf numFmtId="0" fontId="4" fillId="0" borderId="44" xfId="0" applyFont="1" applyBorder="1"/>
    <xf numFmtId="0" fontId="4" fillId="0" borderId="44" xfId="0" applyFont="1" applyBorder="1" applyAlignment="1">
      <alignment horizontal="left"/>
    </xf>
    <xf numFmtId="0" fontId="4" fillId="8" borderId="9" xfId="0" applyFont="1" applyFill="1" applyBorder="1" applyAlignment="1">
      <alignment horizontal="left"/>
    </xf>
    <xf numFmtId="0" fontId="10" fillId="8" borderId="9" xfId="0" applyFont="1" applyFill="1" applyBorder="1" applyAlignment="1">
      <alignment horizontal="center"/>
    </xf>
    <xf numFmtId="164" fontId="4" fillId="8" borderId="9" xfId="0" applyNumberFormat="1" applyFont="1" applyFill="1" applyBorder="1" applyAlignment="1">
      <alignment horizontal="center"/>
    </xf>
    <xf numFmtId="0" fontId="10" fillId="8" borderId="9" xfId="0" applyFont="1" applyFill="1" applyBorder="1" applyAlignment="1">
      <alignment wrapText="1"/>
    </xf>
    <xf numFmtId="0" fontId="4" fillId="0" borderId="42" xfId="0" applyFont="1" applyBorder="1" applyAlignment="1">
      <alignment horizontal="left" vertical="top"/>
    </xf>
    <xf numFmtId="0" fontId="4" fillId="0" borderId="45" xfId="0" applyFont="1" applyBorder="1" applyAlignment="1">
      <alignment horizontal="center"/>
    </xf>
    <xf numFmtId="0" fontId="10" fillId="0" borderId="45" xfId="0" applyFont="1" applyBorder="1" applyAlignment="1">
      <alignment horizontal="center"/>
    </xf>
    <xf numFmtId="170" fontId="10" fillId="0" borderId="45" xfId="0" applyNumberFormat="1" applyFont="1" applyBorder="1" applyAlignment="1">
      <alignment horizontal="center"/>
    </xf>
    <xf numFmtId="170" fontId="10" fillId="0" borderId="122" xfId="0" applyNumberFormat="1" applyFont="1" applyBorder="1" applyAlignment="1">
      <alignment horizontal="center"/>
    </xf>
    <xf numFmtId="0" fontId="10" fillId="0" borderId="45" xfId="0" applyFont="1" applyBorder="1" applyAlignment="1">
      <alignment horizontal="left"/>
    </xf>
    <xf numFmtId="0" fontId="10" fillId="0" borderId="42" xfId="0" applyFont="1" applyBorder="1" applyAlignment="1">
      <alignment horizontal="left"/>
    </xf>
    <xf numFmtId="0" fontId="4" fillId="0" borderId="42" xfId="0" applyFont="1" applyBorder="1"/>
    <xf numFmtId="0" fontId="4" fillId="0" borderId="42" xfId="0" applyFont="1" applyBorder="1" applyAlignment="1">
      <alignment horizontal="left"/>
    </xf>
    <xf numFmtId="3" fontId="10" fillId="0" borderId="44" xfId="0" applyNumberFormat="1" applyFont="1" applyBorder="1" applyAlignment="1">
      <alignment horizontal="center"/>
    </xf>
    <xf numFmtId="0" fontId="8" fillId="0" borderId="137" xfId="0" applyFont="1" applyBorder="1"/>
    <xf numFmtId="0" fontId="8" fillId="0" borderId="137" xfId="0" applyFont="1" applyBorder="1" applyAlignment="1">
      <alignment wrapText="1"/>
    </xf>
    <xf numFmtId="0" fontId="4" fillId="0" borderId="122" xfId="0" applyFont="1" applyBorder="1" applyAlignment="1">
      <alignment horizontal="center" vertical="center"/>
    </xf>
    <xf numFmtId="181" fontId="4" fillId="20" borderId="2" xfId="0" applyNumberFormat="1" applyFont="1" applyFill="1" applyBorder="1" applyAlignment="1">
      <alignment horizontal="center" vertical="center"/>
    </xf>
    <xf numFmtId="0" fontId="4" fillId="0" borderId="137" xfId="0" applyFont="1" applyBorder="1" applyAlignment="1">
      <alignment horizontal="center" vertical="center" wrapText="1"/>
    </xf>
    <xf numFmtId="0" fontId="8" fillId="0" borderId="44" xfId="0" applyFont="1" applyBorder="1" applyAlignment="1">
      <alignment horizontal="center"/>
    </xf>
    <xf numFmtId="0" fontId="4" fillId="0" borderId="44" xfId="0" applyFont="1" applyBorder="1" applyAlignment="1">
      <alignment vertical="top"/>
    </xf>
    <xf numFmtId="0" fontId="13" fillId="0" borderId="44" xfId="0" applyFont="1" applyBorder="1"/>
    <xf numFmtId="0" fontId="10" fillId="0" borderId="44" xfId="0" applyFont="1" applyBorder="1" applyAlignment="1">
      <alignment vertical="top"/>
    </xf>
    <xf numFmtId="0" fontId="8" fillId="0" borderId="44" xfId="0" applyFont="1" applyBorder="1"/>
    <xf numFmtId="0" fontId="4" fillId="0" borderId="44" xfId="0" applyFont="1" applyBorder="1" applyAlignment="1">
      <alignment wrapText="1"/>
    </xf>
    <xf numFmtId="0" fontId="4" fillId="2" borderId="9" xfId="0" applyFont="1" applyFill="1" applyBorder="1" applyAlignment="1">
      <alignment horizontal="center" vertical="center" wrapText="1"/>
    </xf>
    <xf numFmtId="0" fontId="39" fillId="0" borderId="42" xfId="0" applyFont="1" applyBorder="1" applyAlignment="1">
      <alignment horizontal="left" vertical="center"/>
    </xf>
    <xf numFmtId="0" fontId="4" fillId="0" borderId="42" xfId="0" applyFont="1" applyBorder="1" applyAlignment="1">
      <alignment horizontal="left" vertical="center"/>
    </xf>
    <xf numFmtId="0" fontId="10" fillId="0" borderId="42" xfId="0" applyFont="1" applyBorder="1" applyAlignment="1">
      <alignment vertical="center" wrapText="1"/>
    </xf>
    <xf numFmtId="0" fontId="10" fillId="0" borderId="42" xfId="0" applyFont="1" applyBorder="1" applyAlignment="1">
      <alignment horizontal="center" vertical="center"/>
    </xf>
    <xf numFmtId="180" fontId="10" fillId="0" borderId="42" xfId="0" applyNumberFormat="1" applyFont="1" applyBorder="1" applyAlignment="1">
      <alignment vertical="center"/>
    </xf>
    <xf numFmtId="43" fontId="10" fillId="0" borderId="42" xfId="0" applyNumberFormat="1" applyFont="1" applyBorder="1" applyAlignment="1">
      <alignment vertical="center"/>
    </xf>
    <xf numFmtId="180" fontId="4" fillId="0" borderId="42" xfId="0" applyNumberFormat="1" applyFont="1" applyBorder="1" applyAlignment="1">
      <alignment vertical="center"/>
    </xf>
    <xf numFmtId="0" fontId="4" fillId="0" borderId="42" xfId="0" applyFont="1" applyBorder="1" applyAlignment="1">
      <alignment horizontal="center" vertical="center"/>
    </xf>
    <xf numFmtId="0" fontId="4" fillId="0" borderId="42" xfId="0" applyFont="1" applyBorder="1" applyAlignment="1">
      <alignment vertical="center" wrapText="1"/>
    </xf>
    <xf numFmtId="43" fontId="4" fillId="0" borderId="42" xfId="0" applyNumberFormat="1" applyFont="1" applyBorder="1" applyAlignment="1">
      <alignment vertical="center"/>
    </xf>
    <xf numFmtId="180" fontId="13" fillId="0" borderId="42" xfId="0" applyNumberFormat="1" applyFont="1" applyBorder="1" applyAlignment="1">
      <alignment vertical="center"/>
    </xf>
    <xf numFmtId="0" fontId="5" fillId="0" borderId="122" xfId="0" applyFont="1" applyBorder="1" applyAlignment="1">
      <alignment vertical="center" wrapText="1"/>
    </xf>
    <xf numFmtId="0" fontId="5" fillId="0" borderId="42" xfId="0" applyFont="1" applyBorder="1" applyAlignment="1">
      <alignment horizontal="center" vertical="center"/>
    </xf>
    <xf numFmtId="0" fontId="5" fillId="0" borderId="42" xfId="0" applyFont="1" applyBorder="1" applyAlignment="1">
      <alignment vertical="center" wrapText="1"/>
    </xf>
    <xf numFmtId="0" fontId="10" fillId="0" borderId="122" xfId="0" applyFont="1" applyBorder="1" applyAlignment="1">
      <alignment horizontal="center" vertical="center" wrapText="1"/>
    </xf>
    <xf numFmtId="0" fontId="5" fillId="0" borderId="45" xfId="0" applyFont="1" applyBorder="1" applyAlignment="1">
      <alignment horizontal="center" vertical="center"/>
    </xf>
    <xf numFmtId="0" fontId="10" fillId="0" borderId="45" xfId="0" applyFont="1" applyBorder="1" applyAlignment="1">
      <alignment vertical="center"/>
    </xf>
    <xf numFmtId="0" fontId="10" fillId="0" borderId="45" xfId="0" applyFont="1" applyBorder="1" applyAlignment="1">
      <alignment horizontal="center" vertical="center"/>
    </xf>
    <xf numFmtId="180" fontId="10" fillId="0" borderId="45" xfId="0" applyNumberFormat="1" applyFont="1" applyBorder="1" applyAlignment="1">
      <alignment vertical="center"/>
    </xf>
    <xf numFmtId="43" fontId="10" fillId="0" borderId="45" xfId="0" applyNumberFormat="1" applyFont="1" applyBorder="1" applyAlignment="1">
      <alignment vertical="center"/>
    </xf>
    <xf numFmtId="180" fontId="5" fillId="0" borderId="45" xfId="0" applyNumberFormat="1" applyFont="1" applyBorder="1" applyAlignment="1">
      <alignment horizontal="right" vertical="center"/>
    </xf>
    <xf numFmtId="0" fontId="5" fillId="0" borderId="45" xfId="0" applyFont="1" applyBorder="1" applyAlignment="1">
      <alignment vertical="center" wrapText="1"/>
    </xf>
    <xf numFmtId="0" fontId="4" fillId="0" borderId="45" xfId="0" applyFont="1" applyBorder="1" applyAlignment="1">
      <alignment horizontal="center" vertical="center"/>
    </xf>
    <xf numFmtId="0" fontId="4" fillId="0" borderId="45" xfId="0" applyFont="1" applyBorder="1" applyAlignment="1">
      <alignment vertical="center" wrapText="1"/>
    </xf>
    <xf numFmtId="3" fontId="13" fillId="0" borderId="45" xfId="0" applyNumberFormat="1" applyFont="1" applyBorder="1" applyAlignment="1">
      <alignment horizontal="right" vertical="center"/>
    </xf>
    <xf numFmtId="0" fontId="10" fillId="0" borderId="45" xfId="0" applyFont="1" applyBorder="1" applyAlignment="1">
      <alignment vertical="center" wrapText="1"/>
    </xf>
    <xf numFmtId="0" fontId="10" fillId="0" borderId="69" xfId="0" applyFont="1" applyBorder="1" applyAlignment="1">
      <alignment vertical="center"/>
    </xf>
    <xf numFmtId="0" fontId="10" fillId="0" borderId="122" xfId="0" applyFont="1" applyBorder="1" applyAlignment="1">
      <alignment horizontal="center" vertical="center"/>
    </xf>
    <xf numFmtId="0" fontId="10" fillId="0" borderId="122" xfId="0" applyFont="1" applyBorder="1" applyAlignment="1">
      <alignment vertical="center" wrapText="1"/>
    </xf>
    <xf numFmtId="0" fontId="4" fillId="0" borderId="122" xfId="0" applyFont="1" applyBorder="1" applyAlignment="1">
      <alignment horizontal="left" vertical="center"/>
    </xf>
    <xf numFmtId="0" fontId="10" fillId="0" borderId="64" xfId="0" applyFont="1" applyBorder="1" applyAlignment="1">
      <alignment vertical="center" wrapText="1"/>
    </xf>
    <xf numFmtId="170" fontId="5" fillId="0" borderId="45" xfId="0" applyNumberFormat="1" applyFont="1" applyBorder="1" applyAlignment="1">
      <alignment horizontal="center"/>
    </xf>
    <xf numFmtId="0" fontId="5" fillId="0" borderId="137" xfId="0" applyFont="1" applyBorder="1" applyAlignment="1">
      <alignment horizontal="center" vertical="top"/>
    </xf>
    <xf numFmtId="164" fontId="5" fillId="0" borderId="45" xfId="0" applyNumberFormat="1" applyFont="1" applyBorder="1" applyAlignment="1">
      <alignment horizontal="center" vertical="top"/>
    </xf>
    <xf numFmtId="170" fontId="5" fillId="0" borderId="45" xfId="0" applyNumberFormat="1" applyFont="1" applyBorder="1" applyAlignment="1">
      <alignment horizontal="center" vertical="top"/>
    </xf>
    <xf numFmtId="0" fontId="4" fillId="0" borderId="122" xfId="0" applyFont="1" applyBorder="1" applyAlignment="1">
      <alignment horizontal="center"/>
    </xf>
    <xf numFmtId="164" fontId="4" fillId="0" borderId="45" xfId="0" applyNumberFormat="1" applyFont="1" applyBorder="1" applyAlignment="1">
      <alignment horizontal="left" vertical="top"/>
    </xf>
    <xf numFmtId="0" fontId="4" fillId="0" borderId="137" xfId="0" applyFont="1" applyBorder="1" applyAlignment="1">
      <alignment horizontal="left"/>
    </xf>
    <xf numFmtId="0" fontId="5" fillId="0" borderId="45" xfId="0" applyFont="1" applyBorder="1" applyAlignment="1">
      <alignment horizontal="center" vertical="top"/>
    </xf>
    <xf numFmtId="0" fontId="5" fillId="0" borderId="44" xfId="0" applyFont="1" applyBorder="1" applyAlignment="1">
      <alignment horizontal="center" vertical="top"/>
    </xf>
    <xf numFmtId="0" fontId="5" fillId="0" borderId="45" xfId="0" applyFont="1" applyBorder="1" applyAlignment="1">
      <alignment horizontal="left" vertical="top"/>
    </xf>
    <xf numFmtId="0" fontId="10" fillId="0" borderId="137" xfId="0" applyFont="1" applyBorder="1" applyAlignment="1">
      <alignment horizontal="center" vertical="top"/>
    </xf>
    <xf numFmtId="0" fontId="4" fillId="0" borderId="137" xfId="0" applyFont="1" applyBorder="1" applyAlignment="1">
      <alignment horizontal="center" vertical="top"/>
    </xf>
    <xf numFmtId="0" fontId="10" fillId="0" borderId="122" xfId="0" applyFont="1" applyBorder="1" applyAlignment="1">
      <alignment horizontal="left" vertical="top"/>
    </xf>
    <xf numFmtId="0" fontId="10" fillId="0" borderId="45" xfId="0" applyFont="1" applyBorder="1" applyAlignment="1">
      <alignment horizontal="left" vertical="top"/>
    </xf>
    <xf numFmtId="0" fontId="4" fillId="0" borderId="45" xfId="0" applyFont="1" applyBorder="1" applyAlignment="1">
      <alignment horizontal="left"/>
    </xf>
    <xf numFmtId="0" fontId="4" fillId="0" borderId="137" xfId="0" applyFont="1" applyBorder="1" applyAlignment="1">
      <alignment vertical="top"/>
    </xf>
    <xf numFmtId="164" fontId="4" fillId="0" borderId="45" xfId="0" applyNumberFormat="1" applyFont="1" applyBorder="1" applyAlignment="1">
      <alignment horizontal="left"/>
    </xf>
    <xf numFmtId="164" fontId="5" fillId="0" borderId="137" xfId="0" applyNumberFormat="1" applyFont="1" applyBorder="1" applyAlignment="1">
      <alignment horizontal="center" vertical="top"/>
    </xf>
    <xf numFmtId="164" fontId="4" fillId="0" borderId="137" xfId="0" applyNumberFormat="1" applyFont="1" applyBorder="1" applyAlignment="1">
      <alignment horizontal="left"/>
    </xf>
    <xf numFmtId="164" fontId="5" fillId="0" borderId="45" xfId="0" applyNumberFormat="1" applyFont="1" applyBorder="1" applyAlignment="1">
      <alignment horizontal="left" vertical="top"/>
    </xf>
    <xf numFmtId="164" fontId="10" fillId="0" borderId="137" xfId="0" applyNumberFormat="1" applyFont="1" applyBorder="1" applyAlignment="1">
      <alignment horizontal="center" vertical="top"/>
    </xf>
    <xf numFmtId="164" fontId="13" fillId="0" borderId="137" xfId="0" applyNumberFormat="1" applyFont="1" applyBorder="1" applyAlignment="1">
      <alignment horizontal="center"/>
    </xf>
    <xf numFmtId="164" fontId="5" fillId="0" borderId="137" xfId="0" applyNumberFormat="1" applyFont="1" applyBorder="1" applyAlignment="1">
      <alignment horizontal="center"/>
    </xf>
    <xf numFmtId="164" fontId="10" fillId="0" borderId="45" xfId="0" applyNumberFormat="1" applyFont="1" applyBorder="1" applyAlignment="1">
      <alignment horizontal="center"/>
    </xf>
    <xf numFmtId="164" fontId="10" fillId="0" borderId="122" xfId="0" applyNumberFormat="1" applyFont="1" applyBorder="1" applyAlignment="1">
      <alignment horizontal="left" vertical="top"/>
    </xf>
    <xf numFmtId="164" fontId="10" fillId="0" borderId="45" xfId="0" applyNumberFormat="1" applyFont="1" applyBorder="1" applyAlignment="1">
      <alignment horizontal="left" vertical="top"/>
    </xf>
    <xf numFmtId="164" fontId="10" fillId="0" borderId="137" xfId="0" applyNumberFormat="1" applyFont="1" applyBorder="1" applyAlignment="1">
      <alignment horizontal="center"/>
    </xf>
    <xf numFmtId="164" fontId="4" fillId="0" borderId="137" xfId="0" applyNumberFormat="1" applyFont="1" applyBorder="1" applyAlignment="1">
      <alignment vertical="top"/>
    </xf>
    <xf numFmtId="0" fontId="5" fillId="0" borderId="43" xfId="0" applyFont="1" applyBorder="1" applyAlignment="1">
      <alignment horizontal="center" vertical="top" wrapText="1"/>
    </xf>
    <xf numFmtId="0" fontId="10" fillId="0" borderId="43" xfId="0" applyFont="1" applyBorder="1" applyAlignment="1">
      <alignment horizontal="center" vertical="top" wrapText="1"/>
    </xf>
    <xf numFmtId="164" fontId="10" fillId="0" borderId="43" xfId="0" applyNumberFormat="1" applyFont="1" applyBorder="1" applyAlignment="1">
      <alignment horizontal="center" vertical="center" wrapText="1"/>
    </xf>
    <xf numFmtId="0" fontId="10" fillId="0" borderId="43" xfId="0" applyFont="1" applyBorder="1" applyAlignment="1">
      <alignment horizontal="center" vertical="center" wrapText="1"/>
    </xf>
    <xf numFmtId="164" fontId="10" fillId="0" borderId="43" xfId="0" applyNumberFormat="1" applyFont="1" applyBorder="1" applyAlignment="1">
      <alignment vertical="top" wrapText="1"/>
    </xf>
    <xf numFmtId="0" fontId="4" fillId="0" borderId="44" xfId="0" applyFont="1" applyBorder="1" applyAlignment="1">
      <alignment vertical="top" wrapText="1"/>
    </xf>
    <xf numFmtId="0" fontId="4" fillId="0" borderId="43" xfId="0" applyFont="1" applyBorder="1" applyAlignment="1">
      <alignment vertical="top" wrapText="1"/>
    </xf>
    <xf numFmtId="0" fontId="85" fillId="0" borderId="44" xfId="0" applyFont="1" applyBorder="1" applyAlignment="1">
      <alignment horizontal="center"/>
    </xf>
    <xf numFmtId="0" fontId="85" fillId="0" borderId="45" xfId="0" applyFont="1" applyBorder="1" applyAlignment="1">
      <alignment horizontal="center"/>
    </xf>
    <xf numFmtId="170" fontId="87" fillId="0" borderId="45" xfId="0" applyNumberFormat="1" applyFont="1" applyBorder="1" applyAlignment="1">
      <alignment horizontal="center" vertical="center"/>
    </xf>
    <xf numFmtId="0" fontId="85" fillId="0" borderId="44" xfId="0" applyFont="1" applyBorder="1" applyAlignment="1">
      <alignment horizontal="left"/>
    </xf>
    <xf numFmtId="0" fontId="87" fillId="0" borderId="44" xfId="0" applyFont="1" applyBorder="1" applyAlignment="1">
      <alignment horizontal="center"/>
    </xf>
    <xf numFmtId="3" fontId="85" fillId="0" borderId="44" xfId="0" applyNumberFormat="1" applyFont="1" applyBorder="1" applyAlignment="1">
      <alignment horizontal="center"/>
    </xf>
    <xf numFmtId="0" fontId="87" fillId="0" borderId="44" xfId="0" applyFont="1" applyBorder="1"/>
    <xf numFmtId="0" fontId="87" fillId="0" borderId="45" xfId="0" applyFont="1" applyBorder="1" applyAlignment="1">
      <alignment horizontal="center"/>
    </xf>
    <xf numFmtId="0" fontId="87" fillId="0" borderId="44" xfId="0" applyFont="1" applyBorder="1" applyAlignment="1">
      <alignment horizontal="left"/>
    </xf>
    <xf numFmtId="0" fontId="87" fillId="0" borderId="45" xfId="0" applyFont="1" applyBorder="1" applyAlignment="1">
      <alignment horizontal="center" vertical="center"/>
    </xf>
    <xf numFmtId="170" fontId="88" fillId="0" borderId="45" xfId="0" applyNumberFormat="1" applyFont="1" applyBorder="1" applyAlignment="1">
      <alignment horizontal="center"/>
    </xf>
    <xf numFmtId="0" fontId="87" fillId="0" borderId="45" xfId="0" applyFont="1" applyBorder="1" applyAlignment="1">
      <alignment horizontal="center" vertical="center" wrapText="1"/>
    </xf>
    <xf numFmtId="0" fontId="15" fillId="0" borderId="44" xfId="0" applyFont="1" applyBorder="1" applyAlignment="1">
      <alignment horizontal="center"/>
    </xf>
    <xf numFmtId="0" fontId="8" fillId="2" borderId="2" xfId="0" applyFont="1" applyFill="1" applyBorder="1" applyAlignment="1">
      <alignment horizontal="left" wrapText="1"/>
    </xf>
    <xf numFmtId="0" fontId="8" fillId="2" borderId="2" xfId="0" applyFont="1" applyFill="1" applyBorder="1" applyAlignment="1">
      <alignment horizontal="center"/>
    </xf>
    <xf numFmtId="3" fontId="8" fillId="2" borderId="2" xfId="0" applyNumberFormat="1" applyFont="1" applyFill="1" applyBorder="1" applyAlignment="1">
      <alignment horizontal="center"/>
    </xf>
    <xf numFmtId="0" fontId="8" fillId="0" borderId="45" xfId="0" applyFont="1" applyBorder="1" applyAlignment="1">
      <alignment horizontal="center" vertical="center"/>
    </xf>
    <xf numFmtId="0" fontId="16" fillId="0" borderId="122" xfId="0" applyFont="1" applyBorder="1" applyAlignment="1">
      <alignment vertical="center" wrapText="1"/>
    </xf>
    <xf numFmtId="0" fontId="16" fillId="0" borderId="45" xfId="0" applyFont="1" applyBorder="1" applyAlignment="1">
      <alignment vertical="center" wrapText="1"/>
    </xf>
    <xf numFmtId="0" fontId="16" fillId="0" borderId="42" xfId="0" applyFont="1" applyBorder="1" applyAlignment="1">
      <alignment horizontal="center" vertical="center"/>
    </xf>
    <xf numFmtId="0" fontId="16" fillId="0" borderId="45" xfId="0" applyFont="1" applyBorder="1" applyAlignment="1">
      <alignment horizontal="left" vertical="center" wrapText="1"/>
    </xf>
    <xf numFmtId="164" fontId="16" fillId="0" borderId="45" xfId="0" applyNumberFormat="1" applyFont="1" applyBorder="1" applyAlignment="1">
      <alignment horizontal="center" vertical="center" wrapText="1"/>
    </xf>
    <xf numFmtId="3" fontId="86" fillId="0" borderId="131" xfId="0" applyNumberFormat="1" applyFont="1" applyBorder="1" applyAlignment="1">
      <alignment horizontal="right" wrapText="1"/>
    </xf>
    <xf numFmtId="0" fontId="86" fillId="0" borderId="132" xfId="0" applyFont="1" applyBorder="1" applyAlignment="1">
      <alignment wrapText="1"/>
    </xf>
    <xf numFmtId="0" fontId="78" fillId="22" borderId="43" xfId="0" applyFont="1" applyFill="1" applyBorder="1" applyAlignment="1">
      <alignment vertical="center" wrapText="1"/>
    </xf>
    <xf numFmtId="0" fontId="78" fillId="0" borderId="42" xfId="0" applyFont="1" applyBorder="1" applyAlignment="1">
      <alignment horizontal="center" vertical="center" wrapText="1"/>
    </xf>
    <xf numFmtId="0" fontId="78" fillId="0" borderId="43" xfId="0" applyFont="1" applyBorder="1" applyAlignment="1">
      <alignment horizontal="center" vertical="center"/>
    </xf>
    <xf numFmtId="0" fontId="77" fillId="0" borderId="136" xfId="0" applyFont="1" applyBorder="1" applyAlignment="1">
      <alignment vertical="center"/>
    </xf>
    <xf numFmtId="0" fontId="77" fillId="0" borderId="136" xfId="0" applyFont="1" applyBorder="1" applyAlignment="1">
      <alignment vertical="center" wrapText="1"/>
    </xf>
    <xf numFmtId="0" fontId="77" fillId="0" borderId="44" xfId="0" applyFont="1" applyBorder="1" applyAlignment="1">
      <alignment vertical="center"/>
    </xf>
    <xf numFmtId="0" fontId="77" fillId="7" borderId="122" xfId="0" applyFont="1" applyFill="1" applyBorder="1" applyAlignment="1">
      <alignment horizontal="left" vertical="center" wrapText="1"/>
    </xf>
    <xf numFmtId="0" fontId="77" fillId="7" borderId="122" xfId="0" applyFont="1" applyFill="1" applyBorder="1" applyAlignment="1">
      <alignment horizontal="center" vertical="center" wrapText="1"/>
    </xf>
    <xf numFmtId="0" fontId="77" fillId="7" borderId="122" xfId="0" applyFont="1" applyFill="1" applyBorder="1" applyAlignment="1">
      <alignment horizontal="center" vertical="center"/>
    </xf>
    <xf numFmtId="0" fontId="77" fillId="0" borderId="136" xfId="0" applyFont="1" applyBorder="1" applyAlignment="1">
      <alignment horizontal="center" vertical="center" wrapText="1"/>
    </xf>
    <xf numFmtId="0" fontId="77" fillId="2" borderId="2" xfId="0" applyFont="1" applyFill="1" applyBorder="1" applyAlignment="1">
      <alignment horizontal="left" vertical="center" wrapText="1"/>
    </xf>
    <xf numFmtId="0" fontId="77" fillId="2" borderId="2" xfId="0" applyFont="1" applyFill="1" applyBorder="1" applyAlignment="1">
      <alignment horizontal="center" vertical="center"/>
    </xf>
    <xf numFmtId="0" fontId="77" fillId="2" borderId="2" xfId="0" applyFont="1" applyFill="1" applyBorder="1" applyAlignment="1">
      <alignment horizontal="center" vertical="center" wrapText="1"/>
    </xf>
    <xf numFmtId="0" fontId="77" fillId="2" borderId="136" xfId="0" applyFont="1" applyFill="1" applyBorder="1" applyAlignment="1">
      <alignment horizontal="center" vertical="center" wrapText="1"/>
    </xf>
    <xf numFmtId="0" fontId="77" fillId="0" borderId="45" xfId="0" applyFont="1" applyBorder="1" applyAlignment="1">
      <alignment horizontal="center" vertical="center"/>
    </xf>
    <xf numFmtId="0" fontId="77" fillId="7" borderId="136" xfId="0" applyFont="1" applyFill="1" applyBorder="1" applyAlignment="1">
      <alignment horizontal="center" vertical="center" wrapText="1"/>
    </xf>
    <xf numFmtId="0" fontId="78" fillId="22" borderId="136" xfId="0" applyFont="1" applyFill="1" applyBorder="1" applyAlignment="1">
      <alignment horizontal="left" vertical="center" wrapText="1"/>
    </xf>
    <xf numFmtId="0" fontId="78" fillId="22" borderId="136" xfId="0" applyFont="1" applyFill="1" applyBorder="1" applyAlignment="1">
      <alignment horizontal="center" vertical="center" wrapText="1"/>
    </xf>
    <xf numFmtId="0" fontId="78" fillId="0" borderId="43" xfId="0" applyFont="1" applyBorder="1" applyAlignment="1">
      <alignment horizontal="left" vertical="center" wrapText="1"/>
    </xf>
    <xf numFmtId="0" fontId="78" fillId="0" borderId="136" xfId="0" applyFont="1" applyBorder="1" applyAlignment="1">
      <alignment horizontal="left" vertical="center" wrapText="1"/>
    </xf>
    <xf numFmtId="0" fontId="78" fillId="0" borderId="136" xfId="0" applyFont="1" applyBorder="1" applyAlignment="1">
      <alignment horizontal="center" vertical="center" wrapText="1"/>
    </xf>
    <xf numFmtId="0" fontId="78" fillId="0" borderId="44" xfId="0" applyFont="1" applyBorder="1" applyAlignment="1">
      <alignment horizontal="left" vertical="center" wrapText="1"/>
    </xf>
    <xf numFmtId="0" fontId="78" fillId="7" borderId="136" xfId="0" applyFont="1" applyFill="1" applyBorder="1" applyAlignment="1">
      <alignment horizontal="left" vertical="center" wrapText="1"/>
    </xf>
    <xf numFmtId="0" fontId="78" fillId="7" borderId="136" xfId="0" applyFont="1" applyFill="1" applyBorder="1" applyAlignment="1">
      <alignment horizontal="center" vertical="center" wrapText="1"/>
    </xf>
    <xf numFmtId="0" fontId="77" fillId="0" borderId="43" xfId="0" applyFont="1" applyBorder="1" applyAlignment="1">
      <alignment horizontal="left" vertical="center" wrapText="1"/>
    </xf>
    <xf numFmtId="0" fontId="77" fillId="7" borderId="136" xfId="0" applyFont="1" applyFill="1" applyBorder="1" applyAlignment="1">
      <alignment horizontal="left" vertical="center" wrapText="1"/>
    </xf>
    <xf numFmtId="0" fontId="91" fillId="0" borderId="42" xfId="0" applyFont="1" applyBorder="1" applyAlignment="1">
      <alignment horizontal="center" vertical="center" wrapText="1"/>
    </xf>
    <xf numFmtId="0" fontId="77" fillId="0" borderId="42" xfId="0" applyFont="1" applyBorder="1" applyAlignment="1">
      <alignment horizontal="center" vertical="center" wrapText="1"/>
    </xf>
    <xf numFmtId="0" fontId="78" fillId="7" borderId="135" xfId="0" applyFont="1" applyFill="1" applyBorder="1" applyAlignment="1">
      <alignment horizontal="left" vertical="center" wrapText="1"/>
    </xf>
    <xf numFmtId="0" fontId="77" fillId="0" borderId="44" xfId="0" applyFont="1" applyBorder="1" applyAlignment="1">
      <alignment horizontal="center" vertical="center" wrapText="1"/>
    </xf>
    <xf numFmtId="0" fontId="78" fillId="23" borderId="136" xfId="0" applyFont="1" applyFill="1" applyBorder="1" applyAlignment="1">
      <alignment horizontal="center" vertical="center" wrapText="1"/>
    </xf>
    <xf numFmtId="0" fontId="78" fillId="23" borderId="136" xfId="0" applyFont="1" applyFill="1" applyBorder="1" applyAlignment="1">
      <alignment horizontal="left" vertical="center" wrapText="1"/>
    </xf>
    <xf numFmtId="0" fontId="78" fillId="7" borderId="43" xfId="0" applyFont="1" applyFill="1" applyBorder="1" applyAlignment="1">
      <alignment horizontal="center" vertical="center" wrapText="1"/>
    </xf>
    <xf numFmtId="0" fontId="78" fillId="7" borderId="44" xfId="0" applyFont="1" applyFill="1" applyBorder="1" applyAlignment="1">
      <alignment horizontal="center" vertical="center" wrapText="1"/>
    </xf>
    <xf numFmtId="0" fontId="78" fillId="24" borderId="136" xfId="0" applyFont="1" applyFill="1" applyBorder="1" applyAlignment="1">
      <alignment horizontal="left" vertical="center" wrapText="1"/>
    </xf>
    <xf numFmtId="0" fontId="78" fillId="24" borderId="136" xfId="0" applyFont="1" applyFill="1" applyBorder="1" applyAlignment="1">
      <alignment horizontal="center" vertical="center" wrapText="1"/>
    </xf>
    <xf numFmtId="0" fontId="78" fillId="25" borderId="136" xfId="0" applyFont="1" applyFill="1" applyBorder="1" applyAlignment="1">
      <alignment horizontal="left" vertical="center" wrapText="1"/>
    </xf>
    <xf numFmtId="0" fontId="78" fillId="25" borderId="136" xfId="0" applyFont="1" applyFill="1" applyBorder="1" applyAlignment="1">
      <alignment horizontal="center" vertical="center" wrapText="1"/>
    </xf>
    <xf numFmtId="0" fontId="77" fillId="0" borderId="43" xfId="0" applyFont="1" applyBorder="1" applyAlignment="1">
      <alignment vertical="center" wrapText="1"/>
    </xf>
    <xf numFmtId="0" fontId="8" fillId="0" borderId="136" xfId="0" applyFont="1" applyBorder="1" applyAlignment="1">
      <alignment vertical="center"/>
    </xf>
    <xf numFmtId="0" fontId="8" fillId="0" borderId="44" xfId="0" applyFont="1" applyBorder="1" applyAlignment="1">
      <alignment vertical="center"/>
    </xf>
    <xf numFmtId="0" fontId="43" fillId="0" borderId="45" xfId="0" applyFont="1" applyBorder="1" applyAlignment="1">
      <alignment horizontal="center" vertical="center"/>
    </xf>
    <xf numFmtId="185" fontId="77" fillId="0" borderId="42" xfId="0" applyNumberFormat="1" applyFont="1" applyBorder="1" applyAlignment="1">
      <alignment horizontal="center" vertical="center" wrapText="1"/>
    </xf>
    <xf numFmtId="164" fontId="77" fillId="0" borderId="42" xfId="0" applyNumberFormat="1" applyFont="1" applyBorder="1" applyAlignment="1">
      <alignment horizontal="center" vertical="center" wrapText="1"/>
    </xf>
    <xf numFmtId="164" fontId="10" fillId="0" borderId="42" xfId="0" applyNumberFormat="1" applyFont="1" applyBorder="1" applyAlignment="1">
      <alignment horizontal="center" vertical="center" wrapText="1"/>
    </xf>
    <xf numFmtId="164" fontId="77" fillId="0" borderId="136" xfId="0" applyNumberFormat="1" applyFont="1" applyBorder="1" applyAlignment="1">
      <alignment horizontal="center" vertical="center" wrapText="1"/>
    </xf>
    <xf numFmtId="0" fontId="4" fillId="7" borderId="9" xfId="0" applyFont="1" applyFill="1" applyBorder="1" applyAlignment="1">
      <alignment vertical="center" shrinkToFit="1"/>
    </xf>
    <xf numFmtId="0" fontId="10" fillId="7" borderId="9" xfId="0" applyFont="1" applyFill="1" applyBorder="1" applyAlignment="1">
      <alignment horizontal="center" vertical="center" shrinkToFit="1"/>
    </xf>
    <xf numFmtId="14" fontId="10" fillId="7" borderId="9" xfId="0" applyNumberFormat="1" applyFont="1" applyFill="1" applyBorder="1" applyAlignment="1">
      <alignment horizontal="center" vertical="center" shrinkToFit="1"/>
    </xf>
    <xf numFmtId="49" fontId="10" fillId="7" borderId="9" xfId="0" applyNumberFormat="1" applyFont="1" applyFill="1" applyBorder="1" applyAlignment="1">
      <alignment horizontal="center" vertical="center" shrinkToFit="1"/>
    </xf>
    <xf numFmtId="0" fontId="10" fillId="7" borderId="9" xfId="0" applyFont="1" applyFill="1" applyBorder="1" applyAlignment="1">
      <alignment horizontal="left" vertical="center" shrinkToFit="1"/>
    </xf>
    <xf numFmtId="0" fontId="10" fillId="7" borderId="9" xfId="0" applyFont="1" applyFill="1" applyBorder="1" applyAlignment="1">
      <alignment vertical="center" shrinkToFit="1"/>
    </xf>
    <xf numFmtId="183" fontId="10" fillId="7" borderId="9" xfId="0" applyNumberFormat="1" applyFont="1" applyFill="1" applyBorder="1" applyAlignment="1">
      <alignment vertical="center" shrinkToFit="1"/>
    </xf>
    <xf numFmtId="0" fontId="10" fillId="7" borderId="9" xfId="0" applyFont="1" applyFill="1" applyBorder="1" applyAlignment="1">
      <alignment vertical="center"/>
    </xf>
    <xf numFmtId="0" fontId="4" fillId="7" borderId="9" xfId="0" applyFont="1" applyFill="1" applyBorder="1" applyAlignment="1">
      <alignment vertical="center"/>
    </xf>
    <xf numFmtId="0" fontId="4" fillId="7" borderId="9" xfId="0" applyFont="1" applyFill="1" applyBorder="1" applyAlignment="1">
      <alignment horizontal="center" vertical="center" shrinkToFit="1"/>
    </xf>
    <xf numFmtId="0" fontId="4" fillId="7" borderId="9" xfId="0" applyFont="1" applyFill="1" applyBorder="1" applyAlignment="1">
      <alignment horizontal="left" vertical="center" shrinkToFit="1"/>
    </xf>
    <xf numFmtId="14" fontId="4" fillId="7" borderId="9" xfId="0" applyNumberFormat="1" applyFont="1" applyFill="1" applyBorder="1" applyAlignment="1">
      <alignment horizontal="center" vertical="center" shrinkToFit="1"/>
    </xf>
    <xf numFmtId="49" fontId="4" fillId="7" borderId="9" xfId="0" applyNumberFormat="1" applyFont="1" applyFill="1" applyBorder="1" applyAlignment="1">
      <alignment horizontal="center" vertical="center" shrinkToFit="1"/>
    </xf>
    <xf numFmtId="183" fontId="4" fillId="7" borderId="9" xfId="0" applyNumberFormat="1" applyFont="1" applyFill="1" applyBorder="1" applyAlignment="1">
      <alignment vertical="center" shrinkToFit="1"/>
    </xf>
    <xf numFmtId="186" fontId="4" fillId="7" borderId="9" xfId="0" applyNumberFormat="1" applyFont="1" applyFill="1" applyBorder="1" applyAlignment="1">
      <alignment vertical="center"/>
    </xf>
    <xf numFmtId="187" fontId="4" fillId="7" borderId="9" xfId="0" applyNumberFormat="1" applyFont="1" applyFill="1" applyBorder="1" applyAlignment="1">
      <alignment vertical="center"/>
    </xf>
    <xf numFmtId="188" fontId="4" fillId="7" borderId="9" xfId="0" applyNumberFormat="1" applyFont="1" applyFill="1" applyBorder="1" applyAlignment="1">
      <alignment vertical="center"/>
    </xf>
    <xf numFmtId="14" fontId="4" fillId="7" borderId="9" xfId="0" applyNumberFormat="1" applyFont="1" applyFill="1" applyBorder="1" applyAlignment="1">
      <alignment vertical="center"/>
    </xf>
    <xf numFmtId="171" fontId="15" fillId="0" borderId="42" xfId="0" applyNumberFormat="1" applyFont="1" applyBorder="1" applyAlignment="1">
      <alignment horizontal="center" vertical="center" wrapText="1"/>
    </xf>
    <xf numFmtId="0" fontId="49" fillId="0" borderId="42" xfId="0" applyFont="1" applyBorder="1" applyAlignment="1">
      <alignment horizontal="left" vertical="center" wrapText="1"/>
    </xf>
    <xf numFmtId="171" fontId="49" fillId="0" borderId="42" xfId="0" applyNumberFormat="1" applyFont="1" applyBorder="1" applyAlignment="1">
      <alignment horizontal="center" vertical="center" wrapText="1"/>
    </xf>
    <xf numFmtId="0" fontId="8" fillId="0" borderId="43" xfId="0" applyFont="1" applyBorder="1" applyAlignment="1">
      <alignment horizontal="center" vertical="center" wrapText="1"/>
    </xf>
    <xf numFmtId="171" fontId="8" fillId="0" borderId="44" xfId="0" applyNumberFormat="1" applyFont="1" applyBorder="1" applyAlignment="1">
      <alignment horizontal="center" vertical="center" wrapText="1"/>
    </xf>
    <xf numFmtId="171" fontId="8" fillId="0" borderId="44" xfId="0" applyNumberFormat="1" applyFont="1" applyBorder="1" applyAlignment="1">
      <alignment horizontal="left" vertical="center" wrapText="1"/>
    </xf>
    <xf numFmtId="0" fontId="26" fillId="0" borderId="44" xfId="0" applyFont="1" applyBorder="1" applyAlignment="1">
      <alignment horizontal="left" vertical="center" wrapText="1"/>
    </xf>
    <xf numFmtId="171" fontId="27" fillId="0" borderId="44" xfId="0" applyNumberFormat="1" applyFont="1" applyBorder="1" applyAlignment="1">
      <alignment horizontal="center" vertical="center"/>
    </xf>
    <xf numFmtId="0" fontId="26" fillId="0" borderId="44" xfId="0" applyFont="1" applyBorder="1" applyAlignment="1">
      <alignment vertical="center"/>
    </xf>
    <xf numFmtId="0" fontId="26" fillId="0" borderId="45" xfId="0" applyFont="1" applyBorder="1" applyAlignment="1">
      <alignment horizontal="left" vertical="center" wrapText="1"/>
    </xf>
    <xf numFmtId="171" fontId="8" fillId="0" borderId="42" xfId="0" applyNumberFormat="1" applyFont="1" applyBorder="1" applyAlignment="1">
      <alignment horizontal="center" vertical="center" wrapText="1"/>
    </xf>
    <xf numFmtId="171" fontId="8" fillId="0" borderId="43" xfId="0" applyNumberFormat="1" applyFont="1" applyBorder="1" applyAlignment="1">
      <alignment horizontal="left" vertical="center" wrapText="1"/>
    </xf>
    <xf numFmtId="171" fontId="26" fillId="0" borderId="44" xfId="0" applyNumberFormat="1" applyFont="1" applyBorder="1" applyAlignment="1">
      <alignment horizontal="right" vertical="center"/>
    </xf>
    <xf numFmtId="0" fontId="26" fillId="0" borderId="44" xfId="0" applyFont="1" applyBorder="1" applyAlignment="1">
      <alignment horizontal="left" vertical="center"/>
    </xf>
    <xf numFmtId="0" fontId="26" fillId="2" borderId="2" xfId="0" applyFont="1" applyFill="1" applyBorder="1" applyAlignment="1">
      <alignment horizontal="left" vertical="top" wrapText="1"/>
    </xf>
    <xf numFmtId="0" fontId="26" fillId="2" borderId="9" xfId="0" applyFont="1" applyFill="1" applyBorder="1" applyAlignment="1">
      <alignment wrapText="1"/>
    </xf>
    <xf numFmtId="171" fontId="26" fillId="0" borderId="44" xfId="0" applyNumberFormat="1" applyFont="1" applyBorder="1" applyAlignment="1">
      <alignment horizontal="right" vertical="center" wrapText="1"/>
    </xf>
    <xf numFmtId="0" fontId="26" fillId="5" borderId="44" xfId="0" applyFont="1" applyFill="1" applyBorder="1" applyAlignment="1">
      <alignment horizontal="left" vertical="center" wrapText="1"/>
    </xf>
    <xf numFmtId="171" fontId="26" fillId="5" borderId="44" xfId="0" applyNumberFormat="1" applyFont="1" applyFill="1" applyBorder="1" applyAlignment="1">
      <alignment horizontal="right" vertical="center"/>
    </xf>
    <xf numFmtId="0" fontId="8" fillId="5" borderId="44" xfId="0" applyFont="1" applyFill="1" applyBorder="1" applyAlignment="1">
      <alignment horizontal="left" vertical="center" wrapText="1"/>
    </xf>
    <xf numFmtId="0" fontId="15" fillId="0" borderId="42" xfId="0" applyFont="1" applyBorder="1" applyAlignment="1">
      <alignment horizontal="center" vertical="center" wrapText="1"/>
    </xf>
    <xf numFmtId="0" fontId="15" fillId="0" borderId="42" xfId="0" applyFont="1" applyBorder="1" applyAlignment="1">
      <alignment horizontal="left" vertical="center" wrapText="1"/>
    </xf>
    <xf numFmtId="0" fontId="8" fillId="0" borderId="42" xfId="0" applyFont="1" applyBorder="1" applyAlignment="1">
      <alignment vertical="center"/>
    </xf>
    <xf numFmtId="0" fontId="49" fillId="0" borderId="122" xfId="0" applyFont="1" applyBorder="1" applyAlignment="1">
      <alignment horizontal="center" vertical="center" wrapText="1"/>
    </xf>
    <xf numFmtId="0" fontId="49" fillId="0" borderId="122" xfId="0" applyFont="1" applyBorder="1" applyAlignment="1">
      <alignment horizontal="left" vertical="center" wrapText="1"/>
    </xf>
    <xf numFmtId="171" fontId="49" fillId="0" borderId="122" xfId="0" applyNumberFormat="1" applyFont="1" applyBorder="1" applyAlignment="1">
      <alignment horizontal="right" vertical="center" wrapText="1"/>
    </xf>
    <xf numFmtId="0" fontId="49" fillId="0" borderId="45" xfId="0" applyFont="1" applyBorder="1" applyAlignment="1">
      <alignment horizontal="center" vertical="center" wrapText="1"/>
    </xf>
    <xf numFmtId="0" fontId="48" fillId="0" borderId="127" xfId="0" applyFont="1" applyBorder="1" applyAlignment="1">
      <alignment horizontal="left" vertical="center" wrapText="1"/>
    </xf>
    <xf numFmtId="171" fontId="49" fillId="0" borderId="64" xfId="0" applyNumberFormat="1" applyFont="1" applyBorder="1" applyAlignment="1">
      <alignment horizontal="center" vertical="center" wrapText="1"/>
    </xf>
    <xf numFmtId="171" fontId="49" fillId="0" borderId="122" xfId="0" applyNumberFormat="1" applyFont="1" applyBorder="1" applyAlignment="1">
      <alignment horizontal="center" vertical="center" wrapText="1"/>
    </xf>
    <xf numFmtId="0" fontId="49" fillId="0" borderId="42" xfId="0" applyFont="1" applyBorder="1" applyAlignment="1">
      <alignment horizontal="center" vertical="center" wrapText="1"/>
    </xf>
    <xf numFmtId="164" fontId="8" fillId="0" borderId="45" xfId="0" applyNumberFormat="1" applyFont="1" applyBorder="1" applyAlignment="1">
      <alignment horizontal="center" vertical="center" wrapText="1"/>
    </xf>
    <xf numFmtId="171" fontId="15" fillId="0" borderId="45" xfId="0" applyNumberFormat="1" applyFont="1" applyBorder="1" applyAlignment="1">
      <alignment horizontal="center" vertical="center" wrapText="1"/>
    </xf>
    <xf numFmtId="171" fontId="8" fillId="0" borderId="45" xfId="0" applyNumberFormat="1" applyFont="1" applyBorder="1" applyAlignment="1">
      <alignment horizontal="center" vertical="center" wrapText="1"/>
    </xf>
    <xf numFmtId="0" fontId="17" fillId="0" borderId="43" xfId="0" applyFont="1" applyBorder="1" applyAlignment="1">
      <alignment horizontal="center" vertical="center" wrapText="1"/>
    </xf>
    <xf numFmtId="3" fontId="17" fillId="0" borderId="136" xfId="0" applyNumberFormat="1" applyFont="1" applyBorder="1" applyAlignment="1">
      <alignment vertical="center" wrapText="1"/>
    </xf>
    <xf numFmtId="0" fontId="17" fillId="0" borderId="45" xfId="0" applyFont="1" applyBorder="1" applyAlignment="1">
      <alignment horizontal="center" vertical="center" wrapText="1"/>
    </xf>
    <xf numFmtId="3" fontId="16" fillId="0" borderId="43" xfId="0" applyNumberFormat="1" applyFont="1" applyBorder="1"/>
    <xf numFmtId="3" fontId="17" fillId="0" borderId="43" xfId="0" applyNumberFormat="1" applyFont="1" applyBorder="1" applyAlignment="1">
      <alignment vertical="center"/>
    </xf>
    <xf numFmtId="3" fontId="16" fillId="0" borderId="43" xfId="0" applyNumberFormat="1" applyFont="1" applyBorder="1" applyAlignment="1">
      <alignment vertical="center"/>
    </xf>
    <xf numFmtId="0" fontId="16" fillId="7" borderId="122" xfId="0" applyFont="1" applyFill="1" applyBorder="1" applyAlignment="1">
      <alignment horizontal="left" vertical="center" wrapText="1"/>
    </xf>
    <xf numFmtId="0" fontId="16" fillId="7" borderId="122" xfId="0" applyFont="1" applyFill="1" applyBorder="1" applyAlignment="1">
      <alignment horizontal="center" vertical="center"/>
    </xf>
    <xf numFmtId="183" fontId="16" fillId="7" borderId="9" xfId="0" applyNumberFormat="1" applyFont="1" applyFill="1" applyBorder="1" applyAlignment="1">
      <alignment vertical="center" wrapText="1"/>
    </xf>
    <xf numFmtId="0" fontId="17" fillId="0" borderId="45" xfId="0" applyFont="1" applyBorder="1" applyAlignment="1">
      <alignment vertical="center" wrapText="1"/>
    </xf>
    <xf numFmtId="3" fontId="16" fillId="0" borderId="43" xfId="0" applyNumberFormat="1" applyFont="1" applyBorder="1" applyAlignment="1">
      <alignment vertical="center" wrapText="1"/>
    </xf>
    <xf numFmtId="164" fontId="86" fillId="0" borderId="1" xfId="0" applyNumberFormat="1" applyFont="1" applyBorder="1" applyAlignment="1">
      <alignment horizontal="center"/>
    </xf>
    <xf numFmtId="164" fontId="86" fillId="0" borderId="45" xfId="0" applyNumberFormat="1" applyFont="1" applyBorder="1" applyAlignment="1">
      <alignment horizontal="center"/>
    </xf>
    <xf numFmtId="164" fontId="86" fillId="0" borderId="44" xfId="0" applyNumberFormat="1" applyFont="1" applyBorder="1" applyAlignment="1">
      <alignment horizontal="center"/>
    </xf>
    <xf numFmtId="0" fontId="86" fillId="0" borderId="45" xfId="0" applyFont="1" applyBorder="1" applyAlignment="1">
      <alignment horizontal="center" wrapText="1"/>
    </xf>
    <xf numFmtId="164" fontId="86" fillId="0" borderId="2" xfId="0" applyNumberFormat="1" applyFont="1" applyBorder="1" applyAlignment="1">
      <alignment horizontal="center"/>
    </xf>
    <xf numFmtId="0" fontId="9" fillId="0" borderId="45" xfId="0" applyFont="1" applyBorder="1"/>
    <xf numFmtId="0" fontId="95" fillId="0" borderId="45" xfId="0" applyFont="1" applyBorder="1" applyAlignment="1">
      <alignment horizontal="center"/>
    </xf>
    <xf numFmtId="0" fontId="8" fillId="0" borderId="63" xfId="0" quotePrefix="1" applyFont="1" applyBorder="1" applyAlignment="1">
      <alignment horizontal="center" vertical="center"/>
    </xf>
    <xf numFmtId="0" fontId="8" fillId="0" borderId="122" xfId="0" quotePrefix="1" applyFont="1" applyBorder="1" applyAlignment="1">
      <alignment horizontal="center" vertical="center"/>
    </xf>
    <xf numFmtId="0" fontId="8" fillId="0" borderId="122" xfId="0" quotePrefix="1" applyFont="1" applyBorder="1" applyAlignment="1">
      <alignment horizontal="center" vertical="center" wrapText="1"/>
    </xf>
    <xf numFmtId="164" fontId="8" fillId="0" borderId="122" xfId="0" quotePrefix="1" applyNumberFormat="1" applyFont="1" applyBorder="1" applyAlignment="1">
      <alignment horizontal="center" vertical="center" wrapText="1"/>
    </xf>
    <xf numFmtId="0" fontId="4" fillId="0" borderId="56" xfId="0" applyFont="1" applyBorder="1" applyAlignment="1">
      <alignment horizontal="center" vertical="center"/>
    </xf>
    <xf numFmtId="0" fontId="4" fillId="0" borderId="57" xfId="0" applyFont="1" applyBorder="1" applyAlignment="1">
      <alignment vertical="center" wrapText="1"/>
    </xf>
    <xf numFmtId="0" fontId="10" fillId="0" borderId="57" xfId="0" applyFont="1" applyBorder="1" applyAlignment="1">
      <alignment vertical="center"/>
    </xf>
    <xf numFmtId="164" fontId="10" fillId="0" borderId="57" xfId="0" applyNumberFormat="1" applyFont="1" applyBorder="1" applyAlignment="1">
      <alignment horizontal="center" vertical="center"/>
    </xf>
    <xf numFmtId="164" fontId="10" fillId="0" borderId="57" xfId="0" applyNumberFormat="1" applyFont="1" applyBorder="1" applyAlignment="1">
      <alignment vertical="center"/>
    </xf>
    <xf numFmtId="0" fontId="10" fillId="0" borderId="57" xfId="0" applyFont="1" applyBorder="1" applyAlignment="1">
      <alignment vertical="center" wrapText="1"/>
    </xf>
    <xf numFmtId="0" fontId="4" fillId="0" borderId="57" xfId="0" quotePrefix="1" applyFont="1" applyBorder="1" applyAlignment="1">
      <alignment horizontal="left" vertical="center" wrapText="1"/>
    </xf>
    <xf numFmtId="0" fontId="4" fillId="0" borderId="57" xfId="0" applyFont="1" applyBorder="1" applyAlignment="1">
      <alignment vertical="center"/>
    </xf>
    <xf numFmtId="164" fontId="4" fillId="0" borderId="57" xfId="0" applyNumberFormat="1" applyFont="1" applyBorder="1" applyAlignment="1">
      <alignment horizontal="center" vertical="center"/>
    </xf>
    <xf numFmtId="164" fontId="4" fillId="0" borderId="57" xfId="0" applyNumberFormat="1" applyFont="1" applyBorder="1" applyAlignment="1">
      <alignment vertical="center"/>
    </xf>
    <xf numFmtId="1" fontId="4" fillId="0" borderId="42" xfId="0" applyNumberFormat="1" applyFont="1" applyBorder="1" applyAlignment="1">
      <alignment horizontal="center" vertical="center" wrapText="1"/>
    </xf>
    <xf numFmtId="0" fontId="4" fillId="6" borderId="57" xfId="0" applyFont="1" applyFill="1" applyBorder="1" applyAlignment="1">
      <alignment horizontal="center" vertical="center"/>
    </xf>
    <xf numFmtId="3" fontId="4" fillId="6" borderId="57" xfId="0" applyNumberFormat="1" applyFont="1" applyFill="1" applyBorder="1" applyAlignment="1">
      <alignment vertical="center"/>
    </xf>
    <xf numFmtId="0" fontId="4" fillId="0" borderId="122" xfId="0" applyFont="1" applyBorder="1" applyAlignment="1">
      <alignment vertical="center" wrapText="1"/>
    </xf>
    <xf numFmtId="3" fontId="4" fillId="0" borderId="122" xfId="0" applyNumberFormat="1" applyFont="1" applyBorder="1" applyAlignment="1">
      <alignment vertical="center"/>
    </xf>
    <xf numFmtId="3" fontId="77" fillId="7" borderId="9" xfId="0" applyNumberFormat="1" applyFont="1" applyFill="1" applyBorder="1" applyAlignment="1">
      <alignment wrapText="1"/>
    </xf>
    <xf numFmtId="0" fontId="92" fillId="7" borderId="9" xfId="0" applyFont="1" applyFill="1" applyBorder="1" applyAlignment="1">
      <alignment horizontal="right"/>
    </xf>
    <xf numFmtId="0" fontId="77" fillId="7" borderId="9" xfId="0" applyFont="1" applyFill="1" applyBorder="1"/>
    <xf numFmtId="0" fontId="78" fillId="7" borderId="9" xfId="0" applyFont="1" applyFill="1" applyBorder="1" applyAlignment="1">
      <alignment horizontal="center" wrapText="1"/>
    </xf>
    <xf numFmtId="0" fontId="78" fillId="7" borderId="9" xfId="0" applyFont="1" applyFill="1" applyBorder="1"/>
    <xf numFmtId="0" fontId="90" fillId="7" borderId="9" xfId="0" applyFont="1" applyFill="1" applyBorder="1"/>
    <xf numFmtId="0" fontId="78" fillId="7" borderId="9" xfId="0" applyFont="1" applyFill="1" applyBorder="1" applyAlignment="1">
      <alignment horizontal="center"/>
    </xf>
    <xf numFmtId="0" fontId="77" fillId="7" borderId="9" xfId="0" applyFont="1" applyFill="1" applyBorder="1" applyAlignment="1">
      <alignment wrapText="1"/>
    </xf>
    <xf numFmtId="3" fontId="77" fillId="7" borderId="9" xfId="0" applyNumberFormat="1" applyFont="1" applyFill="1" applyBorder="1"/>
    <xf numFmtId="0" fontId="103" fillId="0" borderId="142" xfId="0" applyFont="1" applyBorder="1" applyAlignment="1">
      <alignment horizontal="center" vertical="center" wrapText="1"/>
    </xf>
    <xf numFmtId="0" fontId="103" fillId="0" borderId="144" xfId="0" applyFont="1" applyBorder="1" applyAlignment="1">
      <alignment horizontal="center" vertical="center" wrapText="1"/>
    </xf>
    <xf numFmtId="0" fontId="15" fillId="0" borderId="43" xfId="0" applyFont="1" applyBorder="1" applyAlignment="1">
      <alignment horizontal="center" vertical="center" wrapText="1"/>
    </xf>
    <xf numFmtId="0" fontId="77" fillId="0" borderId="43" xfId="0" applyFont="1" applyBorder="1" applyAlignment="1">
      <alignment horizontal="center" vertical="center" wrapText="1"/>
    </xf>
    <xf numFmtId="0" fontId="77" fillId="0" borderId="134" xfId="0" applyFont="1" applyBorder="1" applyAlignment="1">
      <alignment horizontal="center" vertical="center" wrapText="1"/>
    </xf>
    <xf numFmtId="0" fontId="27" fillId="0" borderId="43" xfId="0" applyFont="1" applyBorder="1" applyAlignment="1">
      <alignment horizontal="center" wrapText="1"/>
    </xf>
    <xf numFmtId="17" fontId="27" fillId="0" borderId="43" xfId="0" applyNumberFormat="1" applyFont="1" applyBorder="1" applyAlignment="1">
      <alignment horizontal="center"/>
    </xf>
    <xf numFmtId="49" fontId="86" fillId="0" borderId="136" xfId="0" applyNumberFormat="1" applyFont="1" applyBorder="1"/>
    <xf numFmtId="49" fontId="86" fillId="0" borderId="137" xfId="0" applyNumberFormat="1" applyFont="1" applyBorder="1"/>
    <xf numFmtId="49" fontId="27" fillId="0" borderId="43" xfId="0" applyNumberFormat="1" applyFont="1" applyBorder="1" applyAlignment="1">
      <alignment horizontal="left"/>
    </xf>
    <xf numFmtId="49" fontId="86" fillId="0" borderId="136" xfId="0" applyNumberFormat="1" applyFont="1" applyBorder="1" applyAlignment="1">
      <alignment wrapText="1"/>
    </xf>
    <xf numFmtId="49" fontId="86" fillId="0" borderId="137" xfId="0" applyNumberFormat="1" applyFont="1" applyBorder="1" applyAlignment="1">
      <alignment wrapText="1"/>
    </xf>
    <xf numFmtId="49" fontId="95" fillId="0" borderId="137" xfId="0" applyNumberFormat="1" applyFont="1" applyBorder="1"/>
    <xf numFmtId="49" fontId="26" fillId="0" borderId="43" xfId="0" applyNumberFormat="1" applyFont="1" applyBorder="1"/>
    <xf numFmtId="0" fontId="14" fillId="26" borderId="141" xfId="0" applyFont="1" applyFill="1" applyBorder="1" applyAlignment="1">
      <alignment vertical="center"/>
    </xf>
    <xf numFmtId="0" fontId="1" fillId="26" borderId="141" xfId="0" applyFont="1" applyFill="1" applyBorder="1"/>
    <xf numFmtId="0" fontId="14" fillId="26" borderId="141" xfId="0" applyFont="1" applyFill="1" applyBorder="1"/>
    <xf numFmtId="0" fontId="2" fillId="26" borderId="141" xfId="0" applyFont="1" applyFill="1" applyBorder="1"/>
    <xf numFmtId="0" fontId="4" fillId="26" borderId="141" xfId="0" applyFont="1" applyFill="1" applyBorder="1" applyAlignment="1">
      <alignment horizontal="center" vertical="center" wrapText="1"/>
    </xf>
    <xf numFmtId="0" fontId="10" fillId="26" borderId="141" xfId="0" applyFont="1" applyFill="1" applyBorder="1"/>
    <xf numFmtId="0" fontId="106" fillId="26" borderId="141" xfId="1" quotePrefix="1" applyFill="1" applyBorder="1" applyAlignment="1">
      <alignment horizontal="left" vertical="center" wrapText="1"/>
    </xf>
    <xf numFmtId="0" fontId="107" fillId="26" borderId="141" xfId="1" quotePrefix="1" applyFont="1" applyFill="1" applyBorder="1" applyAlignment="1">
      <alignment horizontal="left" vertical="center" wrapText="1"/>
    </xf>
    <xf numFmtId="0" fontId="107" fillId="27" borderId="141" xfId="1" quotePrefix="1" applyFont="1" applyFill="1" applyBorder="1" applyAlignment="1">
      <alignment horizontal="left" vertical="center" wrapText="1"/>
    </xf>
    <xf numFmtId="164" fontId="77" fillId="0" borderId="43" xfId="0" applyNumberFormat="1" applyFont="1" applyBorder="1" applyAlignment="1">
      <alignment horizontal="center" vertical="center" wrapText="1"/>
    </xf>
    <xf numFmtId="0" fontId="77" fillId="0" borderId="43" xfId="0" applyFont="1" applyBorder="1" applyAlignment="1">
      <alignment vertical="center"/>
    </xf>
    <xf numFmtId="0" fontId="90" fillId="26" borderId="141" xfId="0" applyFont="1" applyFill="1" applyBorder="1"/>
    <xf numFmtId="0" fontId="28" fillId="26" borderId="141" xfId="0" applyFont="1" applyFill="1" applyBorder="1"/>
    <xf numFmtId="0" fontId="92" fillId="26" borderId="141" xfId="0" applyFont="1" applyFill="1" applyBorder="1"/>
    <xf numFmtId="0" fontId="90" fillId="26" borderId="141" xfId="0" applyFont="1" applyFill="1" applyBorder="1" applyAlignment="1">
      <alignment horizontal="center" vertical="center"/>
    </xf>
    <xf numFmtId="0" fontId="90" fillId="26" borderId="141" xfId="0" applyFont="1" applyFill="1" applyBorder="1" applyAlignment="1">
      <alignment vertical="center"/>
    </xf>
    <xf numFmtId="0" fontId="77" fillId="26" borderId="141" xfId="0" applyFont="1" applyFill="1" applyBorder="1" applyAlignment="1">
      <alignment horizontal="center"/>
    </xf>
    <xf numFmtId="0" fontId="8" fillId="26" borderId="141" xfId="0" applyFont="1" applyFill="1" applyBorder="1" applyAlignment="1">
      <alignment vertical="center"/>
    </xf>
    <xf numFmtId="0" fontId="77" fillId="26" borderId="141" xfId="0" applyFont="1" applyFill="1" applyBorder="1" applyAlignment="1">
      <alignment vertical="center"/>
    </xf>
    <xf numFmtId="0" fontId="107" fillId="28" borderId="141" xfId="1" quotePrefix="1" applyFont="1" applyFill="1" applyBorder="1" applyAlignment="1">
      <alignment horizontal="left" vertical="center" wrapText="1"/>
    </xf>
    <xf numFmtId="0" fontId="107" fillId="28" borderId="141" xfId="1" quotePrefix="1" applyFont="1" applyFill="1" applyBorder="1" applyAlignment="1">
      <alignment horizontal="left" wrapText="1"/>
    </xf>
    <xf numFmtId="164" fontId="15" fillId="26" borderId="1" xfId="0" applyNumberFormat="1" applyFont="1" applyFill="1" applyBorder="1" applyAlignment="1">
      <alignment horizontal="left" vertical="center" wrapText="1"/>
    </xf>
    <xf numFmtId="164" fontId="15" fillId="26" borderId="1" xfId="0" applyNumberFormat="1" applyFont="1" applyFill="1" applyBorder="1" applyAlignment="1">
      <alignment horizontal="left" vertical="center"/>
    </xf>
    <xf numFmtId="0" fontId="106" fillId="0" borderId="141" xfId="1" quotePrefix="1" applyBorder="1" applyAlignment="1">
      <alignment horizontal="left" wrapText="1"/>
    </xf>
    <xf numFmtId="164" fontId="17" fillId="26" borderId="4" xfId="0" applyNumberFormat="1" applyFont="1" applyFill="1" applyBorder="1" applyAlignment="1">
      <alignment horizontal="center" vertical="center" wrapText="1"/>
    </xf>
    <xf numFmtId="1" fontId="16" fillId="26" borderId="7" xfId="0" applyNumberFormat="1" applyFont="1" applyFill="1" applyBorder="1" applyAlignment="1">
      <alignment horizontal="center" vertical="center" wrapText="1"/>
    </xf>
    <xf numFmtId="1" fontId="17" fillId="26" borderId="7" xfId="0" applyNumberFormat="1" applyFont="1" applyFill="1" applyBorder="1" applyAlignment="1">
      <alignment horizontal="center" vertical="center" wrapText="1"/>
    </xf>
    <xf numFmtId="0" fontId="0" fillId="26" borderId="0" xfId="0" applyFill="1"/>
    <xf numFmtId="43" fontId="17" fillId="29" borderId="7" xfId="0" applyNumberFormat="1" applyFont="1" applyFill="1" applyBorder="1" applyAlignment="1">
      <alignment horizontal="center" vertical="center" wrapText="1"/>
    </xf>
    <xf numFmtId="1" fontId="17" fillId="29" borderId="7" xfId="0" applyNumberFormat="1" applyFont="1" applyFill="1" applyBorder="1" applyAlignment="1">
      <alignment horizontal="center" vertical="center" wrapText="1"/>
    </xf>
    <xf numFmtId="43" fontId="17" fillId="26" borderId="7" xfId="0" applyNumberFormat="1" applyFont="1" applyFill="1" applyBorder="1" applyAlignment="1">
      <alignment horizontal="center" vertical="center" wrapText="1"/>
    </xf>
    <xf numFmtId="43" fontId="22" fillId="26" borderId="7" xfId="0" applyNumberFormat="1" applyFont="1" applyFill="1" applyBorder="1" applyAlignment="1">
      <alignment horizontal="center" vertical="center" wrapText="1"/>
    </xf>
    <xf numFmtId="1" fontId="22" fillId="26" borderId="7" xfId="0" applyNumberFormat="1" applyFont="1" applyFill="1" applyBorder="1" applyAlignment="1">
      <alignment horizontal="center" vertical="center" wrapText="1"/>
    </xf>
    <xf numFmtId="43" fontId="16" fillId="26" borderId="7" xfId="0" applyNumberFormat="1" applyFont="1" applyFill="1" applyBorder="1" applyAlignment="1">
      <alignment horizontal="center" vertical="center" wrapText="1"/>
    </xf>
    <xf numFmtId="43" fontId="23" fillId="26" borderId="7" xfId="0" applyNumberFormat="1" applyFont="1" applyFill="1" applyBorder="1" applyAlignment="1">
      <alignment horizontal="center" vertical="center" wrapText="1"/>
    </xf>
    <xf numFmtId="0" fontId="15" fillId="0" borderId="141" xfId="0" applyFont="1" applyBorder="1" applyAlignment="1">
      <alignment horizontal="center"/>
    </xf>
    <xf numFmtId="0" fontId="15" fillId="27" borderId="141" xfId="0" applyFont="1" applyFill="1" applyBorder="1" applyAlignment="1">
      <alignment horizontal="center"/>
    </xf>
    <xf numFmtId="0" fontId="108" fillId="0" borderId="141" xfId="0" applyFont="1" applyBorder="1"/>
    <xf numFmtId="0" fontId="104" fillId="27" borderId="141" xfId="0" applyFont="1" applyFill="1" applyBorder="1" applyAlignment="1">
      <alignment horizontal="left" wrapText="1"/>
    </xf>
    <xf numFmtId="0" fontId="6" fillId="27" borderId="141" xfId="0" applyFont="1" applyFill="1" applyBorder="1" applyAlignment="1">
      <alignment wrapText="1"/>
    </xf>
    <xf numFmtId="0" fontId="0" fillId="28" borderId="141" xfId="0" applyFill="1" applyBorder="1" applyAlignment="1">
      <alignment wrapText="1"/>
    </xf>
    <xf numFmtId="0" fontId="0" fillId="0" borderId="141" xfId="0" applyBorder="1" applyAlignment="1">
      <alignment wrapText="1"/>
    </xf>
    <xf numFmtId="0" fontId="103" fillId="0" borderId="9" xfId="0" applyFont="1" applyBorder="1" applyAlignment="1">
      <alignment wrapText="1"/>
    </xf>
    <xf numFmtId="0" fontId="19" fillId="0" borderId="0" xfId="0" applyFont="1" applyAlignment="1">
      <alignment vertical="center"/>
    </xf>
    <xf numFmtId="0" fontId="110" fillId="0" borderId="0" xfId="0" applyFont="1"/>
    <xf numFmtId="0" fontId="103" fillId="0" borderId="0" xfId="0" applyFont="1"/>
    <xf numFmtId="0" fontId="111" fillId="0" borderId="0" xfId="0" applyFont="1"/>
    <xf numFmtId="0" fontId="112" fillId="0" borderId="0" xfId="0" applyFont="1"/>
    <xf numFmtId="0" fontId="113" fillId="0" borderId="0" xfId="0" applyFont="1"/>
    <xf numFmtId="0" fontId="114" fillId="0" borderId="0" xfId="0" applyFont="1"/>
    <xf numFmtId="0" fontId="15" fillId="28" borderId="142" xfId="0" applyFont="1" applyFill="1" applyBorder="1" applyAlignment="1">
      <alignment horizontal="left" vertical="center" wrapText="1"/>
    </xf>
    <xf numFmtId="0" fontId="8" fillId="28" borderId="142" xfId="0" applyFont="1" applyFill="1" applyBorder="1" applyAlignment="1">
      <alignment horizontal="left" wrapText="1"/>
    </xf>
    <xf numFmtId="0" fontId="15" fillId="30" borderId="142" xfId="0" applyFont="1" applyFill="1" applyBorder="1" applyAlignment="1">
      <alignment horizontal="left" vertical="center" wrapText="1"/>
    </xf>
    <xf numFmtId="0" fontId="8" fillId="30" borderId="142" xfId="0" applyFont="1" applyFill="1" applyBorder="1" applyAlignment="1">
      <alignment horizontal="left" wrapText="1"/>
    </xf>
    <xf numFmtId="0" fontId="8" fillId="30" borderId="141" xfId="0" applyFont="1" applyFill="1" applyBorder="1" applyAlignment="1">
      <alignment horizontal="left" wrapText="1"/>
    </xf>
    <xf numFmtId="0" fontId="107" fillId="30" borderId="141" xfId="1" quotePrefix="1" applyFont="1" applyFill="1" applyBorder="1" applyAlignment="1">
      <alignment horizontal="left" wrapText="1"/>
    </xf>
    <xf numFmtId="0" fontId="108" fillId="30" borderId="141" xfId="0" applyFont="1" applyFill="1" applyBorder="1"/>
    <xf numFmtId="0" fontId="15" fillId="30" borderId="141" xfId="0" applyFont="1" applyFill="1" applyBorder="1" applyAlignment="1">
      <alignment horizontal="center"/>
    </xf>
    <xf numFmtId="0" fontId="0" fillId="30" borderId="141" xfId="0" applyFill="1" applyBorder="1" applyAlignment="1">
      <alignment wrapText="1"/>
    </xf>
    <xf numFmtId="0" fontId="106" fillId="30" borderId="141" xfId="1" quotePrefix="1" applyFill="1" applyBorder="1" applyAlignment="1">
      <alignment horizontal="left" wrapText="1"/>
    </xf>
    <xf numFmtId="0" fontId="16" fillId="26" borderId="1" xfId="0" applyFont="1" applyFill="1" applyBorder="1" applyAlignment="1">
      <alignment horizontal="left" vertical="center" wrapText="1"/>
    </xf>
    <xf numFmtId="0" fontId="46" fillId="26" borderId="1" xfId="0" applyFont="1" applyFill="1" applyBorder="1" applyAlignment="1">
      <alignment vertical="top"/>
    </xf>
    <xf numFmtId="0" fontId="78" fillId="26" borderId="1" xfId="0" applyFont="1" applyFill="1" applyBorder="1" applyAlignment="1">
      <alignment wrapText="1"/>
    </xf>
    <xf numFmtId="3" fontId="78" fillId="26" borderId="1" xfId="0" applyNumberFormat="1" applyFont="1" applyFill="1" applyBorder="1" applyAlignment="1">
      <alignment horizontal="right" vertical="center" wrapText="1"/>
    </xf>
    <xf numFmtId="3" fontId="77" fillId="26" borderId="1" xfId="0" applyNumberFormat="1" applyFont="1" applyFill="1" applyBorder="1" applyAlignment="1">
      <alignment horizontal="right" vertical="center" wrapText="1"/>
    </xf>
    <xf numFmtId="3" fontId="77" fillId="26" borderId="1" xfId="0" applyNumberFormat="1" applyFont="1" applyFill="1" applyBorder="1" applyAlignment="1">
      <alignment horizontal="right"/>
    </xf>
    <xf numFmtId="164" fontId="17" fillId="7" borderId="43" xfId="0" applyNumberFormat="1" applyFont="1" applyFill="1" applyBorder="1" applyAlignment="1">
      <alignment horizontal="center" vertical="center" wrapText="1"/>
    </xf>
    <xf numFmtId="0" fontId="4" fillId="0" borderId="43" xfId="0" applyFont="1" applyBorder="1" applyAlignment="1">
      <alignment horizontal="center" vertical="center" wrapText="1"/>
    </xf>
    <xf numFmtId="0" fontId="2" fillId="0" borderId="136" xfId="0" applyFont="1" applyBorder="1" applyAlignment="1">
      <alignment horizontal="center" wrapText="1"/>
    </xf>
    <xf numFmtId="0" fontId="1" fillId="0" borderId="137" xfId="0" applyFont="1" applyBorder="1"/>
    <xf numFmtId="0" fontId="0" fillId="0" borderId="9" xfId="0" applyBorder="1"/>
    <xf numFmtId="0" fontId="0" fillId="26" borderId="1" xfId="0" applyFill="1" applyBorder="1"/>
    <xf numFmtId="0" fontId="115" fillId="26" borderId="1" xfId="0" applyFont="1" applyFill="1" applyBorder="1" applyAlignment="1">
      <alignment wrapText="1"/>
    </xf>
    <xf numFmtId="0" fontId="2" fillId="31" borderId="44" xfId="0" applyFont="1" applyFill="1" applyBorder="1" applyAlignment="1">
      <alignment horizontal="center" wrapText="1"/>
    </xf>
    <xf numFmtId="0" fontId="1" fillId="31" borderId="137" xfId="0" applyFont="1" applyFill="1" applyBorder="1"/>
    <xf numFmtId="0" fontId="6" fillId="31" borderId="137" xfId="0" applyFont="1" applyFill="1" applyBorder="1"/>
    <xf numFmtId="0" fontId="10" fillId="26" borderId="1" xfId="0" applyFont="1" applyFill="1" applyBorder="1" applyAlignment="1">
      <alignment vertical="center"/>
    </xf>
    <xf numFmtId="0" fontId="10" fillId="26" borderId="1" xfId="0" applyFont="1" applyFill="1" applyBorder="1" applyAlignment="1">
      <alignment horizontal="center" vertical="center"/>
    </xf>
    <xf numFmtId="164" fontId="13" fillId="0" borderId="43" xfId="0" applyNumberFormat="1" applyFont="1" applyBorder="1" applyAlignment="1">
      <alignment horizontal="center" vertical="center" wrapText="1"/>
    </xf>
    <xf numFmtId="164" fontId="10" fillId="0" borderId="43" xfId="0" applyNumberFormat="1" applyFont="1" applyBorder="1" applyAlignment="1">
      <alignment vertical="center"/>
    </xf>
    <xf numFmtId="164" fontId="4" fillId="0" borderId="43" xfId="0" applyNumberFormat="1" applyFont="1" applyBorder="1" applyAlignment="1">
      <alignment vertical="center"/>
    </xf>
    <xf numFmtId="165" fontId="13" fillId="0" borderId="43" xfId="0" applyNumberFormat="1" applyFont="1" applyBorder="1" applyAlignment="1">
      <alignment horizontal="center" vertical="center" wrapText="1"/>
    </xf>
    <xf numFmtId="0" fontId="10" fillId="0" borderId="9" xfId="0" applyFont="1" applyBorder="1" applyAlignment="1">
      <alignment vertical="center"/>
    </xf>
    <xf numFmtId="0" fontId="10" fillId="0" borderId="9" xfId="0" applyFont="1" applyBorder="1" applyAlignment="1">
      <alignment horizontal="center" vertical="center"/>
    </xf>
    <xf numFmtId="164" fontId="17" fillId="32" borderId="4" xfId="0" applyNumberFormat="1" applyFont="1" applyFill="1" applyBorder="1" applyAlignment="1">
      <alignment horizontal="center" vertical="center" wrapText="1"/>
    </xf>
    <xf numFmtId="43" fontId="17" fillId="32" borderId="7" xfId="0" applyNumberFormat="1" applyFont="1" applyFill="1" applyBorder="1" applyAlignment="1">
      <alignment horizontal="center" vertical="center" wrapText="1"/>
    </xf>
    <xf numFmtId="41" fontId="17" fillId="32" borderId="7" xfId="0" applyNumberFormat="1" applyFont="1" applyFill="1" applyBorder="1" applyAlignment="1">
      <alignment horizontal="center" vertical="center" wrapText="1"/>
    </xf>
    <xf numFmtId="41" fontId="16" fillId="32" borderId="7" xfId="0" applyNumberFormat="1" applyFont="1" applyFill="1" applyBorder="1" applyAlignment="1">
      <alignment horizontal="center" vertical="center" wrapText="1"/>
    </xf>
    <xf numFmtId="43" fontId="16" fillId="32" borderId="7" xfId="0" applyNumberFormat="1" applyFont="1" applyFill="1" applyBorder="1" applyAlignment="1">
      <alignment horizontal="center" vertical="center" wrapText="1"/>
    </xf>
    <xf numFmtId="1" fontId="16" fillId="32" borderId="7" xfId="0" applyNumberFormat="1" applyFont="1" applyFill="1" applyBorder="1" applyAlignment="1">
      <alignment horizontal="center" vertical="center" wrapText="1"/>
    </xf>
    <xf numFmtId="43" fontId="22" fillId="32" borderId="7" xfId="0" applyNumberFormat="1" applyFont="1" applyFill="1" applyBorder="1" applyAlignment="1">
      <alignment horizontal="center" vertical="center" wrapText="1"/>
    </xf>
    <xf numFmtId="1" fontId="22" fillId="32" borderId="7" xfId="0" applyNumberFormat="1" applyFont="1" applyFill="1" applyBorder="1" applyAlignment="1">
      <alignment horizontal="center" vertical="center" wrapText="1"/>
    </xf>
    <xf numFmtId="41" fontId="23" fillId="32" borderId="7" xfId="0" applyNumberFormat="1" applyFont="1" applyFill="1" applyBorder="1" applyAlignment="1">
      <alignment horizontal="center" vertical="center" wrapText="1"/>
    </xf>
    <xf numFmtId="164" fontId="17" fillId="32" borderId="7" xfId="0" applyNumberFormat="1" applyFont="1" applyFill="1" applyBorder="1" applyAlignment="1">
      <alignment horizontal="center" vertical="center" wrapText="1"/>
    </xf>
    <xf numFmtId="1" fontId="17" fillId="32" borderId="7" xfId="0" applyNumberFormat="1" applyFont="1" applyFill="1" applyBorder="1" applyAlignment="1">
      <alignment horizontal="center" vertical="center" wrapText="1"/>
    </xf>
    <xf numFmtId="1" fontId="23" fillId="32" borderId="7" xfId="0" applyNumberFormat="1" applyFont="1" applyFill="1" applyBorder="1" applyAlignment="1">
      <alignment horizontal="center" vertical="center" wrapText="1"/>
    </xf>
    <xf numFmtId="1" fontId="16" fillId="32" borderId="9" xfId="0" applyNumberFormat="1" applyFont="1" applyFill="1" applyBorder="1" applyAlignment="1">
      <alignment horizontal="center" vertical="center" wrapText="1"/>
    </xf>
    <xf numFmtId="0" fontId="0" fillId="32" borderId="0" xfId="0" applyFill="1"/>
    <xf numFmtId="0" fontId="16" fillId="32" borderId="11" xfId="0" applyFont="1" applyFill="1" applyBorder="1" applyAlignment="1">
      <alignment horizontal="center" vertical="center" wrapText="1"/>
    </xf>
    <xf numFmtId="1" fontId="16" fillId="32" borderId="11" xfId="0" applyNumberFormat="1" applyFont="1" applyFill="1" applyBorder="1" applyAlignment="1">
      <alignment horizontal="center" vertical="center" wrapText="1"/>
    </xf>
    <xf numFmtId="0" fontId="17" fillId="7" borderId="43" xfId="0" applyFont="1" applyFill="1" applyBorder="1" applyAlignment="1">
      <alignment vertical="center"/>
    </xf>
    <xf numFmtId="0" fontId="16" fillId="7" borderId="43" xfId="0" applyFont="1" applyFill="1" applyBorder="1" applyAlignment="1">
      <alignment vertical="center"/>
    </xf>
    <xf numFmtId="0" fontId="17" fillId="7" borderId="43" xfId="0" applyFont="1" applyFill="1" applyBorder="1" applyAlignment="1">
      <alignment horizontal="center" vertical="center"/>
    </xf>
    <xf numFmtId="0" fontId="8" fillId="7" borderId="43" xfId="0" applyFont="1" applyFill="1" applyBorder="1"/>
    <xf numFmtId="164" fontId="26" fillId="7" borderId="136" xfId="0" applyNumberFormat="1" applyFont="1" applyFill="1" applyBorder="1" applyAlignment="1">
      <alignment horizontal="left"/>
    </xf>
    <xf numFmtId="164" fontId="26" fillId="7" borderId="137" xfId="0" applyNumberFormat="1" applyFont="1" applyFill="1" applyBorder="1" applyAlignment="1">
      <alignment horizontal="left"/>
    </xf>
    <xf numFmtId="164" fontId="26" fillId="7" borderId="137" xfId="0" applyNumberFormat="1" applyFont="1" applyFill="1" applyBorder="1"/>
    <xf numFmtId="49" fontId="47" fillId="7" borderId="43" xfId="0" applyNumberFormat="1" applyFont="1" applyFill="1" applyBorder="1" applyAlignment="1">
      <alignment horizontal="center" vertical="center" wrapText="1"/>
    </xf>
    <xf numFmtId="164" fontId="25" fillId="7" borderId="43" xfId="0" applyNumberFormat="1" applyFont="1" applyFill="1" applyBorder="1" applyAlignment="1">
      <alignment horizontal="center" vertical="center" wrapText="1"/>
    </xf>
    <xf numFmtId="0" fontId="46" fillId="7" borderId="43" xfId="0" applyFont="1" applyFill="1" applyBorder="1" applyAlignment="1">
      <alignment vertical="center"/>
    </xf>
    <xf numFmtId="0" fontId="25" fillId="7" borderId="43" xfId="0" applyFont="1" applyFill="1" applyBorder="1" applyAlignment="1">
      <alignment vertical="center"/>
    </xf>
    <xf numFmtId="0" fontId="47" fillId="7" borderId="43" xfId="0" applyFont="1" applyFill="1" applyBorder="1" applyAlignment="1">
      <alignment vertical="center"/>
    </xf>
    <xf numFmtId="3" fontId="16" fillId="7" borderId="43" xfId="0" applyNumberFormat="1" applyFont="1" applyFill="1" applyBorder="1" applyAlignment="1">
      <alignment horizontal="left" vertical="center" wrapText="1"/>
    </xf>
    <xf numFmtId="3" fontId="16" fillId="7" borderId="43" xfId="0" applyNumberFormat="1" applyFont="1" applyFill="1" applyBorder="1" applyAlignment="1">
      <alignment horizontal="center" vertical="center" wrapText="1"/>
    </xf>
    <xf numFmtId="0" fontId="26" fillId="7" borderId="43" xfId="0" applyFont="1" applyFill="1" applyBorder="1" applyAlignment="1">
      <alignment horizontal="left"/>
    </xf>
    <xf numFmtId="0" fontId="26" fillId="7" borderId="70" xfId="0" applyFont="1" applyFill="1" applyBorder="1" applyAlignment="1">
      <alignment horizontal="left"/>
    </xf>
    <xf numFmtId="0" fontId="26" fillId="7" borderId="70" xfId="0" applyFont="1" applyFill="1" applyBorder="1"/>
    <xf numFmtId="0" fontId="16" fillId="7" borderId="43" xfId="0" applyFont="1" applyFill="1" applyBorder="1" applyAlignment="1">
      <alignment horizontal="center" vertical="center"/>
    </xf>
    <xf numFmtId="0" fontId="46" fillId="7" borderId="43" xfId="0" applyFont="1" applyFill="1" applyBorder="1" applyAlignment="1">
      <alignment horizontal="center" vertical="center"/>
    </xf>
    <xf numFmtId="0" fontId="16" fillId="7" borderId="43" xfId="0" applyFont="1" applyFill="1" applyBorder="1" applyAlignment="1">
      <alignment horizontal="left" vertical="top"/>
    </xf>
    <xf numFmtId="0" fontId="46" fillId="7" borderId="43" xfId="0" applyFont="1" applyFill="1" applyBorder="1" applyAlignment="1">
      <alignment horizontal="left" vertical="top"/>
    </xf>
    <xf numFmtId="0" fontId="37" fillId="7" borderId="43" xfId="0" applyFont="1" applyFill="1" applyBorder="1" applyAlignment="1">
      <alignment horizontal="center" vertical="center"/>
    </xf>
    <xf numFmtId="0" fontId="8" fillId="26" borderId="1" xfId="0" applyFont="1" applyFill="1" applyBorder="1"/>
    <xf numFmtId="0" fontId="15" fillId="26" borderId="1" xfId="0" applyFont="1" applyFill="1" applyBorder="1"/>
    <xf numFmtId="0" fontId="26" fillId="26" borderId="1" xfId="0" applyFont="1" applyFill="1" applyBorder="1"/>
    <xf numFmtId="0" fontId="48" fillId="26" borderId="1" xfId="0" applyFont="1" applyFill="1" applyBorder="1"/>
    <xf numFmtId="0" fontId="27" fillId="26" borderId="1" xfId="0" applyFont="1" applyFill="1" applyBorder="1"/>
    <xf numFmtId="0" fontId="17" fillId="26" borderId="1" xfId="0" applyFont="1" applyFill="1" applyBorder="1" applyAlignment="1">
      <alignment vertical="top"/>
    </xf>
    <xf numFmtId="173" fontId="17" fillId="26" borderId="1" xfId="0" applyNumberFormat="1" applyFont="1" applyFill="1" applyBorder="1" applyAlignment="1">
      <alignment vertical="top"/>
    </xf>
    <xf numFmtId="0" fontId="6" fillId="0" borderId="136" xfId="0" applyFont="1" applyBorder="1" applyAlignment="1">
      <alignment wrapText="1"/>
    </xf>
    <xf numFmtId="0" fontId="77" fillId="2" borderId="64" xfId="0" applyFont="1" applyFill="1" applyBorder="1" applyAlignment="1">
      <alignment horizontal="center" vertical="center" wrapText="1"/>
    </xf>
    <xf numFmtId="0" fontId="77" fillId="7" borderId="1" xfId="0" applyFont="1" applyFill="1" applyBorder="1" applyAlignment="1">
      <alignment vertical="center" wrapText="1"/>
    </xf>
    <xf numFmtId="0" fontId="26" fillId="2" borderId="1" xfId="0" applyFont="1" applyFill="1" applyBorder="1" applyAlignment="1">
      <alignment vertical="center" wrapText="1"/>
    </xf>
    <xf numFmtId="0" fontId="26" fillId="2" borderId="42" xfId="0" applyFont="1" applyFill="1" applyBorder="1" applyAlignment="1">
      <alignment vertical="center" wrapText="1"/>
    </xf>
    <xf numFmtId="0" fontId="0" fillId="0" borderId="0" xfId="0" applyAlignment="1">
      <alignment wrapText="1"/>
    </xf>
    <xf numFmtId="0" fontId="77" fillId="2" borderId="44" xfId="0" applyFont="1" applyFill="1" applyBorder="1" applyAlignment="1">
      <alignment vertical="center" wrapText="1"/>
    </xf>
    <xf numFmtId="0" fontId="77" fillId="2" borderId="2" xfId="0" applyFont="1" applyFill="1" applyBorder="1" applyAlignment="1">
      <alignment vertical="center" wrapText="1"/>
    </xf>
    <xf numFmtId="0" fontId="15" fillId="26" borderId="1" xfId="0" applyFont="1" applyFill="1" applyBorder="1" applyAlignment="1">
      <alignment vertical="center" wrapText="1"/>
    </xf>
    <xf numFmtId="171" fontId="15" fillId="26" borderId="1" xfId="0" applyNumberFormat="1" applyFont="1" applyFill="1" applyBorder="1" applyAlignment="1">
      <alignment vertical="center" wrapText="1"/>
    </xf>
    <xf numFmtId="0" fontId="8" fillId="26" borderId="1" xfId="0" applyFont="1" applyFill="1" applyBorder="1" applyAlignment="1">
      <alignment vertical="center"/>
    </xf>
    <xf numFmtId="0" fontId="8" fillId="26" borderId="1" xfId="0" applyFont="1" applyFill="1" applyBorder="1" applyAlignment="1">
      <alignment vertical="center" wrapText="1"/>
    </xf>
    <xf numFmtId="0" fontId="49" fillId="26" borderId="1" xfId="0" applyFont="1" applyFill="1" applyBorder="1" applyAlignment="1">
      <alignment vertical="center"/>
    </xf>
    <xf numFmtId="0" fontId="35" fillId="26" borderId="1" xfId="0" applyFont="1" applyFill="1" applyBorder="1" applyAlignment="1">
      <alignment vertical="center"/>
    </xf>
    <xf numFmtId="0" fontId="20" fillId="26" borderId="1" xfId="0" applyFont="1" applyFill="1" applyBorder="1" applyAlignment="1">
      <alignment vertical="center"/>
    </xf>
    <xf numFmtId="0" fontId="17" fillId="26" borderId="1" xfId="0" applyFont="1" applyFill="1" applyBorder="1" applyAlignment="1">
      <alignment vertical="center"/>
    </xf>
    <xf numFmtId="0" fontId="17" fillId="26" borderId="1" xfId="0" applyFont="1" applyFill="1" applyBorder="1" applyAlignment="1">
      <alignment vertical="center" wrapText="1"/>
    </xf>
    <xf numFmtId="0" fontId="17" fillId="26" borderId="1" xfId="0" applyFont="1" applyFill="1" applyBorder="1" applyAlignment="1">
      <alignment horizontal="center" vertical="center"/>
    </xf>
    <xf numFmtId="0" fontId="17" fillId="26" borderId="1" xfId="0" applyFont="1" applyFill="1" applyBorder="1" applyAlignment="1">
      <alignment horizontal="center" vertical="center" wrapText="1"/>
    </xf>
    <xf numFmtId="0" fontId="0" fillId="26" borderId="9" xfId="0" applyFill="1" applyBorder="1"/>
    <xf numFmtId="0" fontId="2" fillId="26" borderId="1" xfId="0" applyFont="1" applyFill="1" applyBorder="1"/>
    <xf numFmtId="0" fontId="4" fillId="26" borderId="1" xfId="0" applyFont="1" applyFill="1" applyBorder="1" applyAlignment="1">
      <alignment horizontal="center" vertical="center" wrapText="1"/>
    </xf>
    <xf numFmtId="0" fontId="8" fillId="0" borderId="43" xfId="0" applyFont="1" applyBorder="1" applyAlignment="1">
      <alignment horizontal="left" vertical="center" wrapText="1"/>
    </xf>
    <xf numFmtId="0" fontId="8" fillId="0" borderId="43" xfId="0" applyFont="1" applyBorder="1" applyAlignment="1">
      <alignment vertical="center"/>
    </xf>
    <xf numFmtId="0" fontId="8" fillId="0" borderId="43" xfId="0" applyFont="1" applyBorder="1" applyAlignment="1">
      <alignment vertical="center" wrapText="1"/>
    </xf>
    <xf numFmtId="0" fontId="48" fillId="0" borderId="127" xfId="0" applyFont="1" applyBorder="1" applyAlignment="1">
      <alignment vertical="center"/>
    </xf>
    <xf numFmtId="164" fontId="8" fillId="7" borderId="136" xfId="0" applyNumberFormat="1" applyFont="1" applyFill="1" applyBorder="1" applyAlignment="1">
      <alignment horizontal="left" vertical="center" wrapText="1"/>
    </xf>
    <xf numFmtId="0" fontId="8" fillId="0" borderId="70" xfId="0" applyFont="1" applyBorder="1" applyAlignment="1">
      <alignment vertical="center"/>
    </xf>
    <xf numFmtId="0" fontId="8" fillId="0" borderId="134" xfId="0" applyFont="1" applyBorder="1" applyAlignment="1">
      <alignment vertical="center"/>
    </xf>
    <xf numFmtId="0" fontId="8" fillId="0" borderId="43" xfId="0" applyFont="1" applyBorder="1" applyAlignment="1">
      <alignment wrapText="1"/>
    </xf>
    <xf numFmtId="164" fontId="8" fillId="0" borderId="43" xfId="0" applyNumberFormat="1" applyFont="1" applyBorder="1" applyAlignment="1">
      <alignment horizontal="center" vertical="center" wrapText="1"/>
    </xf>
    <xf numFmtId="164" fontId="15" fillId="0" borderId="43" xfId="0" applyNumberFormat="1" applyFont="1" applyBorder="1" applyAlignment="1">
      <alignment horizontal="center" vertical="center" wrapText="1"/>
    </xf>
    <xf numFmtId="0" fontId="8" fillId="26" borderId="43" xfId="0" applyFont="1" applyFill="1" applyBorder="1" applyAlignment="1">
      <alignment vertical="center"/>
    </xf>
    <xf numFmtId="0" fontId="0" fillId="26" borderId="43" xfId="0" applyFill="1" applyBorder="1"/>
    <xf numFmtId="0" fontId="20" fillId="26" borderId="43" xfId="0" applyFont="1" applyFill="1" applyBorder="1" applyAlignment="1">
      <alignment vertical="center"/>
    </xf>
    <xf numFmtId="0" fontId="2" fillId="26" borderId="142" xfId="0" applyFont="1" applyFill="1" applyBorder="1"/>
    <xf numFmtId="0" fontId="4" fillId="0" borderId="134" xfId="0" applyFont="1" applyBorder="1" applyAlignment="1">
      <alignment horizontal="center" vertical="center"/>
    </xf>
    <xf numFmtId="0" fontId="10" fillId="6" borderId="128" xfId="0" applyFont="1" applyFill="1" applyBorder="1" applyAlignment="1">
      <alignment vertical="center"/>
    </xf>
    <xf numFmtId="0" fontId="10" fillId="0" borderId="140" xfId="0" applyFont="1" applyBorder="1" applyAlignment="1">
      <alignment vertical="center" wrapText="1"/>
    </xf>
    <xf numFmtId="0" fontId="5" fillId="0" borderId="140" xfId="0" applyFont="1" applyBorder="1" applyAlignment="1">
      <alignment vertical="center"/>
    </xf>
    <xf numFmtId="0" fontId="10" fillId="0" borderId="140" xfId="0" applyFont="1" applyBorder="1" applyAlignment="1">
      <alignment horizontal="center" vertical="center"/>
    </xf>
    <xf numFmtId="0" fontId="10" fillId="0" borderId="140" xfId="0" applyFont="1" applyBorder="1" applyAlignment="1">
      <alignment vertical="center"/>
    </xf>
    <xf numFmtId="0" fontId="10" fillId="6" borderId="140" xfId="0" applyFont="1" applyFill="1" applyBorder="1" applyAlignment="1">
      <alignment vertical="center"/>
    </xf>
    <xf numFmtId="0" fontId="10" fillId="5" borderId="149" xfId="0" applyFont="1" applyFill="1" applyBorder="1" applyAlignment="1">
      <alignment vertical="center"/>
    </xf>
    <xf numFmtId="0" fontId="10" fillId="6" borderId="150" xfId="0" applyFont="1" applyFill="1" applyBorder="1" applyAlignment="1">
      <alignment vertical="center"/>
    </xf>
    <xf numFmtId="0" fontId="10" fillId="0" borderId="127" xfId="0" applyFont="1" applyBorder="1" applyAlignment="1">
      <alignment vertical="center"/>
    </xf>
    <xf numFmtId="0" fontId="4" fillId="0" borderId="9" xfId="0" applyFont="1" applyBorder="1" applyAlignment="1">
      <alignment horizontal="center" vertical="center"/>
    </xf>
    <xf numFmtId="0" fontId="4" fillId="0" borderId="9" xfId="0" applyFont="1" applyBorder="1" applyAlignment="1">
      <alignment vertical="center"/>
    </xf>
    <xf numFmtId="0" fontId="5" fillId="0" borderId="9" xfId="0" applyFont="1" applyBorder="1" applyAlignment="1">
      <alignment vertical="center"/>
    </xf>
    <xf numFmtId="0" fontId="20" fillId="0" borderId="9" xfId="0" applyFont="1" applyBorder="1" applyAlignment="1">
      <alignment vertical="center"/>
    </xf>
    <xf numFmtId="0" fontId="4" fillId="26" borderId="1" xfId="0" applyFont="1" applyFill="1" applyBorder="1" applyAlignment="1">
      <alignment horizontal="center" vertical="center"/>
    </xf>
    <xf numFmtId="0" fontId="4" fillId="26" borderId="1" xfId="0" applyFont="1" applyFill="1" applyBorder="1" applyAlignment="1">
      <alignment vertical="center"/>
    </xf>
    <xf numFmtId="0" fontId="5" fillId="26" borderId="1" xfId="0" applyFont="1" applyFill="1" applyBorder="1" applyAlignment="1">
      <alignment vertical="center"/>
    </xf>
    <xf numFmtId="0" fontId="14" fillId="26" borderId="1" xfId="0" applyFont="1" applyFill="1" applyBorder="1" applyAlignment="1">
      <alignment vertical="center"/>
    </xf>
    <xf numFmtId="0" fontId="38" fillId="26" borderId="1" xfId="0" applyFont="1" applyFill="1" applyBorder="1"/>
    <xf numFmtId="0" fontId="15" fillId="26" borderId="1" xfId="0" applyFont="1" applyFill="1" applyBorder="1" applyAlignment="1">
      <alignment wrapText="1"/>
    </xf>
    <xf numFmtId="0" fontId="2" fillId="26" borderId="141" xfId="0" applyFont="1" applyFill="1" applyBorder="1" applyAlignment="1">
      <alignment wrapText="1"/>
    </xf>
    <xf numFmtId="0" fontId="43" fillId="26" borderId="141" xfId="0" applyFont="1" applyFill="1" applyBorder="1" applyAlignment="1">
      <alignment vertical="center"/>
    </xf>
    <xf numFmtId="164" fontId="16" fillId="26" borderId="7" xfId="0" applyNumberFormat="1" applyFont="1" applyFill="1" applyBorder="1" applyAlignment="1">
      <alignment horizontal="center" vertical="center" wrapText="1"/>
    </xf>
    <xf numFmtId="0" fontId="8" fillId="26" borderId="1" xfId="0" applyFont="1" applyFill="1" applyBorder="1" applyAlignment="1">
      <alignment wrapText="1"/>
    </xf>
    <xf numFmtId="0" fontId="7" fillId="0" borderId="0" xfId="0" applyFont="1" applyAlignment="1">
      <alignment horizontal="center"/>
    </xf>
    <xf numFmtId="0" fontId="0" fillId="0" borderId="0" xfId="0" applyAlignment="1"/>
    <xf numFmtId="0" fontId="2" fillId="0" borderId="0" xfId="0" applyFont="1" applyAlignment="1">
      <alignment horizontal="center"/>
    </xf>
    <xf numFmtId="0" fontId="1" fillId="0" borderId="0" xfId="0" applyFont="1" applyAlignment="1">
      <alignment horizontal="center"/>
    </xf>
    <xf numFmtId="0" fontId="3" fillId="0" borderId="0" xfId="0" applyFont="1" applyAlignment="1">
      <alignment horizontal="center" wrapText="1"/>
    </xf>
    <xf numFmtId="0" fontId="4" fillId="0" borderId="137" xfId="0" applyFont="1" applyBorder="1" applyAlignment="1">
      <alignment wrapText="1"/>
    </xf>
    <xf numFmtId="0" fontId="6" fillId="0" borderId="137" xfId="0" applyFont="1" applyBorder="1" applyAlignment="1"/>
    <xf numFmtId="0" fontId="7" fillId="0" borderId="0" xfId="0" applyFont="1" applyAlignment="1">
      <alignment wrapText="1"/>
    </xf>
    <xf numFmtId="0" fontId="8" fillId="30" borderId="142" xfId="0" applyFont="1" applyFill="1" applyBorder="1" applyAlignment="1">
      <alignment horizontal="left" wrapText="1"/>
    </xf>
    <xf numFmtId="0" fontId="8" fillId="30" borderId="144" xfId="0" applyFont="1" applyFill="1" applyBorder="1" applyAlignment="1">
      <alignment horizontal="left" wrapText="1"/>
    </xf>
    <xf numFmtId="0" fontId="103" fillId="0" borderId="142" xfId="0" applyFont="1" applyBorder="1" applyAlignment="1">
      <alignment horizontal="center" vertical="center" wrapText="1"/>
    </xf>
    <xf numFmtId="0" fontId="103" fillId="0" borderId="144" xfId="0" applyFont="1" applyBorder="1" applyAlignment="1">
      <alignment horizontal="center" vertical="center" wrapText="1"/>
    </xf>
    <xf numFmtId="0" fontId="103" fillId="0" borderId="9" xfId="0" applyFont="1" applyBorder="1" applyAlignment="1">
      <alignment horizontal="center" wrapText="1"/>
    </xf>
    <xf numFmtId="0" fontId="103" fillId="0" borderId="148" xfId="0" applyFont="1" applyBorder="1" applyAlignment="1">
      <alignment horizontal="center" wrapText="1"/>
    </xf>
    <xf numFmtId="0" fontId="8" fillId="27" borderId="141" xfId="0" applyFont="1" applyFill="1" applyBorder="1" applyAlignment="1">
      <alignment horizontal="left" vertical="center" wrapText="1"/>
    </xf>
    <xf numFmtId="0" fontId="8" fillId="26" borderId="142" xfId="0" applyFont="1" applyFill="1" applyBorder="1" applyAlignment="1">
      <alignment horizontal="left" vertical="center" wrapText="1"/>
    </xf>
    <xf numFmtId="0" fontId="8" fillId="26" borderId="143" xfId="0" applyFont="1" applyFill="1" applyBorder="1" applyAlignment="1">
      <alignment horizontal="left" vertical="center" wrapText="1"/>
    </xf>
    <xf numFmtId="0" fontId="8" fillId="26" borderId="144" xfId="0" applyFont="1" applyFill="1" applyBorder="1" applyAlignment="1">
      <alignment horizontal="left" vertical="center" wrapText="1"/>
    </xf>
    <xf numFmtId="0" fontId="8" fillId="30" borderId="142" xfId="0" applyFont="1" applyFill="1" applyBorder="1" applyAlignment="1">
      <alignment horizontal="center" vertical="center" wrapText="1"/>
    </xf>
    <xf numFmtId="0" fontId="8" fillId="30" borderId="143" xfId="0" applyFont="1" applyFill="1" applyBorder="1" applyAlignment="1">
      <alignment horizontal="center" vertical="center" wrapText="1"/>
    </xf>
    <xf numFmtId="0" fontId="8" fillId="30" borderId="144" xfId="0" applyFont="1" applyFill="1" applyBorder="1" applyAlignment="1">
      <alignment horizontal="center" vertical="center" wrapText="1"/>
    </xf>
    <xf numFmtId="0" fontId="15" fillId="30" borderId="142" xfId="0" applyFont="1" applyFill="1" applyBorder="1" applyAlignment="1">
      <alignment horizontal="center" vertical="center" wrapText="1"/>
    </xf>
    <xf numFmtId="0" fontId="15" fillId="30" borderId="143" xfId="0" applyFont="1" applyFill="1" applyBorder="1" applyAlignment="1">
      <alignment horizontal="center" vertical="center" wrapText="1"/>
    </xf>
    <xf numFmtId="0" fontId="15" fillId="30" borderId="144" xfId="0" applyFont="1" applyFill="1" applyBorder="1" applyAlignment="1">
      <alignment horizontal="center" vertical="center" wrapText="1"/>
    </xf>
    <xf numFmtId="0" fontId="8" fillId="0" borderId="142" xfId="0" applyFont="1" applyBorder="1" applyAlignment="1">
      <alignment horizontal="left" vertical="center" wrapText="1"/>
    </xf>
    <xf numFmtId="0" fontId="8" fillId="0" borderId="143" xfId="0" applyFont="1" applyBorder="1" applyAlignment="1">
      <alignment horizontal="left" vertical="center" wrapText="1"/>
    </xf>
    <xf numFmtId="0" fontId="8" fillId="0" borderId="144" xfId="0" applyFont="1" applyBorder="1" applyAlignment="1">
      <alignment horizontal="left" vertical="center" wrapText="1"/>
    </xf>
    <xf numFmtId="0" fontId="15" fillId="0" borderId="142" xfId="0" applyFont="1" applyBorder="1" applyAlignment="1">
      <alignment horizontal="left" vertical="center" wrapText="1"/>
    </xf>
    <xf numFmtId="0" fontId="15" fillId="0" borderId="143" xfId="0" applyFont="1" applyBorder="1" applyAlignment="1">
      <alignment horizontal="left" vertical="center" wrapText="1"/>
    </xf>
    <xf numFmtId="0" fontId="15" fillId="0" borderId="144" xfId="0" applyFont="1" applyBorder="1" applyAlignment="1">
      <alignment horizontal="left" vertical="center" wrapText="1"/>
    </xf>
    <xf numFmtId="0" fontId="103" fillId="0" borderId="141" xfId="0" applyFont="1" applyBorder="1" applyAlignment="1">
      <alignment horizontal="center" vertical="center" wrapText="1"/>
    </xf>
    <xf numFmtId="0" fontId="35" fillId="0" borderId="142" xfId="0" applyFont="1" applyBorder="1" applyAlignment="1">
      <alignment horizontal="center" vertical="center" wrapText="1"/>
    </xf>
    <xf numFmtId="0" fontId="35" fillId="0" borderId="144" xfId="0" applyFont="1" applyBorder="1" applyAlignment="1">
      <alignment horizontal="center" vertical="center" wrapText="1"/>
    </xf>
    <xf numFmtId="0" fontId="15" fillId="28" borderId="141" xfId="0" applyFont="1" applyFill="1" applyBorder="1" applyAlignment="1">
      <alignment horizontal="left" vertical="center" wrapText="1"/>
    </xf>
    <xf numFmtId="0" fontId="8" fillId="28" borderId="141" xfId="0" applyFont="1" applyFill="1" applyBorder="1" applyAlignment="1">
      <alignment horizontal="left" vertical="center" wrapText="1"/>
    </xf>
    <xf numFmtId="0" fontId="8" fillId="28" borderId="141" xfId="0" applyFont="1" applyFill="1" applyBorder="1" applyAlignment="1">
      <alignment horizontal="left" wrapText="1"/>
    </xf>
    <xf numFmtId="0" fontId="8" fillId="30" borderId="141" xfId="0" applyFont="1" applyFill="1" applyBorder="1" applyAlignment="1">
      <alignment horizontal="left" wrapText="1"/>
    </xf>
    <xf numFmtId="0" fontId="8" fillId="30" borderId="141" xfId="0" applyFont="1" applyFill="1" applyBorder="1" applyAlignment="1">
      <alignment horizontal="left" vertical="center" wrapText="1"/>
    </xf>
    <xf numFmtId="0" fontId="15" fillId="26" borderId="141" xfId="0" applyFont="1" applyFill="1" applyBorder="1" applyAlignment="1">
      <alignment horizontal="left" vertical="center" wrapText="1"/>
    </xf>
    <xf numFmtId="0" fontId="8" fillId="26" borderId="141" xfId="0" applyFont="1" applyFill="1" applyBorder="1" applyAlignment="1">
      <alignment horizontal="left" vertical="center" wrapText="1"/>
    </xf>
    <xf numFmtId="0" fontId="15" fillId="27" borderId="141" xfId="0" applyFont="1" applyFill="1" applyBorder="1" applyAlignment="1">
      <alignment horizontal="left" vertical="center" wrapText="1"/>
    </xf>
    <xf numFmtId="0" fontId="8" fillId="30" borderId="143" xfId="0" applyFont="1" applyFill="1" applyBorder="1" applyAlignment="1">
      <alignment horizontal="left" wrapText="1"/>
    </xf>
    <xf numFmtId="0" fontId="4" fillId="0" borderId="0" xfId="0" applyFont="1" applyAlignment="1">
      <alignment horizontal="center" vertical="center"/>
    </xf>
    <xf numFmtId="0" fontId="15" fillId="0" borderId="0" xfId="0" applyFont="1" applyAlignment="1">
      <alignment horizontal="center"/>
    </xf>
    <xf numFmtId="0" fontId="10" fillId="0" borderId="0" xfId="0" applyFont="1" applyAlignment="1">
      <alignment horizontal="center" vertical="center"/>
    </xf>
    <xf numFmtId="0" fontId="4" fillId="0" borderId="0" xfId="0" applyFont="1" applyAlignment="1">
      <alignment horizontal="center" vertical="center" wrapText="1"/>
    </xf>
    <xf numFmtId="0" fontId="11" fillId="0" borderId="0" xfId="0" applyFont="1" applyAlignment="1">
      <alignment horizontal="center" vertical="center" wrapText="1"/>
    </xf>
    <xf numFmtId="0" fontId="4" fillId="0" borderId="42" xfId="0" applyFont="1" applyBorder="1" applyAlignment="1">
      <alignment horizontal="center" vertical="center" wrapText="1"/>
    </xf>
    <xf numFmtId="0" fontId="6" fillId="0" borderId="45" xfId="0" applyFont="1" applyBorder="1" applyAlignment="1"/>
    <xf numFmtId="3" fontId="4" fillId="0" borderId="42" xfId="0" applyNumberFormat="1" applyFont="1" applyBorder="1" applyAlignment="1">
      <alignment horizontal="center" vertical="center" wrapText="1"/>
    </xf>
    <xf numFmtId="0" fontId="11" fillId="4" borderId="43" xfId="0" applyFont="1" applyFill="1" applyBorder="1" applyAlignment="1">
      <alignment horizontal="center" vertical="center"/>
    </xf>
    <xf numFmtId="0" fontId="6" fillId="0" borderId="136" xfId="0" applyFont="1" applyBorder="1" applyAlignment="1"/>
    <xf numFmtId="0" fontId="6" fillId="0" borderId="44" xfId="0" applyFont="1" applyBorder="1" applyAlignment="1"/>
    <xf numFmtId="0" fontId="4" fillId="0" borderId="43" xfId="0" applyFont="1" applyBorder="1" applyAlignment="1">
      <alignment horizontal="center" vertical="center"/>
    </xf>
    <xf numFmtId="165" fontId="13" fillId="0" borderId="0" xfId="0" applyNumberFormat="1" applyFont="1" applyAlignment="1">
      <alignment horizontal="center" vertical="center"/>
    </xf>
    <xf numFmtId="1" fontId="4" fillId="0" borderId="0" xfId="0" applyNumberFormat="1" applyFont="1" applyAlignment="1">
      <alignment horizontal="center" vertical="center"/>
    </xf>
    <xf numFmtId="0" fontId="8" fillId="0" borderId="0" xfId="0" applyFont="1" applyAlignment="1">
      <alignment wrapText="1"/>
    </xf>
    <xf numFmtId="0" fontId="8" fillId="0" borderId="0" xfId="0" applyFont="1" applyAlignment="1">
      <alignment horizontal="center"/>
    </xf>
    <xf numFmtId="0" fontId="17" fillId="0" borderId="0" xfId="0" applyFont="1" applyAlignment="1">
      <alignment horizontal="right"/>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22" fillId="0" borderId="0" xfId="0" applyFont="1" applyAlignment="1">
      <alignment horizontal="right"/>
    </xf>
    <xf numFmtId="0" fontId="23" fillId="0" borderId="0" xfId="0" applyFont="1" applyAlignment="1">
      <alignment horizontal="center" vertical="center"/>
    </xf>
    <xf numFmtId="0" fontId="4" fillId="7" borderId="9" xfId="0" applyFont="1" applyFill="1" applyBorder="1" applyAlignment="1">
      <alignment horizontal="center" vertical="center" wrapText="1"/>
    </xf>
    <xf numFmtId="0" fontId="6" fillId="0" borderId="9" xfId="0" applyFont="1" applyBorder="1" applyAlignment="1"/>
    <xf numFmtId="0" fontId="17" fillId="7" borderId="9" xfId="0" applyFont="1" applyFill="1" applyBorder="1" applyAlignment="1">
      <alignment horizontal="center" vertical="center"/>
    </xf>
    <xf numFmtId="0" fontId="17" fillId="0" borderId="0" xfId="0" applyFont="1" applyAlignment="1">
      <alignment horizontal="center" vertical="center" wrapText="1"/>
    </xf>
    <xf numFmtId="1" fontId="9" fillId="0" borderId="0" xfId="0" applyNumberFormat="1" applyFont="1" applyAlignment="1">
      <alignment horizontal="center" vertical="center"/>
    </xf>
    <xf numFmtId="0" fontId="4" fillId="7" borderId="9" xfId="0" applyFont="1" applyFill="1" applyBorder="1" applyAlignment="1">
      <alignment horizontal="center"/>
    </xf>
    <xf numFmtId="0" fontId="27" fillId="7" borderId="9" xfId="0" applyFont="1" applyFill="1" applyBorder="1" applyAlignment="1">
      <alignment horizontal="center" wrapText="1"/>
    </xf>
    <xf numFmtId="0" fontId="22" fillId="0" borderId="0" xfId="0" applyFont="1" applyAlignment="1">
      <alignment horizontal="center" wrapText="1"/>
    </xf>
    <xf numFmtId="0" fontId="2" fillId="7" borderId="9" xfId="0" applyFont="1" applyFill="1" applyBorder="1" applyAlignment="1">
      <alignment horizontal="center" wrapText="1"/>
    </xf>
    <xf numFmtId="0" fontId="17" fillId="0" borderId="0" xfId="0" applyFont="1" applyAlignment="1">
      <alignment horizontal="right" vertical="center"/>
    </xf>
    <xf numFmtId="0" fontId="22" fillId="0" borderId="0" xfId="0" applyFont="1" applyAlignment="1">
      <alignment horizontal="right" vertical="center"/>
    </xf>
    <xf numFmtId="0" fontId="22" fillId="0" borderId="0" xfId="0" applyFont="1" applyAlignment="1">
      <alignment horizontal="center" vertical="center"/>
    </xf>
    <xf numFmtId="0" fontId="25" fillId="7" borderId="9" xfId="0" applyFont="1" applyFill="1" applyBorder="1" applyAlignment="1">
      <alignment horizontal="center" vertical="center" wrapText="1"/>
    </xf>
    <xf numFmtId="0" fontId="13" fillId="0" borderId="0" xfId="0" applyFont="1" applyAlignment="1">
      <alignment horizontal="center" vertical="center"/>
    </xf>
    <xf numFmtId="0" fontId="8"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center"/>
    </xf>
    <xf numFmtId="0" fontId="5" fillId="0" borderId="0" xfId="0" applyFont="1" applyAlignment="1">
      <alignment horizontal="center" vertical="center"/>
    </xf>
    <xf numFmtId="0" fontId="36" fillId="0" borderId="0" xfId="0" applyFont="1" applyAlignment="1">
      <alignment horizontal="center" vertical="center"/>
    </xf>
    <xf numFmtId="164" fontId="17" fillId="0" borderId="23" xfId="0" applyNumberFormat="1" applyFont="1" applyBorder="1" applyAlignment="1">
      <alignment horizontal="center" vertical="center" wrapText="1"/>
    </xf>
    <xf numFmtId="0" fontId="6" fillId="0" borderId="28" xfId="0" applyFont="1" applyBorder="1" applyAlignment="1"/>
    <xf numFmtId="164" fontId="17" fillId="0" borderId="25" xfId="0" applyNumberFormat="1" applyFont="1" applyBorder="1" applyAlignment="1">
      <alignment horizontal="center" vertical="center" wrapText="1"/>
    </xf>
    <xf numFmtId="0" fontId="6" fillId="0" borderId="26" xfId="0" applyFont="1" applyBorder="1" applyAlignment="1"/>
    <xf numFmtId="0" fontId="6" fillId="0" borderId="27" xfId="0" applyFont="1" applyBorder="1" applyAlignment="1"/>
    <xf numFmtId="164" fontId="17" fillId="0" borderId="24" xfId="0" applyNumberFormat="1" applyFont="1" applyBorder="1" applyAlignment="1">
      <alignment horizontal="center" vertical="center" wrapText="1"/>
    </xf>
    <xf numFmtId="0" fontId="6" fillId="0" borderId="29" xfId="0" applyFont="1" applyBorder="1" applyAlignment="1"/>
    <xf numFmtId="164" fontId="39" fillId="10" borderId="24" xfId="0" applyNumberFormat="1" applyFont="1" applyFill="1" applyBorder="1" applyAlignment="1">
      <alignment horizontal="center" vertical="center" wrapText="1"/>
    </xf>
    <xf numFmtId="164" fontId="17" fillId="10" borderId="24" xfId="0" applyNumberFormat="1" applyFont="1" applyFill="1" applyBorder="1" applyAlignment="1">
      <alignment horizontal="center" vertical="center" wrapText="1"/>
    </xf>
    <xf numFmtId="0" fontId="15" fillId="0" borderId="0" xfId="0" applyFont="1" applyAlignment="1">
      <alignment horizontal="center" vertical="center"/>
    </xf>
    <xf numFmtId="166" fontId="17" fillId="5" borderId="24" xfId="0" applyNumberFormat="1" applyFont="1" applyFill="1" applyBorder="1" applyAlignment="1">
      <alignment horizontal="center" vertical="center" wrapText="1"/>
    </xf>
    <xf numFmtId="164" fontId="17" fillId="0" borderId="32" xfId="0" applyNumberFormat="1" applyFont="1" applyBorder="1" applyAlignment="1">
      <alignment horizontal="center" vertical="center" wrapText="1"/>
    </xf>
    <xf numFmtId="0" fontId="6" fillId="0" borderId="33" xfId="0" applyFont="1" applyBorder="1" applyAlignment="1"/>
    <xf numFmtId="166" fontId="17" fillId="0" borderId="24" xfId="0" applyNumberFormat="1" applyFont="1" applyBorder="1" applyAlignment="1">
      <alignment horizontal="center" vertical="center" wrapText="1"/>
    </xf>
    <xf numFmtId="164" fontId="17" fillId="0" borderId="31" xfId="0" applyNumberFormat="1" applyFont="1" applyBorder="1" applyAlignment="1">
      <alignment horizontal="center" vertical="center" wrapText="1"/>
    </xf>
    <xf numFmtId="0" fontId="10" fillId="0" borderId="0" xfId="0" applyFont="1" applyAlignment="1">
      <alignment horizontal="center" wrapText="1"/>
    </xf>
    <xf numFmtId="0" fontId="4" fillId="0" borderId="0" xfId="0" applyFont="1" applyAlignment="1">
      <alignment horizontal="center"/>
    </xf>
    <xf numFmtId="0" fontId="16" fillId="0" borderId="0" xfId="0" applyFont="1" applyAlignment="1">
      <alignment horizontal="left" wrapText="1"/>
    </xf>
    <xf numFmtId="172" fontId="16" fillId="0" borderId="0" xfId="0" applyNumberFormat="1" applyFont="1" applyAlignment="1">
      <alignment horizontal="left" wrapText="1"/>
    </xf>
    <xf numFmtId="1" fontId="16" fillId="0" borderId="42" xfId="0" applyNumberFormat="1" applyFont="1" applyBorder="1" applyAlignment="1">
      <alignment horizontal="center" vertical="top" wrapText="1"/>
    </xf>
    <xf numFmtId="0" fontId="6" fillId="0" borderId="122" xfId="0" applyFont="1" applyBorder="1" applyAlignment="1"/>
    <xf numFmtId="164" fontId="39" fillId="0" borderId="24" xfId="0" applyNumberFormat="1" applyFont="1" applyBorder="1" applyAlignment="1">
      <alignment horizontal="center" vertical="center" wrapText="1"/>
    </xf>
    <xf numFmtId="0" fontId="17" fillId="0" borderId="0" xfId="0" applyFont="1" applyAlignment="1">
      <alignment horizontal="center" wrapText="1"/>
    </xf>
    <xf numFmtId="0" fontId="10" fillId="0" borderId="0" xfId="0" applyFont="1" applyAlignment="1">
      <alignment horizontal="center"/>
    </xf>
    <xf numFmtId="0" fontId="51" fillId="0" borderId="0" xfId="0" applyFont="1" applyAlignment="1">
      <alignment horizontal="center" vertical="top"/>
    </xf>
    <xf numFmtId="0" fontId="17" fillId="0" borderId="42" xfId="0" applyFont="1" applyBorder="1" applyAlignment="1">
      <alignment horizontal="center" vertical="center" wrapText="1"/>
    </xf>
    <xf numFmtId="0" fontId="8" fillId="0" borderId="47" xfId="0" applyFont="1" applyBorder="1" applyAlignment="1">
      <alignment horizontal="left" vertical="center" wrapText="1"/>
    </xf>
    <xf numFmtId="0" fontId="6" fillId="0" borderId="48" xfId="0" applyFont="1" applyBorder="1" applyAlignment="1"/>
    <xf numFmtId="164" fontId="17" fillId="0" borderId="49" xfId="0" applyNumberFormat="1" applyFont="1" applyBorder="1" applyAlignment="1">
      <alignment horizontal="center" vertical="center" wrapText="1"/>
    </xf>
    <xf numFmtId="0" fontId="6" fillId="0" borderId="50" xfId="0" applyFont="1" applyBorder="1" applyAlignment="1"/>
    <xf numFmtId="0" fontId="17" fillId="0" borderId="0" xfId="0" applyFont="1" applyAlignment="1">
      <alignment horizontal="center"/>
    </xf>
    <xf numFmtId="0" fontId="46" fillId="0" borderId="0" xfId="0" applyFont="1" applyAlignment="1">
      <alignment horizontal="left" wrapText="1"/>
    </xf>
    <xf numFmtId="0" fontId="30" fillId="0" borderId="0" xfId="0" applyFont="1" applyAlignment="1">
      <alignment horizontal="left" wrapText="1"/>
    </xf>
    <xf numFmtId="0" fontId="30" fillId="7" borderId="9" xfId="0" applyFont="1" applyFill="1" applyBorder="1" applyAlignment="1">
      <alignment horizontal="left" wrapText="1"/>
    </xf>
    <xf numFmtId="0" fontId="46" fillId="7" borderId="9" xfId="0" applyFont="1" applyFill="1" applyBorder="1" applyAlignment="1">
      <alignment horizontal="left" wrapText="1"/>
    </xf>
    <xf numFmtId="172" fontId="16" fillId="7" borderId="9" xfId="0" applyNumberFormat="1" applyFont="1" applyFill="1" applyBorder="1" applyAlignment="1">
      <alignment horizontal="left" wrapText="1"/>
    </xf>
    <xf numFmtId="164" fontId="17" fillId="7" borderId="49" xfId="0" applyNumberFormat="1" applyFont="1" applyFill="1" applyBorder="1" applyAlignment="1">
      <alignment horizontal="center" vertical="center" wrapText="1"/>
    </xf>
    <xf numFmtId="164" fontId="17" fillId="7" borderId="31" xfId="0" applyNumberFormat="1" applyFont="1" applyFill="1" applyBorder="1" applyAlignment="1">
      <alignment horizontal="center" vertical="center" wrapText="1"/>
    </xf>
    <xf numFmtId="166" fontId="17" fillId="7" borderId="24" xfId="0" applyNumberFormat="1" applyFont="1" applyFill="1" applyBorder="1" applyAlignment="1">
      <alignment horizontal="center" vertical="center" wrapText="1"/>
    </xf>
    <xf numFmtId="164" fontId="17" fillId="7" borderId="24" xfId="0" applyNumberFormat="1" applyFont="1" applyFill="1" applyBorder="1" applyAlignment="1">
      <alignment horizontal="center" vertical="center" wrapText="1"/>
    </xf>
    <xf numFmtId="0" fontId="31" fillId="7" borderId="9" xfId="0" applyFont="1" applyFill="1" applyBorder="1" applyAlignment="1">
      <alignment horizontal="center" vertical="center"/>
    </xf>
    <xf numFmtId="0" fontId="12" fillId="7" borderId="9" xfId="0" applyFont="1" applyFill="1" applyBorder="1" applyAlignment="1">
      <alignment horizontal="center" vertical="center"/>
    </xf>
    <xf numFmtId="164" fontId="39" fillId="7" borderId="24" xfId="0" applyNumberFormat="1" applyFont="1" applyFill="1" applyBorder="1" applyAlignment="1">
      <alignment horizontal="center" vertical="center" wrapText="1"/>
    </xf>
    <xf numFmtId="164" fontId="17" fillId="7" borderId="25" xfId="0" applyNumberFormat="1" applyFont="1" applyFill="1" applyBorder="1" applyAlignment="1">
      <alignment horizontal="center" vertical="center" wrapText="1"/>
    </xf>
    <xf numFmtId="0" fontId="8" fillId="7" borderId="9" xfId="0" applyFont="1" applyFill="1" applyBorder="1" applyAlignment="1">
      <alignment horizontal="center"/>
    </xf>
    <xf numFmtId="0" fontId="17" fillId="7" borderId="9" xfId="0" applyFont="1" applyFill="1" applyBorder="1" applyAlignment="1">
      <alignment horizontal="center" wrapText="1"/>
    </xf>
    <xf numFmtId="0" fontId="17" fillId="7" borderId="9" xfId="0" applyFont="1" applyFill="1" applyBorder="1" applyAlignment="1">
      <alignment horizontal="center"/>
    </xf>
    <xf numFmtId="0" fontId="4" fillId="7" borderId="9" xfId="0" applyFont="1" applyFill="1" applyBorder="1" applyAlignment="1">
      <alignment horizontal="center" vertical="center"/>
    </xf>
    <xf numFmtId="0" fontId="27" fillId="7" borderId="42" xfId="0" applyFont="1" applyFill="1" applyBorder="1" applyAlignment="1">
      <alignment horizontal="center" vertical="top"/>
    </xf>
    <xf numFmtId="164" fontId="4" fillId="0" borderId="42" xfId="0" applyNumberFormat="1" applyFont="1" applyBorder="1" applyAlignment="1">
      <alignment horizontal="center" wrapText="1"/>
    </xf>
    <xf numFmtId="0" fontId="5" fillId="0" borderId="0" xfId="0" applyFont="1" applyAlignment="1">
      <alignment horizontal="center"/>
    </xf>
    <xf numFmtId="0" fontId="13" fillId="0" borderId="0" xfId="0" applyFont="1" applyAlignment="1">
      <alignment horizontal="center"/>
    </xf>
    <xf numFmtId="164" fontId="4" fillId="0" borderId="35" xfId="0" applyNumberFormat="1" applyFont="1" applyBorder="1" applyAlignment="1">
      <alignment horizontal="center" wrapText="1"/>
    </xf>
    <xf numFmtId="164" fontId="17" fillId="0" borderId="31" xfId="0" applyNumberFormat="1" applyFont="1" applyBorder="1" applyAlignment="1">
      <alignment horizontal="left" vertical="center" wrapText="1"/>
    </xf>
    <xf numFmtId="0" fontId="39" fillId="10" borderId="82" xfId="0" applyFont="1" applyFill="1" applyBorder="1" applyAlignment="1">
      <alignment horizontal="center" vertical="center" wrapText="1"/>
    </xf>
    <xf numFmtId="0" fontId="6" fillId="0" borderId="87" xfId="0" applyFont="1" applyBorder="1" applyAlignment="1"/>
    <xf numFmtId="0" fontId="17" fillId="10" borderId="82" xfId="0" applyFont="1" applyFill="1" applyBorder="1" applyAlignment="1">
      <alignment horizontal="center" vertical="center" wrapText="1"/>
    </xf>
    <xf numFmtId="0" fontId="17" fillId="0" borderId="83" xfId="0" applyFont="1" applyBorder="1" applyAlignment="1">
      <alignment horizontal="center" vertical="center" wrapText="1"/>
    </xf>
    <xf numFmtId="0" fontId="6" fillId="0" borderId="84" xfId="0" applyFont="1" applyBorder="1" applyAlignment="1"/>
    <xf numFmtId="0" fontId="6" fillId="0" borderId="85" xfId="0" applyFont="1" applyBorder="1" applyAlignment="1"/>
    <xf numFmtId="0" fontId="17" fillId="0" borderId="81" xfId="0" applyFont="1" applyBorder="1" applyAlignment="1">
      <alignment horizontal="center" vertical="center" wrapText="1"/>
    </xf>
    <xf numFmtId="0" fontId="6" fillId="0" borderId="86" xfId="0" applyFont="1" applyBorder="1" applyAlignment="1"/>
    <xf numFmtId="0" fontId="17" fillId="0" borderId="82" xfId="0" applyFont="1" applyBorder="1" applyAlignment="1">
      <alignment horizontal="center" vertical="center" wrapText="1"/>
    </xf>
    <xf numFmtId="0" fontId="17" fillId="5" borderId="82" xfId="0" applyFont="1" applyFill="1" applyBorder="1" applyAlignment="1">
      <alignment horizontal="center" vertical="center" wrapText="1"/>
    </xf>
    <xf numFmtId="0" fontId="26" fillId="0" borderId="43" xfId="0" applyFont="1" applyBorder="1" applyAlignment="1">
      <alignment horizontal="left"/>
    </xf>
    <xf numFmtId="0" fontId="27" fillId="0" borderId="42" xfId="0" applyFont="1" applyBorder="1" applyAlignment="1">
      <alignment horizontal="center"/>
    </xf>
    <xf numFmtId="166" fontId="27" fillId="5" borderId="42" xfId="0" applyNumberFormat="1" applyFont="1" applyFill="1" applyBorder="1" applyAlignment="1">
      <alignment horizontal="center"/>
    </xf>
    <xf numFmtId="49" fontId="27" fillId="0" borderId="42" xfId="0" applyNumberFormat="1" applyFont="1" applyBorder="1" applyAlignment="1">
      <alignment horizontal="center"/>
    </xf>
    <xf numFmtId="0" fontId="67" fillId="0" borderId="43" xfId="0" applyFont="1" applyBorder="1" applyAlignment="1">
      <alignment horizontal="center"/>
    </xf>
    <xf numFmtId="0" fontId="7" fillId="0" borderId="43" xfId="0" applyFont="1" applyBorder="1" applyAlignment="1">
      <alignment horizontal="center"/>
    </xf>
    <xf numFmtId="49" fontId="68" fillId="10" borderId="42" xfId="0" applyNumberFormat="1" applyFont="1" applyFill="1" applyBorder="1" applyAlignment="1">
      <alignment horizontal="center"/>
    </xf>
    <xf numFmtId="167" fontId="27" fillId="10" borderId="42" xfId="0" applyNumberFormat="1" applyFont="1" applyFill="1" applyBorder="1" applyAlignment="1">
      <alignment horizontal="center"/>
    </xf>
    <xf numFmtId="0" fontId="27" fillId="0" borderId="43" xfId="0" applyFont="1" applyBorder="1" applyAlignment="1">
      <alignment horizontal="center"/>
    </xf>
    <xf numFmtId="0" fontId="8" fillId="0" borderId="43" xfId="0" applyFont="1" applyBorder="1" applyAlignment="1">
      <alignment horizontal="center" wrapText="1"/>
    </xf>
    <xf numFmtId="0" fontId="9" fillId="0" borderId="43" xfId="0" applyFont="1" applyBorder="1" applyAlignment="1">
      <alignment wrapText="1"/>
    </xf>
    <xf numFmtId="0" fontId="17" fillId="0" borderId="43" xfId="0" applyFont="1" applyBorder="1" applyAlignment="1">
      <alignment horizontal="center" wrapText="1"/>
    </xf>
    <xf numFmtId="0" fontId="2" fillId="0" borderId="43" xfId="0" applyFont="1" applyBorder="1" applyAlignment="1">
      <alignment horizontal="center"/>
    </xf>
    <xf numFmtId="0" fontId="31" fillId="0" borderId="0" xfId="0" applyFont="1" applyAlignment="1">
      <alignment horizontal="center" vertical="center" wrapText="1"/>
    </xf>
    <xf numFmtId="0" fontId="12" fillId="0" borderId="0" xfId="0" applyFont="1" applyAlignment="1">
      <alignment horizontal="center" vertical="center" wrapText="1"/>
    </xf>
    <xf numFmtId="164" fontId="39" fillId="0" borderId="42"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43" xfId="0" applyNumberFormat="1" applyFont="1" applyBorder="1" applyAlignment="1">
      <alignment horizontal="center" vertical="center" wrapText="1"/>
    </xf>
    <xf numFmtId="164" fontId="17" fillId="7" borderId="42" xfId="0" applyNumberFormat="1" applyFont="1" applyFill="1" applyBorder="1" applyAlignment="1">
      <alignment horizontal="center" vertical="center" wrapText="1"/>
    </xf>
    <xf numFmtId="164" fontId="17" fillId="5" borderId="42" xfId="0" applyNumberFormat="1" applyFont="1" applyFill="1" applyBorder="1" applyAlignment="1">
      <alignment horizontal="center" vertical="center" wrapText="1"/>
    </xf>
    <xf numFmtId="0" fontId="8" fillId="0" borderId="0" xfId="0" applyFont="1" applyAlignment="1">
      <alignment horizontal="center" vertical="center" wrapText="1"/>
    </xf>
    <xf numFmtId="164" fontId="27" fillId="0" borderId="31" xfId="0" applyNumberFormat="1" applyFont="1" applyBorder="1" applyAlignment="1">
      <alignment horizontal="center" vertical="center" wrapText="1"/>
    </xf>
    <xf numFmtId="164" fontId="15" fillId="0" borderId="31" xfId="0" applyNumberFormat="1" applyFont="1" applyBorder="1" applyAlignment="1">
      <alignment horizontal="center" vertical="center" wrapText="1"/>
    </xf>
    <xf numFmtId="0" fontId="48" fillId="0" borderId="121" xfId="0" applyFont="1" applyBorder="1" applyAlignment="1">
      <alignment horizontal="right" wrapText="1"/>
    </xf>
    <xf numFmtId="0" fontId="6" fillId="0" borderId="121" xfId="0" applyFont="1" applyBorder="1" applyAlignment="1"/>
    <xf numFmtId="0" fontId="15" fillId="0" borderId="0" xfId="0" applyFont="1" applyAlignment="1">
      <alignment horizontal="center" vertical="center" wrapText="1"/>
    </xf>
    <xf numFmtId="0" fontId="15" fillId="0" borderId="0" xfId="0" applyFont="1" applyAlignment="1">
      <alignment horizontal="left"/>
    </xf>
    <xf numFmtId="0" fontId="35" fillId="0" borderId="0" xfId="0" applyFont="1" applyAlignment="1">
      <alignment horizontal="center" vertical="center"/>
    </xf>
    <xf numFmtId="0" fontId="29" fillId="0" borderId="0" xfId="0" applyFont="1" applyAlignment="1">
      <alignment horizontal="center" vertical="center"/>
    </xf>
    <xf numFmtId="164" fontId="15" fillId="0" borderId="49" xfId="0" applyNumberFormat="1" applyFont="1" applyBorder="1" applyAlignment="1">
      <alignment horizontal="center" vertical="center" wrapText="1"/>
    </xf>
    <xf numFmtId="164" fontId="15" fillId="0" borderId="32" xfId="0" applyNumberFormat="1" applyFont="1" applyBorder="1" applyAlignment="1">
      <alignment horizontal="center" vertical="center" wrapText="1"/>
    </xf>
    <xf numFmtId="0" fontId="3" fillId="2" borderId="9" xfId="0" applyFont="1" applyFill="1" applyBorder="1" applyAlignment="1">
      <alignment horizontal="center"/>
    </xf>
    <xf numFmtId="0" fontId="73" fillId="2" borderId="9" xfId="0" applyFont="1" applyFill="1" applyBorder="1" applyAlignment="1">
      <alignment horizontal="center"/>
    </xf>
    <xf numFmtId="0" fontId="3" fillId="2" borderId="122" xfId="0" applyFont="1" applyFill="1" applyBorder="1" applyAlignment="1">
      <alignment horizontal="center"/>
    </xf>
    <xf numFmtId="0" fontId="43" fillId="2" borderId="122" xfId="0" applyFont="1" applyFill="1" applyBorder="1" applyAlignment="1">
      <alignment horizontal="center"/>
    </xf>
    <xf numFmtId="0" fontId="43" fillId="2" borderId="122" xfId="0" applyFont="1" applyFill="1" applyBorder="1" applyAlignment="1">
      <alignment horizontal="left"/>
    </xf>
    <xf numFmtId="0" fontId="2" fillId="2" borderId="9" xfId="0" applyFont="1" applyFill="1" applyBorder="1" applyAlignment="1">
      <alignment horizontal="center"/>
    </xf>
    <xf numFmtId="0" fontId="72" fillId="2" borderId="9" xfId="0" applyFont="1" applyFill="1" applyBorder="1" applyAlignment="1">
      <alignment horizontal="center"/>
    </xf>
    <xf numFmtId="0" fontId="78" fillId="0" borderId="42" xfId="0" applyFont="1" applyBorder="1" applyAlignment="1">
      <alignment horizontal="center"/>
    </xf>
    <xf numFmtId="0" fontId="76" fillId="0" borderId="0" xfId="0" applyFont="1" applyAlignment="1">
      <alignment horizontal="center" wrapText="1"/>
    </xf>
    <xf numFmtId="0" fontId="77" fillId="0" borderId="42" xfId="0" applyFont="1" applyBorder="1" applyAlignment="1">
      <alignment horizontal="center"/>
    </xf>
    <xf numFmtId="0" fontId="76" fillId="0" borderId="42" xfId="0" applyFont="1" applyBorder="1" applyAlignment="1">
      <alignment horizontal="center"/>
    </xf>
    <xf numFmtId="0" fontId="76" fillId="0" borderId="136" xfId="0" applyFont="1" applyBorder="1" applyAlignment="1">
      <alignment horizontal="center"/>
    </xf>
    <xf numFmtId="0" fontId="4" fillId="26" borderId="145" xfId="0" applyFont="1" applyFill="1" applyBorder="1" applyAlignment="1">
      <alignment horizontal="center" vertical="center" wrapText="1"/>
    </xf>
    <xf numFmtId="0" fontId="4" fillId="26" borderId="146" xfId="0" applyFont="1" applyFill="1" applyBorder="1" applyAlignment="1">
      <alignment horizontal="center" vertical="center" wrapText="1"/>
    </xf>
    <xf numFmtId="0" fontId="15" fillId="0" borderId="43" xfId="0" applyFont="1" applyBorder="1" applyAlignment="1">
      <alignment horizontal="center" vertical="center" wrapText="1"/>
    </xf>
    <xf numFmtId="0" fontId="49" fillId="0" borderId="0" xfId="0" applyFont="1" applyAlignment="1">
      <alignment horizontal="center"/>
    </xf>
    <xf numFmtId="0" fontId="23" fillId="7" borderId="43" xfId="0" applyFont="1" applyFill="1" applyBorder="1" applyAlignment="1">
      <alignment horizontal="center" vertical="center" wrapText="1"/>
    </xf>
    <xf numFmtId="0" fontId="17" fillId="0" borderId="0" xfId="0" applyFont="1" applyAlignment="1">
      <alignment horizontal="left" vertical="center" wrapText="1"/>
    </xf>
    <xf numFmtId="0" fontId="15" fillId="0" borderId="0" xfId="0" applyFont="1" applyAlignment="1">
      <alignment vertical="center" wrapText="1"/>
    </xf>
    <xf numFmtId="164" fontId="15" fillId="0" borderId="0" xfId="0" applyNumberFormat="1" applyFont="1" applyAlignment="1">
      <alignment horizontal="center" vertical="center" wrapText="1"/>
    </xf>
    <xf numFmtId="0" fontId="10" fillId="0" borderId="42" xfId="0" applyFont="1" applyBorder="1" applyAlignment="1">
      <alignment horizontal="center" vertical="center" wrapText="1"/>
    </xf>
    <xf numFmtId="0" fontId="10" fillId="0" borderId="57" xfId="0" applyFont="1" applyBorder="1" applyAlignment="1">
      <alignment wrapText="1"/>
    </xf>
    <xf numFmtId="0" fontId="10" fillId="0" borderId="122" xfId="0" applyFont="1" applyBorder="1" applyAlignment="1">
      <alignment horizontal="center" vertical="center" wrapText="1"/>
    </xf>
    <xf numFmtId="0" fontId="4" fillId="0" borderId="42" xfId="0" applyFont="1" applyBorder="1" applyAlignment="1">
      <alignment horizontal="left"/>
    </xf>
    <xf numFmtId="0" fontId="4" fillId="0" borderId="42" xfId="0" applyFont="1" applyBorder="1" applyAlignment="1">
      <alignment horizontal="left" vertical="center"/>
    </xf>
    <xf numFmtId="0" fontId="35" fillId="0" borderId="0" xfId="0" applyFont="1" applyAlignment="1">
      <alignment horizontal="center"/>
    </xf>
    <xf numFmtId="0" fontId="84" fillId="0" borderId="0" xfId="0" applyFont="1" applyAlignment="1">
      <alignment horizontal="center" vertical="center" wrapText="1"/>
    </xf>
    <xf numFmtId="0" fontId="13" fillId="0" borderId="0" xfId="0" applyFont="1" applyAlignment="1">
      <alignment horizontal="center" vertical="center" wrapText="1"/>
    </xf>
    <xf numFmtId="0" fontId="8" fillId="0" borderId="137" xfId="0" applyFont="1" applyBorder="1" applyAlignment="1">
      <alignment horizontal="center"/>
    </xf>
    <xf numFmtId="0" fontId="35" fillId="0" borderId="0" xfId="0" applyFont="1" applyAlignment="1">
      <alignment horizontal="center" vertical="center" wrapText="1"/>
    </xf>
    <xf numFmtId="0" fontId="4" fillId="0" borderId="43" xfId="0" applyFont="1" applyBorder="1" applyAlignment="1">
      <alignment horizontal="center" vertical="center" wrapText="1"/>
    </xf>
    <xf numFmtId="0" fontId="4" fillId="0" borderId="43" xfId="0" applyFont="1" applyBorder="1" applyAlignment="1">
      <alignment horizontal="center"/>
    </xf>
    <xf numFmtId="0" fontId="81" fillId="0" borderId="43" xfId="0" applyFont="1" applyBorder="1" applyAlignment="1">
      <alignment horizontal="center" vertical="center"/>
    </xf>
    <xf numFmtId="0" fontId="10" fillId="0" borderId="42" xfId="0" applyFont="1" applyBorder="1" applyAlignment="1">
      <alignment horizontal="center" wrapText="1"/>
    </xf>
    <xf numFmtId="0" fontId="15" fillId="0" borderId="0" xfId="0" applyFont="1" applyAlignment="1">
      <alignment horizontal="left" vertical="center" wrapText="1"/>
    </xf>
    <xf numFmtId="0" fontId="24" fillId="0" borderId="130" xfId="0" applyFont="1" applyBorder="1" applyAlignment="1">
      <alignment horizontal="center" wrapText="1"/>
    </xf>
    <xf numFmtId="0" fontId="6" fillId="0" borderId="130" xfId="0" applyFont="1" applyBorder="1" applyAlignment="1"/>
    <xf numFmtId="0" fontId="6" fillId="0" borderId="124" xfId="0" applyFont="1" applyBorder="1" applyAlignment="1"/>
    <xf numFmtId="0" fontId="86" fillId="21" borderId="133" xfId="0" applyFont="1" applyFill="1" applyBorder="1" applyAlignment="1">
      <alignment horizontal="center" wrapText="1"/>
    </xf>
    <xf numFmtId="0" fontId="6" fillId="0" borderId="132" xfId="0" applyFont="1" applyBorder="1" applyAlignment="1"/>
    <xf numFmtId="0" fontId="6" fillId="0" borderId="126" xfId="0" applyFont="1" applyBorder="1" applyAlignment="1"/>
    <xf numFmtId="0" fontId="86" fillId="0" borderId="0" xfId="0" applyFont="1" applyAlignment="1">
      <alignment vertical="top" wrapText="1"/>
    </xf>
    <xf numFmtId="0" fontId="6" fillId="0" borderId="131" xfId="0" applyFont="1" applyBorder="1" applyAlignment="1"/>
    <xf numFmtId="0" fontId="16" fillId="0" borderId="42" xfId="0" applyFont="1" applyBorder="1" applyAlignment="1">
      <alignment vertical="center"/>
    </xf>
    <xf numFmtId="0" fontId="16" fillId="0" borderId="42" xfId="0" applyFont="1" applyBorder="1" applyAlignment="1">
      <alignment horizontal="left" vertical="center"/>
    </xf>
    <xf numFmtId="0" fontId="16" fillId="0" borderId="42" xfId="0" applyFont="1" applyBorder="1" applyAlignment="1">
      <alignment horizontal="center" vertical="center" wrapText="1"/>
    </xf>
    <xf numFmtId="0" fontId="16" fillId="0" borderId="42" xfId="0" applyFont="1" applyBorder="1" applyAlignment="1">
      <alignment horizontal="center" vertical="center"/>
    </xf>
    <xf numFmtId="0" fontId="87" fillId="0" borderId="122" xfId="0" applyFont="1" applyBorder="1" applyAlignment="1">
      <alignment vertical="center"/>
    </xf>
    <xf numFmtId="0" fontId="87" fillId="0" borderId="122" xfId="0" applyFont="1" applyBorder="1" applyAlignment="1">
      <alignment horizontal="left" vertical="center"/>
    </xf>
    <xf numFmtId="0" fontId="4" fillId="0" borderId="0" xfId="0" applyFont="1" applyAlignment="1"/>
    <xf numFmtId="0" fontId="4" fillId="0" borderId="137" xfId="0" applyFont="1" applyBorder="1" applyAlignment="1">
      <alignment horizontal="center"/>
    </xf>
    <xf numFmtId="164" fontId="4" fillId="0" borderId="136" xfId="0" applyNumberFormat="1" applyFont="1" applyBorder="1" applyAlignment="1">
      <alignment horizontal="left"/>
    </xf>
    <xf numFmtId="0" fontId="35" fillId="0" borderId="0" xfId="0" applyFont="1" applyAlignment="1">
      <alignment horizontal="center" vertical="top" wrapText="1"/>
    </xf>
    <xf numFmtId="49" fontId="4" fillId="0" borderId="43" xfId="0" applyNumberFormat="1" applyFont="1" applyBorder="1" applyAlignment="1">
      <alignment horizontal="left" vertical="center" wrapText="1"/>
    </xf>
    <xf numFmtId="0" fontId="4" fillId="0" borderId="136" xfId="0" applyFont="1" applyBorder="1" applyAlignment="1">
      <alignment horizontal="left"/>
    </xf>
    <xf numFmtId="0" fontId="35" fillId="0" borderId="0" xfId="0" applyFont="1" applyAlignment="1">
      <alignment horizontal="center" vertical="top"/>
    </xf>
    <xf numFmtId="0" fontId="25" fillId="7" borderId="43" xfId="0" applyFont="1" applyFill="1" applyBorder="1" applyAlignment="1">
      <alignment horizontal="center" vertical="center" wrapText="1"/>
    </xf>
    <xf numFmtId="164" fontId="17" fillId="7" borderId="43" xfId="0" applyNumberFormat="1" applyFont="1" applyFill="1" applyBorder="1" applyAlignment="1">
      <alignment horizontal="center" vertical="center" wrapText="1"/>
    </xf>
    <xf numFmtId="164" fontId="17" fillId="7" borderId="134" xfId="0" applyNumberFormat="1" applyFont="1" applyFill="1" applyBorder="1" applyAlignment="1">
      <alignment horizontal="center" vertical="center" wrapText="1"/>
    </xf>
    <xf numFmtId="0" fontId="6" fillId="0" borderId="70" xfId="0" applyFont="1" applyBorder="1" applyAlignment="1"/>
    <xf numFmtId="0" fontId="15" fillId="7" borderId="9" xfId="0" applyFont="1" applyFill="1" applyBorder="1" applyAlignment="1">
      <alignment horizontal="center"/>
    </xf>
    <xf numFmtId="0" fontId="4" fillId="7" borderId="9" xfId="0" applyFont="1" applyFill="1" applyBorder="1" applyAlignment="1">
      <alignment horizontal="center" wrapText="1"/>
    </xf>
    <xf numFmtId="0" fontId="4" fillId="7" borderId="137" xfId="0" applyFont="1" applyFill="1" applyBorder="1" applyAlignment="1">
      <alignment horizontal="center" vertical="center"/>
    </xf>
    <xf numFmtId="0" fontId="23" fillId="7" borderId="9" xfId="0" applyFont="1" applyFill="1" applyBorder="1" applyAlignment="1">
      <alignment horizontal="center"/>
    </xf>
    <xf numFmtId="0" fontId="23" fillId="0" borderId="0" xfId="0" applyFont="1" applyAlignment="1">
      <alignment horizontal="center" vertical="center" wrapText="1"/>
    </xf>
    <xf numFmtId="0" fontId="30" fillId="0" borderId="0" xfId="0" applyFont="1" applyAlignment="1">
      <alignment horizontal="center" vertical="center" wrapText="1"/>
    </xf>
    <xf numFmtId="0" fontId="109" fillId="0" borderId="0" xfId="0" applyFont="1" applyAlignment="1"/>
    <xf numFmtId="0" fontId="23" fillId="0" borderId="43" xfId="0" applyFont="1" applyBorder="1" applyAlignment="1">
      <alignment horizontal="center" vertical="center" wrapText="1"/>
    </xf>
    <xf numFmtId="0" fontId="78" fillId="0" borderId="134" xfId="0" applyFont="1" applyBorder="1" applyAlignment="1">
      <alignment horizontal="center" vertical="center" wrapText="1"/>
    </xf>
    <xf numFmtId="0" fontId="90" fillId="26" borderId="141" xfId="0" applyFont="1" applyFill="1" applyBorder="1" applyAlignment="1">
      <alignment horizontal="center" vertical="center"/>
    </xf>
    <xf numFmtId="0" fontId="0" fillId="26" borderId="141" xfId="0" applyFill="1" applyBorder="1" applyAlignment="1"/>
    <xf numFmtId="0" fontId="78" fillId="0" borderId="42" xfId="0" applyFont="1" applyBorder="1" applyAlignment="1">
      <alignment horizontal="center" vertical="center" wrapText="1"/>
    </xf>
    <xf numFmtId="0" fontId="78" fillId="0" borderId="134" xfId="0" applyFont="1" applyBorder="1" applyAlignment="1">
      <alignment horizontal="left" vertical="center" wrapText="1"/>
    </xf>
    <xf numFmtId="0" fontId="6" fillId="0" borderId="135" xfId="0" applyFont="1" applyBorder="1" applyAlignment="1"/>
    <xf numFmtId="0" fontId="6" fillId="0" borderId="69" xfId="0" applyFont="1" applyBorder="1" applyAlignment="1"/>
    <xf numFmtId="0" fontId="6" fillId="0" borderId="2" xfId="0" applyFont="1" applyBorder="1" applyAlignment="1"/>
    <xf numFmtId="0" fontId="78" fillId="0" borderId="43" xfId="0" applyFont="1" applyBorder="1" applyAlignment="1">
      <alignment horizontal="center" vertical="center" wrapText="1"/>
    </xf>
    <xf numFmtId="0" fontId="6" fillId="0" borderId="45" xfId="0" applyFont="1" applyBorder="1" applyAlignment="1">
      <alignment wrapText="1"/>
    </xf>
    <xf numFmtId="0" fontId="77" fillId="7" borderId="43" xfId="0" applyFont="1" applyFill="1" applyBorder="1" applyAlignment="1">
      <alignment horizontal="left" vertical="center" wrapText="1"/>
    </xf>
    <xf numFmtId="0" fontId="78" fillId="23" borderId="43" xfId="0" applyFont="1" applyFill="1" applyBorder="1" applyAlignment="1">
      <alignment horizontal="left" vertical="center" wrapText="1"/>
    </xf>
    <xf numFmtId="0" fontId="78" fillId="0" borderId="42" xfId="0" applyFont="1" applyBorder="1" applyAlignment="1">
      <alignment horizontal="left" vertical="center" wrapText="1"/>
    </xf>
    <xf numFmtId="0" fontId="77" fillId="0" borderId="43" xfId="0" applyFont="1" applyBorder="1" applyAlignment="1">
      <alignment horizontal="center" vertical="center" wrapText="1"/>
    </xf>
    <xf numFmtId="0" fontId="79" fillId="0" borderId="0" xfId="0" applyFont="1" applyAlignment="1">
      <alignment horizontal="center" vertical="center" wrapText="1"/>
    </xf>
    <xf numFmtId="0" fontId="78" fillId="0" borderId="0" xfId="0" applyFont="1" applyAlignment="1">
      <alignment horizontal="center" vertical="center" wrapText="1"/>
    </xf>
    <xf numFmtId="0" fontId="77" fillId="0" borderId="43" xfId="0" applyFont="1" applyBorder="1" applyAlignment="1">
      <alignment horizontal="center" vertical="center"/>
    </xf>
    <xf numFmtId="0" fontId="43" fillId="2" borderId="43" xfId="0" applyFont="1" applyFill="1" applyBorder="1" applyAlignment="1">
      <alignment horizontal="center" vertical="center"/>
    </xf>
    <xf numFmtId="0" fontId="77" fillId="0" borderId="134" xfId="0" applyFont="1" applyBorder="1" applyAlignment="1">
      <alignment horizontal="center" vertical="center" wrapText="1"/>
    </xf>
    <xf numFmtId="0" fontId="77" fillId="0" borderId="43" xfId="0" applyFont="1" applyBorder="1" applyAlignment="1">
      <alignment horizontal="left" vertical="center" wrapText="1"/>
    </xf>
    <xf numFmtId="0" fontId="78" fillId="7" borderId="42" xfId="0" applyFont="1" applyFill="1" applyBorder="1" applyAlignment="1">
      <alignment horizontal="center" vertical="center" wrapText="1"/>
    </xf>
    <xf numFmtId="0" fontId="78" fillId="0" borderId="42" xfId="0" applyFont="1" applyBorder="1" applyAlignment="1">
      <alignment vertical="center"/>
    </xf>
    <xf numFmtId="0" fontId="77" fillId="7" borderId="43" xfId="0" applyFont="1" applyFill="1" applyBorder="1" applyAlignment="1">
      <alignment horizontal="center" vertical="center" wrapText="1"/>
    </xf>
    <xf numFmtId="0" fontId="77" fillId="7" borderId="43" xfId="0" quotePrefix="1" applyFont="1" applyFill="1" applyBorder="1" applyAlignment="1">
      <alignment horizontal="left" vertical="center" wrapText="1"/>
    </xf>
    <xf numFmtId="0" fontId="4" fillId="26" borderId="127" xfId="0" applyFont="1" applyFill="1" applyBorder="1" applyAlignment="1">
      <alignment horizontal="center" vertical="center" wrapText="1"/>
    </xf>
    <xf numFmtId="0" fontId="4" fillId="26" borderId="147" xfId="0" applyFont="1" applyFill="1" applyBorder="1" applyAlignment="1">
      <alignment horizontal="center" vertical="center" wrapText="1"/>
    </xf>
    <xf numFmtId="0" fontId="77" fillId="0" borderId="0" xfId="0" applyFont="1" applyAlignment="1">
      <alignment horizontal="center" vertical="center"/>
    </xf>
    <xf numFmtId="0" fontId="78" fillId="0" borderId="0" xfId="0" applyFont="1" applyAlignment="1">
      <alignment horizontal="center" vertical="center"/>
    </xf>
    <xf numFmtId="0" fontId="78" fillId="0" borderId="42" xfId="0" applyFont="1" applyBorder="1" applyAlignment="1">
      <alignment horizontal="center" vertical="center"/>
    </xf>
    <xf numFmtId="0" fontId="78" fillId="0" borderId="43" xfId="0" applyFont="1" applyBorder="1" applyAlignment="1">
      <alignment horizontal="center" vertical="center"/>
    </xf>
    <xf numFmtId="0" fontId="78" fillId="26" borderId="1" xfId="0" applyFont="1" applyFill="1" applyBorder="1" applyAlignment="1">
      <alignment horizontal="center" vertical="center" wrapText="1"/>
    </xf>
    <xf numFmtId="0" fontId="0" fillId="26" borderId="1" xfId="0" applyFill="1" applyBorder="1" applyAlignment="1"/>
    <xf numFmtId="164" fontId="15" fillId="0" borderId="42" xfId="0" applyNumberFormat="1" applyFont="1" applyBorder="1" applyAlignment="1">
      <alignment horizontal="center" vertical="center" wrapText="1"/>
    </xf>
    <xf numFmtId="171" fontId="15" fillId="0" borderId="42" xfId="0" applyNumberFormat="1" applyFont="1" applyBorder="1" applyAlignment="1">
      <alignment horizontal="center" vertical="center" wrapText="1"/>
    </xf>
    <xf numFmtId="171" fontId="15" fillId="0" borderId="43" xfId="0" applyNumberFormat="1" applyFont="1" applyBorder="1" applyAlignment="1">
      <alignment horizontal="center" vertical="center" wrapText="1"/>
    </xf>
    <xf numFmtId="0" fontId="49" fillId="0" borderId="0" xfId="0" applyFont="1" applyAlignment="1">
      <alignment horizontal="center" wrapText="1"/>
    </xf>
    <xf numFmtId="0" fontId="30" fillId="0" borderId="9" xfId="0" applyFont="1" applyBorder="1" applyAlignment="1">
      <alignment horizontal="left" vertical="center" wrapText="1"/>
    </xf>
    <xf numFmtId="0" fontId="16" fillId="0" borderId="0" xfId="0" applyFont="1" applyAlignment="1">
      <alignment horizontal="center" vertical="center"/>
    </xf>
    <xf numFmtId="0" fontId="23" fillId="0" borderId="43" xfId="0" applyFont="1" applyBorder="1" applyAlignment="1">
      <alignment vertical="center"/>
    </xf>
    <xf numFmtId="0" fontId="49" fillId="0" borderId="0" xfId="0" applyFont="1" applyAlignment="1">
      <alignment horizontal="center" vertical="center" wrapText="1"/>
    </xf>
    <xf numFmtId="0" fontId="13" fillId="0" borderId="121" xfId="0" applyFont="1" applyBorder="1" applyAlignment="1">
      <alignment horizontal="center" vertical="center" wrapText="1"/>
    </xf>
    <xf numFmtId="0" fontId="1" fillId="0" borderId="0" xfId="0" applyFont="1" applyAlignment="1">
      <alignment horizontal="left" vertical="center" wrapText="1"/>
    </xf>
    <xf numFmtId="0" fontId="67" fillId="0" borderId="0" xfId="0" applyFont="1" applyAlignment="1">
      <alignment horizontal="left" vertical="center" wrapText="1"/>
    </xf>
    <xf numFmtId="0" fontId="4" fillId="0" borderId="0" xfId="0" applyFont="1" applyAlignment="1">
      <alignment horizontal="right" vertical="center"/>
    </xf>
    <xf numFmtId="0" fontId="5" fillId="0" borderId="0" xfId="0" applyFont="1" applyAlignment="1">
      <alignment horizontal="right" vertical="center"/>
    </xf>
    <xf numFmtId="0" fontId="10" fillId="0" borderId="149" xfId="0" applyFont="1" applyBorder="1" applyAlignment="1">
      <alignment horizontal="center" vertical="center"/>
    </xf>
    <xf numFmtId="0" fontId="6" fillId="0" borderId="127" xfId="0" applyFont="1" applyBorder="1" applyAlignment="1"/>
    <xf numFmtId="0" fontId="6" fillId="0" borderId="151" xfId="0" applyFont="1" applyBorder="1" applyAlignment="1"/>
    <xf numFmtId="0" fontId="4" fillId="7" borderId="9" xfId="0" applyFont="1" applyFill="1" applyBorder="1" applyAlignment="1">
      <alignment vertical="center" shrinkToFit="1"/>
    </xf>
    <xf numFmtId="0" fontId="93" fillId="7" borderId="9" xfId="0" applyFont="1" applyFill="1" applyBorder="1" applyAlignment="1">
      <alignment vertical="center" shrinkToFit="1"/>
    </xf>
    <xf numFmtId="0" fontId="4" fillId="7" borderId="9" xfId="0" applyFont="1" applyFill="1" applyBorder="1" applyAlignment="1">
      <alignment horizontal="left" vertical="center" shrinkToFit="1"/>
    </xf>
    <xf numFmtId="0" fontId="4" fillId="7" borderId="43" xfId="0" applyFont="1" applyFill="1" applyBorder="1" applyAlignment="1">
      <alignment horizontal="center" vertical="center" shrinkToFit="1"/>
    </xf>
    <xf numFmtId="49" fontId="4" fillId="7" borderId="43" xfId="0" applyNumberFormat="1" applyFont="1" applyFill="1" applyBorder="1" applyAlignment="1">
      <alignment horizontal="center" vertical="center" shrinkToFit="1"/>
    </xf>
    <xf numFmtId="0" fontId="77" fillId="7" borderId="9" xfId="0" applyFont="1" applyFill="1" applyBorder="1" applyAlignment="1">
      <alignment horizontal="center" wrapText="1"/>
    </xf>
    <xf numFmtId="0" fontId="97" fillId="7" borderId="9" xfId="0" applyFont="1" applyFill="1" applyBorder="1" applyAlignment="1">
      <alignment horizontal="center" wrapText="1"/>
    </xf>
    <xf numFmtId="0" fontId="82" fillId="7" borderId="9" xfId="0" applyFont="1" applyFill="1" applyBorder="1" applyAlignment="1">
      <alignment horizontal="center" vertical="center" wrapText="1"/>
    </xf>
    <xf numFmtId="0" fontId="98" fillId="7" borderId="9" xfId="0" applyFont="1" applyFill="1" applyBorder="1" applyAlignment="1">
      <alignment horizontal="center" vertical="center" wrapText="1"/>
    </xf>
    <xf numFmtId="3" fontId="92" fillId="7" borderId="43" xfId="0" applyNumberFormat="1" applyFont="1" applyFill="1" applyBorder="1" applyAlignment="1">
      <alignment horizontal="center" vertical="center" wrapText="1"/>
    </xf>
    <xf numFmtId="0" fontId="92" fillId="7" borderId="43" xfId="0" applyFont="1" applyFill="1" applyBorder="1" applyAlignment="1">
      <alignment horizontal="center" vertical="center" wrapText="1"/>
    </xf>
  </cellXfs>
  <cellStyles count="2">
    <cellStyle name="Hyperlink" xfId="1" builtinId="8"/>
    <cellStyle name="Normal" xfId="0" builtinId="0"/>
  </cellStyles>
  <dxfs count="11">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s>
  <tableStyles count="2">
    <tableStyle name="Bieu 2 mẫu-style" pivot="0" count="2">
      <tableStyleElement type="firstRowStripe" dxfId="10"/>
      <tableStyleElement type="secondRowStripe" dxfId="9"/>
    </tableStyle>
    <tableStyle name="B2 ĐỊA LÝ-style" pivot="0" count="3">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11"/></Relationships>
</file>

<file path=xl/_rels/comments11.xml.rels><?xml version="1.0" encoding="UTF-8" standalone="yes"?>
<Relationships xmlns="http://schemas.openxmlformats.org/package/2006/relationships"><Relationship Id="rId1" Type="http://customschemas.google.com/relationships/workbookmetadata" Target="commentsmeta2"/></Relationships>
</file>

<file path=xl/_rels/comments12.xml.rels><?xml version="1.0" encoding="UTF-8" standalone="yes"?>
<Relationships xmlns="http://schemas.openxmlformats.org/package/2006/relationships"><Relationship Id="rId1" Type="http://customschemas.google.com/relationships/workbookmetadata" Target="commentsmeta13"/></Relationships>
</file>

<file path=xl/_rels/comments13.xml.rels><?xml version="1.0" encoding="UTF-8" standalone="yes"?>
<Relationships xmlns="http://schemas.openxmlformats.org/package/2006/relationships"><Relationship Id="rId1" Type="http://customschemas.google.com/relationships/workbookmetadata" Target="commentsmeta14"/></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6"/></Relationships>
</file>

<file path=xl/_rels/comments7.xml.rels><?xml version="1.0" encoding="UTF-8" standalone="yes"?>
<Relationships xmlns="http://schemas.openxmlformats.org/package/2006/relationships"><Relationship Id="rId1" Type="http://customschemas.google.com/relationships/workbookmetadata" Target="commentsmeta7"/></Relationships>
</file>

<file path=xl/_rels/comments8.xml.rels><?xml version="1.0" encoding="UTF-8" standalone="yes"?>
<Relationships xmlns="http://schemas.openxmlformats.org/package/2006/relationships"><Relationship Id="rId1" Type="http://customschemas.google.com/relationships/workbookmetadata" Target="commentsmeta8"/></Relationships>
</file>

<file path=xl/_rels/comments9.xml.rels><?xml version="1.0" encoding="UTF-8" standalone="yes"?>
<Relationships xmlns="http://schemas.openxmlformats.org/package/2006/relationships"><Relationship Id="rId1" Type="http://customschemas.google.com/relationships/workbookmetadata" Target="commentsmeta1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7" Type="http://customschemas.google.com/relationships/workbookmetadata" Target="metadata"/><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pn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3175</xdr:colOff>
      <xdr:row>32</xdr:row>
      <xdr:rowOff>139700</xdr:rowOff>
    </xdr:to>
    <xdr:pic>
      <xdr:nvPicPr>
        <xdr:cNvPr id="2" name="Picture 1">
          <a:extLst>
            <a:ext uri="{FF2B5EF4-FFF2-40B4-BE49-F238E27FC236}">
              <a16:creationId xmlns="" xmlns:a16="http://schemas.microsoft.com/office/drawing/2014/main" id="{9049DE6D-81EF-5A3F-9ACB-9D3C7F97232A}"/>
            </a:ext>
          </a:extLst>
        </xdr:cNvPr>
        <xdr:cNvPicPr>
          <a:picLocks noChangeAspect="1"/>
        </xdr:cNvPicPr>
      </xdr:nvPicPr>
      <xdr:blipFill>
        <a:blip xmlns:r="http://schemas.openxmlformats.org/officeDocument/2006/relationships" r:embed="rId1"/>
        <a:stretch>
          <a:fillRect/>
        </a:stretch>
      </xdr:blipFill>
      <xdr:spPr>
        <a:xfrm>
          <a:off x="0" y="0"/>
          <a:ext cx="4902200" cy="7391400"/>
        </a:xfrm>
        <a:prstGeom prst="rect">
          <a:avLst/>
        </a:prstGeom>
      </xdr:spPr>
    </xdr:pic>
    <xdr:clientData/>
  </xdr:twoCellAnchor>
  <xdr:twoCellAnchor editAs="oneCell">
    <xdr:from>
      <xdr:col>0</xdr:col>
      <xdr:colOff>0</xdr:colOff>
      <xdr:row>38</xdr:row>
      <xdr:rowOff>76200</xdr:rowOff>
    </xdr:from>
    <xdr:to>
      <xdr:col>5</xdr:col>
      <xdr:colOff>711200</xdr:colOff>
      <xdr:row>51</xdr:row>
      <xdr:rowOff>177800</xdr:rowOff>
    </xdr:to>
    <xdr:pic>
      <xdr:nvPicPr>
        <xdr:cNvPr id="3" name="Picture 2">
          <a:extLst>
            <a:ext uri="{FF2B5EF4-FFF2-40B4-BE49-F238E27FC236}">
              <a16:creationId xmlns="" xmlns:a16="http://schemas.microsoft.com/office/drawing/2014/main" id="{237C4651-412F-5E3D-E389-1E7485BC9C10}"/>
            </a:ext>
          </a:extLst>
        </xdr:cNvPr>
        <xdr:cNvPicPr>
          <a:picLocks noChangeAspect="1"/>
        </xdr:cNvPicPr>
      </xdr:nvPicPr>
      <xdr:blipFill>
        <a:blip xmlns:r="http://schemas.openxmlformats.org/officeDocument/2006/relationships" r:embed="rId2"/>
        <a:stretch>
          <a:fillRect/>
        </a:stretch>
      </xdr:blipFill>
      <xdr:spPr>
        <a:xfrm>
          <a:off x="0" y="7315200"/>
          <a:ext cx="4838700" cy="257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943725" cy="3962400"/>
    <xdr:pic>
      <xdr:nvPicPr>
        <xdr:cNvPr id="2" name="image5.jpg">
          <a:extLst>
            <a:ext uri="{FF2B5EF4-FFF2-40B4-BE49-F238E27FC236}">
              <a16:creationId xmlns=""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43</xdr:row>
      <xdr:rowOff>57150</xdr:rowOff>
    </xdr:from>
    <xdr:ext cx="8286750" cy="7162800"/>
    <xdr:pic>
      <xdr:nvPicPr>
        <xdr:cNvPr id="3" name="image4.jpg">
          <a:extLst>
            <a:ext uri="{FF2B5EF4-FFF2-40B4-BE49-F238E27FC236}">
              <a16:creationId xmlns=""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161925</xdr:rowOff>
    </xdr:from>
    <xdr:ext cx="7410450" cy="4457700"/>
    <xdr:pic>
      <xdr:nvPicPr>
        <xdr:cNvPr id="4" name="image8.jpg">
          <a:extLst>
            <a:ext uri="{FF2B5EF4-FFF2-40B4-BE49-F238E27FC236}">
              <a16:creationId xmlns="" xmlns:a16="http://schemas.microsoft.com/office/drawing/2014/main" id="{00000000-0008-0000-1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23</xdr:col>
      <xdr:colOff>381000</xdr:colOff>
      <xdr:row>0</xdr:row>
      <xdr:rowOff>0</xdr:rowOff>
    </xdr:from>
    <xdr:ext cx="11763375" cy="11858625"/>
    <xdr:pic>
      <xdr:nvPicPr>
        <xdr:cNvPr id="5" name="image1.png" title="Hình ảnh">
          <a:extLst>
            <a:ext uri="{FF2B5EF4-FFF2-40B4-BE49-F238E27FC236}">
              <a16:creationId xmlns="" xmlns:a16="http://schemas.microsoft.com/office/drawing/2014/main" id="{00000000-0008-0000-1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64</xdr:col>
      <xdr:colOff>57150</xdr:colOff>
      <xdr:row>0</xdr:row>
      <xdr:rowOff>180975</xdr:rowOff>
    </xdr:from>
    <xdr:ext cx="8220075" cy="11868150"/>
    <xdr:pic>
      <xdr:nvPicPr>
        <xdr:cNvPr id="6" name="image6.png">
          <a:extLst>
            <a:ext uri="{FF2B5EF4-FFF2-40B4-BE49-F238E27FC236}">
              <a16:creationId xmlns="" xmlns:a16="http://schemas.microsoft.com/office/drawing/2014/main" id="{00000000-0008-0000-1C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48</xdr:col>
      <xdr:colOff>38100</xdr:colOff>
      <xdr:row>0</xdr:row>
      <xdr:rowOff>57150</xdr:rowOff>
    </xdr:from>
    <xdr:ext cx="9505950" cy="11791950"/>
    <xdr:pic>
      <xdr:nvPicPr>
        <xdr:cNvPr id="7" name="image3.png">
          <a:extLst>
            <a:ext uri="{FF2B5EF4-FFF2-40B4-BE49-F238E27FC236}">
              <a16:creationId xmlns="" xmlns:a16="http://schemas.microsoft.com/office/drawing/2014/main" id="{00000000-0008-0000-1C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78</xdr:col>
      <xdr:colOff>257175</xdr:colOff>
      <xdr:row>1</xdr:row>
      <xdr:rowOff>123825</xdr:rowOff>
    </xdr:from>
    <xdr:ext cx="9134475" cy="11782425"/>
    <xdr:pic>
      <xdr:nvPicPr>
        <xdr:cNvPr id="8" name="image7.png">
          <a:extLst>
            <a:ext uri="{FF2B5EF4-FFF2-40B4-BE49-F238E27FC236}">
              <a16:creationId xmlns="" xmlns:a16="http://schemas.microsoft.com/office/drawing/2014/main" id="{00000000-0008-0000-1C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685800</xdr:colOff>
      <xdr:row>13</xdr:row>
      <xdr:rowOff>219075</xdr:rowOff>
    </xdr:from>
    <xdr:ext cx="6381750" cy="6048375"/>
    <xdr:pic>
      <xdr:nvPicPr>
        <xdr:cNvPr id="2" name="image2.jpg" title="Hình ảnh">
          <a:extLst>
            <a:ext uri="{FF2B5EF4-FFF2-40B4-BE49-F238E27FC236}">
              <a16:creationId xmlns=""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537</xdr:col>
      <xdr:colOff>228600</xdr:colOff>
      <xdr:row>2457</xdr:row>
      <xdr:rowOff>28575</xdr:rowOff>
    </xdr:from>
    <xdr:ext cx="147418425" cy="2238375"/>
    <xdr:pic>
      <xdr:nvPicPr>
        <xdr:cNvPr id="2" name="image9.png">
          <a:extLst>
            <a:ext uri="{FF2B5EF4-FFF2-40B4-BE49-F238E27FC236}">
              <a16:creationId xmlns=""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2458</xdr:row>
      <xdr:rowOff>28575</xdr:rowOff>
    </xdr:from>
    <xdr:ext cx="147418425" cy="2238375"/>
    <xdr:pic>
      <xdr:nvPicPr>
        <xdr:cNvPr id="3" name="image9.png">
          <a:extLst>
            <a:ext uri="{FF2B5EF4-FFF2-40B4-BE49-F238E27FC236}">
              <a16:creationId xmlns="" xmlns:a16="http://schemas.microsoft.com/office/drawing/2014/main" id="{00000000-0008-0000-2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2456</xdr:row>
      <xdr:rowOff>28575</xdr:rowOff>
    </xdr:from>
    <xdr:ext cx="147418425" cy="2238375"/>
    <xdr:pic>
      <xdr:nvPicPr>
        <xdr:cNvPr id="4" name="image9.png">
          <a:extLst>
            <a:ext uri="{FF2B5EF4-FFF2-40B4-BE49-F238E27FC236}">
              <a16:creationId xmlns="" xmlns:a16="http://schemas.microsoft.com/office/drawing/2014/main" id="{00000000-0008-0000-2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2457</xdr:row>
      <xdr:rowOff>28575</xdr:rowOff>
    </xdr:from>
    <xdr:ext cx="147418425" cy="2238375"/>
    <xdr:pic>
      <xdr:nvPicPr>
        <xdr:cNvPr id="5" name="image9.png">
          <a:extLst>
            <a:ext uri="{FF2B5EF4-FFF2-40B4-BE49-F238E27FC236}">
              <a16:creationId xmlns="" xmlns:a16="http://schemas.microsoft.com/office/drawing/2014/main" id="{00000000-0008-0000-2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2458</xdr:row>
      <xdr:rowOff>28575</xdr:rowOff>
    </xdr:from>
    <xdr:ext cx="147418425" cy="2238375"/>
    <xdr:pic>
      <xdr:nvPicPr>
        <xdr:cNvPr id="6" name="image9.png">
          <a:extLst>
            <a:ext uri="{FF2B5EF4-FFF2-40B4-BE49-F238E27FC236}">
              <a16:creationId xmlns="" xmlns:a16="http://schemas.microsoft.com/office/drawing/2014/main" id="{00000000-0008-0000-25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2459</xdr:row>
      <xdr:rowOff>28575</xdr:rowOff>
    </xdr:from>
    <xdr:ext cx="147418425" cy="2238375"/>
    <xdr:pic>
      <xdr:nvPicPr>
        <xdr:cNvPr id="7" name="image9.png">
          <a:extLst>
            <a:ext uri="{FF2B5EF4-FFF2-40B4-BE49-F238E27FC236}">
              <a16:creationId xmlns="" xmlns:a16="http://schemas.microsoft.com/office/drawing/2014/main" id="{00000000-0008-0000-2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535</xdr:col>
      <xdr:colOff>381000</xdr:colOff>
      <xdr:row>2546</xdr:row>
      <xdr:rowOff>0</xdr:rowOff>
    </xdr:from>
    <xdr:ext cx="128425575" cy="2352675"/>
    <xdr:pic>
      <xdr:nvPicPr>
        <xdr:cNvPr id="8" name="image10.png">
          <a:extLst>
            <a:ext uri="{FF2B5EF4-FFF2-40B4-BE49-F238E27FC236}">
              <a16:creationId xmlns="" xmlns:a16="http://schemas.microsoft.com/office/drawing/2014/main" id="{00000000-0008-0000-2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535</xdr:col>
      <xdr:colOff>381000</xdr:colOff>
      <xdr:row>2546</xdr:row>
      <xdr:rowOff>0</xdr:rowOff>
    </xdr:from>
    <xdr:ext cx="128425575" cy="2352675"/>
    <xdr:pic>
      <xdr:nvPicPr>
        <xdr:cNvPr id="9" name="image10.png">
          <a:extLst>
            <a:ext uri="{FF2B5EF4-FFF2-40B4-BE49-F238E27FC236}">
              <a16:creationId xmlns="" xmlns:a16="http://schemas.microsoft.com/office/drawing/2014/main" id="{00000000-0008-0000-25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535</xdr:col>
      <xdr:colOff>381000</xdr:colOff>
      <xdr:row>2546</xdr:row>
      <xdr:rowOff>0</xdr:rowOff>
    </xdr:from>
    <xdr:ext cx="128425575" cy="2352675"/>
    <xdr:pic>
      <xdr:nvPicPr>
        <xdr:cNvPr id="10" name="image10.png">
          <a:extLst>
            <a:ext uri="{FF2B5EF4-FFF2-40B4-BE49-F238E27FC236}">
              <a16:creationId xmlns="" xmlns:a16="http://schemas.microsoft.com/office/drawing/2014/main" id="{00000000-0008-0000-25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535</xdr:col>
      <xdr:colOff>381000</xdr:colOff>
      <xdr:row>2546</xdr:row>
      <xdr:rowOff>0</xdr:rowOff>
    </xdr:from>
    <xdr:ext cx="128425575" cy="2352675"/>
    <xdr:pic>
      <xdr:nvPicPr>
        <xdr:cNvPr id="11" name="image10.png">
          <a:extLst>
            <a:ext uri="{FF2B5EF4-FFF2-40B4-BE49-F238E27FC236}">
              <a16:creationId xmlns="" xmlns:a16="http://schemas.microsoft.com/office/drawing/2014/main" id="{00000000-0008-0000-25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C38:L38"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Bieu 2 mẫu-style" showFirstColumn="1" showLastColumn="1" showRowStripes="1" showColumnStripes="0"/>
</table>
</file>

<file path=xl/tables/table2.xml><?xml version="1.0" encoding="utf-8"?>
<table xmlns="http://schemas.openxmlformats.org/spreadsheetml/2006/main" id="2" name="Table_2" displayName="Table_2" ref="C83:D99" headerRowCount="0">
  <tableColumns count="2">
    <tableColumn id="1" name="Column1"/>
    <tableColumn id="2" name="Column2"/>
  </tableColumns>
  <tableStyleInfo name="B2 ĐỊA LÝ-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2.xml"/><Relationship Id="rId1" Type="http://schemas.openxmlformats.org/officeDocument/2006/relationships/vmlDrawing" Target="../drawings/vmlDrawing7.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O29"/>
  <sheetViews>
    <sheetView topLeftCell="A9" workbookViewId="0">
      <selection activeCell="I29" sqref="I29"/>
    </sheetView>
  </sheetViews>
  <sheetFormatPr defaultColWidth="11.42578125" defaultRowHeight="15"/>
  <sheetData>
    <row r="2" spans="7:15" ht="18.75">
      <c r="G2" s="2586"/>
      <c r="H2" s="2586"/>
      <c r="I2" s="2587" t="s">
        <v>0</v>
      </c>
      <c r="J2" s="2586"/>
      <c r="K2" s="2586"/>
      <c r="L2" s="2586"/>
      <c r="M2" s="2586"/>
      <c r="N2" s="2586"/>
      <c r="O2" s="2586"/>
    </row>
    <row r="3" spans="7:15" ht="18.75">
      <c r="G3" s="2586" t="s">
        <v>1</v>
      </c>
      <c r="H3" s="2586"/>
      <c r="I3" s="2586"/>
      <c r="J3" s="2586"/>
      <c r="K3" s="2586"/>
      <c r="L3" s="2586"/>
      <c r="M3" s="2586"/>
      <c r="N3" s="2586"/>
      <c r="O3" s="2586"/>
    </row>
    <row r="4" spans="7:15" ht="18.75">
      <c r="G4" s="2586" t="s">
        <v>2</v>
      </c>
      <c r="H4" s="2586"/>
      <c r="I4" s="2586"/>
      <c r="J4" s="2586"/>
      <c r="K4" s="2586"/>
      <c r="L4" s="2586"/>
      <c r="M4" s="2586"/>
      <c r="N4" s="2586"/>
      <c r="O4" s="2586"/>
    </row>
    <row r="5" spans="7:15" ht="18.75">
      <c r="G5" s="2587" t="s">
        <v>3</v>
      </c>
      <c r="H5" s="2586"/>
      <c r="I5" s="2586"/>
      <c r="J5" s="2586"/>
      <c r="K5" s="2586"/>
      <c r="L5" s="2586"/>
      <c r="M5" s="2586"/>
      <c r="N5" s="2586"/>
      <c r="O5" s="2586"/>
    </row>
    <row r="6" spans="7:15" ht="18.75">
      <c r="G6" s="2586" t="s">
        <v>4</v>
      </c>
      <c r="H6" s="2586"/>
      <c r="I6" s="2586"/>
      <c r="J6" s="2586"/>
      <c r="K6" s="2586"/>
      <c r="L6" s="2586"/>
      <c r="M6" s="2586"/>
      <c r="N6" s="2586"/>
      <c r="O6" s="2586"/>
    </row>
    <row r="7" spans="7:15" ht="18.75">
      <c r="G7" s="2586" t="s">
        <v>5</v>
      </c>
      <c r="H7" s="2586"/>
      <c r="I7" s="2586"/>
      <c r="J7" s="2586"/>
      <c r="K7" s="2586"/>
      <c r="L7" s="2586"/>
      <c r="M7" s="2586"/>
      <c r="N7" s="2586"/>
      <c r="O7" s="2586"/>
    </row>
    <row r="8" spans="7:15" ht="18.75">
      <c r="G8" s="2586" t="s">
        <v>6</v>
      </c>
      <c r="H8" s="2586"/>
      <c r="I8" s="2586"/>
      <c r="J8" s="2586"/>
      <c r="K8" s="2586"/>
      <c r="L8" s="2586"/>
      <c r="M8" s="2586"/>
      <c r="N8" s="2586"/>
      <c r="O8" s="2586"/>
    </row>
    <row r="9" spans="7:15" ht="18.75">
      <c r="G9" s="2586" t="s">
        <v>7</v>
      </c>
      <c r="H9" s="2586"/>
      <c r="I9" s="2586"/>
      <c r="J9" s="2586"/>
      <c r="K9" s="2586"/>
      <c r="L9" s="2586"/>
      <c r="M9" s="2586"/>
      <c r="N9" s="2586"/>
      <c r="O9" s="2586"/>
    </row>
    <row r="10" spans="7:15" ht="18.75">
      <c r="G10" s="2586"/>
      <c r="H10" s="2586"/>
      <c r="I10" s="2586"/>
      <c r="J10" s="2586"/>
      <c r="K10" s="2586"/>
      <c r="L10" s="2586"/>
      <c r="M10" s="2586"/>
      <c r="N10" s="2586"/>
      <c r="O10" s="2586"/>
    </row>
    <row r="11" spans="7:15" ht="18.75">
      <c r="G11" s="2587" t="s">
        <v>8</v>
      </c>
      <c r="H11" s="2586"/>
      <c r="I11" s="2586"/>
      <c r="J11" s="2586"/>
      <c r="K11" s="2586"/>
      <c r="L11" s="2586"/>
      <c r="M11" s="2586"/>
      <c r="N11" s="2586"/>
      <c r="O11" s="2586"/>
    </row>
    <row r="12" spans="7:15" ht="18.75">
      <c r="G12" s="2586" t="s">
        <v>9</v>
      </c>
      <c r="H12" s="2586"/>
      <c r="I12" s="2586"/>
      <c r="J12" s="2586"/>
      <c r="K12" s="2586"/>
      <c r="L12" s="2586"/>
      <c r="M12" s="2586"/>
      <c r="N12" s="2586"/>
      <c r="O12" s="2586"/>
    </row>
    <row r="13" spans="7:15" ht="18.75">
      <c r="G13" s="2586" t="s">
        <v>10</v>
      </c>
      <c r="H13" s="2586"/>
      <c r="I13" s="2586"/>
      <c r="J13" s="2586"/>
      <c r="K13" s="2586"/>
      <c r="L13" s="2586"/>
      <c r="M13" s="2586"/>
      <c r="N13" s="2586"/>
      <c r="O13" s="2586"/>
    </row>
    <row r="14" spans="7:15" ht="18.75">
      <c r="G14" s="2586" t="s">
        <v>11</v>
      </c>
      <c r="H14" s="2586"/>
      <c r="I14" s="2586"/>
      <c r="J14" s="2586"/>
      <c r="K14" s="2586"/>
      <c r="L14" s="2586"/>
      <c r="M14" s="2586"/>
      <c r="N14" s="2586"/>
      <c r="O14" s="2586"/>
    </row>
    <row r="15" spans="7:15" ht="18.75">
      <c r="G15" s="2586" t="s">
        <v>12</v>
      </c>
      <c r="H15" s="2586"/>
      <c r="I15" s="2586"/>
      <c r="J15" s="2586"/>
      <c r="K15" s="2586"/>
      <c r="L15" s="2586"/>
      <c r="M15" s="2586"/>
      <c r="N15" s="2586"/>
      <c r="O15" s="2586"/>
    </row>
    <row r="16" spans="7:15" ht="18.75">
      <c r="G16" s="2586"/>
      <c r="H16" s="2586"/>
      <c r="I16" s="2586"/>
      <c r="J16" s="2586"/>
      <c r="K16" s="2586"/>
      <c r="L16" s="2586"/>
      <c r="M16" s="2586"/>
      <c r="N16" s="2586"/>
      <c r="O16" s="2586"/>
    </row>
    <row r="17" spans="7:15" ht="18.75">
      <c r="G17" s="2588" t="s">
        <v>13</v>
      </c>
      <c r="H17" s="2586"/>
      <c r="I17" s="2586"/>
      <c r="J17" s="2586"/>
      <c r="K17" s="2586"/>
      <c r="L17" s="2586"/>
      <c r="M17" s="2586"/>
      <c r="N17" s="2586"/>
      <c r="O17" s="2586"/>
    </row>
    <row r="18" spans="7:15" ht="18.75">
      <c r="G18" s="2589" t="s">
        <v>14</v>
      </c>
      <c r="H18" s="2586"/>
      <c r="I18" s="2586"/>
      <c r="J18" s="2586"/>
      <c r="K18" s="2586"/>
      <c r="L18" s="2586"/>
      <c r="M18" s="2586"/>
      <c r="N18" s="2586"/>
      <c r="O18" s="2586"/>
    </row>
    <row r="19" spans="7:15" ht="18.75">
      <c r="G19" s="2590" t="s">
        <v>15</v>
      </c>
      <c r="H19" s="2586"/>
      <c r="I19" s="2586"/>
      <c r="J19" s="2586"/>
      <c r="K19" s="2586"/>
      <c r="L19" s="2586"/>
      <c r="M19" s="2586"/>
      <c r="N19" s="2586"/>
      <c r="O19" s="2586"/>
    </row>
    <row r="20" spans="7:15" ht="18.75">
      <c r="G20" s="2589" t="s">
        <v>16</v>
      </c>
      <c r="H20" s="2586"/>
      <c r="I20" s="2586"/>
      <c r="J20" s="2586"/>
      <c r="K20" s="2586"/>
      <c r="L20" s="2586"/>
      <c r="M20" s="2586"/>
      <c r="N20" s="2586"/>
      <c r="O20" s="2586"/>
    </row>
    <row r="21" spans="7:15" ht="18.75">
      <c r="G21" s="2591" t="s">
        <v>17</v>
      </c>
    </row>
    <row r="22" spans="7:15" ht="18.75">
      <c r="G22" s="2589" t="s">
        <v>18</v>
      </c>
    </row>
    <row r="26" spans="7:15" ht="18.75">
      <c r="G26" s="2587" t="s">
        <v>19</v>
      </c>
    </row>
    <row r="27" spans="7:15" ht="18.75">
      <c r="G27" s="2587" t="s">
        <v>20</v>
      </c>
    </row>
    <row r="28" spans="7:15">
      <c r="G28" t="s">
        <v>21</v>
      </c>
    </row>
    <row r="29" spans="7:15">
      <c r="G29" t="s">
        <v>22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87"/>
  <sheetViews>
    <sheetView workbookViewId="0">
      <pane xSplit="2" ySplit="11" topLeftCell="C12" activePane="bottomRight" state="frozen"/>
      <selection pane="topRight" activeCell="C1" sqref="C1"/>
      <selection pane="bottomLeft" activeCell="A12" sqref="A12"/>
      <selection pane="bottomRight" activeCell="C1" sqref="C1"/>
    </sheetView>
  </sheetViews>
  <sheetFormatPr defaultColWidth="14.42578125" defaultRowHeight="15" customHeight="1"/>
  <cols>
    <col min="1" max="1" width="4.7109375" customWidth="1"/>
    <col min="2" max="2" width="37.7109375" customWidth="1"/>
    <col min="3" max="3" width="13.42578125" customWidth="1"/>
    <col min="4" max="4" width="16" customWidth="1"/>
    <col min="5" max="5" width="7.7109375" customWidth="1"/>
    <col min="6" max="6" width="8.140625" customWidth="1"/>
    <col min="7" max="7" width="6.7109375" customWidth="1"/>
    <col min="8" max="8" width="12" customWidth="1"/>
    <col min="9" max="9" width="47.7109375" customWidth="1"/>
    <col min="10" max="10" width="9" customWidth="1"/>
    <col min="11" max="11" width="6.7109375" customWidth="1"/>
    <col min="12" max="12" width="8.140625" customWidth="1"/>
    <col min="13" max="13" width="27.7109375" customWidth="1"/>
    <col min="14" max="26" width="8.7109375" customWidth="1"/>
  </cols>
  <sheetData>
    <row r="1" spans="1:13" ht="14.25" customHeight="1">
      <c r="A1" s="2823" t="s">
        <v>450</v>
      </c>
      <c r="B1" s="2732"/>
      <c r="C1" s="2732"/>
      <c r="D1" s="176"/>
      <c r="E1" s="177"/>
      <c r="F1" s="177"/>
      <c r="G1" s="177"/>
      <c r="H1" s="177"/>
      <c r="I1" s="91" t="s">
        <v>451</v>
      </c>
      <c r="J1" s="178"/>
      <c r="K1" s="178"/>
      <c r="L1" s="178"/>
      <c r="M1" s="95"/>
    </row>
    <row r="2" spans="1:13">
      <c r="A2" s="2790"/>
      <c r="B2" s="2732"/>
      <c r="C2" s="2732"/>
      <c r="D2" s="179"/>
      <c r="E2" s="86"/>
      <c r="F2" s="86"/>
      <c r="G2" s="86"/>
      <c r="H2" s="86"/>
      <c r="I2" s="91"/>
      <c r="J2" s="2798"/>
      <c r="K2" s="2732"/>
      <c r="L2" s="2732"/>
      <c r="M2" s="95"/>
    </row>
    <row r="3" spans="1:13" ht="30" customHeight="1">
      <c r="A3" s="2773" t="s">
        <v>452</v>
      </c>
      <c r="B3" s="2732"/>
      <c r="C3" s="2732"/>
      <c r="D3" s="2732"/>
      <c r="E3" s="2732"/>
      <c r="F3" s="2732"/>
      <c r="G3" s="2732"/>
      <c r="H3" s="2732"/>
      <c r="I3" s="2732"/>
      <c r="J3" s="2732"/>
      <c r="K3" s="2732"/>
      <c r="L3" s="2732"/>
      <c r="M3" s="95"/>
    </row>
    <row r="4" spans="1:13" ht="1.5" customHeight="1">
      <c r="A4" s="2812" t="s">
        <v>431</v>
      </c>
      <c r="B4" s="2732"/>
      <c r="C4" s="2732"/>
      <c r="D4" s="2732"/>
      <c r="E4" s="2732"/>
      <c r="F4" s="2732"/>
      <c r="G4" s="2732"/>
      <c r="H4" s="2732"/>
      <c r="I4" s="2732"/>
      <c r="J4" s="2732"/>
      <c r="K4" s="2732"/>
      <c r="L4" s="2732"/>
      <c r="M4" s="95"/>
    </row>
    <row r="5" spans="1:13" ht="1.5" customHeight="1">
      <c r="A5" s="2813" t="s">
        <v>432</v>
      </c>
      <c r="B5" s="2732"/>
      <c r="C5" s="2732"/>
      <c r="D5" s="2732"/>
      <c r="E5" s="2732"/>
      <c r="F5" s="2732"/>
      <c r="G5" s="2732"/>
      <c r="H5" s="2732"/>
      <c r="I5" s="2732"/>
      <c r="J5" s="2732"/>
      <c r="K5" s="2732"/>
      <c r="L5" s="2732"/>
      <c r="M5" s="180"/>
    </row>
    <row r="6" spans="1:13" ht="60.75" customHeight="1">
      <c r="A6" s="2814" t="s">
        <v>186</v>
      </c>
      <c r="B6" s="2819" t="s">
        <v>453</v>
      </c>
      <c r="C6" s="2819" t="s">
        <v>454</v>
      </c>
      <c r="D6" s="2824" t="s">
        <v>455</v>
      </c>
      <c r="E6" s="2819" t="s">
        <v>456</v>
      </c>
      <c r="F6" s="2819" t="s">
        <v>457</v>
      </c>
      <c r="G6" s="2819" t="s">
        <v>458</v>
      </c>
      <c r="H6" s="2821" t="s">
        <v>459</v>
      </c>
      <c r="I6" s="2822" t="s">
        <v>439</v>
      </c>
      <c r="J6" s="2816" t="s">
        <v>460</v>
      </c>
      <c r="K6" s="2817"/>
      <c r="L6" s="2818"/>
      <c r="M6" s="95"/>
    </row>
    <row r="7" spans="1:13" ht="12" customHeight="1">
      <c r="A7" s="2815"/>
      <c r="B7" s="2820"/>
      <c r="C7" s="2820"/>
      <c r="D7" s="2820"/>
      <c r="E7" s="2820"/>
      <c r="F7" s="2820"/>
      <c r="G7" s="2820"/>
      <c r="H7" s="2820"/>
      <c r="I7" s="2820"/>
      <c r="J7" s="122" t="s">
        <v>461</v>
      </c>
      <c r="K7" s="122" t="s">
        <v>462</v>
      </c>
      <c r="L7" s="122" t="s">
        <v>463</v>
      </c>
      <c r="M7" s="181" t="s">
        <v>464</v>
      </c>
    </row>
    <row r="8" spans="1:13" ht="114.75" customHeight="1">
      <c r="A8" s="182" t="s">
        <v>465</v>
      </c>
      <c r="B8" s="183" t="s">
        <v>466</v>
      </c>
      <c r="C8" s="183" t="s">
        <v>467</v>
      </c>
      <c r="D8" s="184" t="s">
        <v>468</v>
      </c>
      <c r="E8" s="185" t="s">
        <v>469</v>
      </c>
      <c r="F8" s="185" t="s">
        <v>470</v>
      </c>
      <c r="G8" s="185" t="s">
        <v>471</v>
      </c>
      <c r="H8" s="186" t="s">
        <v>472</v>
      </c>
      <c r="I8" s="186" t="s">
        <v>473</v>
      </c>
      <c r="J8" s="185" t="s">
        <v>474</v>
      </c>
      <c r="K8" s="185" t="s">
        <v>475</v>
      </c>
      <c r="L8" s="187">
        <v>-12</v>
      </c>
      <c r="M8" s="188"/>
    </row>
    <row r="9" spans="1:13" ht="114.75" customHeight="1">
      <c r="A9" s="189" t="s">
        <v>200</v>
      </c>
      <c r="B9" s="190" t="s">
        <v>476</v>
      </c>
      <c r="C9" s="191">
        <f t="shared" ref="C9:L9" si="0">C10+C52</f>
        <v>40</v>
      </c>
      <c r="D9" s="192">
        <f t="shared" si="0"/>
        <v>0</v>
      </c>
      <c r="E9" s="191">
        <f t="shared" si="0"/>
        <v>55</v>
      </c>
      <c r="F9" s="191">
        <f t="shared" si="0"/>
        <v>0</v>
      </c>
      <c r="G9" s="191">
        <f t="shared" si="0"/>
        <v>0</v>
      </c>
      <c r="H9" s="193">
        <f t="shared" si="0"/>
        <v>8920304.3000000007</v>
      </c>
      <c r="I9" s="193">
        <f t="shared" si="0"/>
        <v>2158.1999999999998</v>
      </c>
      <c r="J9" s="191">
        <f t="shared" si="0"/>
        <v>3233.7</v>
      </c>
      <c r="K9" s="191">
        <f t="shared" si="0"/>
        <v>2217</v>
      </c>
      <c r="L9" s="191">
        <f t="shared" si="0"/>
        <v>1855</v>
      </c>
      <c r="M9" s="95"/>
    </row>
    <row r="10" spans="1:13" ht="27" customHeight="1">
      <c r="A10" s="189" t="s">
        <v>258</v>
      </c>
      <c r="B10" s="190" t="s">
        <v>477</v>
      </c>
      <c r="C10" s="194">
        <f>C11+C37</f>
        <v>40</v>
      </c>
      <c r="D10" s="192"/>
      <c r="E10" s="194">
        <f>E11+G37</f>
        <v>55</v>
      </c>
      <c r="F10" s="191"/>
      <c r="G10" s="194"/>
      <c r="H10" s="193">
        <f t="shared" ref="H10:L10" si="1">H11+H37</f>
        <v>8920304.3000000007</v>
      </c>
      <c r="I10" s="193">
        <f t="shared" si="1"/>
        <v>2158.1999999999998</v>
      </c>
      <c r="J10" s="191">
        <f t="shared" si="1"/>
        <v>3233.7</v>
      </c>
      <c r="K10" s="191">
        <f t="shared" si="1"/>
        <v>2217</v>
      </c>
      <c r="L10" s="191">
        <f t="shared" si="1"/>
        <v>1855</v>
      </c>
      <c r="M10" s="95"/>
    </row>
    <row r="11" spans="1:13" ht="17.25" customHeight="1">
      <c r="A11" s="195">
        <v>1</v>
      </c>
      <c r="B11" s="196" t="s">
        <v>441</v>
      </c>
      <c r="C11" s="191">
        <f>C12+C25</f>
        <v>37</v>
      </c>
      <c r="D11" s="192"/>
      <c r="E11" s="191">
        <f>E12+E25</f>
        <v>25</v>
      </c>
      <c r="F11" s="191"/>
      <c r="G11" s="191"/>
      <c r="H11" s="193">
        <f t="shared" ref="H11:L11" si="2">H12+H25</f>
        <v>8920187.3000000007</v>
      </c>
      <c r="I11" s="193">
        <f t="shared" si="2"/>
        <v>2093.6999999999998</v>
      </c>
      <c r="J11" s="191">
        <f t="shared" si="2"/>
        <v>2093.6999999999998</v>
      </c>
      <c r="K11" s="191">
        <f t="shared" si="2"/>
        <v>0</v>
      </c>
      <c r="L11" s="191">
        <f t="shared" si="2"/>
        <v>0</v>
      </c>
      <c r="M11" s="95"/>
    </row>
    <row r="12" spans="1:13" ht="37.5" customHeight="1">
      <c r="A12" s="106">
        <v>1.1000000000000001</v>
      </c>
      <c r="B12" s="107" t="s">
        <v>478</v>
      </c>
      <c r="C12" s="194">
        <f>SUM(C13:C24)</f>
        <v>4</v>
      </c>
      <c r="D12" s="192"/>
      <c r="E12" s="194">
        <f>SUM(E13:E24)</f>
        <v>2</v>
      </c>
      <c r="F12" s="194"/>
      <c r="G12" s="194"/>
      <c r="H12" s="197">
        <f t="shared" ref="H12:L12" si="3">SUM(H13:H24)</f>
        <v>8918600</v>
      </c>
      <c r="I12" s="197">
        <f t="shared" si="3"/>
        <v>1063</v>
      </c>
      <c r="J12" s="194">
        <f t="shared" si="3"/>
        <v>1063</v>
      </c>
      <c r="K12" s="194">
        <f t="shared" si="3"/>
        <v>0</v>
      </c>
      <c r="L12" s="194">
        <f t="shared" si="3"/>
        <v>0</v>
      </c>
      <c r="M12" s="161"/>
    </row>
    <row r="13" spans="1:13" ht="38.25">
      <c r="A13" s="198" t="s">
        <v>479</v>
      </c>
      <c r="B13" s="199" t="s">
        <v>480</v>
      </c>
      <c r="C13" s="200">
        <v>4</v>
      </c>
      <c r="D13" s="201">
        <v>44593</v>
      </c>
      <c r="E13" s="202">
        <v>2</v>
      </c>
      <c r="F13" s="203">
        <v>1</v>
      </c>
      <c r="G13" s="202">
        <v>50</v>
      </c>
      <c r="H13" s="204">
        <f t="shared" ref="H13:H24" si="4">C13*D13*G13</f>
        <v>8918600</v>
      </c>
      <c r="I13" s="205">
        <f>C13*E13*F13*16.5*1/4+C13*E13*F13*16.5*15*2/4+C13*G13*0.8*1/4</f>
        <v>1063</v>
      </c>
      <c r="J13" s="203">
        <f t="shared" ref="J13:J24" si="5">I13</f>
        <v>1063</v>
      </c>
      <c r="K13" s="203">
        <v>0</v>
      </c>
      <c r="L13" s="203">
        <v>0</v>
      </c>
      <c r="M13" s="161"/>
    </row>
    <row r="14" spans="1:13" ht="15.75" customHeight="1">
      <c r="A14" s="198" t="s">
        <v>481</v>
      </c>
      <c r="B14" s="67" t="s">
        <v>482</v>
      </c>
      <c r="C14" s="200"/>
      <c r="D14" s="206"/>
      <c r="E14" s="202"/>
      <c r="F14" s="203"/>
      <c r="G14" s="202"/>
      <c r="H14" s="204">
        <f t="shared" si="4"/>
        <v>0</v>
      </c>
      <c r="I14" s="204">
        <f t="shared" ref="I14:I24" si="6">C14*E14*F14*16.5</f>
        <v>0</v>
      </c>
      <c r="J14" s="203">
        <f t="shared" si="5"/>
        <v>0</v>
      </c>
      <c r="K14" s="203">
        <v>0</v>
      </c>
      <c r="L14" s="203">
        <v>0</v>
      </c>
      <c r="M14" s="161"/>
    </row>
    <row r="15" spans="1:13" ht="15.75" customHeight="1">
      <c r="A15" s="198" t="s">
        <v>483</v>
      </c>
      <c r="B15" s="67" t="s">
        <v>482</v>
      </c>
      <c r="C15" s="200"/>
      <c r="D15" s="206"/>
      <c r="E15" s="202"/>
      <c r="F15" s="203"/>
      <c r="G15" s="202"/>
      <c r="H15" s="204">
        <f t="shared" si="4"/>
        <v>0</v>
      </c>
      <c r="I15" s="204">
        <f t="shared" si="6"/>
        <v>0</v>
      </c>
      <c r="J15" s="203">
        <f t="shared" si="5"/>
        <v>0</v>
      </c>
      <c r="K15" s="203">
        <v>0</v>
      </c>
      <c r="L15" s="203">
        <v>0</v>
      </c>
      <c r="M15" s="161"/>
    </row>
    <row r="16" spans="1:13" ht="15.75" customHeight="1">
      <c r="A16" s="198" t="s">
        <v>484</v>
      </c>
      <c r="B16" s="67" t="s">
        <v>482</v>
      </c>
      <c r="C16" s="200"/>
      <c r="D16" s="206"/>
      <c r="E16" s="202"/>
      <c r="F16" s="203"/>
      <c r="G16" s="202"/>
      <c r="H16" s="204">
        <f t="shared" si="4"/>
        <v>0</v>
      </c>
      <c r="I16" s="204">
        <f t="shared" si="6"/>
        <v>0</v>
      </c>
      <c r="J16" s="203">
        <f t="shared" si="5"/>
        <v>0</v>
      </c>
      <c r="K16" s="203">
        <v>0</v>
      </c>
      <c r="L16" s="203">
        <v>0</v>
      </c>
      <c r="M16" s="161"/>
    </row>
    <row r="17" spans="1:13" ht="15.75" customHeight="1">
      <c r="A17" s="198" t="s">
        <v>485</v>
      </c>
      <c r="B17" s="67" t="s">
        <v>482</v>
      </c>
      <c r="C17" s="200"/>
      <c r="D17" s="206"/>
      <c r="E17" s="202"/>
      <c r="F17" s="203"/>
      <c r="G17" s="202"/>
      <c r="H17" s="204">
        <f t="shared" si="4"/>
        <v>0</v>
      </c>
      <c r="I17" s="204">
        <f t="shared" si="6"/>
        <v>0</v>
      </c>
      <c r="J17" s="203">
        <f t="shared" si="5"/>
        <v>0</v>
      </c>
      <c r="K17" s="203">
        <v>0</v>
      </c>
      <c r="L17" s="203">
        <v>0</v>
      </c>
      <c r="M17" s="161"/>
    </row>
    <row r="18" spans="1:13" ht="15.75" customHeight="1">
      <c r="A18" s="198" t="s">
        <v>486</v>
      </c>
      <c r="B18" s="67" t="s">
        <v>482</v>
      </c>
      <c r="C18" s="200"/>
      <c r="D18" s="206"/>
      <c r="E18" s="202"/>
      <c r="F18" s="203"/>
      <c r="G18" s="202"/>
      <c r="H18" s="204">
        <f t="shared" si="4"/>
        <v>0</v>
      </c>
      <c r="I18" s="204">
        <f t="shared" si="6"/>
        <v>0</v>
      </c>
      <c r="J18" s="203">
        <f t="shared" si="5"/>
        <v>0</v>
      </c>
      <c r="K18" s="203">
        <v>0</v>
      </c>
      <c r="L18" s="203">
        <v>0</v>
      </c>
      <c r="M18" s="161"/>
    </row>
    <row r="19" spans="1:13" ht="15.75" customHeight="1">
      <c r="A19" s="198" t="s">
        <v>487</v>
      </c>
      <c r="B19" s="67" t="s">
        <v>482</v>
      </c>
      <c r="C19" s="200"/>
      <c r="D19" s="206"/>
      <c r="E19" s="202"/>
      <c r="F19" s="203"/>
      <c r="G19" s="202"/>
      <c r="H19" s="204">
        <f t="shared" si="4"/>
        <v>0</v>
      </c>
      <c r="I19" s="204">
        <f t="shared" si="6"/>
        <v>0</v>
      </c>
      <c r="J19" s="203">
        <f t="shared" si="5"/>
        <v>0</v>
      </c>
      <c r="K19" s="203">
        <v>0</v>
      </c>
      <c r="L19" s="203">
        <v>0</v>
      </c>
      <c r="M19" s="161"/>
    </row>
    <row r="20" spans="1:13" ht="15.75" customHeight="1">
      <c r="A20" s="198" t="s">
        <v>488</v>
      </c>
      <c r="B20" s="67" t="s">
        <v>482</v>
      </c>
      <c r="C20" s="200"/>
      <c r="D20" s="206"/>
      <c r="E20" s="202"/>
      <c r="F20" s="203"/>
      <c r="G20" s="202"/>
      <c r="H20" s="204">
        <f t="shared" si="4"/>
        <v>0</v>
      </c>
      <c r="I20" s="204">
        <f t="shared" si="6"/>
        <v>0</v>
      </c>
      <c r="J20" s="203">
        <f t="shared" si="5"/>
        <v>0</v>
      </c>
      <c r="K20" s="203">
        <v>0</v>
      </c>
      <c r="L20" s="203">
        <v>0</v>
      </c>
      <c r="M20" s="161"/>
    </row>
    <row r="21" spans="1:13" ht="15.75" customHeight="1">
      <c r="A21" s="198" t="s">
        <v>489</v>
      </c>
      <c r="B21" s="67" t="s">
        <v>482</v>
      </c>
      <c r="C21" s="200"/>
      <c r="D21" s="206"/>
      <c r="E21" s="202"/>
      <c r="F21" s="203"/>
      <c r="G21" s="202"/>
      <c r="H21" s="204">
        <f t="shared" si="4"/>
        <v>0</v>
      </c>
      <c r="I21" s="204">
        <f t="shared" si="6"/>
        <v>0</v>
      </c>
      <c r="J21" s="203">
        <f t="shared" si="5"/>
        <v>0</v>
      </c>
      <c r="K21" s="203">
        <v>0</v>
      </c>
      <c r="L21" s="203">
        <v>0</v>
      </c>
      <c r="M21" s="161"/>
    </row>
    <row r="22" spans="1:13" ht="15.75" customHeight="1">
      <c r="A22" s="198" t="s">
        <v>490</v>
      </c>
      <c r="B22" s="67" t="s">
        <v>482</v>
      </c>
      <c r="C22" s="200"/>
      <c r="D22" s="206"/>
      <c r="E22" s="202"/>
      <c r="F22" s="203"/>
      <c r="G22" s="202"/>
      <c r="H22" s="204">
        <f t="shared" si="4"/>
        <v>0</v>
      </c>
      <c r="I22" s="204">
        <f t="shared" si="6"/>
        <v>0</v>
      </c>
      <c r="J22" s="203">
        <f t="shared" si="5"/>
        <v>0</v>
      </c>
      <c r="K22" s="203">
        <v>0</v>
      </c>
      <c r="L22" s="203">
        <v>0</v>
      </c>
      <c r="M22" s="161"/>
    </row>
    <row r="23" spans="1:13" ht="15.75" customHeight="1">
      <c r="A23" s="198" t="s">
        <v>491</v>
      </c>
      <c r="B23" s="67" t="s">
        <v>482</v>
      </c>
      <c r="C23" s="200"/>
      <c r="D23" s="206"/>
      <c r="E23" s="202"/>
      <c r="F23" s="203"/>
      <c r="G23" s="202"/>
      <c r="H23" s="204">
        <f t="shared" si="4"/>
        <v>0</v>
      </c>
      <c r="I23" s="204">
        <f t="shared" si="6"/>
        <v>0</v>
      </c>
      <c r="J23" s="203">
        <f t="shared" si="5"/>
        <v>0</v>
      </c>
      <c r="K23" s="203">
        <v>0</v>
      </c>
      <c r="L23" s="203">
        <v>0</v>
      </c>
      <c r="M23" s="161"/>
    </row>
    <row r="24" spans="1:13" ht="15.75" customHeight="1">
      <c r="A24" s="207" t="s">
        <v>492</v>
      </c>
      <c r="B24" s="67" t="s">
        <v>482</v>
      </c>
      <c r="C24" s="200"/>
      <c r="D24" s="206"/>
      <c r="E24" s="202"/>
      <c r="F24" s="203"/>
      <c r="G24" s="202"/>
      <c r="H24" s="204">
        <f t="shared" si="4"/>
        <v>0</v>
      </c>
      <c r="I24" s="204">
        <f t="shared" si="6"/>
        <v>0</v>
      </c>
      <c r="J24" s="203">
        <f t="shared" si="5"/>
        <v>0</v>
      </c>
      <c r="K24" s="203">
        <v>0</v>
      </c>
      <c r="L24" s="203">
        <v>0</v>
      </c>
      <c r="M24" s="161"/>
    </row>
    <row r="25" spans="1:13" ht="38.25" customHeight="1">
      <c r="A25" s="208">
        <v>1.2</v>
      </c>
      <c r="B25" s="67" t="s">
        <v>493</v>
      </c>
      <c r="C25" s="209">
        <f>SUM(C26:C36)</f>
        <v>33</v>
      </c>
      <c r="D25" s="206"/>
      <c r="E25" s="194">
        <f>SUM(E26:E36)</f>
        <v>23</v>
      </c>
      <c r="F25" s="203"/>
      <c r="G25" s="194"/>
      <c r="H25" s="193">
        <f t="shared" ref="H25:K25" si="7">SUM(H26:H36)</f>
        <v>1587.3000000000002</v>
      </c>
      <c r="I25" s="193">
        <f t="shared" si="7"/>
        <v>1030.7</v>
      </c>
      <c r="J25" s="191">
        <f t="shared" si="7"/>
        <v>1030.7</v>
      </c>
      <c r="K25" s="191">
        <f t="shared" si="7"/>
        <v>0</v>
      </c>
      <c r="L25" s="191">
        <v>0</v>
      </c>
      <c r="M25" s="161"/>
    </row>
    <row r="26" spans="1:13" ht="15.75" customHeight="1">
      <c r="A26" s="198" t="s">
        <v>479</v>
      </c>
      <c r="B26" s="113" t="s">
        <v>494</v>
      </c>
      <c r="C26" s="210">
        <v>3</v>
      </c>
      <c r="D26" s="211"/>
      <c r="E26" s="212"/>
      <c r="F26" s="213"/>
      <c r="G26" s="212"/>
      <c r="H26" s="213">
        <f t="shared" ref="H26:H37" si="8">C26*D26*G26</f>
        <v>0</v>
      </c>
      <c r="I26" s="213">
        <f>C26*E26*F26*16.5</f>
        <v>0</v>
      </c>
      <c r="J26" s="203">
        <f t="shared" ref="J26:J36" si="9">I26</f>
        <v>0</v>
      </c>
      <c r="K26" s="203">
        <v>0</v>
      </c>
      <c r="L26" s="203">
        <v>0</v>
      </c>
      <c r="M26" s="161"/>
    </row>
    <row r="27" spans="1:13" ht="15.75" customHeight="1">
      <c r="A27" s="198" t="s">
        <v>481</v>
      </c>
      <c r="B27" s="1879" t="s">
        <v>495</v>
      </c>
      <c r="C27" s="1880">
        <v>3</v>
      </c>
      <c r="D27" s="1880">
        <v>1.3</v>
      </c>
      <c r="E27" s="1881">
        <v>1</v>
      </c>
      <c r="F27" s="213">
        <v>1</v>
      </c>
      <c r="G27" s="1882">
        <v>30</v>
      </c>
      <c r="H27" s="213">
        <f t="shared" si="8"/>
        <v>117.00000000000001</v>
      </c>
      <c r="I27" s="213">
        <f t="shared" ref="I27:I40" si="10">C27*E27*F27*16.5*1/3+C27*G27*0.8*2/3</f>
        <v>64.5</v>
      </c>
      <c r="J27" s="203">
        <f t="shared" si="9"/>
        <v>64.5</v>
      </c>
      <c r="K27" s="203">
        <v>0</v>
      </c>
      <c r="L27" s="203">
        <v>0</v>
      </c>
      <c r="M27" s="161"/>
    </row>
    <row r="28" spans="1:13" ht="15.75" customHeight="1">
      <c r="A28" s="198" t="s">
        <v>484</v>
      </c>
      <c r="B28" s="1879" t="s">
        <v>496</v>
      </c>
      <c r="C28" s="1880">
        <v>3</v>
      </c>
      <c r="D28" s="1880">
        <v>1.3</v>
      </c>
      <c r="E28" s="1881">
        <v>1</v>
      </c>
      <c r="F28" s="213">
        <v>1</v>
      </c>
      <c r="G28" s="1882">
        <v>30</v>
      </c>
      <c r="H28" s="213">
        <f t="shared" si="8"/>
        <v>117.00000000000001</v>
      </c>
      <c r="I28" s="213">
        <f t="shared" si="10"/>
        <v>64.5</v>
      </c>
      <c r="J28" s="203">
        <f t="shared" si="9"/>
        <v>64.5</v>
      </c>
      <c r="K28" s="203">
        <v>0</v>
      </c>
      <c r="L28" s="203">
        <v>0</v>
      </c>
      <c r="M28" s="161"/>
    </row>
    <row r="29" spans="1:13" ht="15.75" customHeight="1">
      <c r="A29" s="198" t="s">
        <v>485</v>
      </c>
      <c r="B29" s="1879" t="s">
        <v>497</v>
      </c>
      <c r="C29" s="1880">
        <v>3</v>
      </c>
      <c r="D29" s="1880">
        <v>1.3</v>
      </c>
      <c r="E29" s="1881">
        <v>1</v>
      </c>
      <c r="F29" s="213">
        <v>1</v>
      </c>
      <c r="G29" s="1882">
        <v>50</v>
      </c>
      <c r="H29" s="213">
        <f t="shared" si="8"/>
        <v>195.00000000000003</v>
      </c>
      <c r="I29" s="213">
        <f t="shared" si="10"/>
        <v>96.5</v>
      </c>
      <c r="J29" s="203">
        <f t="shared" si="9"/>
        <v>96.5</v>
      </c>
      <c r="K29" s="203">
        <v>0</v>
      </c>
      <c r="L29" s="203">
        <v>0</v>
      </c>
      <c r="M29" s="161"/>
    </row>
    <row r="30" spans="1:13" ht="15.75" customHeight="1">
      <c r="A30" s="198" t="s">
        <v>486</v>
      </c>
      <c r="B30" s="1879" t="s">
        <v>498</v>
      </c>
      <c r="C30" s="1880">
        <v>3</v>
      </c>
      <c r="D30" s="1880">
        <v>1.3</v>
      </c>
      <c r="E30" s="1881">
        <v>2</v>
      </c>
      <c r="F30" s="213">
        <v>1</v>
      </c>
      <c r="G30" s="1882">
        <v>60</v>
      </c>
      <c r="H30" s="213">
        <f t="shared" si="8"/>
        <v>234.00000000000003</v>
      </c>
      <c r="I30" s="213">
        <f t="shared" si="10"/>
        <v>129</v>
      </c>
      <c r="J30" s="203">
        <f t="shared" si="9"/>
        <v>129</v>
      </c>
      <c r="K30" s="203">
        <v>0</v>
      </c>
      <c r="L30" s="203">
        <v>0</v>
      </c>
      <c r="M30" s="161"/>
    </row>
    <row r="31" spans="1:13" ht="15.75" customHeight="1">
      <c r="A31" s="198" t="s">
        <v>487</v>
      </c>
      <c r="B31" s="1879" t="s">
        <v>499</v>
      </c>
      <c r="C31" s="1880">
        <v>3</v>
      </c>
      <c r="D31" s="1880">
        <v>1.3</v>
      </c>
      <c r="E31" s="1881">
        <v>1</v>
      </c>
      <c r="F31" s="213">
        <v>1</v>
      </c>
      <c r="G31" s="1882">
        <v>30</v>
      </c>
      <c r="H31" s="213">
        <f t="shared" si="8"/>
        <v>117.00000000000001</v>
      </c>
      <c r="I31" s="213">
        <f t="shared" si="10"/>
        <v>64.5</v>
      </c>
      <c r="J31" s="203">
        <f t="shared" si="9"/>
        <v>64.5</v>
      </c>
      <c r="K31" s="203">
        <v>0</v>
      </c>
      <c r="L31" s="203">
        <v>0</v>
      </c>
      <c r="M31" s="161"/>
    </row>
    <row r="32" spans="1:13" ht="15.75" customHeight="1">
      <c r="A32" s="198" t="s">
        <v>488</v>
      </c>
      <c r="B32" s="1879" t="s">
        <v>500</v>
      </c>
      <c r="C32" s="1880">
        <v>3</v>
      </c>
      <c r="D32" s="1880">
        <v>1.3</v>
      </c>
      <c r="E32" s="1881">
        <v>1</v>
      </c>
      <c r="F32" s="213">
        <v>1</v>
      </c>
      <c r="G32" s="1882">
        <v>30</v>
      </c>
      <c r="H32" s="213">
        <f t="shared" si="8"/>
        <v>117.00000000000001</v>
      </c>
      <c r="I32" s="213">
        <f t="shared" si="10"/>
        <v>64.5</v>
      </c>
      <c r="J32" s="203">
        <f t="shared" si="9"/>
        <v>64.5</v>
      </c>
      <c r="K32" s="203">
        <v>0</v>
      </c>
      <c r="L32" s="203">
        <v>0</v>
      </c>
      <c r="M32" s="161"/>
    </row>
    <row r="33" spans="1:13" ht="15.75" customHeight="1">
      <c r="A33" s="198" t="s">
        <v>490</v>
      </c>
      <c r="B33" s="1879" t="s">
        <v>501</v>
      </c>
      <c r="C33" s="1880">
        <v>3</v>
      </c>
      <c r="D33" s="1880">
        <v>1.3</v>
      </c>
      <c r="E33" s="1881">
        <v>5</v>
      </c>
      <c r="F33" s="213">
        <v>1</v>
      </c>
      <c r="G33" s="1882">
        <v>60</v>
      </c>
      <c r="H33" s="213">
        <f t="shared" si="8"/>
        <v>234.00000000000003</v>
      </c>
      <c r="I33" s="213">
        <f t="shared" si="10"/>
        <v>178.5</v>
      </c>
      <c r="J33" s="203">
        <f t="shared" si="9"/>
        <v>178.5</v>
      </c>
      <c r="K33" s="203">
        <v>0</v>
      </c>
      <c r="L33" s="203">
        <v>0</v>
      </c>
      <c r="M33" s="161"/>
    </row>
    <row r="34" spans="1:13" ht="15.75" customHeight="1">
      <c r="A34" s="198" t="s">
        <v>491</v>
      </c>
      <c r="B34" s="1883" t="s">
        <v>502</v>
      </c>
      <c r="C34" s="1884">
        <v>3</v>
      </c>
      <c r="D34" s="1880">
        <v>1.3</v>
      </c>
      <c r="E34" s="1881">
        <v>1</v>
      </c>
      <c r="F34" s="213">
        <v>1</v>
      </c>
      <c r="G34" s="1885">
        <v>30</v>
      </c>
      <c r="H34" s="213">
        <f t="shared" si="8"/>
        <v>117.00000000000001</v>
      </c>
      <c r="I34" s="213">
        <f t="shared" si="10"/>
        <v>64.5</v>
      </c>
      <c r="J34" s="203">
        <f t="shared" si="9"/>
        <v>64.5</v>
      </c>
      <c r="K34" s="203">
        <v>0</v>
      </c>
      <c r="L34" s="203">
        <v>0</v>
      </c>
      <c r="M34" s="161"/>
    </row>
    <row r="35" spans="1:13" ht="15.75" customHeight="1">
      <c r="A35" s="198" t="s">
        <v>503</v>
      </c>
      <c r="B35" s="1879" t="s">
        <v>504</v>
      </c>
      <c r="C35" s="1880">
        <v>3</v>
      </c>
      <c r="D35" s="1880">
        <v>1.3</v>
      </c>
      <c r="E35" s="1881">
        <v>9</v>
      </c>
      <c r="F35" s="213">
        <v>1</v>
      </c>
      <c r="G35" s="1882">
        <v>57</v>
      </c>
      <c r="H35" s="213">
        <f t="shared" si="8"/>
        <v>222.3</v>
      </c>
      <c r="I35" s="213">
        <f t="shared" si="10"/>
        <v>239.7</v>
      </c>
      <c r="J35" s="203">
        <f t="shared" si="9"/>
        <v>239.7</v>
      </c>
      <c r="K35" s="203">
        <v>0</v>
      </c>
      <c r="L35" s="203">
        <v>0</v>
      </c>
      <c r="M35" s="161"/>
    </row>
    <row r="36" spans="1:13" ht="15.75" customHeight="1">
      <c r="A36" s="198" t="s">
        <v>505</v>
      </c>
      <c r="B36" s="1879" t="s">
        <v>506</v>
      </c>
      <c r="C36" s="1880">
        <v>3</v>
      </c>
      <c r="D36" s="1880">
        <v>1.3</v>
      </c>
      <c r="E36" s="1881">
        <v>1</v>
      </c>
      <c r="F36" s="213">
        <v>1</v>
      </c>
      <c r="G36" s="1882">
        <v>30</v>
      </c>
      <c r="H36" s="213">
        <f t="shared" si="8"/>
        <v>117.00000000000001</v>
      </c>
      <c r="I36" s="213">
        <f t="shared" si="10"/>
        <v>64.5</v>
      </c>
      <c r="J36" s="203">
        <f t="shared" si="9"/>
        <v>64.5</v>
      </c>
      <c r="K36" s="203">
        <v>0</v>
      </c>
      <c r="L36" s="203">
        <v>0</v>
      </c>
      <c r="M36" s="161"/>
    </row>
    <row r="37" spans="1:13" ht="15.75" customHeight="1">
      <c r="A37" s="195">
        <v>2</v>
      </c>
      <c r="B37" s="1879" t="s">
        <v>507</v>
      </c>
      <c r="C37" s="1880">
        <v>3</v>
      </c>
      <c r="D37" s="1880">
        <v>1.3</v>
      </c>
      <c r="E37" s="1881">
        <v>1</v>
      </c>
      <c r="F37" s="213">
        <v>1</v>
      </c>
      <c r="G37" s="1882">
        <v>30</v>
      </c>
      <c r="H37" s="213">
        <f t="shared" si="8"/>
        <v>117.00000000000001</v>
      </c>
      <c r="I37" s="213">
        <f t="shared" si="10"/>
        <v>64.5</v>
      </c>
      <c r="J37" s="191">
        <f t="shared" ref="J37:L37" si="11">J38+J46</f>
        <v>1140</v>
      </c>
      <c r="K37" s="191">
        <f t="shared" si="11"/>
        <v>2217</v>
      </c>
      <c r="L37" s="191">
        <f t="shared" si="11"/>
        <v>1855</v>
      </c>
      <c r="M37" s="161"/>
    </row>
    <row r="38" spans="1:13" ht="22.5" customHeight="1">
      <c r="A38" s="214">
        <v>2.1</v>
      </c>
      <c r="B38" s="1886" t="s">
        <v>508</v>
      </c>
      <c r="C38" s="215">
        <v>145</v>
      </c>
      <c r="D38" s="216">
        <v>268048.45</v>
      </c>
      <c r="E38" s="215">
        <v>45</v>
      </c>
      <c r="F38" s="216">
        <v>34</v>
      </c>
      <c r="G38" s="215">
        <v>1375</v>
      </c>
      <c r="H38" s="216">
        <v>37635382</v>
      </c>
      <c r="I38" s="213">
        <f t="shared" si="10"/>
        <v>1326508.3333333333</v>
      </c>
      <c r="J38" s="217">
        <v>1140</v>
      </c>
      <c r="K38" s="217">
        <v>2217</v>
      </c>
      <c r="L38" s="217">
        <v>1855</v>
      </c>
      <c r="M38" s="161"/>
    </row>
    <row r="39" spans="1:13" ht="15.75" customHeight="1">
      <c r="A39" s="106" t="s">
        <v>263</v>
      </c>
      <c r="B39" s="1879" t="s">
        <v>509</v>
      </c>
      <c r="C39" s="1880">
        <v>3</v>
      </c>
      <c r="D39" s="1880">
        <v>1.3</v>
      </c>
      <c r="E39" s="1881">
        <v>1</v>
      </c>
      <c r="F39" s="213">
        <v>1</v>
      </c>
      <c r="G39" s="1882">
        <v>30</v>
      </c>
      <c r="H39" s="213">
        <f t="shared" ref="H39:H40" si="12">C39*D39*G39</f>
        <v>117.00000000000001</v>
      </c>
      <c r="I39" s="213">
        <f t="shared" si="10"/>
        <v>64.5</v>
      </c>
      <c r="J39" s="194">
        <f t="shared" ref="J39:L39" si="13">SUM(J40:J44)</f>
        <v>129.5</v>
      </c>
      <c r="K39" s="194">
        <f t="shared" si="13"/>
        <v>0</v>
      </c>
      <c r="L39" s="194">
        <f t="shared" si="13"/>
        <v>0</v>
      </c>
      <c r="M39" s="161"/>
    </row>
    <row r="40" spans="1:13" ht="15.75" customHeight="1">
      <c r="A40" s="198" t="s">
        <v>479</v>
      </c>
      <c r="B40" s="1879" t="s">
        <v>510</v>
      </c>
      <c r="C40" s="1880">
        <v>3</v>
      </c>
      <c r="D40" s="1880">
        <v>1.3</v>
      </c>
      <c r="E40" s="1881">
        <v>3</v>
      </c>
      <c r="F40" s="213">
        <v>1</v>
      </c>
      <c r="G40" s="1882">
        <v>50</v>
      </c>
      <c r="H40" s="213">
        <f t="shared" si="12"/>
        <v>195.00000000000003</v>
      </c>
      <c r="I40" s="213">
        <f t="shared" si="10"/>
        <v>129.5</v>
      </c>
      <c r="J40" s="203">
        <f t="shared" ref="J40:J44" si="14">I40</f>
        <v>129.5</v>
      </c>
      <c r="K40" s="203">
        <v>0</v>
      </c>
      <c r="L40" s="203">
        <v>0</v>
      </c>
      <c r="M40" s="161"/>
    </row>
    <row r="41" spans="1:13" ht="15.75" customHeight="1">
      <c r="A41" s="198" t="s">
        <v>481</v>
      </c>
      <c r="B41" s="218" t="s">
        <v>511</v>
      </c>
      <c r="C41" s="202"/>
      <c r="D41" s="206"/>
      <c r="E41" s="202"/>
      <c r="F41" s="203"/>
      <c r="G41" s="202"/>
      <c r="H41" s="204"/>
      <c r="I41" s="204">
        <f t="shared" ref="I41:I44" si="15">C41*E41*F41*16.5</f>
        <v>0</v>
      </c>
      <c r="J41" s="203">
        <f t="shared" si="14"/>
        <v>0</v>
      </c>
      <c r="K41" s="203">
        <v>0</v>
      </c>
      <c r="L41" s="203">
        <v>0</v>
      </c>
      <c r="M41" s="161"/>
    </row>
    <row r="42" spans="1:13" ht="15.75" customHeight="1">
      <c r="A42" s="198" t="s">
        <v>483</v>
      </c>
      <c r="B42" s="218" t="s">
        <v>511</v>
      </c>
      <c r="C42" s="202"/>
      <c r="D42" s="206"/>
      <c r="E42" s="202"/>
      <c r="F42" s="203"/>
      <c r="G42" s="202"/>
      <c r="H42" s="204"/>
      <c r="I42" s="204">
        <f t="shared" si="15"/>
        <v>0</v>
      </c>
      <c r="J42" s="203">
        <f t="shared" si="14"/>
        <v>0</v>
      </c>
      <c r="K42" s="203">
        <v>0</v>
      </c>
      <c r="L42" s="203">
        <v>0</v>
      </c>
      <c r="M42" s="161"/>
    </row>
    <row r="43" spans="1:13" ht="15.75" customHeight="1">
      <c r="A43" s="198" t="s">
        <v>484</v>
      </c>
      <c r="B43" s="218" t="s">
        <v>511</v>
      </c>
      <c r="C43" s="202"/>
      <c r="D43" s="206"/>
      <c r="E43" s="202"/>
      <c r="F43" s="203"/>
      <c r="G43" s="202"/>
      <c r="H43" s="204"/>
      <c r="I43" s="204">
        <f t="shared" si="15"/>
        <v>0</v>
      </c>
      <c r="J43" s="203">
        <f t="shared" si="14"/>
        <v>0</v>
      </c>
      <c r="K43" s="203">
        <v>0</v>
      </c>
      <c r="L43" s="203">
        <v>0</v>
      </c>
      <c r="M43" s="161"/>
    </row>
    <row r="44" spans="1:13" ht="15.75" customHeight="1">
      <c r="A44" s="198" t="s">
        <v>485</v>
      </c>
      <c r="B44" s="218" t="s">
        <v>511</v>
      </c>
      <c r="C44" s="202"/>
      <c r="D44" s="206"/>
      <c r="E44" s="202"/>
      <c r="F44" s="203"/>
      <c r="G44" s="202"/>
      <c r="H44" s="204"/>
      <c r="I44" s="204">
        <f t="shared" si="15"/>
        <v>0</v>
      </c>
      <c r="J44" s="203">
        <f t="shared" si="14"/>
        <v>0</v>
      </c>
      <c r="K44" s="203">
        <v>0</v>
      </c>
      <c r="L44" s="203">
        <v>0</v>
      </c>
      <c r="M44" s="161"/>
    </row>
    <row r="45" spans="1:13" ht="15.75" customHeight="1">
      <c r="A45" s="219" t="s">
        <v>265</v>
      </c>
      <c r="B45" s="220" t="s">
        <v>512</v>
      </c>
      <c r="C45" s="194"/>
      <c r="D45" s="192"/>
      <c r="E45" s="194"/>
      <c r="F45" s="191"/>
      <c r="G45" s="194"/>
      <c r="H45" s="193"/>
      <c r="I45" s="193"/>
      <c r="J45" s="191"/>
      <c r="K45" s="191"/>
      <c r="L45" s="191"/>
      <c r="M45" s="161"/>
    </row>
    <row r="46" spans="1:13" ht="44.25" customHeight="1">
      <c r="A46" s="208" t="s">
        <v>513</v>
      </c>
      <c r="B46" s="67" t="s">
        <v>493</v>
      </c>
      <c r="C46" s="209">
        <f>SUM(C47:C51)</f>
        <v>0</v>
      </c>
      <c r="D46" s="206"/>
      <c r="E46" s="194">
        <f>SUM(E47:E51)</f>
        <v>0</v>
      </c>
      <c r="F46" s="203"/>
      <c r="G46" s="194"/>
      <c r="H46" s="193">
        <f t="shared" ref="H46:L46" si="16">SUM(H47:H51)</f>
        <v>0</v>
      </c>
      <c r="I46" s="193">
        <f t="shared" si="16"/>
        <v>0</v>
      </c>
      <c r="J46" s="191">
        <f t="shared" si="16"/>
        <v>0</v>
      </c>
      <c r="K46" s="191">
        <f t="shared" si="16"/>
        <v>0</v>
      </c>
      <c r="L46" s="191">
        <f t="shared" si="16"/>
        <v>0</v>
      </c>
      <c r="M46" s="161"/>
    </row>
    <row r="47" spans="1:13" ht="15.75" customHeight="1">
      <c r="A47" s="198" t="s">
        <v>486</v>
      </c>
      <c r="B47" s="218" t="s">
        <v>511</v>
      </c>
      <c r="C47" s="202"/>
      <c r="D47" s="206"/>
      <c r="E47" s="202"/>
      <c r="F47" s="203"/>
      <c r="G47" s="202"/>
      <c r="H47" s="204"/>
      <c r="I47" s="204">
        <f t="shared" ref="I47:I51" si="17">C47*E47*F47*16.5</f>
        <v>0</v>
      </c>
      <c r="J47" s="203"/>
      <c r="K47" s="203"/>
      <c r="L47" s="203"/>
      <c r="M47" s="161"/>
    </row>
    <row r="48" spans="1:13" ht="15.75" customHeight="1">
      <c r="A48" s="198" t="s">
        <v>487</v>
      </c>
      <c r="B48" s="218" t="s">
        <v>511</v>
      </c>
      <c r="C48" s="202"/>
      <c r="D48" s="206"/>
      <c r="E48" s="202"/>
      <c r="F48" s="203"/>
      <c r="G48" s="202"/>
      <c r="H48" s="204"/>
      <c r="I48" s="204">
        <f t="shared" si="17"/>
        <v>0</v>
      </c>
      <c r="J48" s="203"/>
      <c r="K48" s="203"/>
      <c r="L48" s="203"/>
      <c r="M48" s="161"/>
    </row>
    <row r="49" spans="1:13" ht="15.75" customHeight="1">
      <c r="A49" s="198" t="s">
        <v>488</v>
      </c>
      <c r="B49" s="218" t="s">
        <v>511</v>
      </c>
      <c r="C49" s="202"/>
      <c r="D49" s="206"/>
      <c r="E49" s="202"/>
      <c r="F49" s="203"/>
      <c r="G49" s="202"/>
      <c r="H49" s="204"/>
      <c r="I49" s="204">
        <f t="shared" si="17"/>
        <v>0</v>
      </c>
      <c r="J49" s="203"/>
      <c r="K49" s="203"/>
      <c r="L49" s="203"/>
      <c r="M49" s="161"/>
    </row>
    <row r="50" spans="1:13" ht="15.75" customHeight="1">
      <c r="A50" s="198" t="s">
        <v>489</v>
      </c>
      <c r="B50" s="218" t="s">
        <v>511</v>
      </c>
      <c r="C50" s="202"/>
      <c r="D50" s="206"/>
      <c r="E50" s="202"/>
      <c r="F50" s="203"/>
      <c r="G50" s="202"/>
      <c r="H50" s="204"/>
      <c r="I50" s="204">
        <f t="shared" si="17"/>
        <v>0</v>
      </c>
      <c r="J50" s="203"/>
      <c r="K50" s="203"/>
      <c r="L50" s="203"/>
      <c r="M50" s="161"/>
    </row>
    <row r="51" spans="1:13" ht="15.75" customHeight="1">
      <c r="A51" s="198" t="s">
        <v>490</v>
      </c>
      <c r="B51" s="218" t="s">
        <v>511</v>
      </c>
      <c r="C51" s="202"/>
      <c r="D51" s="206"/>
      <c r="E51" s="202"/>
      <c r="F51" s="203"/>
      <c r="G51" s="202"/>
      <c r="H51" s="204"/>
      <c r="I51" s="204">
        <f t="shared" si="17"/>
        <v>0</v>
      </c>
      <c r="J51" s="203"/>
      <c r="K51" s="203"/>
      <c r="L51" s="203"/>
      <c r="M51" s="161"/>
    </row>
    <row r="52" spans="1:13" ht="15.75" customHeight="1">
      <c r="A52" s="189" t="s">
        <v>284</v>
      </c>
      <c r="B52" s="190" t="s">
        <v>514</v>
      </c>
      <c r="C52" s="194">
        <f>C53+C73</f>
        <v>0</v>
      </c>
      <c r="D52" s="192"/>
      <c r="E52" s="194">
        <f>E53+E73</f>
        <v>0</v>
      </c>
      <c r="F52" s="191"/>
      <c r="G52" s="194"/>
      <c r="H52" s="193">
        <f t="shared" ref="H52:L52" si="18">H53+H73</f>
        <v>0</v>
      </c>
      <c r="I52" s="193">
        <f t="shared" si="18"/>
        <v>0</v>
      </c>
      <c r="J52" s="191">
        <f t="shared" si="18"/>
        <v>0</v>
      </c>
      <c r="K52" s="191">
        <f t="shared" si="18"/>
        <v>0</v>
      </c>
      <c r="L52" s="191">
        <f t="shared" si="18"/>
        <v>0</v>
      </c>
      <c r="M52" s="161"/>
    </row>
    <row r="53" spans="1:13" ht="15.75" customHeight="1">
      <c r="A53" s="189">
        <v>1</v>
      </c>
      <c r="B53" s="107" t="s">
        <v>515</v>
      </c>
      <c r="C53" s="194">
        <f>C54+C63</f>
        <v>0</v>
      </c>
      <c r="D53" s="192"/>
      <c r="E53" s="194">
        <f>E54+E63</f>
        <v>0</v>
      </c>
      <c r="F53" s="191"/>
      <c r="G53" s="194"/>
      <c r="H53" s="193">
        <f t="shared" ref="H53:L53" si="19">H54+H63</f>
        <v>0</v>
      </c>
      <c r="I53" s="193">
        <f t="shared" si="19"/>
        <v>0</v>
      </c>
      <c r="J53" s="191">
        <f t="shared" si="19"/>
        <v>0</v>
      </c>
      <c r="K53" s="191">
        <f t="shared" si="19"/>
        <v>0</v>
      </c>
      <c r="L53" s="191">
        <f t="shared" si="19"/>
        <v>0</v>
      </c>
      <c r="M53" s="161"/>
    </row>
    <row r="54" spans="1:13" ht="38.25" customHeight="1">
      <c r="A54" s="106">
        <v>1.1000000000000001</v>
      </c>
      <c r="B54" s="107" t="s">
        <v>516</v>
      </c>
      <c r="C54" s="194">
        <f>SUM(C55:C62)</f>
        <v>0</v>
      </c>
      <c r="D54" s="192"/>
      <c r="E54" s="194">
        <f>SUM(E55:E62)</f>
        <v>0</v>
      </c>
      <c r="F54" s="191"/>
      <c r="G54" s="194"/>
      <c r="H54" s="193">
        <f t="shared" ref="H54:L54" si="20">SUM(H55:H62)</f>
        <v>0</v>
      </c>
      <c r="I54" s="193">
        <f t="shared" si="20"/>
        <v>0</v>
      </c>
      <c r="J54" s="191">
        <f t="shared" si="20"/>
        <v>0</v>
      </c>
      <c r="K54" s="191">
        <f t="shared" si="20"/>
        <v>0</v>
      </c>
      <c r="L54" s="191">
        <f t="shared" si="20"/>
        <v>0</v>
      </c>
      <c r="M54" s="161"/>
    </row>
    <row r="55" spans="1:13" ht="15.75" customHeight="1">
      <c r="A55" s="207" t="s">
        <v>479</v>
      </c>
      <c r="B55" s="67" t="s">
        <v>482</v>
      </c>
      <c r="C55" s="202"/>
      <c r="D55" s="206"/>
      <c r="E55" s="202"/>
      <c r="F55" s="203"/>
      <c r="G55" s="202"/>
      <c r="H55" s="204">
        <f t="shared" ref="H55:H62" si="21">C55*D55*G55</f>
        <v>0</v>
      </c>
      <c r="I55" s="204">
        <f t="shared" ref="I55:I62" si="22">C55*E55*F55*16.5</f>
        <v>0</v>
      </c>
      <c r="J55" s="203"/>
      <c r="K55" s="203"/>
      <c r="L55" s="203"/>
      <c r="M55" s="161"/>
    </row>
    <row r="56" spans="1:13" ht="15.75" customHeight="1">
      <c r="A56" s="207" t="s">
        <v>483</v>
      </c>
      <c r="B56" s="67" t="s">
        <v>482</v>
      </c>
      <c r="C56" s="202"/>
      <c r="D56" s="206"/>
      <c r="E56" s="202"/>
      <c r="F56" s="203"/>
      <c r="G56" s="202"/>
      <c r="H56" s="204">
        <f t="shared" si="21"/>
        <v>0</v>
      </c>
      <c r="I56" s="204">
        <f t="shared" si="22"/>
        <v>0</v>
      </c>
      <c r="J56" s="221"/>
      <c r="K56" s="203"/>
      <c r="L56" s="203"/>
      <c r="M56" s="161"/>
    </row>
    <row r="57" spans="1:13" ht="15.75" customHeight="1">
      <c r="A57" s="207" t="s">
        <v>484</v>
      </c>
      <c r="B57" s="67" t="s">
        <v>482</v>
      </c>
      <c r="C57" s="202"/>
      <c r="D57" s="206"/>
      <c r="E57" s="202"/>
      <c r="F57" s="203"/>
      <c r="G57" s="202"/>
      <c r="H57" s="204">
        <f t="shared" si="21"/>
        <v>0</v>
      </c>
      <c r="I57" s="204">
        <f t="shared" si="22"/>
        <v>0</v>
      </c>
      <c r="J57" s="221"/>
      <c r="K57" s="203"/>
      <c r="L57" s="203"/>
      <c r="M57" s="161"/>
    </row>
    <row r="58" spans="1:13" ht="15.75" customHeight="1">
      <c r="A58" s="207" t="s">
        <v>485</v>
      </c>
      <c r="B58" s="67" t="s">
        <v>482</v>
      </c>
      <c r="C58" s="202"/>
      <c r="D58" s="206"/>
      <c r="E58" s="202"/>
      <c r="F58" s="203"/>
      <c r="G58" s="202"/>
      <c r="H58" s="204">
        <f t="shared" si="21"/>
        <v>0</v>
      </c>
      <c r="I58" s="204">
        <f t="shared" si="22"/>
        <v>0</v>
      </c>
      <c r="J58" s="203"/>
      <c r="K58" s="203"/>
      <c r="L58" s="203"/>
      <c r="M58" s="161"/>
    </row>
    <row r="59" spans="1:13" ht="15.75" customHeight="1">
      <c r="A59" s="207" t="s">
        <v>488</v>
      </c>
      <c r="B59" s="67" t="s">
        <v>482</v>
      </c>
      <c r="C59" s="202"/>
      <c r="D59" s="206"/>
      <c r="E59" s="202"/>
      <c r="F59" s="203"/>
      <c r="G59" s="202"/>
      <c r="H59" s="204">
        <f t="shared" si="21"/>
        <v>0</v>
      </c>
      <c r="I59" s="204">
        <f t="shared" si="22"/>
        <v>0</v>
      </c>
      <c r="J59" s="203"/>
      <c r="K59" s="203"/>
      <c r="L59" s="203"/>
      <c r="M59" s="161"/>
    </row>
    <row r="60" spans="1:13" ht="15.75" customHeight="1">
      <c r="A60" s="207" t="s">
        <v>489</v>
      </c>
      <c r="B60" s="67" t="s">
        <v>482</v>
      </c>
      <c r="C60" s="202"/>
      <c r="D60" s="206"/>
      <c r="E60" s="202"/>
      <c r="F60" s="203"/>
      <c r="G60" s="202"/>
      <c r="H60" s="204">
        <f t="shared" si="21"/>
        <v>0</v>
      </c>
      <c r="I60" s="204">
        <f t="shared" si="22"/>
        <v>0</v>
      </c>
      <c r="J60" s="203"/>
      <c r="K60" s="203"/>
      <c r="L60" s="203"/>
      <c r="M60" s="161"/>
    </row>
    <row r="61" spans="1:13" ht="15.75" customHeight="1">
      <c r="A61" s="207" t="s">
        <v>490</v>
      </c>
      <c r="B61" s="67" t="s">
        <v>482</v>
      </c>
      <c r="C61" s="202"/>
      <c r="D61" s="206"/>
      <c r="E61" s="202"/>
      <c r="F61" s="203"/>
      <c r="G61" s="202"/>
      <c r="H61" s="204">
        <f t="shared" si="21"/>
        <v>0</v>
      </c>
      <c r="I61" s="204">
        <f t="shared" si="22"/>
        <v>0</v>
      </c>
      <c r="J61" s="221"/>
      <c r="K61" s="203"/>
      <c r="L61" s="203"/>
      <c r="M61" s="161"/>
    </row>
    <row r="62" spans="1:13" ht="15.75" customHeight="1">
      <c r="A62" s="207" t="s">
        <v>517</v>
      </c>
      <c r="B62" s="67" t="s">
        <v>482</v>
      </c>
      <c r="C62" s="202"/>
      <c r="D62" s="206"/>
      <c r="E62" s="202"/>
      <c r="F62" s="203"/>
      <c r="G62" s="202"/>
      <c r="H62" s="204">
        <f t="shared" si="21"/>
        <v>0</v>
      </c>
      <c r="I62" s="204">
        <f t="shared" si="22"/>
        <v>0</v>
      </c>
      <c r="J62" s="221"/>
      <c r="K62" s="203"/>
      <c r="L62" s="203"/>
      <c r="M62" s="161"/>
    </row>
    <row r="63" spans="1:13" ht="43.5" customHeight="1">
      <c r="A63" s="208">
        <v>1.2</v>
      </c>
      <c r="B63" s="67" t="s">
        <v>493</v>
      </c>
      <c r="C63" s="209">
        <f>SUM(C64:C71)</f>
        <v>0</v>
      </c>
      <c r="D63" s="206"/>
      <c r="E63" s="194">
        <f>SUM(E64:E71)</f>
        <v>0</v>
      </c>
      <c r="F63" s="203"/>
      <c r="G63" s="194"/>
      <c r="H63" s="193">
        <f>SUM(H64:H71)</f>
        <v>0</v>
      </c>
      <c r="I63" s="193">
        <f>SUM(I64:I72)</f>
        <v>0</v>
      </c>
      <c r="J63" s="191">
        <f t="shared" ref="J63:L63" si="23">SUM(J64:J71)</f>
        <v>0</v>
      </c>
      <c r="K63" s="191">
        <f t="shared" si="23"/>
        <v>0</v>
      </c>
      <c r="L63" s="191">
        <f t="shared" si="23"/>
        <v>0</v>
      </c>
      <c r="M63" s="161"/>
    </row>
    <row r="64" spans="1:13" ht="15.75" customHeight="1">
      <c r="A64" s="207" t="s">
        <v>481</v>
      </c>
      <c r="B64" s="67" t="s">
        <v>482</v>
      </c>
      <c r="C64" s="202"/>
      <c r="D64" s="206"/>
      <c r="E64" s="202"/>
      <c r="F64" s="203"/>
      <c r="G64" s="202"/>
      <c r="H64" s="204">
        <f t="shared" ref="H64:H72" si="24">C64*D64*G64</f>
        <v>0</v>
      </c>
      <c r="I64" s="204">
        <f t="shared" ref="I64:I71" si="25">C64*E64*F64*16.5</f>
        <v>0</v>
      </c>
      <c r="J64" s="203"/>
      <c r="K64" s="203"/>
      <c r="L64" s="203"/>
      <c r="M64" s="161"/>
    </row>
    <row r="65" spans="1:13" ht="15.75" customHeight="1">
      <c r="A65" s="207" t="s">
        <v>483</v>
      </c>
      <c r="B65" s="67" t="s">
        <v>482</v>
      </c>
      <c r="C65" s="202"/>
      <c r="D65" s="206"/>
      <c r="E65" s="202"/>
      <c r="F65" s="203"/>
      <c r="G65" s="202"/>
      <c r="H65" s="204">
        <f t="shared" si="24"/>
        <v>0</v>
      </c>
      <c r="I65" s="204">
        <f t="shared" si="25"/>
        <v>0</v>
      </c>
      <c r="J65" s="221"/>
      <c r="K65" s="203"/>
      <c r="L65" s="203"/>
      <c r="M65" s="161"/>
    </row>
    <row r="66" spans="1:13" ht="15.75" customHeight="1">
      <c r="A66" s="207" t="s">
        <v>486</v>
      </c>
      <c r="B66" s="67" t="s">
        <v>482</v>
      </c>
      <c r="C66" s="202"/>
      <c r="D66" s="206"/>
      <c r="E66" s="202"/>
      <c r="F66" s="203"/>
      <c r="G66" s="202"/>
      <c r="H66" s="204">
        <f t="shared" si="24"/>
        <v>0</v>
      </c>
      <c r="I66" s="204">
        <f t="shared" si="25"/>
        <v>0</v>
      </c>
      <c r="J66" s="203"/>
      <c r="K66" s="203"/>
      <c r="L66" s="203"/>
      <c r="M66" s="161"/>
    </row>
    <row r="67" spans="1:13" ht="15.75" customHeight="1">
      <c r="A67" s="207" t="s">
        <v>487</v>
      </c>
      <c r="B67" s="67" t="s">
        <v>482</v>
      </c>
      <c r="C67" s="202"/>
      <c r="D67" s="206"/>
      <c r="E67" s="202"/>
      <c r="F67" s="203"/>
      <c r="G67" s="202"/>
      <c r="H67" s="204">
        <f t="shared" si="24"/>
        <v>0</v>
      </c>
      <c r="I67" s="204">
        <f t="shared" si="25"/>
        <v>0</v>
      </c>
      <c r="J67" s="203"/>
      <c r="K67" s="203"/>
      <c r="L67" s="203"/>
      <c r="M67" s="161"/>
    </row>
    <row r="68" spans="1:13" ht="15.75" customHeight="1">
      <c r="A68" s="207" t="s">
        <v>488</v>
      </c>
      <c r="B68" s="67" t="s">
        <v>482</v>
      </c>
      <c r="C68" s="202"/>
      <c r="D68" s="206"/>
      <c r="E68" s="202"/>
      <c r="F68" s="203"/>
      <c r="G68" s="202"/>
      <c r="H68" s="204">
        <f t="shared" si="24"/>
        <v>0</v>
      </c>
      <c r="I68" s="204">
        <f t="shared" si="25"/>
        <v>0</v>
      </c>
      <c r="J68" s="203"/>
      <c r="K68" s="203"/>
      <c r="L68" s="203"/>
      <c r="M68" s="161"/>
    </row>
    <row r="69" spans="1:13" ht="15.75" customHeight="1">
      <c r="A69" s="207" t="s">
        <v>491</v>
      </c>
      <c r="B69" s="67" t="s">
        <v>482</v>
      </c>
      <c r="C69" s="202"/>
      <c r="D69" s="206"/>
      <c r="E69" s="202"/>
      <c r="F69" s="203"/>
      <c r="G69" s="202"/>
      <c r="H69" s="204">
        <f t="shared" si="24"/>
        <v>0</v>
      </c>
      <c r="I69" s="204">
        <f t="shared" si="25"/>
        <v>0</v>
      </c>
      <c r="J69" s="221"/>
      <c r="K69" s="203"/>
      <c r="L69" s="203"/>
      <c r="M69" s="161"/>
    </row>
    <row r="70" spans="1:13" ht="15.75" customHeight="1">
      <c r="A70" s="207" t="s">
        <v>492</v>
      </c>
      <c r="B70" s="67" t="s">
        <v>482</v>
      </c>
      <c r="C70" s="202"/>
      <c r="D70" s="206"/>
      <c r="E70" s="202"/>
      <c r="F70" s="203"/>
      <c r="G70" s="202"/>
      <c r="H70" s="204">
        <f t="shared" si="24"/>
        <v>0</v>
      </c>
      <c r="I70" s="204">
        <f t="shared" si="25"/>
        <v>0</v>
      </c>
      <c r="J70" s="221"/>
      <c r="K70" s="203"/>
      <c r="L70" s="203"/>
      <c r="M70" s="161"/>
    </row>
    <row r="71" spans="1:13" ht="15.75" customHeight="1">
      <c r="A71" s="207" t="s">
        <v>518</v>
      </c>
      <c r="B71" s="67" t="s">
        <v>482</v>
      </c>
      <c r="C71" s="202"/>
      <c r="D71" s="206"/>
      <c r="E71" s="202"/>
      <c r="F71" s="203"/>
      <c r="G71" s="202"/>
      <c r="H71" s="204">
        <f t="shared" si="24"/>
        <v>0</v>
      </c>
      <c r="I71" s="204">
        <f t="shared" si="25"/>
        <v>0</v>
      </c>
      <c r="J71" s="203"/>
      <c r="K71" s="203"/>
      <c r="L71" s="203"/>
      <c r="M71" s="161"/>
    </row>
    <row r="72" spans="1:13" ht="15.75" customHeight="1">
      <c r="A72" s="207" t="s">
        <v>503</v>
      </c>
      <c r="B72" s="67" t="s">
        <v>482</v>
      </c>
      <c r="C72" s="222"/>
      <c r="D72" s="223"/>
      <c r="E72" s="224"/>
      <c r="F72" s="223"/>
      <c r="G72" s="224"/>
      <c r="H72" s="1887">
        <f t="shared" si="24"/>
        <v>0</v>
      </c>
      <c r="I72" s="1888"/>
      <c r="J72" s="223"/>
      <c r="K72" s="203"/>
      <c r="L72" s="203"/>
      <c r="M72" s="95"/>
    </row>
    <row r="73" spans="1:13" ht="15.75" customHeight="1">
      <c r="A73" s="189">
        <v>2</v>
      </c>
      <c r="B73" s="190" t="s">
        <v>519</v>
      </c>
      <c r="C73" s="194">
        <f>C74+C80</f>
        <v>0</v>
      </c>
      <c r="D73" s="192"/>
      <c r="E73" s="194">
        <f>E74+E80</f>
        <v>0</v>
      </c>
      <c r="F73" s="191"/>
      <c r="G73" s="194"/>
      <c r="H73" s="193">
        <f t="shared" ref="H73:L73" si="26">H74+H80</f>
        <v>0</v>
      </c>
      <c r="I73" s="193">
        <f t="shared" si="26"/>
        <v>0</v>
      </c>
      <c r="J73" s="191">
        <f t="shared" si="26"/>
        <v>0</v>
      </c>
      <c r="K73" s="191">
        <f t="shared" si="26"/>
        <v>0</v>
      </c>
      <c r="L73" s="191">
        <f t="shared" si="26"/>
        <v>0</v>
      </c>
      <c r="M73" s="161"/>
    </row>
    <row r="74" spans="1:13" ht="42" customHeight="1">
      <c r="A74" s="106" t="s">
        <v>520</v>
      </c>
      <c r="B74" s="107" t="s">
        <v>516</v>
      </c>
      <c r="C74" s="194">
        <f>SUM(C75:C79)</f>
        <v>0</v>
      </c>
      <c r="D74" s="192"/>
      <c r="E74" s="194">
        <f>SUM(E75:E79)</f>
        <v>0</v>
      </c>
      <c r="F74" s="191"/>
      <c r="G74" s="194"/>
      <c r="H74" s="193">
        <f t="shared" ref="H74:L74" si="27">SUM(H75:H79)</f>
        <v>0</v>
      </c>
      <c r="I74" s="193">
        <f t="shared" si="27"/>
        <v>0</v>
      </c>
      <c r="J74" s="191">
        <f t="shared" si="27"/>
        <v>0</v>
      </c>
      <c r="K74" s="191">
        <f t="shared" si="27"/>
        <v>0</v>
      </c>
      <c r="L74" s="191">
        <f t="shared" si="27"/>
        <v>0</v>
      </c>
      <c r="M74" s="161"/>
    </row>
    <row r="75" spans="1:13" ht="15.75" customHeight="1">
      <c r="A75" s="207" t="s">
        <v>479</v>
      </c>
      <c r="B75" s="67" t="s">
        <v>482</v>
      </c>
      <c r="C75" s="202"/>
      <c r="D75" s="206"/>
      <c r="E75" s="202"/>
      <c r="F75" s="203"/>
      <c r="G75" s="202"/>
      <c r="H75" s="204">
        <f t="shared" ref="H75:H79" si="28">C75*D75*G75</f>
        <v>0</v>
      </c>
      <c r="I75" s="204">
        <f t="shared" ref="I75:I79" si="29">C75*E75*F75*16.5</f>
        <v>0</v>
      </c>
      <c r="J75" s="203"/>
      <c r="K75" s="203"/>
      <c r="L75" s="203"/>
      <c r="M75" s="161"/>
    </row>
    <row r="76" spans="1:13" ht="15.75" customHeight="1">
      <c r="A76" s="207" t="s">
        <v>481</v>
      </c>
      <c r="B76" s="67" t="s">
        <v>482</v>
      </c>
      <c r="C76" s="202"/>
      <c r="D76" s="206"/>
      <c r="E76" s="202"/>
      <c r="F76" s="203"/>
      <c r="G76" s="202"/>
      <c r="H76" s="204">
        <f t="shared" si="28"/>
        <v>0</v>
      </c>
      <c r="I76" s="204">
        <f t="shared" si="29"/>
        <v>0</v>
      </c>
      <c r="J76" s="203"/>
      <c r="K76" s="203"/>
      <c r="L76" s="203"/>
      <c r="M76" s="161"/>
    </row>
    <row r="77" spans="1:13" ht="15.75" customHeight="1">
      <c r="A77" s="207" t="s">
        <v>483</v>
      </c>
      <c r="B77" s="67" t="s">
        <v>482</v>
      </c>
      <c r="C77" s="202"/>
      <c r="D77" s="206"/>
      <c r="E77" s="202"/>
      <c r="F77" s="203"/>
      <c r="G77" s="202"/>
      <c r="H77" s="204">
        <f t="shared" si="28"/>
        <v>0</v>
      </c>
      <c r="I77" s="204">
        <f t="shared" si="29"/>
        <v>0</v>
      </c>
      <c r="J77" s="203"/>
      <c r="K77" s="203"/>
      <c r="L77" s="203"/>
      <c r="M77" s="161"/>
    </row>
    <row r="78" spans="1:13" ht="15.75" customHeight="1">
      <c r="A78" s="207" t="s">
        <v>484</v>
      </c>
      <c r="B78" s="67" t="s">
        <v>482</v>
      </c>
      <c r="C78" s="202"/>
      <c r="D78" s="206"/>
      <c r="E78" s="202"/>
      <c r="F78" s="203"/>
      <c r="G78" s="202"/>
      <c r="H78" s="204">
        <f t="shared" si="28"/>
        <v>0</v>
      </c>
      <c r="I78" s="204">
        <f t="shared" si="29"/>
        <v>0</v>
      </c>
      <c r="J78" s="203"/>
      <c r="K78" s="203"/>
      <c r="L78" s="203"/>
      <c r="M78" s="161"/>
    </row>
    <row r="79" spans="1:13" ht="15.75" customHeight="1">
      <c r="A79" s="207" t="s">
        <v>485</v>
      </c>
      <c r="B79" s="67" t="s">
        <v>482</v>
      </c>
      <c r="C79" s="202"/>
      <c r="D79" s="206"/>
      <c r="E79" s="202"/>
      <c r="F79" s="203"/>
      <c r="G79" s="202"/>
      <c r="H79" s="204">
        <f t="shared" si="28"/>
        <v>0</v>
      </c>
      <c r="I79" s="204">
        <f t="shared" si="29"/>
        <v>0</v>
      </c>
      <c r="J79" s="203"/>
      <c r="K79" s="203"/>
      <c r="L79" s="203"/>
      <c r="M79" s="161"/>
    </row>
    <row r="80" spans="1:13" ht="56.25" customHeight="1">
      <c r="A80" s="198" t="s">
        <v>520</v>
      </c>
      <c r="B80" s="67" t="s">
        <v>493</v>
      </c>
      <c r="C80" s="209">
        <f>SUM(C81:C87)</f>
        <v>0</v>
      </c>
      <c r="D80" s="206"/>
      <c r="E80" s="194">
        <f>SUM(E81:E87)</f>
        <v>0</v>
      </c>
      <c r="F80" s="203"/>
      <c r="G80" s="194"/>
      <c r="H80" s="193">
        <f t="shared" ref="H80:L80" si="30">SUM(H81:H87)</f>
        <v>0</v>
      </c>
      <c r="I80" s="193">
        <f t="shared" si="30"/>
        <v>0</v>
      </c>
      <c r="J80" s="191">
        <f t="shared" si="30"/>
        <v>0</v>
      </c>
      <c r="K80" s="191">
        <f t="shared" si="30"/>
        <v>0</v>
      </c>
      <c r="L80" s="191">
        <f t="shared" si="30"/>
        <v>0</v>
      </c>
      <c r="M80" s="161"/>
    </row>
    <row r="81" spans="1:13" ht="15.75" customHeight="1">
      <c r="A81" s="207" t="s">
        <v>486</v>
      </c>
      <c r="B81" s="67" t="s">
        <v>482</v>
      </c>
      <c r="C81" s="202"/>
      <c r="D81" s="206"/>
      <c r="E81" s="202"/>
      <c r="F81" s="203"/>
      <c r="G81" s="202"/>
      <c r="H81" s="204">
        <f t="shared" ref="H81:H87" si="31">C81*D81*G81</f>
        <v>0</v>
      </c>
      <c r="I81" s="204">
        <f t="shared" ref="I81:I87" si="32">C81*E81*F81*16.5</f>
        <v>0</v>
      </c>
      <c r="J81" s="203"/>
      <c r="K81" s="203"/>
      <c r="L81" s="203"/>
      <c r="M81" s="161"/>
    </row>
    <row r="82" spans="1:13" ht="15.75" customHeight="1">
      <c r="A82" s="207" t="s">
        <v>487</v>
      </c>
      <c r="B82" s="67" t="s">
        <v>482</v>
      </c>
      <c r="C82" s="202"/>
      <c r="D82" s="206"/>
      <c r="E82" s="202"/>
      <c r="F82" s="203"/>
      <c r="G82" s="202"/>
      <c r="H82" s="204">
        <f t="shared" si="31"/>
        <v>0</v>
      </c>
      <c r="I82" s="204">
        <f t="shared" si="32"/>
        <v>0</v>
      </c>
      <c r="J82" s="203"/>
      <c r="K82" s="203"/>
      <c r="L82" s="203"/>
      <c r="M82" s="161"/>
    </row>
    <row r="83" spans="1:13" ht="15.75" customHeight="1">
      <c r="A83" s="207" t="s">
        <v>488</v>
      </c>
      <c r="B83" s="67" t="s">
        <v>482</v>
      </c>
      <c r="C83" s="202"/>
      <c r="D83" s="206"/>
      <c r="E83" s="202"/>
      <c r="F83" s="203"/>
      <c r="G83" s="202"/>
      <c r="H83" s="204">
        <f t="shared" si="31"/>
        <v>0</v>
      </c>
      <c r="I83" s="204">
        <f t="shared" si="32"/>
        <v>0</v>
      </c>
      <c r="J83" s="203"/>
      <c r="K83" s="203"/>
      <c r="L83" s="203"/>
      <c r="M83" s="161"/>
    </row>
    <row r="84" spans="1:13" ht="15.75" customHeight="1">
      <c r="A84" s="207" t="s">
        <v>489</v>
      </c>
      <c r="B84" s="67" t="s">
        <v>482</v>
      </c>
      <c r="C84" s="202"/>
      <c r="D84" s="206"/>
      <c r="E84" s="202"/>
      <c r="F84" s="203"/>
      <c r="G84" s="202"/>
      <c r="H84" s="204">
        <f t="shared" si="31"/>
        <v>0</v>
      </c>
      <c r="I84" s="204">
        <f t="shared" si="32"/>
        <v>0</v>
      </c>
      <c r="J84" s="203"/>
      <c r="K84" s="203"/>
      <c r="L84" s="203"/>
      <c r="M84" s="161"/>
    </row>
    <row r="85" spans="1:13" ht="15.75" customHeight="1">
      <c r="A85" s="207" t="s">
        <v>490</v>
      </c>
      <c r="B85" s="67" t="s">
        <v>482</v>
      </c>
      <c r="C85" s="202"/>
      <c r="D85" s="206"/>
      <c r="E85" s="202"/>
      <c r="F85" s="203"/>
      <c r="G85" s="202"/>
      <c r="H85" s="204">
        <f t="shared" si="31"/>
        <v>0</v>
      </c>
      <c r="I85" s="204">
        <f t="shared" si="32"/>
        <v>0</v>
      </c>
      <c r="J85" s="203"/>
      <c r="K85" s="203"/>
      <c r="L85" s="203"/>
      <c r="M85" s="161"/>
    </row>
    <row r="86" spans="1:13" ht="15.75" customHeight="1">
      <c r="A86" s="207" t="s">
        <v>491</v>
      </c>
      <c r="B86" s="67" t="s">
        <v>482</v>
      </c>
      <c r="C86" s="202"/>
      <c r="D86" s="206"/>
      <c r="E86" s="202"/>
      <c r="F86" s="203"/>
      <c r="G86" s="202"/>
      <c r="H86" s="204">
        <f t="shared" si="31"/>
        <v>0</v>
      </c>
      <c r="I86" s="204">
        <f t="shared" si="32"/>
        <v>0</v>
      </c>
      <c r="J86" s="203"/>
      <c r="K86" s="203"/>
      <c r="L86" s="203"/>
      <c r="M86" s="161"/>
    </row>
    <row r="87" spans="1:13" ht="15.75" customHeight="1">
      <c r="A87" s="225" t="s">
        <v>492</v>
      </c>
      <c r="B87" s="67" t="s">
        <v>482</v>
      </c>
      <c r="C87" s="226"/>
      <c r="D87" s="227"/>
      <c r="E87" s="226"/>
      <c r="F87" s="228"/>
      <c r="G87" s="202"/>
      <c r="H87" s="229">
        <f t="shared" si="31"/>
        <v>0</v>
      </c>
      <c r="I87" s="229">
        <f t="shared" si="32"/>
        <v>0</v>
      </c>
      <c r="J87" s="228"/>
      <c r="K87" s="228"/>
      <c r="L87" s="228"/>
      <c r="M87" s="95"/>
    </row>
  </sheetData>
  <mergeCells count="16">
    <mergeCell ref="A1:C1"/>
    <mergeCell ref="A2:C2"/>
    <mergeCell ref="B6:B7"/>
    <mergeCell ref="C6:C7"/>
    <mergeCell ref="D6:D7"/>
    <mergeCell ref="J2:L2"/>
    <mergeCell ref="A3:L3"/>
    <mergeCell ref="A4:L4"/>
    <mergeCell ref="A5:L5"/>
    <mergeCell ref="A6:A7"/>
    <mergeCell ref="J6:L6"/>
    <mergeCell ref="G6:G7"/>
    <mergeCell ref="H6:H7"/>
    <mergeCell ref="I6:I7"/>
    <mergeCell ref="E6:E7"/>
    <mergeCell ref="F6:F7"/>
  </mergeCells>
  <pageMargins left="0" right="0" top="0" bottom="0" header="0" footer="0"/>
  <pageSetup paperSize="9" scale="80" orientation="landscape"/>
  <legacyDrawing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11"/>
  <sheetViews>
    <sheetView workbookViewId="0">
      <pane xSplit="2" ySplit="11" topLeftCell="C36"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4.7109375" customWidth="1"/>
    <col min="2" max="2" width="39.42578125" customWidth="1"/>
    <col min="3" max="3" width="8.28515625" customWidth="1"/>
    <col min="4" max="4" width="11.140625" customWidth="1"/>
    <col min="5" max="5" width="10.28515625" customWidth="1"/>
    <col min="6" max="6" width="11.7109375" customWidth="1"/>
    <col min="7" max="7" width="10.7109375" customWidth="1"/>
    <col min="8" max="8" width="15.140625" customWidth="1"/>
    <col min="9" max="9" width="12.7109375" customWidth="1"/>
    <col min="10" max="10" width="13.42578125" customWidth="1"/>
    <col min="11" max="11" width="8.42578125" customWidth="1"/>
    <col min="12" max="13" width="10" customWidth="1"/>
    <col min="14" max="15" width="11.7109375" customWidth="1"/>
    <col min="16" max="16" width="7.42578125" customWidth="1"/>
    <col min="17" max="17" width="8.42578125" customWidth="1"/>
    <col min="18" max="18" width="11.140625" customWidth="1"/>
    <col min="19" max="25" width="8.7109375" customWidth="1"/>
  </cols>
  <sheetData>
    <row r="1" spans="1:26" ht="14.25" hidden="1" customHeight="1">
      <c r="A1" s="39"/>
      <c r="B1" s="139" t="s">
        <v>521</v>
      </c>
      <c r="C1" s="39"/>
      <c r="D1" s="39"/>
      <c r="E1" s="39"/>
      <c r="F1" s="39"/>
      <c r="G1" s="39"/>
      <c r="H1" s="39"/>
      <c r="I1" s="40"/>
      <c r="J1" s="2836"/>
      <c r="K1" s="2732"/>
      <c r="L1" s="2732"/>
      <c r="M1" s="2732"/>
      <c r="N1" s="2732"/>
      <c r="O1" s="2732"/>
      <c r="P1" s="232"/>
      <c r="Q1" s="232"/>
      <c r="R1" s="233" t="s">
        <v>522</v>
      </c>
      <c r="S1" s="41"/>
      <c r="T1" s="41"/>
      <c r="U1" s="41"/>
      <c r="V1" s="41"/>
      <c r="W1" s="13"/>
      <c r="X1" s="13"/>
      <c r="Y1" s="13"/>
      <c r="Z1" s="13"/>
    </row>
    <row r="2" spans="1:26" hidden="1">
      <c r="A2" s="167"/>
      <c r="B2" s="175" t="s">
        <v>450</v>
      </c>
      <c r="C2" s="167"/>
      <c r="D2" s="167"/>
      <c r="E2" s="167"/>
      <c r="F2" s="167"/>
      <c r="G2" s="167"/>
      <c r="H2" s="167"/>
      <c r="I2" s="40"/>
      <c r="J2" s="2836"/>
      <c r="K2" s="2732"/>
      <c r="L2" s="2732"/>
      <c r="M2" s="2732"/>
      <c r="N2" s="2732"/>
      <c r="O2" s="2732"/>
      <c r="P2" s="232"/>
      <c r="Q2" s="232"/>
      <c r="R2" s="232"/>
      <c r="S2" s="41"/>
      <c r="T2" s="41"/>
      <c r="U2" s="41"/>
      <c r="V2" s="41"/>
      <c r="W2" s="13"/>
      <c r="X2" s="13"/>
      <c r="Y2" s="13"/>
      <c r="Z2" s="13"/>
    </row>
    <row r="3" spans="1:26" ht="30" hidden="1" customHeight="1">
      <c r="A3" s="2773" t="s">
        <v>523</v>
      </c>
      <c r="B3" s="2732"/>
      <c r="C3" s="2732"/>
      <c r="D3" s="2732"/>
      <c r="E3" s="2732"/>
      <c r="F3" s="2732"/>
      <c r="G3" s="2732"/>
      <c r="H3" s="2732"/>
      <c r="I3" s="2732"/>
      <c r="J3" s="2732"/>
      <c r="K3" s="2732"/>
      <c r="L3" s="2732"/>
      <c r="M3" s="2732"/>
      <c r="N3" s="2732"/>
      <c r="O3" s="2732"/>
      <c r="P3" s="2732"/>
      <c r="Q3" s="2732"/>
      <c r="R3" s="2732"/>
      <c r="S3" s="41"/>
      <c r="T3" s="41"/>
      <c r="U3" s="41"/>
      <c r="V3" s="41"/>
      <c r="W3" s="13"/>
      <c r="X3" s="13"/>
      <c r="Y3" s="13"/>
      <c r="Z3" s="13"/>
    </row>
    <row r="4" spans="1:26" ht="30" hidden="1" customHeight="1">
      <c r="A4" s="2812" t="s">
        <v>524</v>
      </c>
      <c r="B4" s="2732"/>
      <c r="C4" s="2732"/>
      <c r="D4" s="2732"/>
      <c r="E4" s="2732"/>
      <c r="F4" s="2732"/>
      <c r="G4" s="2732"/>
      <c r="H4" s="2732"/>
      <c r="I4" s="2732"/>
      <c r="J4" s="2732"/>
      <c r="K4" s="2732"/>
      <c r="L4" s="2732"/>
      <c r="M4" s="2732"/>
      <c r="N4" s="2732"/>
      <c r="O4" s="2732"/>
      <c r="P4" s="2732"/>
      <c r="Q4" s="2732"/>
      <c r="R4" s="2732"/>
      <c r="S4" s="41"/>
      <c r="T4" s="41"/>
      <c r="U4" s="41"/>
      <c r="V4" s="41"/>
      <c r="W4" s="13"/>
      <c r="X4" s="13"/>
      <c r="Y4" s="13"/>
      <c r="Z4" s="13"/>
    </row>
    <row r="5" spans="1:26" hidden="1">
      <c r="A5" s="234"/>
      <c r="B5" s="46"/>
      <c r="C5" s="234"/>
      <c r="D5" s="46"/>
      <c r="E5" s="46"/>
      <c r="F5" s="46"/>
      <c r="G5" s="46"/>
      <c r="H5" s="46"/>
      <c r="I5" s="46"/>
      <c r="J5" s="46"/>
      <c r="K5" s="46"/>
      <c r="L5" s="46"/>
      <c r="M5" s="46"/>
      <c r="N5" s="46"/>
      <c r="O5" s="46" t="s">
        <v>525</v>
      </c>
      <c r="P5" s="46"/>
      <c r="Q5" s="46"/>
      <c r="R5" s="234"/>
      <c r="S5" s="41"/>
      <c r="T5" s="41"/>
      <c r="U5" s="41"/>
      <c r="V5" s="41"/>
      <c r="W5" s="13"/>
      <c r="X5" s="13"/>
      <c r="Y5" s="13"/>
      <c r="Z5" s="13"/>
    </row>
    <row r="6" spans="1:26" ht="15.75">
      <c r="A6" s="2837" t="s">
        <v>23</v>
      </c>
      <c r="B6" s="2732"/>
      <c r="C6" s="13"/>
      <c r="D6" s="236"/>
      <c r="E6" s="139"/>
      <c r="F6" s="139"/>
      <c r="G6" s="139"/>
      <c r="H6" s="139"/>
      <c r="I6" s="161" t="s">
        <v>526</v>
      </c>
      <c r="J6" s="178"/>
      <c r="K6" s="178"/>
      <c r="L6" s="178"/>
      <c r="M6" s="46"/>
      <c r="N6" s="46"/>
      <c r="O6" s="46"/>
      <c r="P6" s="46"/>
      <c r="Q6" s="46"/>
      <c r="R6" s="234"/>
      <c r="S6" s="41"/>
      <c r="T6" s="41"/>
      <c r="U6" s="41"/>
      <c r="V6" s="41"/>
      <c r="W6" s="13"/>
      <c r="X6" s="13"/>
      <c r="Y6" s="13"/>
      <c r="Z6" s="13"/>
    </row>
    <row r="7" spans="1:26">
      <c r="A7" s="2823" t="s">
        <v>450</v>
      </c>
      <c r="B7" s="2732"/>
      <c r="C7" s="237"/>
      <c r="D7" s="238"/>
      <c r="E7" s="43"/>
      <c r="F7" s="43"/>
      <c r="G7" s="43"/>
      <c r="H7" s="43"/>
      <c r="I7" s="91"/>
      <c r="J7" s="2798"/>
      <c r="K7" s="2732"/>
      <c r="L7" s="2732"/>
      <c r="M7" s="46"/>
      <c r="N7" s="46"/>
      <c r="O7" s="46"/>
      <c r="P7" s="46"/>
      <c r="Q7" s="46"/>
      <c r="R7" s="234"/>
      <c r="S7" s="41"/>
      <c r="T7" s="41"/>
      <c r="U7" s="41"/>
      <c r="V7" s="41"/>
      <c r="W7" s="13"/>
      <c r="X7" s="13"/>
      <c r="Y7" s="13"/>
      <c r="Z7" s="13"/>
    </row>
    <row r="8" spans="1:26">
      <c r="A8" s="175"/>
      <c r="B8" s="13"/>
      <c r="C8" s="237"/>
      <c r="D8" s="238"/>
      <c r="E8" s="43"/>
      <c r="F8" s="43"/>
      <c r="G8" s="43"/>
      <c r="H8" s="43"/>
      <c r="I8" s="91"/>
      <c r="J8" s="86"/>
      <c r="K8" s="13"/>
      <c r="L8" s="13"/>
      <c r="M8" s="46"/>
      <c r="N8" s="46"/>
      <c r="O8" s="46"/>
      <c r="P8" s="46"/>
      <c r="Q8" s="46"/>
      <c r="R8" s="234"/>
      <c r="S8" s="41"/>
      <c r="T8" s="41"/>
      <c r="U8" s="41"/>
      <c r="V8" s="41"/>
      <c r="W8" s="13"/>
      <c r="X8" s="13"/>
      <c r="Y8" s="13"/>
      <c r="Z8" s="13"/>
    </row>
    <row r="9" spans="1:26" ht="13.5" customHeight="1">
      <c r="A9" s="2773" t="s">
        <v>527</v>
      </c>
      <c r="B9" s="2732"/>
      <c r="C9" s="2732"/>
      <c r="D9" s="2732"/>
      <c r="E9" s="2732"/>
      <c r="F9" s="2732"/>
      <c r="G9" s="2732"/>
      <c r="H9" s="2732"/>
      <c r="I9" s="2732"/>
      <c r="J9" s="2732"/>
      <c r="K9" s="2732"/>
      <c r="L9" s="2732"/>
      <c r="M9" s="46"/>
      <c r="N9" s="46"/>
      <c r="O9" s="46"/>
      <c r="P9" s="46"/>
      <c r="Q9" s="46"/>
      <c r="R9" s="234"/>
      <c r="S9" s="41"/>
      <c r="T9" s="41"/>
      <c r="U9" s="41"/>
      <c r="V9" s="41"/>
      <c r="W9" s="13"/>
      <c r="X9" s="13"/>
      <c r="Y9" s="13"/>
      <c r="Z9" s="13"/>
    </row>
    <row r="10" spans="1:26" ht="12" customHeight="1">
      <c r="A10" s="2812" t="s">
        <v>431</v>
      </c>
      <c r="B10" s="2732"/>
      <c r="C10" s="2732"/>
      <c r="D10" s="2732"/>
      <c r="E10" s="2732"/>
      <c r="F10" s="2732"/>
      <c r="G10" s="2732"/>
      <c r="H10" s="2732"/>
      <c r="I10" s="2732"/>
      <c r="J10" s="2732"/>
      <c r="K10" s="2732"/>
      <c r="L10" s="2732"/>
      <c r="M10" s="46"/>
      <c r="N10" s="46"/>
      <c r="O10" s="46"/>
      <c r="P10" s="46"/>
      <c r="Q10" s="46"/>
      <c r="R10" s="234"/>
      <c r="S10" s="41"/>
      <c r="T10" s="41"/>
      <c r="U10" s="41"/>
      <c r="V10" s="41"/>
      <c r="W10" s="13"/>
      <c r="X10" s="13"/>
      <c r="Y10" s="13"/>
      <c r="Z10" s="13"/>
    </row>
    <row r="11" spans="1:26">
      <c r="A11" s="2813" t="s">
        <v>432</v>
      </c>
      <c r="B11" s="2732"/>
      <c r="C11" s="2732"/>
      <c r="D11" s="2732"/>
      <c r="E11" s="2732"/>
      <c r="F11" s="2732"/>
      <c r="G11" s="2732"/>
      <c r="H11" s="2732"/>
      <c r="I11" s="2732"/>
      <c r="J11" s="2732"/>
      <c r="K11" s="2732"/>
      <c r="L11" s="2732"/>
      <c r="M11" s="46"/>
      <c r="N11" s="46"/>
      <c r="O11" s="46"/>
      <c r="P11" s="46"/>
      <c r="Q11" s="46"/>
      <c r="R11" s="234"/>
      <c r="S11" s="41"/>
      <c r="T11" s="41"/>
      <c r="U11" s="41"/>
      <c r="V11" s="41"/>
      <c r="W11" s="13"/>
      <c r="X11" s="13"/>
      <c r="Y11" s="13"/>
      <c r="Z11" s="13"/>
    </row>
    <row r="12" spans="1:26">
      <c r="A12" s="120"/>
      <c r="B12" s="96"/>
      <c r="C12" s="96"/>
      <c r="D12" s="239"/>
      <c r="E12" s="96"/>
      <c r="F12" s="96"/>
      <c r="G12" s="96"/>
      <c r="H12" s="96"/>
      <c r="I12" s="96"/>
      <c r="J12" s="96"/>
      <c r="K12" s="96"/>
      <c r="L12" s="96" t="s">
        <v>525</v>
      </c>
      <c r="M12" s="46"/>
      <c r="N12" s="46"/>
      <c r="O12" s="46"/>
      <c r="P12" s="46"/>
      <c r="Q12" s="46"/>
      <c r="R12" s="234"/>
      <c r="S12" s="41"/>
      <c r="T12" s="41"/>
      <c r="U12" s="41"/>
      <c r="V12" s="41"/>
      <c r="W12" s="13"/>
      <c r="X12" s="13"/>
      <c r="Y12" s="13"/>
      <c r="Z12" s="13"/>
    </row>
    <row r="13" spans="1:26" ht="42.75" customHeight="1">
      <c r="A13" s="2814" t="s">
        <v>186</v>
      </c>
      <c r="B13" s="2819" t="s">
        <v>453</v>
      </c>
      <c r="C13" s="2819" t="s">
        <v>454</v>
      </c>
      <c r="D13" s="2827" t="s">
        <v>528</v>
      </c>
      <c r="E13" s="2819" t="s">
        <v>456</v>
      </c>
      <c r="F13" s="2819" t="s">
        <v>457</v>
      </c>
      <c r="G13" s="2819" t="s">
        <v>458</v>
      </c>
      <c r="H13" s="2835" t="s">
        <v>459</v>
      </c>
      <c r="I13" s="2819" t="s">
        <v>439</v>
      </c>
      <c r="J13" s="2816" t="s">
        <v>460</v>
      </c>
      <c r="K13" s="2817"/>
      <c r="L13" s="2818"/>
      <c r="M13" s="2828" t="s">
        <v>529</v>
      </c>
      <c r="N13" s="2828" t="s">
        <v>530</v>
      </c>
      <c r="O13" s="2828" t="s">
        <v>531</v>
      </c>
      <c r="P13" s="2828" t="s">
        <v>532</v>
      </c>
      <c r="Q13" s="2828" t="s">
        <v>533</v>
      </c>
      <c r="R13" s="2825" t="s">
        <v>32</v>
      </c>
      <c r="S13" s="41"/>
      <c r="T13" s="41"/>
      <c r="U13" s="41"/>
      <c r="V13" s="41"/>
      <c r="W13" s="41"/>
      <c r="X13" s="41"/>
      <c r="Y13" s="41"/>
      <c r="Z13" s="13"/>
    </row>
    <row r="14" spans="1:26" ht="33" customHeight="1">
      <c r="A14" s="2815"/>
      <c r="B14" s="2820"/>
      <c r="C14" s="2820"/>
      <c r="D14" s="2820"/>
      <c r="E14" s="2820"/>
      <c r="F14" s="2820"/>
      <c r="G14" s="2820"/>
      <c r="H14" s="2820"/>
      <c r="I14" s="2820"/>
      <c r="J14" s="122" t="s">
        <v>461</v>
      </c>
      <c r="K14" s="122" t="s">
        <v>462</v>
      </c>
      <c r="L14" s="122" t="s">
        <v>463</v>
      </c>
      <c r="M14" s="2779"/>
      <c r="N14" s="2779"/>
      <c r="O14" s="2779"/>
      <c r="P14" s="2779"/>
      <c r="Q14" s="2779"/>
      <c r="R14" s="2826"/>
      <c r="S14" s="41"/>
      <c r="T14" s="41"/>
      <c r="U14" s="41"/>
      <c r="V14" s="41"/>
      <c r="W14" s="41"/>
      <c r="X14" s="41"/>
      <c r="Y14" s="41"/>
      <c r="Z14" s="13"/>
    </row>
    <row r="15" spans="1:26" ht="31.5" customHeight="1">
      <c r="A15" s="182" t="s">
        <v>465</v>
      </c>
      <c r="B15" s="183" t="s">
        <v>466</v>
      </c>
      <c r="C15" s="183" t="s">
        <v>467</v>
      </c>
      <c r="D15" s="240" t="s">
        <v>468</v>
      </c>
      <c r="E15" s="185" t="s">
        <v>469</v>
      </c>
      <c r="F15" s="185" t="s">
        <v>470</v>
      </c>
      <c r="G15" s="185" t="s">
        <v>471</v>
      </c>
      <c r="H15" s="241" t="s">
        <v>472</v>
      </c>
      <c r="I15" s="241" t="s">
        <v>473</v>
      </c>
      <c r="J15" s="185" t="s">
        <v>474</v>
      </c>
      <c r="K15" s="185" t="s">
        <v>475</v>
      </c>
      <c r="L15" s="187">
        <v>-12</v>
      </c>
      <c r="M15" s="149" t="s">
        <v>534</v>
      </c>
      <c r="N15" s="149" t="s">
        <v>535</v>
      </c>
      <c r="O15" s="149" t="s">
        <v>536</v>
      </c>
      <c r="P15" s="149" t="s">
        <v>537</v>
      </c>
      <c r="Q15" s="242" t="s">
        <v>538</v>
      </c>
      <c r="R15" s="242" t="s">
        <v>539</v>
      </c>
      <c r="S15" s="243"/>
      <c r="T15" s="243"/>
      <c r="U15" s="243"/>
      <c r="V15" s="243"/>
      <c r="W15" s="243"/>
      <c r="X15" s="243"/>
      <c r="Y15" s="243"/>
      <c r="Z15" s="13"/>
    </row>
    <row r="16" spans="1:26" ht="17.25" customHeight="1">
      <c r="A16" s="244" t="s">
        <v>200</v>
      </c>
      <c r="B16" s="1889" t="s">
        <v>540</v>
      </c>
      <c r="C16" s="1890"/>
      <c r="D16" s="1891"/>
      <c r="E16" s="1891"/>
      <c r="F16" s="1891"/>
      <c r="G16" s="1891"/>
      <c r="H16" s="1891"/>
      <c r="I16" s="1891"/>
      <c r="J16" s="1891"/>
      <c r="K16" s="1891"/>
      <c r="L16" s="1891"/>
      <c r="M16" s="1891"/>
      <c r="N16" s="1891"/>
      <c r="O16" s="1891"/>
      <c r="P16" s="1891"/>
      <c r="Q16" s="1891"/>
      <c r="R16" s="245"/>
      <c r="S16" s="41"/>
      <c r="T16" s="41"/>
      <c r="U16" s="41"/>
      <c r="V16" s="41"/>
      <c r="W16" s="41"/>
      <c r="X16" s="41"/>
      <c r="Y16" s="41"/>
      <c r="Z16" s="13"/>
    </row>
    <row r="17" spans="1:26" ht="25.5">
      <c r="A17" s="246" t="s">
        <v>258</v>
      </c>
      <c r="B17" s="247" t="s">
        <v>477</v>
      </c>
      <c r="C17" s="248">
        <f t="shared" ref="C17:L17" si="0">C18+C93+C144</f>
        <v>1881</v>
      </c>
      <c r="D17" s="248">
        <f t="shared" si="0"/>
        <v>45243.167000000009</v>
      </c>
      <c r="E17" s="248">
        <f t="shared" si="0"/>
        <v>1770</v>
      </c>
      <c r="F17" s="248">
        <f t="shared" si="0"/>
        <v>509.70000000000005</v>
      </c>
      <c r="G17" s="248">
        <f t="shared" si="0"/>
        <v>69832</v>
      </c>
      <c r="H17" s="248">
        <f t="shared" si="0"/>
        <v>265116.91000000003</v>
      </c>
      <c r="I17" s="248">
        <f t="shared" si="0"/>
        <v>119960.24666666666</v>
      </c>
      <c r="J17" s="248">
        <f t="shared" si="0"/>
        <v>106877.35916666665</v>
      </c>
      <c r="K17" s="248">
        <f t="shared" si="0"/>
        <v>5657.1625000000004</v>
      </c>
      <c r="L17" s="248">
        <f t="shared" si="0"/>
        <v>7425.7249999999985</v>
      </c>
      <c r="M17" s="249"/>
      <c r="N17" s="249"/>
      <c r="O17" s="249"/>
      <c r="P17" s="153"/>
      <c r="Q17" s="153"/>
      <c r="R17" s="153"/>
      <c r="S17" s="41"/>
      <c r="T17" s="41"/>
      <c r="U17" s="41"/>
      <c r="V17" s="41"/>
      <c r="W17" s="41"/>
      <c r="X17" s="41"/>
      <c r="Y17" s="41"/>
      <c r="Z17" s="13"/>
    </row>
    <row r="18" spans="1:26" ht="17.25" customHeight="1">
      <c r="A18" s="246">
        <v>1</v>
      </c>
      <c r="B18" s="247" t="s">
        <v>441</v>
      </c>
      <c r="C18" s="248">
        <f t="shared" ref="C18:L18" si="1">C19+C56</f>
        <v>1191</v>
      </c>
      <c r="D18" s="248">
        <f t="shared" si="1"/>
        <v>44972.667000000009</v>
      </c>
      <c r="E18" s="248">
        <f t="shared" si="1"/>
        <v>1177</v>
      </c>
      <c r="F18" s="248">
        <f t="shared" si="1"/>
        <v>336.20000000000005</v>
      </c>
      <c r="G18" s="248">
        <f t="shared" si="1"/>
        <v>62903</v>
      </c>
      <c r="H18" s="248">
        <f t="shared" si="1"/>
        <v>210293.41</v>
      </c>
      <c r="I18" s="248">
        <f t="shared" si="1"/>
        <v>85461.171666666662</v>
      </c>
      <c r="J18" s="248">
        <f t="shared" si="1"/>
        <v>75894.47166666665</v>
      </c>
      <c r="K18" s="248">
        <f t="shared" si="1"/>
        <v>2723.4500000000003</v>
      </c>
      <c r="L18" s="248">
        <f t="shared" si="1"/>
        <v>6843.25</v>
      </c>
      <c r="M18" s="249"/>
      <c r="N18" s="249"/>
      <c r="O18" s="249"/>
      <c r="P18" s="153"/>
      <c r="Q18" s="153"/>
      <c r="R18" s="153"/>
      <c r="S18" s="41"/>
      <c r="T18" s="41"/>
      <c r="U18" s="41"/>
      <c r="V18" s="41"/>
      <c r="W18" s="41"/>
      <c r="X18" s="41"/>
      <c r="Y18" s="41"/>
      <c r="Z18" s="13"/>
    </row>
    <row r="19" spans="1:26" ht="15.75" customHeight="1">
      <c r="A19" s="250" t="s">
        <v>263</v>
      </c>
      <c r="B19" s="251" t="s">
        <v>541</v>
      </c>
      <c r="C19" s="248">
        <f t="shared" ref="C19:L19" si="2">C20+C23+C26+C29+C32+C35+C38+C41+C47+C50+C53+C44</f>
        <v>1171</v>
      </c>
      <c r="D19" s="248">
        <f t="shared" si="2"/>
        <v>44965.467000000011</v>
      </c>
      <c r="E19" s="248">
        <f t="shared" si="2"/>
        <v>1171</v>
      </c>
      <c r="F19" s="248">
        <f t="shared" si="2"/>
        <v>330.20000000000005</v>
      </c>
      <c r="G19" s="248">
        <f t="shared" si="2"/>
        <v>61549</v>
      </c>
      <c r="H19" s="248">
        <f t="shared" si="2"/>
        <v>207199.41</v>
      </c>
      <c r="I19" s="248">
        <f t="shared" si="2"/>
        <v>83664.671666666662</v>
      </c>
      <c r="J19" s="248">
        <f t="shared" si="2"/>
        <v>74097.97166666665</v>
      </c>
      <c r="K19" s="248">
        <f t="shared" si="2"/>
        <v>2723.4500000000003</v>
      </c>
      <c r="L19" s="248">
        <f t="shared" si="2"/>
        <v>6843.25</v>
      </c>
      <c r="M19" s="249"/>
      <c r="N19" s="249"/>
      <c r="O19" s="249"/>
      <c r="P19" s="252"/>
      <c r="Q19" s="252"/>
      <c r="R19" s="253"/>
      <c r="S19" s="254"/>
      <c r="T19" s="254"/>
      <c r="U19" s="254"/>
      <c r="V19" s="254"/>
      <c r="W19" s="254"/>
      <c r="X19" s="254"/>
      <c r="Y19" s="254"/>
      <c r="Z19" s="13"/>
    </row>
    <row r="20" spans="1:26">
      <c r="A20" s="255" t="s">
        <v>479</v>
      </c>
      <c r="B20" s="251" t="s">
        <v>542</v>
      </c>
      <c r="C20" s="256">
        <f t="shared" ref="C20:K20" si="3">SUM(C21:C22)</f>
        <v>189</v>
      </c>
      <c r="D20" s="256">
        <f t="shared" si="3"/>
        <v>57.760000000000005</v>
      </c>
      <c r="E20" s="256">
        <f t="shared" si="3"/>
        <v>196</v>
      </c>
      <c r="F20" s="256">
        <f t="shared" si="3"/>
        <v>56</v>
      </c>
      <c r="G20" s="256">
        <f t="shared" si="3"/>
        <v>10386</v>
      </c>
      <c r="H20" s="256">
        <f t="shared" si="3"/>
        <v>38839.479999999996</v>
      </c>
      <c r="I20" s="256">
        <f t="shared" si="3"/>
        <v>12304.300000000001</v>
      </c>
      <c r="J20" s="256">
        <f t="shared" si="3"/>
        <v>12254.800000000001</v>
      </c>
      <c r="K20" s="256">
        <f t="shared" si="3"/>
        <v>49.5</v>
      </c>
      <c r="L20" s="248">
        <f t="shared" ref="L20:L41" si="4">I20-(J20+K20)</f>
        <v>0</v>
      </c>
      <c r="M20" s="249"/>
      <c r="N20" s="249"/>
      <c r="O20" s="249"/>
      <c r="P20" s="252"/>
      <c r="Q20" s="252"/>
      <c r="R20" s="253"/>
      <c r="S20" s="254"/>
      <c r="T20" s="254"/>
      <c r="U20" s="254"/>
      <c r="V20" s="254"/>
      <c r="W20" s="254"/>
      <c r="X20" s="254"/>
      <c r="Y20" s="254"/>
      <c r="Z20" s="13"/>
    </row>
    <row r="21" spans="1:26">
      <c r="A21" s="257"/>
      <c r="B21" s="258" t="s">
        <v>543</v>
      </c>
      <c r="C21" s="259">
        <f>'B2 TOÁN  M'!C13</f>
        <v>78</v>
      </c>
      <c r="D21" s="259">
        <f>'B2 TOÁN  M'!D13</f>
        <v>23.6</v>
      </c>
      <c r="E21" s="259">
        <f>'B2 TOÁN  M'!E13</f>
        <v>83</v>
      </c>
      <c r="F21" s="259">
        <f>'B2 TOÁN  M'!F13</f>
        <v>23</v>
      </c>
      <c r="G21" s="259">
        <f>'B2 TOÁN  M'!G13</f>
        <v>4366</v>
      </c>
      <c r="H21" s="259">
        <f>'B2 TOÁN  M'!H13</f>
        <v>17616.199999999997</v>
      </c>
      <c r="I21" s="259">
        <f>'B2 TOÁN  M'!I13</f>
        <v>5549.6</v>
      </c>
      <c r="J21" s="259">
        <f>'B2 TOÁN  M'!J13</f>
        <v>5549.6</v>
      </c>
      <c r="K21" s="259">
        <f>'B2 TOÁN  M'!K13</f>
        <v>0</v>
      </c>
      <c r="L21" s="248">
        <f t="shared" si="4"/>
        <v>0</v>
      </c>
      <c r="M21" s="260"/>
      <c r="N21" s="260"/>
      <c r="O21" s="260"/>
      <c r="P21" s="163"/>
      <c r="Q21" s="163"/>
      <c r="R21" s="261"/>
      <c r="S21" s="56"/>
      <c r="T21" s="56"/>
      <c r="U21" s="56"/>
      <c r="V21" s="56"/>
      <c r="W21" s="56"/>
      <c r="X21" s="56"/>
      <c r="Y21" s="56"/>
      <c r="Z21" s="13"/>
    </row>
    <row r="22" spans="1:26">
      <c r="A22" s="257"/>
      <c r="B22" s="258" t="s">
        <v>544</v>
      </c>
      <c r="C22" s="259">
        <f>'B2 TOÁN  M'!C37</f>
        <v>111</v>
      </c>
      <c r="D22" s="259">
        <f>'B2 TOÁN  M'!D37</f>
        <v>34.160000000000004</v>
      </c>
      <c r="E22" s="259">
        <f>'B2 TOÁN  M'!E37</f>
        <v>113</v>
      </c>
      <c r="F22" s="259">
        <f>'B2 TOÁN  M'!F37</f>
        <v>33</v>
      </c>
      <c r="G22" s="259">
        <f>'B2 TOÁN  M'!G37</f>
        <v>6020</v>
      </c>
      <c r="H22" s="259">
        <f>'B2 TOÁN  M'!H37</f>
        <v>21223.279999999999</v>
      </c>
      <c r="I22" s="259">
        <f>'B2 TOÁN  M'!I37</f>
        <v>6754.7000000000007</v>
      </c>
      <c r="J22" s="259">
        <f>'B2 TOÁN  M'!J37</f>
        <v>6705.2000000000007</v>
      </c>
      <c r="K22" s="259">
        <f>'B2 TOÁN  M'!K37</f>
        <v>49.5</v>
      </c>
      <c r="L22" s="248">
        <f t="shared" si="4"/>
        <v>0</v>
      </c>
      <c r="M22" s="260"/>
      <c r="N22" s="260"/>
      <c r="O22" s="260"/>
      <c r="P22" s="163"/>
      <c r="Q22" s="163"/>
      <c r="R22" s="261"/>
      <c r="S22" s="56"/>
      <c r="T22" s="56"/>
      <c r="U22" s="56"/>
      <c r="V22" s="56"/>
      <c r="W22" s="56"/>
      <c r="X22" s="56"/>
      <c r="Y22" s="56"/>
      <c r="Z22" s="13"/>
    </row>
    <row r="23" spans="1:26" ht="19.5" customHeight="1">
      <c r="A23" s="257" t="s">
        <v>481</v>
      </c>
      <c r="B23" s="251" t="s">
        <v>545</v>
      </c>
      <c r="C23" s="248">
        <f t="shared" ref="C23:K23" si="5">SUM(C24:C25)</f>
        <v>82</v>
      </c>
      <c r="D23" s="248">
        <f t="shared" si="5"/>
        <v>24.14</v>
      </c>
      <c r="E23" s="248">
        <f t="shared" si="5"/>
        <v>35</v>
      </c>
      <c r="F23" s="248">
        <f t="shared" si="5"/>
        <v>22</v>
      </c>
      <c r="G23" s="248">
        <f t="shared" si="5"/>
        <v>1572</v>
      </c>
      <c r="H23" s="248">
        <f t="shared" si="5"/>
        <v>6723</v>
      </c>
      <c r="I23" s="248">
        <f t="shared" si="5"/>
        <v>2343.6000000000004</v>
      </c>
      <c r="J23" s="248">
        <f t="shared" si="5"/>
        <v>2127.6</v>
      </c>
      <c r="K23" s="248">
        <f t="shared" si="5"/>
        <v>0</v>
      </c>
      <c r="L23" s="248">
        <f t="shared" si="4"/>
        <v>216.00000000000045</v>
      </c>
      <c r="M23" s="249"/>
      <c r="N23" s="249"/>
      <c r="O23" s="249"/>
      <c r="P23" s="252"/>
      <c r="Q23" s="252"/>
      <c r="R23" s="253"/>
      <c r="S23" s="254"/>
      <c r="T23" s="254"/>
      <c r="U23" s="254"/>
      <c r="V23" s="254"/>
      <c r="W23" s="254"/>
      <c r="X23" s="254"/>
      <c r="Y23" s="254"/>
      <c r="Z23" s="13"/>
    </row>
    <row r="24" spans="1:26" ht="15.75" customHeight="1">
      <c r="A24" s="262"/>
      <c r="B24" s="258" t="s">
        <v>543</v>
      </c>
      <c r="C24" s="263">
        <f>'B2 LÝ'!C14</f>
        <v>44</v>
      </c>
      <c r="D24" s="263">
        <f>'B2 LÝ'!D14</f>
        <v>13.040000000000001</v>
      </c>
      <c r="E24" s="263">
        <f>'B2 LÝ'!E14</f>
        <v>24</v>
      </c>
      <c r="F24" s="263">
        <f>'B2 LÝ'!F14</f>
        <v>12</v>
      </c>
      <c r="G24" s="263">
        <f>'B2 LÝ'!G14</f>
        <v>1345</v>
      </c>
      <c r="H24" s="263">
        <f>'B2 LÝ'!H14</f>
        <v>5704.7</v>
      </c>
      <c r="I24" s="263">
        <f>'B2 LÝ'!I14</f>
        <v>1628.4</v>
      </c>
      <c r="J24" s="263">
        <f>'B2 LÝ'!J14</f>
        <v>1626.9</v>
      </c>
      <c r="K24" s="263">
        <f>'B2 LÝ'!K14</f>
        <v>0</v>
      </c>
      <c r="L24" s="248">
        <f t="shared" si="4"/>
        <v>1.5</v>
      </c>
      <c r="M24" s="249"/>
      <c r="N24" s="249"/>
      <c r="O24" s="249"/>
      <c r="P24" s="252"/>
      <c r="Q24" s="252"/>
      <c r="R24" s="253"/>
      <c r="S24" s="254"/>
      <c r="T24" s="254"/>
      <c r="U24" s="254"/>
      <c r="V24" s="254"/>
      <c r="W24" s="254"/>
      <c r="X24" s="254"/>
      <c r="Y24" s="254"/>
      <c r="Z24" s="13"/>
    </row>
    <row r="25" spans="1:26" ht="15.75" customHeight="1">
      <c r="A25" s="262"/>
      <c r="B25" s="258" t="s">
        <v>544</v>
      </c>
      <c r="C25" s="263">
        <f>'B2 LÝ'!C26</f>
        <v>38</v>
      </c>
      <c r="D25" s="263">
        <f>'B2 LÝ'!D26</f>
        <v>11.1</v>
      </c>
      <c r="E25" s="263">
        <f>'B2 LÝ'!E26</f>
        <v>11</v>
      </c>
      <c r="F25" s="263">
        <f>'B2 LÝ'!F26</f>
        <v>10</v>
      </c>
      <c r="G25" s="263">
        <f>'B2 LÝ'!G26</f>
        <v>227</v>
      </c>
      <c r="H25" s="263">
        <f>'B2 LÝ'!H26</f>
        <v>1018.3000000000001</v>
      </c>
      <c r="I25" s="263">
        <f>'B2 LÝ'!I26</f>
        <v>715.2</v>
      </c>
      <c r="J25" s="263">
        <f>'B2 LÝ'!J26</f>
        <v>500.7</v>
      </c>
      <c r="K25" s="263">
        <f>'B2 LÝ'!K26</f>
        <v>0</v>
      </c>
      <c r="L25" s="248">
        <f t="shared" si="4"/>
        <v>214.50000000000006</v>
      </c>
      <c r="M25" s="249"/>
      <c r="N25" s="249"/>
      <c r="O25" s="249"/>
      <c r="P25" s="252"/>
      <c r="Q25" s="252"/>
      <c r="R25" s="253"/>
      <c r="S25" s="254"/>
      <c r="T25" s="254"/>
      <c r="U25" s="254"/>
      <c r="V25" s="254"/>
      <c r="W25" s="254"/>
      <c r="X25" s="254"/>
      <c r="Y25" s="254"/>
      <c r="Z25" s="13"/>
    </row>
    <row r="26" spans="1:26" ht="15.75" customHeight="1">
      <c r="A26" s="262" t="s">
        <v>483</v>
      </c>
      <c r="B26" s="251" t="s">
        <v>546</v>
      </c>
      <c r="C26" s="256">
        <f t="shared" ref="C26:K26" si="6">SUM(C27:C28)</f>
        <v>95</v>
      </c>
      <c r="D26" s="256">
        <f t="shared" si="6"/>
        <v>36.600000000000009</v>
      </c>
      <c r="E26" s="256">
        <f t="shared" si="6"/>
        <v>54</v>
      </c>
      <c r="F26" s="256">
        <f t="shared" si="6"/>
        <v>33</v>
      </c>
      <c r="G26" s="256">
        <f t="shared" si="6"/>
        <v>944</v>
      </c>
      <c r="H26" s="256">
        <f t="shared" si="6"/>
        <v>3065.8</v>
      </c>
      <c r="I26" s="256">
        <f t="shared" si="6"/>
        <v>2553.5</v>
      </c>
      <c r="J26" s="256">
        <f t="shared" si="6"/>
        <v>2421.5</v>
      </c>
      <c r="K26" s="256">
        <f t="shared" si="6"/>
        <v>107.25</v>
      </c>
      <c r="L26" s="248">
        <f t="shared" si="4"/>
        <v>24.75</v>
      </c>
      <c r="M26" s="249"/>
      <c r="N26" s="249"/>
      <c r="O26" s="249"/>
      <c r="P26" s="252"/>
      <c r="Q26" s="252"/>
      <c r="R26" s="253"/>
      <c r="S26" s="254"/>
      <c r="T26" s="254"/>
      <c r="U26" s="254"/>
      <c r="V26" s="254"/>
      <c r="W26" s="254"/>
      <c r="X26" s="254"/>
      <c r="Y26" s="254"/>
      <c r="Z26" s="13"/>
    </row>
    <row r="27" spans="1:26" ht="15.75" customHeight="1">
      <c r="A27" s="262"/>
      <c r="B27" s="258" t="s">
        <v>543</v>
      </c>
      <c r="C27" s="259">
        <f>'B2 Hoá M'!C13</f>
        <v>43</v>
      </c>
      <c r="D27" s="259">
        <f>'B2 Hoá M'!D13</f>
        <v>17.500000000000004</v>
      </c>
      <c r="E27" s="259">
        <f>'B2 Hoá M'!E13</f>
        <v>25</v>
      </c>
      <c r="F27" s="259">
        <f>'B2 Hoá M'!F13</f>
        <v>16</v>
      </c>
      <c r="G27" s="259">
        <f>'B2 Hoá M'!G13</f>
        <v>461</v>
      </c>
      <c r="H27" s="259">
        <f>'B2 Hoá M'!H13</f>
        <v>1350.2</v>
      </c>
      <c r="I27" s="259">
        <f>'B2 Hoá M'!I13</f>
        <v>1070.3</v>
      </c>
      <c r="J27" s="259">
        <f>'B2 Hoá M'!J13</f>
        <v>987.8</v>
      </c>
      <c r="K27" s="259">
        <f>'B2 Hoá M'!K13</f>
        <v>82.5</v>
      </c>
      <c r="L27" s="248">
        <f t="shared" si="4"/>
        <v>0</v>
      </c>
      <c r="M27" s="249"/>
      <c r="N27" s="249"/>
      <c r="O27" s="249"/>
      <c r="P27" s="252"/>
      <c r="Q27" s="252"/>
      <c r="R27" s="253"/>
      <c r="S27" s="254"/>
      <c r="T27" s="254"/>
      <c r="U27" s="254"/>
      <c r="V27" s="254"/>
      <c r="W27" s="254"/>
      <c r="X27" s="254"/>
      <c r="Y27" s="254"/>
      <c r="Z27" s="13"/>
    </row>
    <row r="28" spans="1:26" ht="15.75" customHeight="1">
      <c r="A28" s="262"/>
      <c r="B28" s="258" t="s">
        <v>544</v>
      </c>
      <c r="C28" s="259">
        <f>'B2 Hoá M'!C30</f>
        <v>52</v>
      </c>
      <c r="D28" s="259">
        <f>'B2 Hoá M'!D30</f>
        <v>19.100000000000005</v>
      </c>
      <c r="E28" s="259">
        <f>'B2 Hoá M'!E30</f>
        <v>29</v>
      </c>
      <c r="F28" s="259">
        <f>'B2 Hoá M'!F30</f>
        <v>17</v>
      </c>
      <c r="G28" s="259">
        <f>'B2 Hoá M'!G30</f>
        <v>483</v>
      </c>
      <c r="H28" s="259">
        <f>'B2 Hoá M'!H30</f>
        <v>1715.6</v>
      </c>
      <c r="I28" s="259">
        <f>'B2 Hoá M'!I30</f>
        <v>1483.1999999999998</v>
      </c>
      <c r="J28" s="259">
        <f>'B2 Hoá M'!J30</f>
        <v>1433.6999999999998</v>
      </c>
      <c r="K28" s="259">
        <f>'B2 Hoá M'!K30</f>
        <v>24.75</v>
      </c>
      <c r="L28" s="248">
        <f t="shared" si="4"/>
        <v>24.75</v>
      </c>
      <c r="M28" s="249"/>
      <c r="N28" s="249"/>
      <c r="O28" s="249"/>
      <c r="P28" s="252"/>
      <c r="Q28" s="252"/>
      <c r="R28" s="253"/>
      <c r="S28" s="254"/>
      <c r="T28" s="254"/>
      <c r="U28" s="254"/>
      <c r="V28" s="254"/>
      <c r="W28" s="254"/>
      <c r="X28" s="254"/>
      <c r="Y28" s="254"/>
      <c r="Z28" s="13"/>
    </row>
    <row r="29" spans="1:26" ht="15.75" customHeight="1">
      <c r="A29" s="264" t="s">
        <v>484</v>
      </c>
      <c r="B29" s="251" t="s">
        <v>547</v>
      </c>
      <c r="C29" s="256">
        <f t="shared" ref="C29:K29" si="7">C30+C31</f>
        <v>47</v>
      </c>
      <c r="D29" s="256">
        <f t="shared" si="7"/>
        <v>14.879999999999999</v>
      </c>
      <c r="E29" s="256">
        <f t="shared" si="7"/>
        <v>14</v>
      </c>
      <c r="F29" s="256">
        <f t="shared" si="7"/>
        <v>13</v>
      </c>
      <c r="G29" s="256">
        <f t="shared" si="7"/>
        <v>342</v>
      </c>
      <c r="H29" s="256">
        <f t="shared" si="7"/>
        <v>1396.7</v>
      </c>
      <c r="I29" s="256">
        <f t="shared" si="7"/>
        <v>1052.5450000000001</v>
      </c>
      <c r="J29" s="256">
        <f t="shared" si="7"/>
        <v>1052.5450000000001</v>
      </c>
      <c r="K29" s="256">
        <f t="shared" si="7"/>
        <v>0</v>
      </c>
      <c r="L29" s="248">
        <f t="shared" si="4"/>
        <v>0</v>
      </c>
      <c r="M29" s="249"/>
      <c r="N29" s="249"/>
      <c r="O29" s="249"/>
      <c r="P29" s="252"/>
      <c r="Q29" s="252"/>
      <c r="R29" s="253"/>
      <c r="S29" s="254"/>
      <c r="T29" s="254"/>
      <c r="U29" s="254"/>
      <c r="V29" s="254"/>
      <c r="W29" s="254"/>
      <c r="X29" s="254"/>
      <c r="Y29" s="254"/>
      <c r="Z29" s="13"/>
    </row>
    <row r="30" spans="1:26" ht="15.75" customHeight="1">
      <c r="A30" s="262"/>
      <c r="B30" s="258" t="s">
        <v>543</v>
      </c>
      <c r="C30" s="259">
        <f>'B2 SINH'!C14</f>
        <v>21</v>
      </c>
      <c r="D30" s="259">
        <f>'B2 SINH'!D14</f>
        <v>5.48</v>
      </c>
      <c r="E30" s="259">
        <f>'B2 SINH'!E14</f>
        <v>6</v>
      </c>
      <c r="F30" s="259">
        <f>'B2 SINH'!F14</f>
        <v>5</v>
      </c>
      <c r="G30" s="259">
        <f>'B2 SINH'!G14</f>
        <v>204</v>
      </c>
      <c r="H30" s="259">
        <f>'B2 SINH'!H14</f>
        <v>858.7</v>
      </c>
      <c r="I30" s="259">
        <f>'B2 SINH'!I14</f>
        <v>486</v>
      </c>
      <c r="J30" s="259">
        <f>'B2 SINH'!J14</f>
        <v>486</v>
      </c>
      <c r="K30" s="259">
        <f>'B2 SINH'!K14</f>
        <v>0</v>
      </c>
      <c r="L30" s="248">
        <f t="shared" si="4"/>
        <v>0</v>
      </c>
      <c r="M30" s="249"/>
      <c r="N30" s="249"/>
      <c r="O30" s="249"/>
      <c r="P30" s="252"/>
      <c r="Q30" s="252"/>
      <c r="R30" s="253"/>
      <c r="S30" s="254"/>
      <c r="T30" s="254"/>
      <c r="U30" s="254"/>
      <c r="V30" s="254"/>
      <c r="W30" s="254"/>
      <c r="X30" s="254"/>
      <c r="Y30" s="254"/>
      <c r="Z30" s="13"/>
    </row>
    <row r="31" spans="1:26" ht="15.75" customHeight="1">
      <c r="A31" s="262"/>
      <c r="B31" s="258" t="s">
        <v>544</v>
      </c>
      <c r="C31" s="259">
        <f>'B2 SINH'!C20</f>
        <v>26</v>
      </c>
      <c r="D31" s="259">
        <f>'B2 SINH'!D20</f>
        <v>9.3999999999999986</v>
      </c>
      <c r="E31" s="259">
        <f>'B2 SINH'!E20</f>
        <v>8</v>
      </c>
      <c r="F31" s="259">
        <f>'B2 SINH'!F20</f>
        <v>8</v>
      </c>
      <c r="G31" s="259">
        <f>'B2 SINH'!G20</f>
        <v>138</v>
      </c>
      <c r="H31" s="259">
        <f>'B2 SINH'!H20</f>
        <v>538</v>
      </c>
      <c r="I31" s="259">
        <f>'B2 SINH'!I20</f>
        <v>566.54499999999996</v>
      </c>
      <c r="J31" s="259">
        <f>'B2 SINH'!J20</f>
        <v>566.54499999999996</v>
      </c>
      <c r="K31" s="259">
        <f>'B2 SINH'!K20</f>
        <v>0</v>
      </c>
      <c r="L31" s="248">
        <f t="shared" si="4"/>
        <v>0</v>
      </c>
      <c r="M31" s="249"/>
      <c r="N31" s="249"/>
      <c r="O31" s="249"/>
      <c r="P31" s="252"/>
      <c r="Q31" s="252"/>
      <c r="R31" s="253"/>
      <c r="S31" s="254"/>
      <c r="T31" s="254"/>
      <c r="U31" s="254"/>
      <c r="V31" s="254"/>
      <c r="W31" s="254"/>
      <c r="X31" s="254"/>
      <c r="Y31" s="254"/>
      <c r="Z31" s="13"/>
    </row>
    <row r="32" spans="1:26" ht="15.75" customHeight="1">
      <c r="A32" s="257" t="s">
        <v>485</v>
      </c>
      <c r="B32" s="251" t="s">
        <v>548</v>
      </c>
      <c r="C32" s="256">
        <f t="shared" ref="C32:K32" si="8">SUM(C33:C34)</f>
        <v>36</v>
      </c>
      <c r="D32" s="256">
        <f t="shared" si="8"/>
        <v>11.824999999999999</v>
      </c>
      <c r="E32" s="256">
        <f t="shared" si="8"/>
        <v>42</v>
      </c>
      <c r="F32" s="256">
        <f t="shared" si="8"/>
        <v>12.799999999999999</v>
      </c>
      <c r="G32" s="256">
        <f t="shared" si="8"/>
        <v>570</v>
      </c>
      <c r="H32" s="256">
        <f t="shared" si="8"/>
        <v>2059</v>
      </c>
      <c r="I32" s="256">
        <f t="shared" si="8"/>
        <v>3643.35</v>
      </c>
      <c r="J32" s="256">
        <f t="shared" si="8"/>
        <v>3643.35</v>
      </c>
      <c r="K32" s="256">
        <f t="shared" si="8"/>
        <v>0</v>
      </c>
      <c r="L32" s="248">
        <f t="shared" si="4"/>
        <v>0</v>
      </c>
      <c r="M32" s="249"/>
      <c r="N32" s="249"/>
      <c r="O32" s="249"/>
      <c r="P32" s="252"/>
      <c r="Q32" s="252"/>
      <c r="R32" s="261"/>
      <c r="S32" s="254"/>
      <c r="T32" s="254"/>
      <c r="U32" s="254"/>
      <c r="V32" s="254"/>
      <c r="W32" s="254"/>
      <c r="X32" s="254"/>
      <c r="Y32" s="254"/>
      <c r="Z32" s="13"/>
    </row>
    <row r="33" spans="1:26" ht="15.75" customHeight="1">
      <c r="A33" s="262"/>
      <c r="B33" s="258" t="s">
        <v>543</v>
      </c>
      <c r="C33" s="263">
        <f>'B2 TIN M'!C14</f>
        <v>17</v>
      </c>
      <c r="D33" s="263">
        <f>'B2 TIN M'!D14</f>
        <v>5.4499999999999993</v>
      </c>
      <c r="E33" s="263">
        <f>'B2 TIN M'!E14</f>
        <v>17</v>
      </c>
      <c r="F33" s="263">
        <f>'B2 TIN M'!F14</f>
        <v>6.1999999999999993</v>
      </c>
      <c r="G33" s="263">
        <f>'B2 TIN M'!G14</f>
        <v>330</v>
      </c>
      <c r="H33" s="263">
        <f>'B2 TIN M'!H14</f>
        <v>1209</v>
      </c>
      <c r="I33" s="263">
        <f>'B2 TIN M'!I14</f>
        <v>1547.85</v>
      </c>
      <c r="J33" s="263">
        <f>'B2 TIN M'!J14</f>
        <v>1547.85</v>
      </c>
      <c r="K33" s="263">
        <f>'B2 TIN M'!K14</f>
        <v>0</v>
      </c>
      <c r="L33" s="248">
        <f t="shared" si="4"/>
        <v>0</v>
      </c>
      <c r="M33" s="260"/>
      <c r="N33" s="260"/>
      <c r="O33" s="260"/>
      <c r="P33" s="163"/>
      <c r="Q33" s="163"/>
      <c r="R33" s="261"/>
      <c r="S33" s="254"/>
      <c r="T33" s="254"/>
      <c r="U33" s="254"/>
      <c r="V33" s="254"/>
      <c r="W33" s="254"/>
      <c r="X33" s="254"/>
      <c r="Y33" s="254"/>
      <c r="Z33" s="13"/>
    </row>
    <row r="34" spans="1:26" ht="15.75" customHeight="1">
      <c r="A34" s="262"/>
      <c r="B34" s="258" t="s">
        <v>544</v>
      </c>
      <c r="C34" s="259">
        <f>'B2 TIN M'!C20</f>
        <v>19</v>
      </c>
      <c r="D34" s="259">
        <f>'B2 TIN M'!D20</f>
        <v>6.375</v>
      </c>
      <c r="E34" s="259">
        <f>'B2 TIN M'!E20</f>
        <v>25</v>
      </c>
      <c r="F34" s="259">
        <f>'B2 TIN M'!F20</f>
        <v>6.6</v>
      </c>
      <c r="G34" s="259">
        <f>'B2 TIN M'!G20</f>
        <v>240</v>
      </c>
      <c r="H34" s="259">
        <f>'B2 TIN M'!H20</f>
        <v>850</v>
      </c>
      <c r="I34" s="259">
        <f>'B2 TIN M'!I20</f>
        <v>2095.5</v>
      </c>
      <c r="J34" s="259">
        <f>'B2 TIN M'!J20</f>
        <v>2095.5</v>
      </c>
      <c r="K34" s="259">
        <f>'B2 TIN M'!K20</f>
        <v>0</v>
      </c>
      <c r="L34" s="248">
        <f t="shared" si="4"/>
        <v>0</v>
      </c>
      <c r="M34" s="260"/>
      <c r="N34" s="260"/>
      <c r="O34" s="260"/>
      <c r="P34" s="163"/>
      <c r="Q34" s="163"/>
      <c r="R34" s="261"/>
      <c r="S34" s="254"/>
      <c r="T34" s="254"/>
      <c r="U34" s="254"/>
      <c r="V34" s="254"/>
      <c r="W34" s="254"/>
      <c r="X34" s="254"/>
      <c r="Y34" s="254"/>
      <c r="Z34" s="13"/>
    </row>
    <row r="35" spans="1:26" ht="15.75" customHeight="1">
      <c r="A35" s="262" t="s">
        <v>486</v>
      </c>
      <c r="B35" s="251" t="s">
        <v>549</v>
      </c>
      <c r="C35" s="256">
        <f t="shared" ref="C35:K35" si="9">SUM(C36:C37)</f>
        <v>180</v>
      </c>
      <c r="D35" s="256">
        <f t="shared" si="9"/>
        <v>32.935000000000002</v>
      </c>
      <c r="E35" s="256">
        <f t="shared" si="9"/>
        <v>95</v>
      </c>
      <c r="F35" s="256">
        <f t="shared" si="9"/>
        <v>31.900000000000002</v>
      </c>
      <c r="G35" s="256">
        <f t="shared" si="9"/>
        <v>4187</v>
      </c>
      <c r="H35" s="256">
        <f t="shared" si="9"/>
        <v>17143</v>
      </c>
      <c r="I35" s="256">
        <f t="shared" si="9"/>
        <v>8126.0666666666675</v>
      </c>
      <c r="J35" s="256">
        <f t="shared" si="9"/>
        <v>8126.0666666666675</v>
      </c>
      <c r="K35" s="256">
        <f t="shared" si="9"/>
        <v>0</v>
      </c>
      <c r="L35" s="248">
        <f t="shared" si="4"/>
        <v>0</v>
      </c>
      <c r="M35" s="249"/>
      <c r="N35" s="249"/>
      <c r="O35" s="249"/>
      <c r="P35" s="252"/>
      <c r="Q35" s="252"/>
      <c r="R35" s="261"/>
      <c r="S35" s="254"/>
      <c r="T35" s="254"/>
      <c r="U35" s="254"/>
      <c r="V35" s="254"/>
      <c r="W35" s="254"/>
      <c r="X35" s="254"/>
      <c r="Y35" s="254"/>
      <c r="Z35" s="13"/>
    </row>
    <row r="36" spans="1:26" ht="15.75" customHeight="1">
      <c r="A36" s="262"/>
      <c r="B36" s="258" t="s">
        <v>543</v>
      </c>
      <c r="C36" s="259">
        <f>'B2 VĂN M'!C12</f>
        <v>96</v>
      </c>
      <c r="D36" s="259">
        <f>'B2 VĂN M'!D12</f>
        <v>13.7</v>
      </c>
      <c r="E36" s="259">
        <f>'B2 VĂN M'!E12</f>
        <v>39</v>
      </c>
      <c r="F36" s="259">
        <f>'B2 VĂN M'!F12</f>
        <v>13.600000000000001</v>
      </c>
      <c r="G36" s="259">
        <f>'B2 VĂN M'!G12</f>
        <v>1865</v>
      </c>
      <c r="H36" s="259">
        <f>'B2 VĂN M'!H12</f>
        <v>8165.6</v>
      </c>
      <c r="I36" s="259">
        <f>'B2 VĂN M'!I12</f>
        <v>3928.9500000000003</v>
      </c>
      <c r="J36" s="259">
        <f>'B2 VĂN M'!J12</f>
        <v>3928.9500000000003</v>
      </c>
      <c r="K36" s="259">
        <f>'B2 VĂN M'!K12</f>
        <v>0</v>
      </c>
      <c r="L36" s="248">
        <f t="shared" si="4"/>
        <v>0</v>
      </c>
      <c r="M36" s="265"/>
      <c r="N36" s="265"/>
      <c r="O36" s="265"/>
      <c r="P36" s="266"/>
      <c r="Q36" s="266"/>
      <c r="R36" s="266"/>
      <c r="S36" s="254"/>
      <c r="T36" s="254"/>
      <c r="U36" s="254"/>
      <c r="V36" s="254"/>
      <c r="W36" s="254"/>
      <c r="X36" s="254"/>
      <c r="Y36" s="254"/>
      <c r="Z36" s="13"/>
    </row>
    <row r="37" spans="1:26" ht="15.75" customHeight="1">
      <c r="A37" s="262"/>
      <c r="B37" s="258" t="s">
        <v>544</v>
      </c>
      <c r="C37" s="259">
        <f>'B2 VĂN M'!C26</f>
        <v>84</v>
      </c>
      <c r="D37" s="259">
        <f>'B2 VĂN M'!D26</f>
        <v>19.234999999999999</v>
      </c>
      <c r="E37" s="259">
        <f>'B2 VĂN M'!E26</f>
        <v>56</v>
      </c>
      <c r="F37" s="259">
        <f>'B2 VĂN M'!F26</f>
        <v>18.3</v>
      </c>
      <c r="G37" s="259">
        <f>'B2 VĂN M'!G26</f>
        <v>2322</v>
      </c>
      <c r="H37" s="259">
        <f>'B2 VĂN M'!H26</f>
        <v>8977.4</v>
      </c>
      <c r="I37" s="259">
        <f>'B2 VĂN M'!I26</f>
        <v>4197.1166666666668</v>
      </c>
      <c r="J37" s="259">
        <f>'B2 VĂN M'!J26</f>
        <v>4197.1166666666668</v>
      </c>
      <c r="K37" s="259">
        <f>'B2 VĂN M'!K26</f>
        <v>0</v>
      </c>
      <c r="L37" s="248">
        <f t="shared" si="4"/>
        <v>0</v>
      </c>
      <c r="M37" s="265"/>
      <c r="N37" s="265"/>
      <c r="O37" s="265"/>
      <c r="P37" s="266"/>
      <c r="Q37" s="266"/>
      <c r="R37" s="266"/>
      <c r="S37" s="254"/>
      <c r="T37" s="254"/>
      <c r="U37" s="254"/>
      <c r="V37" s="254"/>
      <c r="W37" s="254"/>
      <c r="X37" s="254"/>
      <c r="Y37" s="254"/>
      <c r="Z37" s="13"/>
    </row>
    <row r="38" spans="1:26" ht="15.75" customHeight="1">
      <c r="A38" s="262" t="s">
        <v>487</v>
      </c>
      <c r="B38" s="251" t="s">
        <v>550</v>
      </c>
      <c r="C38" s="256">
        <f t="shared" ref="C38:K38" si="10">C39+C40</f>
        <v>94</v>
      </c>
      <c r="D38" s="256">
        <f t="shared" si="10"/>
        <v>26.200000000000003</v>
      </c>
      <c r="E38" s="256">
        <f t="shared" si="10"/>
        <v>31</v>
      </c>
      <c r="F38" s="256">
        <f t="shared" si="10"/>
        <v>25</v>
      </c>
      <c r="G38" s="256">
        <f t="shared" si="10"/>
        <v>986</v>
      </c>
      <c r="H38" s="256">
        <f t="shared" si="10"/>
        <v>3432.8</v>
      </c>
      <c r="I38" s="256">
        <f t="shared" si="10"/>
        <v>1932.1</v>
      </c>
      <c r="J38" s="256">
        <f t="shared" si="10"/>
        <v>1792.6</v>
      </c>
      <c r="K38" s="256">
        <f t="shared" si="10"/>
        <v>129.5</v>
      </c>
      <c r="L38" s="248">
        <f t="shared" si="4"/>
        <v>10</v>
      </c>
      <c r="M38" s="249"/>
      <c r="N38" s="249"/>
      <c r="O38" s="249"/>
      <c r="P38" s="252"/>
      <c r="Q38" s="252"/>
      <c r="R38" s="261"/>
      <c r="S38" s="254"/>
      <c r="T38" s="254"/>
      <c r="U38" s="254"/>
      <c r="V38" s="254"/>
      <c r="W38" s="254"/>
      <c r="X38" s="254"/>
      <c r="Y38" s="254"/>
      <c r="Z38" s="13"/>
    </row>
    <row r="39" spans="1:26" ht="15.75" customHeight="1">
      <c r="A39" s="262"/>
      <c r="B39" s="258" t="s">
        <v>543</v>
      </c>
      <c r="C39" s="259">
        <f>'B2 Sử M'!C14</f>
        <v>40</v>
      </c>
      <c r="D39" s="259">
        <f>'B2 Sử M'!D14</f>
        <v>10.600000000000001</v>
      </c>
      <c r="E39" s="259">
        <f>'B2 Sử M'!E14</f>
        <v>11</v>
      </c>
      <c r="F39" s="259">
        <f>'B2 Sử M'!F14</f>
        <v>10</v>
      </c>
      <c r="G39" s="259">
        <f>'B2 Sử M'!G14</f>
        <v>278</v>
      </c>
      <c r="H39" s="259">
        <f>'B2 Sử M'!H14</f>
        <v>1038.8</v>
      </c>
      <c r="I39" s="259">
        <f>'B2 Sử M'!I14</f>
        <v>723</v>
      </c>
      <c r="J39" s="259">
        <f>'B2 Sử M'!J14</f>
        <v>723</v>
      </c>
      <c r="K39" s="259">
        <f>'B2 Sử M'!K14</f>
        <v>0</v>
      </c>
      <c r="L39" s="248">
        <f t="shared" si="4"/>
        <v>0</v>
      </c>
      <c r="M39" s="260"/>
      <c r="N39" s="260"/>
      <c r="O39" s="260"/>
      <c r="P39" s="163"/>
      <c r="Q39" s="163"/>
      <c r="R39" s="261"/>
      <c r="S39" s="254"/>
      <c r="T39" s="254"/>
      <c r="U39" s="254"/>
      <c r="V39" s="254"/>
      <c r="W39" s="254"/>
      <c r="X39" s="254"/>
      <c r="Y39" s="254"/>
      <c r="Z39" s="13"/>
    </row>
    <row r="40" spans="1:26" ht="15.75" customHeight="1">
      <c r="A40" s="262"/>
      <c r="B40" s="258" t="s">
        <v>544</v>
      </c>
      <c r="C40" s="259">
        <f>'B2 Sử M'!C25</f>
        <v>54</v>
      </c>
      <c r="D40" s="259">
        <f>'B2 Sử M'!D25</f>
        <v>15.6</v>
      </c>
      <c r="E40" s="259">
        <f>'B2 Sử M'!E25</f>
        <v>20</v>
      </c>
      <c r="F40" s="259">
        <f>'B2 Sử M'!F25</f>
        <v>15</v>
      </c>
      <c r="G40" s="259">
        <f>'B2 Sử M'!G25</f>
        <v>708</v>
      </c>
      <c r="H40" s="259">
        <f>'B2 Sử M'!H25</f>
        <v>2394</v>
      </c>
      <c r="I40" s="259">
        <f>'B2 Sử M'!I25</f>
        <v>1209.0999999999999</v>
      </c>
      <c r="J40" s="259">
        <f>'B2 Sử M'!J25</f>
        <v>1069.5999999999999</v>
      </c>
      <c r="K40" s="259">
        <f>'B2 Sử M'!K25</f>
        <v>129.5</v>
      </c>
      <c r="L40" s="248">
        <f t="shared" si="4"/>
        <v>10</v>
      </c>
      <c r="M40" s="260"/>
      <c r="N40" s="260"/>
      <c r="O40" s="260"/>
      <c r="P40" s="163"/>
      <c r="Q40" s="163"/>
      <c r="R40" s="261"/>
      <c r="S40" s="254"/>
      <c r="T40" s="254"/>
      <c r="U40" s="254"/>
      <c r="V40" s="254"/>
      <c r="W40" s="254"/>
      <c r="X40" s="254"/>
      <c r="Y40" s="254"/>
      <c r="Z40" s="13"/>
    </row>
    <row r="41" spans="1:26" ht="15.75" customHeight="1">
      <c r="A41" s="264" t="s">
        <v>488</v>
      </c>
      <c r="B41" s="251" t="s">
        <v>551</v>
      </c>
      <c r="C41" s="256">
        <f t="shared" ref="C41:K41" si="11">SUM(C42:C43)</f>
        <v>89</v>
      </c>
      <c r="D41" s="256">
        <f t="shared" si="11"/>
        <v>25.39</v>
      </c>
      <c r="E41" s="256">
        <f t="shared" si="11"/>
        <v>27</v>
      </c>
      <c r="F41" s="256">
        <f t="shared" si="11"/>
        <v>25</v>
      </c>
      <c r="G41" s="256">
        <f t="shared" si="11"/>
        <v>1176</v>
      </c>
      <c r="H41" s="256">
        <f t="shared" si="11"/>
        <v>4221.2000000000007</v>
      </c>
      <c r="I41" s="256">
        <f t="shared" si="11"/>
        <v>2031.7</v>
      </c>
      <c r="J41" s="256">
        <f t="shared" si="11"/>
        <v>1982.2</v>
      </c>
      <c r="K41" s="256">
        <f t="shared" si="11"/>
        <v>49.5</v>
      </c>
      <c r="L41" s="248">
        <f t="shared" si="4"/>
        <v>0</v>
      </c>
      <c r="M41" s="249"/>
      <c r="N41" s="249"/>
      <c r="O41" s="249"/>
      <c r="P41" s="252"/>
      <c r="Q41" s="252"/>
      <c r="R41" s="261"/>
      <c r="S41" s="254"/>
      <c r="T41" s="254"/>
      <c r="U41" s="254"/>
      <c r="V41" s="254"/>
      <c r="W41" s="254"/>
      <c r="X41" s="254"/>
      <c r="Y41" s="254"/>
      <c r="Z41" s="13"/>
    </row>
    <row r="42" spans="1:26" ht="15.75" customHeight="1">
      <c r="A42" s="262"/>
      <c r="B42" s="258" t="s">
        <v>543</v>
      </c>
      <c r="C42" s="259">
        <f>'B2 ĐỊA LÝ'!C13</f>
        <v>39</v>
      </c>
      <c r="D42" s="259">
        <f>'B2 ĐỊA LÝ'!D13</f>
        <v>11.4</v>
      </c>
      <c r="E42" s="259">
        <f>'B2 ĐỊA LÝ'!E13</f>
        <v>11</v>
      </c>
      <c r="F42" s="259">
        <f>'B2 ĐỊA LÝ'!F13</f>
        <v>12</v>
      </c>
      <c r="G42" s="259">
        <f>'B2 ĐỊA LÝ'!G13</f>
        <v>491</v>
      </c>
      <c r="H42" s="259">
        <f>'B2 ĐỊA LÝ'!H13</f>
        <v>1493.4</v>
      </c>
      <c r="I42" s="259">
        <f>'B2 ĐỊA LÝ'!I13</f>
        <v>842.2</v>
      </c>
      <c r="J42" s="259">
        <f>'B2 ĐỊA LÝ'!J13</f>
        <v>842.2</v>
      </c>
      <c r="K42" s="259">
        <f>'B2 ĐỊA LÝ'!K13</f>
        <v>0</v>
      </c>
      <c r="L42" s="259">
        <f>'B2 ĐỊA LÝ'!L13</f>
        <v>0</v>
      </c>
      <c r="M42" s="260"/>
      <c r="N42" s="260"/>
      <c r="O42" s="260"/>
      <c r="P42" s="163"/>
      <c r="Q42" s="163"/>
      <c r="R42" s="261"/>
      <c r="S42" s="254"/>
      <c r="T42" s="254"/>
      <c r="U42" s="254"/>
      <c r="V42" s="254"/>
      <c r="W42" s="254"/>
      <c r="X42" s="254"/>
      <c r="Y42" s="254"/>
      <c r="Z42" s="13"/>
    </row>
    <row r="43" spans="1:26" ht="15.75" customHeight="1">
      <c r="A43" s="262"/>
      <c r="B43" s="258" t="s">
        <v>544</v>
      </c>
      <c r="C43" s="259">
        <f>'B2 ĐỊA LÝ'!C25</f>
        <v>50</v>
      </c>
      <c r="D43" s="259">
        <f>'B2 ĐỊA LÝ'!D25</f>
        <v>13.989999999999998</v>
      </c>
      <c r="E43" s="259">
        <f>'B2 ĐỊA LÝ'!E25</f>
        <v>16</v>
      </c>
      <c r="F43" s="259">
        <f>'B2 ĐỊA LÝ'!F25</f>
        <v>13</v>
      </c>
      <c r="G43" s="259">
        <f>'B2 ĐỊA LÝ'!G25</f>
        <v>685</v>
      </c>
      <c r="H43" s="259">
        <f>'B2 ĐỊA LÝ'!H25</f>
        <v>2727.8</v>
      </c>
      <c r="I43" s="259">
        <f>'B2 ĐỊA LÝ'!I25</f>
        <v>1189.5</v>
      </c>
      <c r="J43" s="259">
        <f>'B2 ĐỊA LÝ'!J25</f>
        <v>1140</v>
      </c>
      <c r="K43" s="259">
        <f>'B2 ĐỊA LÝ'!K25</f>
        <v>49.5</v>
      </c>
      <c r="L43" s="259">
        <f>'B2 ĐỊA LÝ'!L25</f>
        <v>0</v>
      </c>
      <c r="M43" s="260"/>
      <c r="N43" s="260"/>
      <c r="O43" s="260"/>
      <c r="P43" s="163"/>
      <c r="Q43" s="163"/>
      <c r="R43" s="261"/>
      <c r="S43" s="254"/>
      <c r="T43" s="254"/>
      <c r="U43" s="254"/>
      <c r="V43" s="254"/>
      <c r="W43" s="254"/>
      <c r="X43" s="254"/>
      <c r="Y43" s="254"/>
      <c r="Z43" s="13"/>
    </row>
    <row r="44" spans="1:26" ht="15.75" customHeight="1">
      <c r="A44" s="257" t="s">
        <v>489</v>
      </c>
      <c r="B44" s="251" t="s">
        <v>552</v>
      </c>
      <c r="C44" s="267">
        <f t="shared" ref="C44:K44" si="12">C45+C46</f>
        <v>52</v>
      </c>
      <c r="D44" s="267">
        <f t="shared" si="12"/>
        <v>20.6</v>
      </c>
      <c r="E44" s="267">
        <f t="shared" si="12"/>
        <v>235</v>
      </c>
      <c r="F44" s="267">
        <f t="shared" si="12"/>
        <v>20.6</v>
      </c>
      <c r="G44" s="267">
        <f t="shared" si="12"/>
        <v>15830</v>
      </c>
      <c r="H44" s="267">
        <f t="shared" si="12"/>
        <v>35428</v>
      </c>
      <c r="I44" s="267">
        <f t="shared" si="12"/>
        <v>9022</v>
      </c>
      <c r="J44" s="267">
        <f t="shared" si="12"/>
        <v>4181.5</v>
      </c>
      <c r="K44" s="267">
        <f t="shared" si="12"/>
        <v>0</v>
      </c>
      <c r="L44" s="248">
        <f>I44-(J44+K44)</f>
        <v>4840.5</v>
      </c>
      <c r="M44" s="249"/>
      <c r="N44" s="249"/>
      <c r="O44" s="249"/>
      <c r="P44" s="249"/>
      <c r="Q44" s="249"/>
      <c r="R44" s="261"/>
      <c r="S44" s="254"/>
      <c r="T44" s="254"/>
      <c r="U44" s="254"/>
      <c r="V44" s="254"/>
      <c r="W44" s="254"/>
      <c r="X44" s="254"/>
      <c r="Y44" s="254"/>
      <c r="Z44" s="13"/>
    </row>
    <row r="45" spans="1:26" ht="15.75" customHeight="1">
      <c r="A45" s="262"/>
      <c r="B45" s="258" t="s">
        <v>543</v>
      </c>
      <c r="C45" s="268">
        <f>'B2 GDCT M'!C12</f>
        <v>24</v>
      </c>
      <c r="D45" s="268">
        <f>'B2 GDCT M'!D12</f>
        <v>10</v>
      </c>
      <c r="E45" s="268">
        <f>'B2 GDCT M'!E12</f>
        <v>115</v>
      </c>
      <c r="F45" s="268">
        <f>'B2 GDCT M'!F12</f>
        <v>10</v>
      </c>
      <c r="G45" s="268">
        <f>'B2 GDCT M'!G12</f>
        <v>7650</v>
      </c>
      <c r="H45" s="268">
        <f>'B2 GDCT M'!H12</f>
        <v>16745</v>
      </c>
      <c r="I45" s="268">
        <f>'B2 GDCT M'!I12</f>
        <v>4174.5</v>
      </c>
      <c r="J45" s="268">
        <f>'B2 GDCT M'!J12</f>
        <v>693</v>
      </c>
      <c r="K45" s="268">
        <f>'B2 GDCT M'!K12</f>
        <v>0</v>
      </c>
      <c r="L45" s="268">
        <f>'B2 GDCT M'!L12</f>
        <v>1407</v>
      </c>
      <c r="M45" s="260">
        <f>J45+L45</f>
        <v>2100</v>
      </c>
      <c r="N45" s="260"/>
      <c r="O45" s="260"/>
      <c r="P45" s="151"/>
      <c r="Q45" s="151"/>
      <c r="R45" s="261"/>
      <c r="S45" s="254"/>
      <c r="T45" s="254"/>
      <c r="U45" s="254"/>
      <c r="V45" s="254"/>
      <c r="W45" s="254"/>
      <c r="X45" s="254"/>
      <c r="Y45" s="254"/>
      <c r="Z45" s="13"/>
    </row>
    <row r="46" spans="1:26" ht="15.75" customHeight="1">
      <c r="A46" s="262"/>
      <c r="B46" s="258" t="s">
        <v>544</v>
      </c>
      <c r="C46" s="268">
        <f>'B2 GDCT M'!C23</f>
        <v>28</v>
      </c>
      <c r="D46" s="268">
        <f>'B2 GDCT M'!D23</f>
        <v>10.6</v>
      </c>
      <c r="E46" s="268">
        <f>'B2 GDCT M'!E23</f>
        <v>120</v>
      </c>
      <c r="F46" s="268">
        <f>'B2 GDCT M'!F23</f>
        <v>10.6</v>
      </c>
      <c r="G46" s="268">
        <f>'B2 GDCT M'!G23</f>
        <v>8180</v>
      </c>
      <c r="H46" s="268">
        <f>'B2 GDCT M'!H23</f>
        <v>18683</v>
      </c>
      <c r="I46" s="268">
        <f>'B2 GDCT M'!I23</f>
        <v>4847.5</v>
      </c>
      <c r="J46" s="268">
        <f>'B2 GDCT M'!J23</f>
        <v>3488.5</v>
      </c>
      <c r="K46" s="268">
        <f>'B2 GDCT M'!K23</f>
        <v>0</v>
      </c>
      <c r="L46" s="268">
        <f>'B2 GDCT M'!L23</f>
        <v>1520</v>
      </c>
      <c r="M46" s="260"/>
      <c r="N46" s="260"/>
      <c r="O46" s="260"/>
      <c r="P46" s="151"/>
      <c r="Q46" s="151"/>
      <c r="R46" s="261"/>
      <c r="S46" s="254"/>
      <c r="T46" s="254"/>
      <c r="U46" s="254"/>
      <c r="V46" s="254"/>
      <c r="W46" s="254"/>
      <c r="X46" s="254"/>
      <c r="Y46" s="254"/>
      <c r="Z46" s="13"/>
    </row>
    <row r="47" spans="1:26" ht="15.75" customHeight="1">
      <c r="A47" s="262" t="s">
        <v>490</v>
      </c>
      <c r="B47" s="251" t="s">
        <v>553</v>
      </c>
      <c r="C47" s="256">
        <f t="shared" ref="C47:K47" si="13">SUM(C48:C49)</f>
        <v>77</v>
      </c>
      <c r="D47" s="256">
        <f t="shared" si="13"/>
        <v>44646.570000000007</v>
      </c>
      <c r="E47" s="256">
        <f t="shared" si="13"/>
        <v>122</v>
      </c>
      <c r="F47" s="256">
        <f t="shared" si="13"/>
        <v>24</v>
      </c>
      <c r="G47" s="256">
        <f t="shared" si="13"/>
        <v>5239</v>
      </c>
      <c r="H47" s="256">
        <f t="shared" si="13"/>
        <v>18675.199999999997</v>
      </c>
      <c r="I47" s="256">
        <f t="shared" si="13"/>
        <v>15612.3</v>
      </c>
      <c r="J47" s="256">
        <f t="shared" si="13"/>
        <v>13860.3</v>
      </c>
      <c r="K47" s="256">
        <f t="shared" si="13"/>
        <v>0</v>
      </c>
      <c r="L47" s="248">
        <f t="shared" ref="L47:L78" si="14">I47-(J47+K47)</f>
        <v>1752</v>
      </c>
      <c r="M47" s="249"/>
      <c r="N47" s="249"/>
      <c r="O47" s="249"/>
      <c r="P47" s="249"/>
      <c r="Q47" s="249"/>
      <c r="R47" s="261"/>
      <c r="S47" s="254"/>
      <c r="T47" s="254"/>
      <c r="U47" s="254"/>
      <c r="V47" s="254"/>
      <c r="W47" s="254"/>
      <c r="X47" s="254"/>
      <c r="Y47" s="254"/>
      <c r="Z47" s="13"/>
    </row>
    <row r="48" spans="1:26" ht="15.75" customHeight="1">
      <c r="A48" s="262"/>
      <c r="B48" s="258" t="s">
        <v>543</v>
      </c>
      <c r="C48" s="269">
        <f>'B2 GDMN'!C13</f>
        <v>33</v>
      </c>
      <c r="D48" s="269">
        <f>'B2 GDMN'!D13</f>
        <v>44631.460000000006</v>
      </c>
      <c r="E48" s="269">
        <f>'B2 GDMN'!E13</f>
        <v>59</v>
      </c>
      <c r="F48" s="269">
        <f>'B2 GDMN'!F13</f>
        <v>10</v>
      </c>
      <c r="G48" s="269">
        <f>'B2 GDMN'!G13</f>
        <v>2098</v>
      </c>
      <c r="H48" s="269">
        <f>'B2 GDMN'!H13</f>
        <v>8324.7999999999993</v>
      </c>
      <c r="I48" s="269">
        <f>'B2 GDMN'!I13</f>
        <v>7254.8</v>
      </c>
      <c r="J48" s="269">
        <f>'B2 GDMN'!J13</f>
        <v>7254.8</v>
      </c>
      <c r="K48" s="269">
        <f>'B2 GDMN'!K13</f>
        <v>0</v>
      </c>
      <c r="L48" s="248">
        <f t="shared" si="14"/>
        <v>0</v>
      </c>
      <c r="M48" s="260"/>
      <c r="N48" s="260"/>
      <c r="O48" s="260"/>
      <c r="P48" s="163"/>
      <c r="Q48" s="163"/>
      <c r="R48" s="261"/>
      <c r="S48" s="254"/>
      <c r="T48" s="254"/>
      <c r="U48" s="254"/>
      <c r="V48" s="254"/>
      <c r="W48" s="254"/>
      <c r="X48" s="254"/>
      <c r="Y48" s="254"/>
      <c r="Z48" s="13"/>
    </row>
    <row r="49" spans="1:26" ht="15.75" customHeight="1">
      <c r="A49" s="262"/>
      <c r="B49" s="258" t="s">
        <v>544</v>
      </c>
      <c r="C49" s="269">
        <f>'B2 GDMN'!C29</f>
        <v>44</v>
      </c>
      <c r="D49" s="269">
        <f>'B2 GDMN'!D29</f>
        <v>15.110000000000001</v>
      </c>
      <c r="E49" s="269">
        <f>'B2 GDMN'!E29</f>
        <v>63</v>
      </c>
      <c r="F49" s="269">
        <f>'B2 GDMN'!F29</f>
        <v>14</v>
      </c>
      <c r="G49" s="269">
        <f>'B2 GDMN'!G29</f>
        <v>3141</v>
      </c>
      <c r="H49" s="269">
        <f>'B2 GDMN'!H29</f>
        <v>10350.4</v>
      </c>
      <c r="I49" s="269">
        <f>'B2 GDMN'!I29</f>
        <v>8357.5</v>
      </c>
      <c r="J49" s="269">
        <f>'B2 GDMN'!J29</f>
        <v>6605.5</v>
      </c>
      <c r="K49" s="269">
        <f>'B2 GDMN'!K29</f>
        <v>0</v>
      </c>
      <c r="L49" s="248">
        <f t="shared" si="14"/>
        <v>1752</v>
      </c>
      <c r="M49" s="260"/>
      <c r="N49" s="260"/>
      <c r="O49" s="260"/>
      <c r="P49" s="163"/>
      <c r="Q49" s="163"/>
      <c r="R49" s="261"/>
      <c r="S49" s="254"/>
      <c r="T49" s="254"/>
      <c r="U49" s="254"/>
      <c r="V49" s="254"/>
      <c r="W49" s="254"/>
      <c r="X49" s="254"/>
      <c r="Y49" s="254"/>
      <c r="Z49" s="13"/>
    </row>
    <row r="50" spans="1:26" ht="15.75" customHeight="1">
      <c r="A50" s="262" t="s">
        <v>491</v>
      </c>
      <c r="B50" s="251" t="s">
        <v>554</v>
      </c>
      <c r="C50" s="256">
        <f t="shared" ref="C50:K50" si="15">C51+C52</f>
        <v>126</v>
      </c>
      <c r="D50" s="256">
        <f t="shared" si="15"/>
        <v>37.667000000000002</v>
      </c>
      <c r="E50" s="256">
        <f t="shared" si="15"/>
        <v>216</v>
      </c>
      <c r="F50" s="256">
        <f t="shared" si="15"/>
        <v>40.70000000000001</v>
      </c>
      <c r="G50" s="256">
        <f t="shared" si="15"/>
        <v>16322</v>
      </c>
      <c r="H50" s="256">
        <f t="shared" si="15"/>
        <v>62301.83</v>
      </c>
      <c r="I50" s="256">
        <f t="shared" si="15"/>
        <v>19733.25</v>
      </c>
      <c r="J50" s="256">
        <f t="shared" si="15"/>
        <v>17345.55</v>
      </c>
      <c r="K50" s="256">
        <f t="shared" si="15"/>
        <v>2387.7000000000003</v>
      </c>
      <c r="L50" s="248">
        <f t="shared" si="14"/>
        <v>0</v>
      </c>
      <c r="M50" s="249"/>
      <c r="N50" s="249"/>
      <c r="O50" s="249"/>
      <c r="P50" s="249"/>
      <c r="Q50" s="249"/>
      <c r="R50" s="261"/>
      <c r="S50" s="254"/>
      <c r="T50" s="254"/>
      <c r="U50" s="254"/>
      <c r="V50" s="254"/>
      <c r="W50" s="254"/>
      <c r="X50" s="254"/>
      <c r="Y50" s="254"/>
      <c r="Z50" s="13"/>
    </row>
    <row r="51" spans="1:26" ht="15.75" customHeight="1">
      <c r="A51" s="262"/>
      <c r="B51" s="258" t="s">
        <v>543</v>
      </c>
      <c r="C51" s="259">
        <f>'B2 GDTH M'!C11</f>
        <v>47</v>
      </c>
      <c r="D51" s="259">
        <f>'B2 GDTH M'!D11</f>
        <v>13.899999999999999</v>
      </c>
      <c r="E51" s="259">
        <f>'B2 GDTH M'!E11</f>
        <v>94</v>
      </c>
      <c r="F51" s="259">
        <f>'B2 GDTH M'!F11</f>
        <v>15.400000000000004</v>
      </c>
      <c r="G51" s="259">
        <f>'B2 GDTH M'!G11</f>
        <v>6460</v>
      </c>
      <c r="H51" s="259">
        <f>'B2 GDTH M'!H11</f>
        <v>23770</v>
      </c>
      <c r="I51" s="259">
        <f>'B2 GDTH M'!I11</f>
        <v>6099.4</v>
      </c>
      <c r="J51" s="259">
        <f>'B2 GDTH M'!J11</f>
        <v>3711.6999999999994</v>
      </c>
      <c r="K51" s="259">
        <f>'B2 GDTH M'!K11</f>
        <v>2387.7000000000003</v>
      </c>
      <c r="L51" s="248">
        <f t="shared" si="14"/>
        <v>0</v>
      </c>
      <c r="M51" s="260"/>
      <c r="N51" s="260"/>
      <c r="O51" s="260"/>
      <c r="P51" s="163"/>
      <c r="Q51" s="163"/>
      <c r="R51" s="261"/>
      <c r="S51" s="254"/>
      <c r="T51" s="254"/>
      <c r="U51" s="254"/>
      <c r="V51" s="254"/>
      <c r="W51" s="254"/>
      <c r="X51" s="254"/>
      <c r="Y51" s="254"/>
      <c r="Z51" s="13"/>
    </row>
    <row r="52" spans="1:26" ht="15.75" customHeight="1">
      <c r="A52" s="262"/>
      <c r="B52" s="258" t="s">
        <v>544</v>
      </c>
      <c r="C52" s="259">
        <f>'B2 GDTH M'!C37</f>
        <v>79</v>
      </c>
      <c r="D52" s="259">
        <f>'B2 GDTH M'!D37</f>
        <v>23.767000000000003</v>
      </c>
      <c r="E52" s="259">
        <f>'B2 GDTH M'!E37</f>
        <v>122</v>
      </c>
      <c r="F52" s="259">
        <f>'B2 GDTH M'!F37</f>
        <v>25.300000000000004</v>
      </c>
      <c r="G52" s="259">
        <f>'B2 GDTH M'!G37</f>
        <v>9862</v>
      </c>
      <c r="H52" s="259">
        <f>'B2 GDTH M'!H37</f>
        <v>38531.83</v>
      </c>
      <c r="I52" s="259">
        <f>'B2 GDTH M'!I37</f>
        <v>13633.85</v>
      </c>
      <c r="J52" s="259">
        <f>'B2 GDTH M'!J37</f>
        <v>13633.85</v>
      </c>
      <c r="K52" s="259">
        <f>'B2 GDTH M'!K37</f>
        <v>0</v>
      </c>
      <c r="L52" s="248">
        <f t="shared" si="14"/>
        <v>0</v>
      </c>
      <c r="M52" s="260"/>
      <c r="N52" s="260"/>
      <c r="O52" s="260"/>
      <c r="P52" s="163"/>
      <c r="Q52" s="163"/>
      <c r="R52" s="261"/>
      <c r="S52" s="254"/>
      <c r="T52" s="254"/>
      <c r="U52" s="254"/>
      <c r="V52" s="254"/>
      <c r="W52" s="254"/>
      <c r="X52" s="254"/>
      <c r="Y52" s="254"/>
      <c r="Z52" s="13"/>
    </row>
    <row r="53" spans="1:26" ht="15.75" customHeight="1">
      <c r="A53" s="264" t="s">
        <v>492</v>
      </c>
      <c r="B53" s="251" t="s">
        <v>555</v>
      </c>
      <c r="C53" s="256">
        <f t="shared" ref="C53:I53" si="16">SUM(C54:C55)</f>
        <v>104</v>
      </c>
      <c r="D53" s="256">
        <f t="shared" si="16"/>
        <v>30.900000000000002</v>
      </c>
      <c r="E53" s="256">
        <f t="shared" si="16"/>
        <v>104</v>
      </c>
      <c r="F53" s="256">
        <f t="shared" si="16"/>
        <v>26.199999999999996</v>
      </c>
      <c r="G53" s="256">
        <f t="shared" si="16"/>
        <v>3995</v>
      </c>
      <c r="H53" s="256">
        <f t="shared" si="16"/>
        <v>13913.4</v>
      </c>
      <c r="I53" s="256">
        <f t="shared" si="16"/>
        <v>5309.9599999999991</v>
      </c>
      <c r="J53" s="248">
        <f>I53</f>
        <v>5309.9599999999991</v>
      </c>
      <c r="K53" s="263">
        <v>0</v>
      </c>
      <c r="L53" s="248">
        <f t="shared" si="14"/>
        <v>0</v>
      </c>
      <c r="M53" s="249"/>
      <c r="N53" s="249"/>
      <c r="O53" s="249"/>
      <c r="P53" s="249"/>
      <c r="Q53" s="249"/>
      <c r="R53" s="261"/>
      <c r="S53" s="254"/>
      <c r="T53" s="254"/>
      <c r="U53" s="254"/>
      <c r="V53" s="254"/>
      <c r="W53" s="254"/>
      <c r="X53" s="254"/>
      <c r="Y53" s="254"/>
      <c r="Z53" s="13"/>
    </row>
    <row r="54" spans="1:26" ht="15.75" customHeight="1">
      <c r="A54" s="262"/>
      <c r="B54" s="258" t="s">
        <v>543</v>
      </c>
      <c r="C54" s="259">
        <f>'B2 TLGD M'!C13</f>
        <v>53</v>
      </c>
      <c r="D54" s="259">
        <f>'B2 TLGD M'!D13</f>
        <v>14.3</v>
      </c>
      <c r="E54" s="259">
        <f>'B2 TLGD M'!E13</f>
        <v>40</v>
      </c>
      <c r="F54" s="259">
        <f>'B2 TLGD M'!F13</f>
        <v>12.799999999999999</v>
      </c>
      <c r="G54" s="259">
        <f>'B2 TLGD M'!G13</f>
        <v>2359</v>
      </c>
      <c r="H54" s="259">
        <f>'B2 TLGD M'!H13</f>
        <v>8925.4</v>
      </c>
      <c r="I54" s="259">
        <f>'B2 TLGD M'!I13</f>
        <v>3060.3499999999995</v>
      </c>
      <c r="J54" s="259">
        <f>'B2 TLGD M'!J13</f>
        <v>3060.3499999999995</v>
      </c>
      <c r="K54" s="259">
        <f>'B2 TLGD M'!K13</f>
        <v>0</v>
      </c>
      <c r="L54" s="248">
        <f t="shared" si="14"/>
        <v>0</v>
      </c>
      <c r="M54" s="260"/>
      <c r="N54" s="260"/>
      <c r="O54" s="260"/>
      <c r="P54" s="163"/>
      <c r="Q54" s="163"/>
      <c r="R54" s="261"/>
      <c r="S54" s="254"/>
      <c r="T54" s="254"/>
      <c r="U54" s="254"/>
      <c r="V54" s="254"/>
      <c r="W54" s="254"/>
      <c r="X54" s="254"/>
      <c r="Y54" s="254"/>
      <c r="Z54" s="13"/>
    </row>
    <row r="55" spans="1:26" ht="15.75" customHeight="1">
      <c r="A55" s="262"/>
      <c r="B55" s="258" t="s">
        <v>544</v>
      </c>
      <c r="C55" s="259">
        <f>'B2 TLGD M'!C28</f>
        <v>51</v>
      </c>
      <c r="D55" s="259">
        <f>'B2 TLGD M'!D28</f>
        <v>16.600000000000001</v>
      </c>
      <c r="E55" s="259">
        <f>'B2 TLGD M'!E28</f>
        <v>64</v>
      </c>
      <c r="F55" s="259">
        <f>'B2 TLGD M'!F28</f>
        <v>13.399999999999999</v>
      </c>
      <c r="G55" s="259">
        <f>'B2 TLGD M'!G28</f>
        <v>1636</v>
      </c>
      <c r="H55" s="259">
        <f>'B2 TLGD M'!H28</f>
        <v>4988</v>
      </c>
      <c r="I55" s="259">
        <f>'B2 TLGD M'!I28</f>
        <v>2249.6099999999997</v>
      </c>
      <c r="J55" s="259">
        <f>'B2 TLGD M'!J28</f>
        <v>2249.6099999999997</v>
      </c>
      <c r="K55" s="259">
        <f>'B2 TLGD M'!K28</f>
        <v>0</v>
      </c>
      <c r="L55" s="248">
        <f t="shared" si="14"/>
        <v>0</v>
      </c>
      <c r="M55" s="260"/>
      <c r="N55" s="260"/>
      <c r="O55" s="260"/>
      <c r="P55" s="163"/>
      <c r="Q55" s="163"/>
      <c r="R55" s="261"/>
      <c r="S55" s="254"/>
      <c r="T55" s="254"/>
      <c r="U55" s="254"/>
      <c r="V55" s="254"/>
      <c r="W55" s="254"/>
      <c r="X55" s="254"/>
      <c r="Y55" s="254"/>
      <c r="Z55" s="13"/>
    </row>
    <row r="56" spans="1:26" ht="27" customHeight="1">
      <c r="A56" s="270" t="s">
        <v>265</v>
      </c>
      <c r="B56" s="271" t="s">
        <v>556</v>
      </c>
      <c r="C56" s="256">
        <f t="shared" ref="C56:K56" si="17">C57+C60+C63+C66+C69+C72+C75+C78+C81+C84+C87+C90</f>
        <v>20</v>
      </c>
      <c r="D56" s="256">
        <f t="shared" si="17"/>
        <v>7.2</v>
      </c>
      <c r="E56" s="256">
        <f t="shared" si="17"/>
        <v>6</v>
      </c>
      <c r="F56" s="256">
        <f t="shared" si="17"/>
        <v>6</v>
      </c>
      <c r="G56" s="256">
        <f t="shared" si="17"/>
        <v>1354</v>
      </c>
      <c r="H56" s="256">
        <f t="shared" si="17"/>
        <v>3094</v>
      </c>
      <c r="I56" s="256">
        <f t="shared" si="17"/>
        <v>1796.5</v>
      </c>
      <c r="J56" s="256">
        <f t="shared" si="17"/>
        <v>1796.5</v>
      </c>
      <c r="K56" s="256">
        <f t="shared" si="17"/>
        <v>0</v>
      </c>
      <c r="L56" s="248">
        <f t="shared" si="14"/>
        <v>0</v>
      </c>
      <c r="M56" s="260"/>
      <c r="N56" s="260"/>
      <c r="O56" s="260"/>
      <c r="P56" s="163"/>
      <c r="Q56" s="163"/>
      <c r="R56" s="261"/>
      <c r="S56" s="254"/>
      <c r="T56" s="254"/>
      <c r="U56" s="254"/>
      <c r="V56" s="254"/>
      <c r="W56" s="254"/>
      <c r="X56" s="254"/>
      <c r="Y56" s="254"/>
      <c r="Z56" s="13"/>
    </row>
    <row r="57" spans="1:26" ht="15.75" customHeight="1">
      <c r="A57" s="255" t="s">
        <v>557</v>
      </c>
      <c r="B57" s="251" t="s">
        <v>542</v>
      </c>
      <c r="C57" s="259">
        <v>0</v>
      </c>
      <c r="D57" s="259">
        <v>0</v>
      </c>
      <c r="E57" s="259">
        <v>0</v>
      </c>
      <c r="F57" s="259">
        <v>0</v>
      </c>
      <c r="G57" s="259">
        <v>84</v>
      </c>
      <c r="H57" s="259">
        <v>0</v>
      </c>
      <c r="I57" s="259">
        <v>0</v>
      </c>
      <c r="J57" s="259">
        <v>0</v>
      </c>
      <c r="K57" s="259">
        <v>0</v>
      </c>
      <c r="L57" s="248">
        <f t="shared" si="14"/>
        <v>0</v>
      </c>
      <c r="M57" s="260"/>
      <c r="N57" s="260"/>
      <c r="O57" s="260"/>
      <c r="P57" s="163"/>
      <c r="Q57" s="163"/>
      <c r="R57" s="261"/>
      <c r="S57" s="56"/>
      <c r="T57" s="56"/>
      <c r="U57" s="56"/>
      <c r="V57" s="56"/>
      <c r="W57" s="56"/>
      <c r="X57" s="56"/>
      <c r="Y57" s="56"/>
      <c r="Z57" s="13"/>
    </row>
    <row r="58" spans="1:26" ht="15.75" customHeight="1">
      <c r="A58" s="257"/>
      <c r="B58" s="258" t="s">
        <v>543</v>
      </c>
      <c r="C58" s="259">
        <v>0</v>
      </c>
      <c r="D58" s="259">
        <v>0</v>
      </c>
      <c r="E58" s="259">
        <v>0</v>
      </c>
      <c r="F58" s="259">
        <v>0</v>
      </c>
      <c r="G58" s="259">
        <v>84</v>
      </c>
      <c r="H58" s="259">
        <v>0</v>
      </c>
      <c r="I58" s="259">
        <v>0</v>
      </c>
      <c r="J58" s="259">
        <v>0</v>
      </c>
      <c r="K58" s="259">
        <v>0</v>
      </c>
      <c r="L58" s="248">
        <f t="shared" si="14"/>
        <v>0</v>
      </c>
      <c r="M58" s="260"/>
      <c r="N58" s="260"/>
      <c r="O58" s="260"/>
      <c r="P58" s="163"/>
      <c r="Q58" s="163"/>
      <c r="R58" s="261"/>
      <c r="S58" s="56"/>
      <c r="T58" s="56"/>
      <c r="U58" s="56"/>
      <c r="V58" s="56"/>
      <c r="W58" s="56"/>
      <c r="X58" s="56"/>
      <c r="Y58" s="56"/>
      <c r="Z58" s="13"/>
    </row>
    <row r="59" spans="1:26" ht="15.75" customHeight="1">
      <c r="A59" s="257"/>
      <c r="B59" s="258" t="s">
        <v>544</v>
      </c>
      <c r="C59" s="259">
        <v>0</v>
      </c>
      <c r="D59" s="263">
        <v>0</v>
      </c>
      <c r="E59" s="263">
        <v>0</v>
      </c>
      <c r="F59" s="263">
        <v>0</v>
      </c>
      <c r="G59" s="263">
        <v>0</v>
      </c>
      <c r="H59" s="263">
        <v>0</v>
      </c>
      <c r="I59" s="263">
        <v>0</v>
      </c>
      <c r="J59" s="263">
        <v>0</v>
      </c>
      <c r="K59" s="263">
        <v>0</v>
      </c>
      <c r="L59" s="248">
        <f t="shared" si="14"/>
        <v>0</v>
      </c>
      <c r="M59" s="260"/>
      <c r="N59" s="260"/>
      <c r="O59" s="260"/>
      <c r="P59" s="163"/>
      <c r="Q59" s="163"/>
      <c r="R59" s="261"/>
      <c r="S59" s="56"/>
      <c r="T59" s="56"/>
      <c r="U59" s="56"/>
      <c r="V59" s="56"/>
      <c r="W59" s="56"/>
      <c r="X59" s="56"/>
      <c r="Y59" s="56"/>
      <c r="Z59" s="13"/>
    </row>
    <row r="60" spans="1:26" ht="15.75" customHeight="1">
      <c r="A60" s="257" t="s">
        <v>558</v>
      </c>
      <c r="B60" s="251" t="s">
        <v>545</v>
      </c>
      <c r="C60" s="263">
        <v>0</v>
      </c>
      <c r="D60" s="263">
        <v>0</v>
      </c>
      <c r="E60" s="263">
        <v>0</v>
      </c>
      <c r="F60" s="263">
        <v>0</v>
      </c>
      <c r="G60" s="263">
        <v>0</v>
      </c>
      <c r="H60" s="263">
        <v>0</v>
      </c>
      <c r="I60" s="263">
        <v>0</v>
      </c>
      <c r="J60" s="263">
        <v>0</v>
      </c>
      <c r="K60" s="263">
        <v>0</v>
      </c>
      <c r="L60" s="248">
        <f t="shared" si="14"/>
        <v>0</v>
      </c>
      <c r="M60" s="260"/>
      <c r="N60" s="260"/>
      <c r="O60" s="260"/>
      <c r="P60" s="163"/>
      <c r="Q60" s="163"/>
      <c r="R60" s="261"/>
      <c r="S60" s="56"/>
      <c r="T60" s="56"/>
      <c r="U60" s="56"/>
      <c r="V60" s="56"/>
      <c r="W60" s="56"/>
      <c r="X60" s="56"/>
      <c r="Y60" s="56"/>
      <c r="Z60" s="13"/>
    </row>
    <row r="61" spans="1:26" ht="15.75" customHeight="1">
      <c r="A61" s="262"/>
      <c r="B61" s="258" t="s">
        <v>543</v>
      </c>
      <c r="C61" s="263">
        <v>0</v>
      </c>
      <c r="D61" s="259">
        <v>0</v>
      </c>
      <c r="E61" s="259">
        <v>0</v>
      </c>
      <c r="F61" s="259">
        <v>0</v>
      </c>
      <c r="G61" s="259">
        <v>0</v>
      </c>
      <c r="H61" s="259">
        <v>0</v>
      </c>
      <c r="I61" s="259">
        <v>0</v>
      </c>
      <c r="J61" s="263">
        <v>0</v>
      </c>
      <c r="K61" s="263">
        <v>0</v>
      </c>
      <c r="L61" s="248">
        <f t="shared" si="14"/>
        <v>0</v>
      </c>
      <c r="M61" s="260"/>
      <c r="N61" s="260"/>
      <c r="O61" s="260"/>
      <c r="P61" s="163"/>
      <c r="Q61" s="163"/>
      <c r="R61" s="261"/>
      <c r="S61" s="56"/>
      <c r="T61" s="56"/>
      <c r="U61" s="56"/>
      <c r="V61" s="56"/>
      <c r="W61" s="56"/>
      <c r="X61" s="56"/>
      <c r="Y61" s="56"/>
      <c r="Z61" s="13"/>
    </row>
    <row r="62" spans="1:26" ht="15.75" customHeight="1">
      <c r="A62" s="262"/>
      <c r="B62" s="258" t="s">
        <v>544</v>
      </c>
      <c r="C62" s="263">
        <v>0</v>
      </c>
      <c r="D62" s="259">
        <v>0</v>
      </c>
      <c r="E62" s="259">
        <v>0</v>
      </c>
      <c r="F62" s="259">
        <v>0</v>
      </c>
      <c r="G62" s="259">
        <v>0</v>
      </c>
      <c r="H62" s="259">
        <v>0</v>
      </c>
      <c r="I62" s="259">
        <v>0</v>
      </c>
      <c r="J62" s="263">
        <v>0</v>
      </c>
      <c r="K62" s="263">
        <v>0</v>
      </c>
      <c r="L62" s="248">
        <f t="shared" si="14"/>
        <v>0</v>
      </c>
      <c r="M62" s="260"/>
      <c r="N62" s="260"/>
      <c r="O62" s="260"/>
      <c r="P62" s="163"/>
      <c r="Q62" s="163"/>
      <c r="R62" s="261"/>
      <c r="S62" s="56"/>
      <c r="T62" s="56"/>
      <c r="U62" s="56"/>
      <c r="V62" s="56"/>
      <c r="W62" s="56"/>
      <c r="X62" s="56"/>
      <c r="Y62" s="56"/>
      <c r="Z62" s="13"/>
    </row>
    <row r="63" spans="1:26" ht="15.75" customHeight="1">
      <c r="A63" s="262" t="s">
        <v>559</v>
      </c>
      <c r="B63" s="251" t="s">
        <v>546</v>
      </c>
      <c r="C63" s="259">
        <v>0</v>
      </c>
      <c r="D63" s="259">
        <v>0</v>
      </c>
      <c r="E63" s="259">
        <v>0</v>
      </c>
      <c r="F63" s="259">
        <v>0</v>
      </c>
      <c r="G63" s="259">
        <v>0</v>
      </c>
      <c r="H63" s="259">
        <v>0</v>
      </c>
      <c r="I63" s="259">
        <v>0</v>
      </c>
      <c r="J63" s="263">
        <v>0</v>
      </c>
      <c r="K63" s="263">
        <v>0</v>
      </c>
      <c r="L63" s="248">
        <f t="shared" si="14"/>
        <v>0</v>
      </c>
      <c r="M63" s="260"/>
      <c r="N63" s="260"/>
      <c r="O63" s="260"/>
      <c r="P63" s="163"/>
      <c r="Q63" s="163"/>
      <c r="R63" s="261"/>
      <c r="S63" s="56"/>
      <c r="T63" s="56"/>
      <c r="U63" s="56"/>
      <c r="V63" s="56"/>
      <c r="W63" s="56"/>
      <c r="X63" s="56"/>
      <c r="Y63" s="56"/>
      <c r="Z63" s="13"/>
    </row>
    <row r="64" spans="1:26" ht="15.75" customHeight="1">
      <c r="A64" s="262"/>
      <c r="B64" s="258" t="s">
        <v>543</v>
      </c>
      <c r="C64" s="259">
        <v>0</v>
      </c>
      <c r="D64" s="259">
        <v>0</v>
      </c>
      <c r="E64" s="259">
        <v>0</v>
      </c>
      <c r="F64" s="259">
        <v>0</v>
      </c>
      <c r="G64" s="259">
        <v>0</v>
      </c>
      <c r="H64" s="259">
        <v>0</v>
      </c>
      <c r="I64" s="259">
        <v>0</v>
      </c>
      <c r="J64" s="263">
        <v>0</v>
      </c>
      <c r="K64" s="263">
        <v>0</v>
      </c>
      <c r="L64" s="248">
        <f t="shared" si="14"/>
        <v>0</v>
      </c>
      <c r="M64" s="260"/>
      <c r="N64" s="260"/>
      <c r="O64" s="260"/>
      <c r="P64" s="163"/>
      <c r="Q64" s="163"/>
      <c r="R64" s="261"/>
      <c r="S64" s="56"/>
      <c r="T64" s="56"/>
      <c r="U64" s="56"/>
      <c r="V64" s="56"/>
      <c r="W64" s="56"/>
      <c r="X64" s="56"/>
      <c r="Y64" s="56"/>
      <c r="Z64" s="13"/>
    </row>
    <row r="65" spans="1:26" ht="15.75" customHeight="1">
      <c r="A65" s="262"/>
      <c r="B65" s="258" t="s">
        <v>544</v>
      </c>
      <c r="C65" s="259">
        <v>0</v>
      </c>
      <c r="D65" s="259">
        <v>0</v>
      </c>
      <c r="E65" s="259">
        <v>0</v>
      </c>
      <c r="F65" s="259">
        <v>0</v>
      </c>
      <c r="G65" s="259">
        <v>0</v>
      </c>
      <c r="H65" s="259">
        <v>0</v>
      </c>
      <c r="I65" s="259">
        <v>0</v>
      </c>
      <c r="J65" s="263">
        <v>0</v>
      </c>
      <c r="K65" s="263">
        <v>0</v>
      </c>
      <c r="L65" s="248">
        <f t="shared" si="14"/>
        <v>0</v>
      </c>
      <c r="M65" s="260"/>
      <c r="N65" s="260"/>
      <c r="O65" s="260"/>
      <c r="P65" s="163"/>
      <c r="Q65" s="163"/>
      <c r="R65" s="261"/>
      <c r="S65" s="56"/>
      <c r="T65" s="56"/>
      <c r="U65" s="56"/>
      <c r="V65" s="56"/>
      <c r="W65" s="56"/>
      <c r="X65" s="56"/>
      <c r="Y65" s="56"/>
      <c r="Z65" s="13"/>
    </row>
    <row r="66" spans="1:26" ht="15.75" customHeight="1">
      <c r="A66" s="264" t="s">
        <v>560</v>
      </c>
      <c r="B66" s="251" t="s">
        <v>547</v>
      </c>
      <c r="C66" s="259">
        <v>0</v>
      </c>
      <c r="D66" s="259">
        <v>0</v>
      </c>
      <c r="E66" s="259">
        <v>0</v>
      </c>
      <c r="F66" s="259">
        <v>0</v>
      </c>
      <c r="G66" s="259">
        <v>0</v>
      </c>
      <c r="H66" s="259">
        <v>0</v>
      </c>
      <c r="I66" s="259">
        <v>0</v>
      </c>
      <c r="J66" s="263">
        <v>0</v>
      </c>
      <c r="K66" s="263">
        <v>0</v>
      </c>
      <c r="L66" s="248">
        <f t="shared" si="14"/>
        <v>0</v>
      </c>
      <c r="M66" s="260"/>
      <c r="N66" s="260"/>
      <c r="O66" s="260"/>
      <c r="P66" s="163"/>
      <c r="Q66" s="163"/>
      <c r="R66" s="261"/>
      <c r="S66" s="56"/>
      <c r="T66" s="56"/>
      <c r="U66" s="56"/>
      <c r="V66" s="56"/>
      <c r="W66" s="56"/>
      <c r="X66" s="56"/>
      <c r="Y66" s="56"/>
      <c r="Z66" s="13"/>
    </row>
    <row r="67" spans="1:26" ht="15.75" customHeight="1">
      <c r="A67" s="262"/>
      <c r="B67" s="258" t="s">
        <v>543</v>
      </c>
      <c r="C67" s="259">
        <v>0</v>
      </c>
      <c r="D67" s="259">
        <v>0</v>
      </c>
      <c r="E67" s="259">
        <v>0</v>
      </c>
      <c r="F67" s="259">
        <v>0</v>
      </c>
      <c r="G67" s="259">
        <v>0</v>
      </c>
      <c r="H67" s="259">
        <v>0</v>
      </c>
      <c r="I67" s="259">
        <v>0</v>
      </c>
      <c r="J67" s="263">
        <v>0</v>
      </c>
      <c r="K67" s="263">
        <v>0</v>
      </c>
      <c r="L67" s="248">
        <f t="shared" si="14"/>
        <v>0</v>
      </c>
      <c r="M67" s="260"/>
      <c r="N67" s="260"/>
      <c r="O67" s="260"/>
      <c r="P67" s="163"/>
      <c r="Q67" s="163"/>
      <c r="R67" s="261"/>
      <c r="S67" s="56"/>
      <c r="T67" s="56"/>
      <c r="U67" s="56"/>
      <c r="V67" s="56"/>
      <c r="W67" s="56"/>
      <c r="X67" s="56"/>
      <c r="Y67" s="56"/>
      <c r="Z67" s="13"/>
    </row>
    <row r="68" spans="1:26" ht="15.75" customHeight="1">
      <c r="A68" s="262"/>
      <c r="B68" s="258" t="s">
        <v>544</v>
      </c>
      <c r="C68" s="259">
        <v>0</v>
      </c>
      <c r="D68" s="259">
        <v>0</v>
      </c>
      <c r="E68" s="259">
        <v>0</v>
      </c>
      <c r="F68" s="259">
        <v>0</v>
      </c>
      <c r="G68" s="259">
        <v>0</v>
      </c>
      <c r="H68" s="259">
        <v>0</v>
      </c>
      <c r="I68" s="259">
        <v>0</v>
      </c>
      <c r="J68" s="263">
        <v>0</v>
      </c>
      <c r="K68" s="263">
        <v>0</v>
      </c>
      <c r="L68" s="248">
        <f t="shared" si="14"/>
        <v>0</v>
      </c>
      <c r="M68" s="260"/>
      <c r="N68" s="260"/>
      <c r="O68" s="260"/>
      <c r="P68" s="163"/>
      <c r="Q68" s="163"/>
      <c r="R68" s="261"/>
      <c r="S68" s="56"/>
      <c r="T68" s="56"/>
      <c r="U68" s="56"/>
      <c r="V68" s="56"/>
      <c r="W68" s="56"/>
      <c r="X68" s="56"/>
      <c r="Y68" s="56"/>
      <c r="Z68" s="13"/>
    </row>
    <row r="69" spans="1:26" ht="15.75" customHeight="1">
      <c r="A69" s="257" t="s">
        <v>561</v>
      </c>
      <c r="B69" s="251" t="s">
        <v>548</v>
      </c>
      <c r="C69" s="259">
        <f t="shared" ref="C69:K69" si="18">C70+C71</f>
        <v>19</v>
      </c>
      <c r="D69" s="259">
        <f t="shared" si="18"/>
        <v>6.2</v>
      </c>
      <c r="E69" s="259">
        <f t="shared" si="18"/>
        <v>5</v>
      </c>
      <c r="F69" s="259">
        <f t="shared" si="18"/>
        <v>5</v>
      </c>
      <c r="G69" s="259">
        <f t="shared" si="18"/>
        <v>1260</v>
      </c>
      <c r="H69" s="259">
        <f t="shared" si="18"/>
        <v>3084</v>
      </c>
      <c r="I69" s="259">
        <f t="shared" si="18"/>
        <v>1780</v>
      </c>
      <c r="J69" s="259">
        <f t="shared" si="18"/>
        <v>1780</v>
      </c>
      <c r="K69" s="259">
        <f t="shared" si="18"/>
        <v>0</v>
      </c>
      <c r="L69" s="248">
        <f t="shared" si="14"/>
        <v>0</v>
      </c>
      <c r="M69" s="265"/>
      <c r="N69" s="265"/>
      <c r="O69" s="265"/>
      <c r="P69" s="261"/>
      <c r="Q69" s="261"/>
      <c r="R69" s="261"/>
      <c r="S69" s="254"/>
      <c r="T69" s="254"/>
      <c r="U69" s="254"/>
      <c r="V69" s="254"/>
      <c r="W69" s="254"/>
      <c r="X69" s="254"/>
      <c r="Y69" s="254"/>
      <c r="Z69" s="13"/>
    </row>
    <row r="70" spans="1:26" ht="15.75" customHeight="1">
      <c r="A70" s="262"/>
      <c r="B70" s="258" t="s">
        <v>543</v>
      </c>
      <c r="C70" s="259">
        <f>'B2 TIN M'!C27</f>
        <v>19</v>
      </c>
      <c r="D70" s="259">
        <f>'B2 TIN M'!D27</f>
        <v>6.2</v>
      </c>
      <c r="E70" s="259">
        <f>'B2 TIN M'!E27</f>
        <v>5</v>
      </c>
      <c r="F70" s="259">
        <f>'B2 TIN M'!F27</f>
        <v>5</v>
      </c>
      <c r="G70" s="259">
        <f>'B2 TIN M'!G27</f>
        <v>1260</v>
      </c>
      <c r="H70" s="259">
        <f>'B2 TIN M'!H27</f>
        <v>3084</v>
      </c>
      <c r="I70" s="259">
        <f>'B2 TIN M'!I27</f>
        <v>1780</v>
      </c>
      <c r="J70" s="259">
        <f>'B2 TIN M'!J27</f>
        <v>1780</v>
      </c>
      <c r="K70" s="259">
        <f>'B2 TIN M'!K27</f>
        <v>0</v>
      </c>
      <c r="L70" s="248">
        <f t="shared" si="14"/>
        <v>0</v>
      </c>
      <c r="M70" s="260"/>
      <c r="N70" s="260"/>
      <c r="O70" s="260"/>
      <c r="P70" s="163"/>
      <c r="Q70" s="163"/>
      <c r="R70" s="261"/>
      <c r="S70" s="254"/>
      <c r="T70" s="254"/>
      <c r="U70" s="254"/>
      <c r="V70" s="254"/>
      <c r="W70" s="254"/>
      <c r="X70" s="254"/>
      <c r="Y70" s="254"/>
      <c r="Z70" s="13"/>
    </row>
    <row r="71" spans="1:26" ht="15.75" customHeight="1">
      <c r="A71" s="262"/>
      <c r="B71" s="258" t="s">
        <v>544</v>
      </c>
      <c r="C71" s="259">
        <v>0</v>
      </c>
      <c r="D71" s="259">
        <v>0</v>
      </c>
      <c r="E71" s="259">
        <v>0</v>
      </c>
      <c r="F71" s="259">
        <v>0</v>
      </c>
      <c r="G71" s="259">
        <v>0</v>
      </c>
      <c r="H71" s="259">
        <v>0</v>
      </c>
      <c r="I71" s="259">
        <v>0</v>
      </c>
      <c r="J71" s="263">
        <v>0</v>
      </c>
      <c r="K71" s="263">
        <v>0</v>
      </c>
      <c r="L71" s="248">
        <f t="shared" si="14"/>
        <v>0</v>
      </c>
      <c r="M71" s="260"/>
      <c r="N71" s="260"/>
      <c r="O71" s="260"/>
      <c r="P71" s="163"/>
      <c r="Q71" s="163"/>
      <c r="R71" s="261"/>
      <c r="S71" s="254"/>
      <c r="T71" s="254"/>
      <c r="U71" s="254"/>
      <c r="V71" s="254"/>
      <c r="W71" s="254"/>
      <c r="X71" s="254"/>
      <c r="Y71" s="254"/>
      <c r="Z71" s="13"/>
    </row>
    <row r="72" spans="1:26" ht="15.75" customHeight="1">
      <c r="A72" s="262" t="s">
        <v>562</v>
      </c>
      <c r="B72" s="251" t="s">
        <v>549</v>
      </c>
      <c r="C72" s="256">
        <v>0</v>
      </c>
      <c r="D72" s="256">
        <v>0</v>
      </c>
      <c r="E72" s="256">
        <v>0</v>
      </c>
      <c r="F72" s="256">
        <v>0</v>
      </c>
      <c r="G72" s="256">
        <v>0</v>
      </c>
      <c r="H72" s="256">
        <v>0</v>
      </c>
      <c r="I72" s="256">
        <v>0</v>
      </c>
      <c r="J72" s="248">
        <v>0</v>
      </c>
      <c r="K72" s="248">
        <v>0</v>
      </c>
      <c r="L72" s="248">
        <f t="shared" si="14"/>
        <v>0</v>
      </c>
      <c r="M72" s="260"/>
      <c r="N72" s="260"/>
      <c r="O72" s="260"/>
      <c r="P72" s="163"/>
      <c r="Q72" s="163"/>
      <c r="R72" s="261"/>
      <c r="S72" s="254"/>
      <c r="T72" s="254"/>
      <c r="U72" s="254"/>
      <c r="V72" s="254"/>
      <c r="W72" s="254"/>
      <c r="X72" s="254"/>
      <c r="Y72" s="254"/>
      <c r="Z72" s="13"/>
    </row>
    <row r="73" spans="1:26" ht="15.75" customHeight="1">
      <c r="A73" s="262"/>
      <c r="B73" s="258" t="s">
        <v>543</v>
      </c>
      <c r="C73" s="259">
        <v>0</v>
      </c>
      <c r="D73" s="259">
        <v>0</v>
      </c>
      <c r="E73" s="259">
        <v>0</v>
      </c>
      <c r="F73" s="259">
        <v>0</v>
      </c>
      <c r="G73" s="259">
        <v>0</v>
      </c>
      <c r="H73" s="259">
        <v>0</v>
      </c>
      <c r="I73" s="259">
        <v>0</v>
      </c>
      <c r="J73" s="263">
        <v>0</v>
      </c>
      <c r="K73" s="263">
        <v>0</v>
      </c>
      <c r="L73" s="248">
        <f t="shared" si="14"/>
        <v>0</v>
      </c>
      <c r="M73" s="260"/>
      <c r="N73" s="260"/>
      <c r="O73" s="260"/>
      <c r="P73" s="163"/>
      <c r="Q73" s="163"/>
      <c r="R73" s="261"/>
      <c r="S73" s="254"/>
      <c r="T73" s="254"/>
      <c r="U73" s="254"/>
      <c r="V73" s="254"/>
      <c r="W73" s="254"/>
      <c r="X73" s="254"/>
      <c r="Y73" s="254"/>
      <c r="Z73" s="13"/>
    </row>
    <row r="74" spans="1:26" ht="15.75" customHeight="1">
      <c r="A74" s="262"/>
      <c r="B74" s="258" t="s">
        <v>544</v>
      </c>
      <c r="C74" s="259">
        <v>0</v>
      </c>
      <c r="D74" s="259">
        <v>0</v>
      </c>
      <c r="E74" s="259">
        <v>0</v>
      </c>
      <c r="F74" s="259">
        <v>0</v>
      </c>
      <c r="G74" s="259">
        <v>0</v>
      </c>
      <c r="H74" s="259">
        <v>0</v>
      </c>
      <c r="I74" s="259">
        <v>0</v>
      </c>
      <c r="J74" s="263">
        <v>0</v>
      </c>
      <c r="K74" s="263">
        <v>0</v>
      </c>
      <c r="L74" s="248">
        <f t="shared" si="14"/>
        <v>0</v>
      </c>
      <c r="M74" s="260"/>
      <c r="N74" s="260"/>
      <c r="O74" s="260"/>
      <c r="P74" s="163"/>
      <c r="Q74" s="163"/>
      <c r="R74" s="261"/>
      <c r="S74" s="254"/>
      <c r="T74" s="254"/>
      <c r="U74" s="254"/>
      <c r="V74" s="254"/>
      <c r="W74" s="254"/>
      <c r="X74" s="254"/>
      <c r="Y74" s="254"/>
      <c r="Z74" s="13"/>
    </row>
    <row r="75" spans="1:26" ht="15.75" customHeight="1">
      <c r="A75" s="262" t="s">
        <v>563</v>
      </c>
      <c r="B75" s="251" t="s">
        <v>550</v>
      </c>
      <c r="C75" s="256">
        <f t="shared" ref="C75:K75" si="19">C76+C77</f>
        <v>1</v>
      </c>
      <c r="D75" s="256">
        <f t="shared" si="19"/>
        <v>1</v>
      </c>
      <c r="E75" s="256">
        <f t="shared" si="19"/>
        <v>1</v>
      </c>
      <c r="F75" s="256">
        <f t="shared" si="19"/>
        <v>1</v>
      </c>
      <c r="G75" s="256">
        <f t="shared" si="19"/>
        <v>10</v>
      </c>
      <c r="H75" s="256">
        <f t="shared" si="19"/>
        <v>10</v>
      </c>
      <c r="I75" s="256">
        <f t="shared" si="19"/>
        <v>16.5</v>
      </c>
      <c r="J75" s="256">
        <f t="shared" si="19"/>
        <v>16.5</v>
      </c>
      <c r="K75" s="256">
        <f t="shared" si="19"/>
        <v>0</v>
      </c>
      <c r="L75" s="248">
        <f t="shared" si="14"/>
        <v>0</v>
      </c>
      <c r="M75" s="260"/>
      <c r="N75" s="260"/>
      <c r="O75" s="260"/>
      <c r="P75" s="163"/>
      <c r="Q75" s="163"/>
      <c r="R75" s="261"/>
      <c r="S75" s="254"/>
      <c r="T75" s="254"/>
      <c r="U75" s="254"/>
      <c r="V75" s="254"/>
      <c r="W75" s="254"/>
      <c r="X75" s="254"/>
      <c r="Y75" s="254"/>
      <c r="Z75" s="13"/>
    </row>
    <row r="76" spans="1:26" ht="15.75" customHeight="1">
      <c r="A76" s="262"/>
      <c r="B76" s="258" t="s">
        <v>543</v>
      </c>
      <c r="C76" s="259">
        <f>'B2 Sử M'!C41</f>
        <v>1</v>
      </c>
      <c r="D76" s="259">
        <f>'B2 Sử M'!D41</f>
        <v>1</v>
      </c>
      <c r="E76" s="259">
        <f>'B2 Sử M'!E41</f>
        <v>1</v>
      </c>
      <c r="F76" s="259">
        <f>'B2 Sử M'!F41</f>
        <v>1</v>
      </c>
      <c r="G76" s="259">
        <f>'B2 Sử M'!G41</f>
        <v>10</v>
      </c>
      <c r="H76" s="259">
        <f>'B2 Sử M'!H41</f>
        <v>10</v>
      </c>
      <c r="I76" s="259">
        <f>'B2 Sử M'!I41</f>
        <v>16.5</v>
      </c>
      <c r="J76" s="259">
        <f>'B2 Sử M'!J41</f>
        <v>16.5</v>
      </c>
      <c r="K76" s="259">
        <f>'B2 Sử M'!K41</f>
        <v>0</v>
      </c>
      <c r="L76" s="248">
        <f t="shared" si="14"/>
        <v>0</v>
      </c>
      <c r="M76" s="260"/>
      <c r="N76" s="260"/>
      <c r="O76" s="260"/>
      <c r="P76" s="163"/>
      <c r="Q76" s="163"/>
      <c r="R76" s="261"/>
      <c r="S76" s="254"/>
      <c r="T76" s="254"/>
      <c r="U76" s="254"/>
      <c r="V76" s="254"/>
      <c r="W76" s="254"/>
      <c r="X76" s="254"/>
      <c r="Y76" s="254"/>
      <c r="Z76" s="13"/>
    </row>
    <row r="77" spans="1:26" ht="15.75" customHeight="1">
      <c r="A77" s="262"/>
      <c r="B77" s="258" t="s">
        <v>544</v>
      </c>
      <c r="C77" s="259">
        <v>0</v>
      </c>
      <c r="D77" s="259">
        <v>0</v>
      </c>
      <c r="E77" s="259">
        <v>0</v>
      </c>
      <c r="F77" s="259">
        <v>0</v>
      </c>
      <c r="G77" s="259">
        <v>0</v>
      </c>
      <c r="H77" s="259">
        <v>0</v>
      </c>
      <c r="I77" s="259">
        <v>0</v>
      </c>
      <c r="J77" s="259">
        <v>0</v>
      </c>
      <c r="K77" s="259">
        <v>0</v>
      </c>
      <c r="L77" s="248">
        <f t="shared" si="14"/>
        <v>0</v>
      </c>
      <c r="M77" s="260"/>
      <c r="N77" s="260"/>
      <c r="O77" s="260"/>
      <c r="P77" s="163"/>
      <c r="Q77" s="163"/>
      <c r="R77" s="261"/>
      <c r="S77" s="254"/>
      <c r="T77" s="254"/>
      <c r="U77" s="254"/>
      <c r="V77" s="254"/>
      <c r="W77" s="254"/>
      <c r="X77" s="254"/>
      <c r="Y77" s="254"/>
      <c r="Z77" s="13"/>
    </row>
    <row r="78" spans="1:26" ht="15.75" customHeight="1">
      <c r="A78" s="264" t="s">
        <v>564</v>
      </c>
      <c r="B78" s="251" t="s">
        <v>551</v>
      </c>
      <c r="C78" s="256">
        <f t="shared" ref="C78:K78" si="20">C79+C80</f>
        <v>0</v>
      </c>
      <c r="D78" s="256">
        <f t="shared" si="20"/>
        <v>0</v>
      </c>
      <c r="E78" s="256">
        <f t="shared" si="20"/>
        <v>0</v>
      </c>
      <c r="F78" s="256">
        <f t="shared" si="20"/>
        <v>0</v>
      </c>
      <c r="G78" s="256">
        <f t="shared" si="20"/>
        <v>0</v>
      </c>
      <c r="H78" s="256">
        <f t="shared" si="20"/>
        <v>0</v>
      </c>
      <c r="I78" s="256">
        <f t="shared" si="20"/>
        <v>0</v>
      </c>
      <c r="J78" s="256">
        <f t="shared" si="20"/>
        <v>0</v>
      </c>
      <c r="K78" s="256">
        <f t="shared" si="20"/>
        <v>0</v>
      </c>
      <c r="L78" s="248">
        <f t="shared" si="14"/>
        <v>0</v>
      </c>
      <c r="M78" s="260"/>
      <c r="N78" s="260"/>
      <c r="O78" s="260"/>
      <c r="P78" s="163"/>
      <c r="Q78" s="163"/>
      <c r="R78" s="261"/>
      <c r="S78" s="254"/>
      <c r="T78" s="254"/>
      <c r="U78" s="254"/>
      <c r="V78" s="254"/>
      <c r="W78" s="254"/>
      <c r="X78" s="254"/>
      <c r="Y78" s="254"/>
      <c r="Z78" s="13"/>
    </row>
    <row r="79" spans="1:26" ht="15.75" customHeight="1">
      <c r="A79" s="262"/>
      <c r="B79" s="258" t="s">
        <v>543</v>
      </c>
      <c r="C79" s="259">
        <f>'B2 ĐỊA LÝ'!C49</f>
        <v>0</v>
      </c>
      <c r="D79" s="259">
        <f>'B2 ĐỊA LÝ'!D49</f>
        <v>0</v>
      </c>
      <c r="E79" s="259">
        <f>'B2 ĐỊA LÝ'!E49</f>
        <v>0</v>
      </c>
      <c r="F79" s="259">
        <f>'B2 ĐỊA LÝ'!F49</f>
        <v>0</v>
      </c>
      <c r="G79" s="259">
        <f>'B2 ĐỊA LÝ'!G49</f>
        <v>0</v>
      </c>
      <c r="H79" s="259">
        <f>'B2 ĐỊA LÝ'!H49</f>
        <v>0</v>
      </c>
      <c r="I79" s="259">
        <f>'B2 ĐỊA LÝ'!I49</f>
        <v>0</v>
      </c>
      <c r="J79" s="259">
        <f>'B2 ĐỊA LÝ'!J49</f>
        <v>0</v>
      </c>
      <c r="K79" s="259">
        <f>'B2 ĐỊA LÝ'!K49</f>
        <v>0</v>
      </c>
      <c r="L79" s="259">
        <f>'B2 ĐỊA LÝ'!L49</f>
        <v>0</v>
      </c>
      <c r="M79" s="260"/>
      <c r="N79" s="260"/>
      <c r="O79" s="260"/>
      <c r="P79" s="163"/>
      <c r="Q79" s="163"/>
      <c r="R79" s="261"/>
      <c r="S79" s="254"/>
      <c r="T79" s="254"/>
      <c r="U79" s="254"/>
      <c r="V79" s="254"/>
      <c r="W79" s="254"/>
      <c r="X79" s="254"/>
      <c r="Y79" s="254"/>
      <c r="Z79" s="13"/>
    </row>
    <row r="80" spans="1:26" ht="15.75" customHeight="1">
      <c r="A80" s="262"/>
      <c r="B80" s="258" t="s">
        <v>544</v>
      </c>
      <c r="C80" s="259">
        <v>0</v>
      </c>
      <c r="D80" s="259">
        <v>0</v>
      </c>
      <c r="E80" s="259">
        <v>0</v>
      </c>
      <c r="F80" s="259">
        <v>0</v>
      </c>
      <c r="G80" s="259">
        <v>0</v>
      </c>
      <c r="H80" s="259">
        <v>0</v>
      </c>
      <c r="I80" s="259">
        <v>0</v>
      </c>
      <c r="J80" s="259">
        <v>0</v>
      </c>
      <c r="K80" s="259">
        <v>0</v>
      </c>
      <c r="L80" s="248">
        <f t="shared" ref="L80:L95" si="21">I80-(J80+K80)</f>
        <v>0</v>
      </c>
      <c r="M80" s="260"/>
      <c r="N80" s="260"/>
      <c r="O80" s="260"/>
      <c r="P80" s="163"/>
      <c r="Q80" s="163"/>
      <c r="R80" s="261"/>
      <c r="S80" s="254"/>
      <c r="T80" s="254"/>
      <c r="U80" s="254"/>
      <c r="V80" s="254"/>
      <c r="W80" s="254"/>
      <c r="X80" s="254"/>
      <c r="Y80" s="254"/>
      <c r="Z80" s="13"/>
    </row>
    <row r="81" spans="1:26" ht="15.75" customHeight="1">
      <c r="A81" s="257" t="s">
        <v>565</v>
      </c>
      <c r="B81" s="251" t="s">
        <v>552</v>
      </c>
      <c r="C81" s="256">
        <f t="shared" ref="C81:K81" si="22">C82+C83</f>
        <v>0</v>
      </c>
      <c r="D81" s="256">
        <f t="shared" si="22"/>
        <v>0</v>
      </c>
      <c r="E81" s="256">
        <f t="shared" si="22"/>
        <v>0</v>
      </c>
      <c r="F81" s="256">
        <f t="shared" si="22"/>
        <v>0</v>
      </c>
      <c r="G81" s="256">
        <f t="shared" si="22"/>
        <v>0</v>
      </c>
      <c r="H81" s="256">
        <f t="shared" si="22"/>
        <v>0</v>
      </c>
      <c r="I81" s="256">
        <f t="shared" si="22"/>
        <v>0</v>
      </c>
      <c r="J81" s="256">
        <f t="shared" si="22"/>
        <v>0</v>
      </c>
      <c r="K81" s="256">
        <f t="shared" si="22"/>
        <v>0</v>
      </c>
      <c r="L81" s="248">
        <f t="shared" si="21"/>
        <v>0</v>
      </c>
      <c r="M81" s="272"/>
      <c r="N81" s="272"/>
      <c r="O81" s="272"/>
      <c r="P81" s="256"/>
      <c r="Q81" s="256"/>
      <c r="R81" s="256"/>
      <c r="S81" s="254"/>
      <c r="T81" s="254"/>
      <c r="U81" s="254"/>
      <c r="V81" s="254"/>
      <c r="W81" s="254"/>
      <c r="X81" s="254"/>
      <c r="Y81" s="254"/>
      <c r="Z81" s="13"/>
    </row>
    <row r="82" spans="1:26" ht="15.75" customHeight="1">
      <c r="A82" s="262"/>
      <c r="B82" s="258" t="s">
        <v>543</v>
      </c>
      <c r="C82" s="259">
        <v>0</v>
      </c>
      <c r="D82" s="259">
        <v>0</v>
      </c>
      <c r="E82" s="259">
        <v>0</v>
      </c>
      <c r="F82" s="259">
        <v>0</v>
      </c>
      <c r="G82" s="259">
        <v>0</v>
      </c>
      <c r="H82" s="259">
        <v>0</v>
      </c>
      <c r="I82" s="259">
        <v>0</v>
      </c>
      <c r="J82" s="259">
        <v>0</v>
      </c>
      <c r="K82" s="259">
        <v>0</v>
      </c>
      <c r="L82" s="248">
        <f t="shared" si="21"/>
        <v>0</v>
      </c>
      <c r="M82" s="260"/>
      <c r="N82" s="260"/>
      <c r="O82" s="260"/>
      <c r="P82" s="151"/>
      <c r="Q82" s="151"/>
      <c r="R82" s="261"/>
      <c r="S82" s="254"/>
      <c r="T82" s="254"/>
      <c r="U82" s="254"/>
      <c r="V82" s="254"/>
      <c r="W82" s="254"/>
      <c r="X82" s="254"/>
      <c r="Y82" s="254"/>
      <c r="Z82" s="13"/>
    </row>
    <row r="83" spans="1:26" ht="15.75" customHeight="1">
      <c r="A83" s="262"/>
      <c r="B83" s="258" t="s">
        <v>544</v>
      </c>
      <c r="C83" s="259">
        <v>0</v>
      </c>
      <c r="D83" s="259">
        <v>0</v>
      </c>
      <c r="E83" s="259">
        <v>0</v>
      </c>
      <c r="F83" s="259">
        <v>0</v>
      </c>
      <c r="G83" s="259">
        <v>0</v>
      </c>
      <c r="H83" s="259">
        <v>0</v>
      </c>
      <c r="I83" s="259">
        <v>0</v>
      </c>
      <c r="J83" s="259">
        <v>0</v>
      </c>
      <c r="K83" s="259">
        <v>0</v>
      </c>
      <c r="L83" s="248">
        <f t="shared" si="21"/>
        <v>0</v>
      </c>
      <c r="M83" s="260"/>
      <c r="N83" s="260"/>
      <c r="O83" s="260"/>
      <c r="P83" s="151"/>
      <c r="Q83" s="151"/>
      <c r="R83" s="261"/>
      <c r="S83" s="254"/>
      <c r="T83" s="254"/>
      <c r="U83" s="254"/>
      <c r="V83" s="254"/>
      <c r="W83" s="254"/>
      <c r="X83" s="254"/>
      <c r="Y83" s="254"/>
      <c r="Z83" s="13"/>
    </row>
    <row r="84" spans="1:26" ht="15.75" customHeight="1">
      <c r="A84" s="262" t="s">
        <v>566</v>
      </c>
      <c r="B84" s="251" t="s">
        <v>567</v>
      </c>
      <c r="C84" s="248">
        <f t="shared" ref="C84:K84" si="23">C85+C86</f>
        <v>0</v>
      </c>
      <c r="D84" s="248">
        <f t="shared" si="23"/>
        <v>0</v>
      </c>
      <c r="E84" s="248">
        <f t="shared" si="23"/>
        <v>0</v>
      </c>
      <c r="F84" s="248">
        <f t="shared" si="23"/>
        <v>0</v>
      </c>
      <c r="G84" s="248">
        <f t="shared" si="23"/>
        <v>0</v>
      </c>
      <c r="H84" s="248">
        <f t="shared" si="23"/>
        <v>0</v>
      </c>
      <c r="I84" s="248">
        <f t="shared" si="23"/>
        <v>0</v>
      </c>
      <c r="J84" s="248">
        <f t="shared" si="23"/>
        <v>0</v>
      </c>
      <c r="K84" s="248">
        <f t="shared" si="23"/>
        <v>0</v>
      </c>
      <c r="L84" s="248">
        <f t="shared" si="21"/>
        <v>0</v>
      </c>
      <c r="M84" s="260"/>
      <c r="N84" s="260"/>
      <c r="O84" s="260"/>
      <c r="P84" s="163"/>
      <c r="Q84" s="163"/>
      <c r="R84" s="261"/>
      <c r="S84" s="254"/>
      <c r="T84" s="254"/>
      <c r="U84" s="254"/>
      <c r="V84" s="254"/>
      <c r="W84" s="254"/>
      <c r="X84" s="254"/>
      <c r="Y84" s="254"/>
      <c r="Z84" s="13"/>
    </row>
    <row r="85" spans="1:26" ht="15.75" customHeight="1">
      <c r="A85" s="262"/>
      <c r="B85" s="258" t="s">
        <v>543</v>
      </c>
      <c r="C85" s="269">
        <v>0</v>
      </c>
      <c r="D85" s="269">
        <v>0</v>
      </c>
      <c r="E85" s="269">
        <v>0</v>
      </c>
      <c r="F85" s="269">
        <v>0</v>
      </c>
      <c r="G85" s="269">
        <v>0</v>
      </c>
      <c r="H85" s="269">
        <v>0</v>
      </c>
      <c r="I85" s="269">
        <v>0</v>
      </c>
      <c r="J85" s="269">
        <v>0</v>
      </c>
      <c r="K85" s="269">
        <v>0</v>
      </c>
      <c r="L85" s="248">
        <f t="shared" si="21"/>
        <v>0</v>
      </c>
      <c r="M85" s="260"/>
      <c r="N85" s="260"/>
      <c r="O85" s="260"/>
      <c r="P85" s="163"/>
      <c r="Q85" s="163"/>
      <c r="R85" s="261"/>
      <c r="S85" s="254"/>
      <c r="T85" s="254"/>
      <c r="U85" s="254"/>
      <c r="V85" s="254"/>
      <c r="W85" s="254"/>
      <c r="X85" s="254"/>
      <c r="Y85" s="254"/>
      <c r="Z85" s="13"/>
    </row>
    <row r="86" spans="1:26" ht="15.75" customHeight="1">
      <c r="A86" s="262"/>
      <c r="B86" s="258" t="s">
        <v>544</v>
      </c>
      <c r="C86" s="269">
        <v>0</v>
      </c>
      <c r="D86" s="269">
        <v>0</v>
      </c>
      <c r="E86" s="269">
        <v>0</v>
      </c>
      <c r="F86" s="269">
        <v>0</v>
      </c>
      <c r="G86" s="269">
        <v>0</v>
      </c>
      <c r="H86" s="269">
        <v>0</v>
      </c>
      <c r="I86" s="269">
        <v>0</v>
      </c>
      <c r="J86" s="269">
        <v>0</v>
      </c>
      <c r="K86" s="269">
        <v>0</v>
      </c>
      <c r="L86" s="248">
        <f t="shared" si="21"/>
        <v>0</v>
      </c>
      <c r="M86" s="260"/>
      <c r="N86" s="260"/>
      <c r="O86" s="260"/>
      <c r="P86" s="163"/>
      <c r="Q86" s="163"/>
      <c r="R86" s="261"/>
      <c r="S86" s="254"/>
      <c r="T86" s="254"/>
      <c r="U86" s="254"/>
      <c r="V86" s="254"/>
      <c r="W86" s="254"/>
      <c r="X86" s="254"/>
      <c r="Y86" s="254"/>
      <c r="Z86" s="13"/>
    </row>
    <row r="87" spans="1:26" ht="15.75" customHeight="1">
      <c r="A87" s="262" t="s">
        <v>568</v>
      </c>
      <c r="B87" s="251" t="s">
        <v>554</v>
      </c>
      <c r="C87" s="248">
        <f t="shared" ref="C87:K87" si="24">C88+C89</f>
        <v>0</v>
      </c>
      <c r="D87" s="248">
        <f t="shared" si="24"/>
        <v>0</v>
      </c>
      <c r="E87" s="248">
        <f t="shared" si="24"/>
        <v>0</v>
      </c>
      <c r="F87" s="248">
        <f t="shared" si="24"/>
        <v>0</v>
      </c>
      <c r="G87" s="248">
        <f t="shared" si="24"/>
        <v>0</v>
      </c>
      <c r="H87" s="248">
        <f t="shared" si="24"/>
        <v>0</v>
      </c>
      <c r="I87" s="248">
        <f t="shared" si="24"/>
        <v>0</v>
      </c>
      <c r="J87" s="248">
        <f t="shared" si="24"/>
        <v>0</v>
      </c>
      <c r="K87" s="248">
        <f t="shared" si="24"/>
        <v>0</v>
      </c>
      <c r="L87" s="248">
        <f t="shared" si="21"/>
        <v>0</v>
      </c>
      <c r="M87" s="260"/>
      <c r="N87" s="260"/>
      <c r="O87" s="260"/>
      <c r="P87" s="163"/>
      <c r="Q87" s="163"/>
      <c r="R87" s="261"/>
      <c r="S87" s="254"/>
      <c r="T87" s="254"/>
      <c r="U87" s="254"/>
      <c r="V87" s="254"/>
      <c r="W87" s="254"/>
      <c r="X87" s="254"/>
      <c r="Y87" s="254"/>
      <c r="Z87" s="13"/>
    </row>
    <row r="88" spans="1:26" ht="15.75" customHeight="1">
      <c r="A88" s="262"/>
      <c r="B88" s="258" t="s">
        <v>543</v>
      </c>
      <c r="C88" s="259">
        <v>0</v>
      </c>
      <c r="D88" s="259">
        <v>0</v>
      </c>
      <c r="E88" s="259">
        <v>0</v>
      </c>
      <c r="F88" s="259">
        <v>0</v>
      </c>
      <c r="G88" s="259">
        <v>0</v>
      </c>
      <c r="H88" s="259">
        <v>0</v>
      </c>
      <c r="I88" s="259">
        <v>0</v>
      </c>
      <c r="J88" s="259">
        <v>0</v>
      </c>
      <c r="K88" s="259">
        <v>0</v>
      </c>
      <c r="L88" s="248">
        <f t="shared" si="21"/>
        <v>0</v>
      </c>
      <c r="M88" s="260"/>
      <c r="N88" s="260"/>
      <c r="O88" s="260"/>
      <c r="P88" s="163"/>
      <c r="Q88" s="163"/>
      <c r="R88" s="261"/>
      <c r="S88" s="254"/>
      <c r="T88" s="254"/>
      <c r="U88" s="254"/>
      <c r="V88" s="254"/>
      <c r="W88" s="254"/>
      <c r="X88" s="254"/>
      <c r="Y88" s="254"/>
      <c r="Z88" s="13"/>
    </row>
    <row r="89" spans="1:26" ht="15.75" customHeight="1">
      <c r="A89" s="262"/>
      <c r="B89" s="258" t="s">
        <v>544</v>
      </c>
      <c r="C89" s="259">
        <v>0</v>
      </c>
      <c r="D89" s="259">
        <v>0</v>
      </c>
      <c r="E89" s="259">
        <v>0</v>
      </c>
      <c r="F89" s="259">
        <v>0</v>
      </c>
      <c r="G89" s="259">
        <v>0</v>
      </c>
      <c r="H89" s="259">
        <v>0</v>
      </c>
      <c r="I89" s="259">
        <v>0</v>
      </c>
      <c r="J89" s="259">
        <v>0</v>
      </c>
      <c r="K89" s="259">
        <v>0</v>
      </c>
      <c r="L89" s="248">
        <f t="shared" si="21"/>
        <v>0</v>
      </c>
      <c r="M89" s="260"/>
      <c r="N89" s="260"/>
      <c r="O89" s="260"/>
      <c r="P89" s="163"/>
      <c r="Q89" s="163"/>
      <c r="R89" s="261"/>
      <c r="S89" s="254"/>
      <c r="T89" s="254"/>
      <c r="U89" s="254"/>
      <c r="V89" s="254"/>
      <c r="W89" s="254"/>
      <c r="X89" s="254"/>
      <c r="Y89" s="254"/>
      <c r="Z89" s="13"/>
    </row>
    <row r="90" spans="1:26" ht="15.75" customHeight="1">
      <c r="A90" s="264" t="s">
        <v>569</v>
      </c>
      <c r="B90" s="251" t="s">
        <v>555</v>
      </c>
      <c r="C90" s="248">
        <f t="shared" ref="C90:K90" si="25">C91+C92</f>
        <v>0</v>
      </c>
      <c r="D90" s="248">
        <f t="shared" si="25"/>
        <v>0</v>
      </c>
      <c r="E90" s="248">
        <f t="shared" si="25"/>
        <v>0</v>
      </c>
      <c r="F90" s="248">
        <f t="shared" si="25"/>
        <v>0</v>
      </c>
      <c r="G90" s="248">
        <f t="shared" si="25"/>
        <v>0</v>
      </c>
      <c r="H90" s="248">
        <f t="shared" si="25"/>
        <v>0</v>
      </c>
      <c r="I90" s="248">
        <f t="shared" si="25"/>
        <v>0</v>
      </c>
      <c r="J90" s="248">
        <f t="shared" si="25"/>
        <v>0</v>
      </c>
      <c r="K90" s="248">
        <f t="shared" si="25"/>
        <v>0</v>
      </c>
      <c r="L90" s="248">
        <f t="shared" si="21"/>
        <v>0</v>
      </c>
      <c r="M90" s="260"/>
      <c r="N90" s="260"/>
      <c r="O90" s="260"/>
      <c r="P90" s="163"/>
      <c r="Q90" s="163"/>
      <c r="R90" s="261"/>
      <c r="S90" s="254"/>
      <c r="T90" s="254"/>
      <c r="U90" s="254"/>
      <c r="V90" s="254"/>
      <c r="W90" s="254"/>
      <c r="X90" s="254"/>
      <c r="Y90" s="254"/>
      <c r="Z90" s="13"/>
    </row>
    <row r="91" spans="1:26" ht="15.75" customHeight="1">
      <c r="A91" s="262"/>
      <c r="B91" s="258" t="s">
        <v>543</v>
      </c>
      <c r="C91" s="259">
        <v>0</v>
      </c>
      <c r="D91" s="259">
        <v>0</v>
      </c>
      <c r="E91" s="259">
        <v>0</v>
      </c>
      <c r="F91" s="259">
        <v>0</v>
      </c>
      <c r="G91" s="259">
        <v>0</v>
      </c>
      <c r="H91" s="259">
        <v>0</v>
      </c>
      <c r="I91" s="259">
        <v>0</v>
      </c>
      <c r="J91" s="259">
        <v>0</v>
      </c>
      <c r="K91" s="259">
        <v>0</v>
      </c>
      <c r="L91" s="248">
        <f t="shared" si="21"/>
        <v>0</v>
      </c>
      <c r="M91" s="260"/>
      <c r="N91" s="260"/>
      <c r="O91" s="260"/>
      <c r="P91" s="163"/>
      <c r="Q91" s="163"/>
      <c r="R91" s="261"/>
      <c r="S91" s="254"/>
      <c r="T91" s="254"/>
      <c r="U91" s="254"/>
      <c r="V91" s="254"/>
      <c r="W91" s="254"/>
      <c r="X91" s="254"/>
      <c r="Y91" s="254"/>
      <c r="Z91" s="13"/>
    </row>
    <row r="92" spans="1:26" ht="15.75" customHeight="1">
      <c r="A92" s="262"/>
      <c r="B92" s="258" t="s">
        <v>544</v>
      </c>
      <c r="C92" s="259">
        <v>0</v>
      </c>
      <c r="D92" s="259">
        <v>0</v>
      </c>
      <c r="E92" s="259">
        <v>0</v>
      </c>
      <c r="F92" s="259">
        <v>0</v>
      </c>
      <c r="G92" s="259">
        <v>0</v>
      </c>
      <c r="H92" s="259">
        <v>0</v>
      </c>
      <c r="I92" s="259">
        <v>0</v>
      </c>
      <c r="J92" s="259">
        <v>0</v>
      </c>
      <c r="K92" s="259">
        <v>0</v>
      </c>
      <c r="L92" s="248">
        <f t="shared" si="21"/>
        <v>0</v>
      </c>
      <c r="M92" s="260"/>
      <c r="N92" s="260"/>
      <c r="O92" s="260"/>
      <c r="P92" s="163"/>
      <c r="Q92" s="163"/>
      <c r="R92" s="261"/>
      <c r="S92" s="254"/>
      <c r="T92" s="254"/>
      <c r="U92" s="254"/>
      <c r="V92" s="254"/>
      <c r="W92" s="254"/>
      <c r="X92" s="254"/>
      <c r="Y92" s="254"/>
      <c r="Z92" s="13"/>
    </row>
    <row r="93" spans="1:26" ht="15.75" customHeight="1">
      <c r="A93" s="246">
        <v>2</v>
      </c>
      <c r="B93" s="247" t="s">
        <v>570</v>
      </c>
      <c r="C93" s="256">
        <f t="shared" ref="C93:K93" si="26">C94+C131</f>
        <v>657</v>
      </c>
      <c r="D93" s="256">
        <f t="shared" si="26"/>
        <v>251.5</v>
      </c>
      <c r="E93" s="256">
        <f t="shared" si="26"/>
        <v>578</v>
      </c>
      <c r="F93" s="256">
        <f t="shared" si="26"/>
        <v>162.5</v>
      </c>
      <c r="G93" s="256">
        <f t="shared" si="26"/>
        <v>6889</v>
      </c>
      <c r="H93" s="256">
        <f t="shared" si="26"/>
        <v>54610.5</v>
      </c>
      <c r="I93" s="256">
        <f t="shared" si="26"/>
        <v>32932.875</v>
      </c>
      <c r="J93" s="256">
        <f t="shared" si="26"/>
        <v>29615.6875</v>
      </c>
      <c r="K93" s="256">
        <f t="shared" si="26"/>
        <v>2794.7125000000001</v>
      </c>
      <c r="L93" s="248">
        <f t="shared" si="21"/>
        <v>522.47499999999854</v>
      </c>
      <c r="M93" s="260"/>
      <c r="N93" s="260"/>
      <c r="O93" s="260"/>
      <c r="P93" s="163"/>
      <c r="Q93" s="163"/>
      <c r="R93" s="261"/>
      <c r="S93" s="254"/>
      <c r="T93" s="254"/>
      <c r="U93" s="254"/>
      <c r="V93" s="254"/>
      <c r="W93" s="254"/>
      <c r="X93" s="254"/>
      <c r="Y93" s="254"/>
      <c r="Z93" s="13"/>
    </row>
    <row r="94" spans="1:26" ht="15.75" customHeight="1">
      <c r="A94" s="250" t="s">
        <v>263</v>
      </c>
      <c r="B94" s="251" t="s">
        <v>571</v>
      </c>
      <c r="C94" s="248">
        <f t="shared" ref="C94:K94" si="27">C95+C98+C101+C104+C107+C110+C113+C116+C119+C122+C125+C128</f>
        <v>582</v>
      </c>
      <c r="D94" s="248">
        <f t="shared" si="27"/>
        <v>249.5</v>
      </c>
      <c r="E94" s="248">
        <f t="shared" si="27"/>
        <v>367</v>
      </c>
      <c r="F94" s="248">
        <f t="shared" si="27"/>
        <v>159.5</v>
      </c>
      <c r="G94" s="248">
        <f t="shared" si="27"/>
        <v>6531</v>
      </c>
      <c r="H94" s="248">
        <f t="shared" si="27"/>
        <v>47900.5</v>
      </c>
      <c r="I94" s="248">
        <f t="shared" si="27"/>
        <v>19912.875</v>
      </c>
      <c r="J94" s="248">
        <f t="shared" si="27"/>
        <v>17470.6875</v>
      </c>
      <c r="K94" s="248">
        <f t="shared" si="27"/>
        <v>2234.7125000000001</v>
      </c>
      <c r="L94" s="248">
        <f t="shared" si="21"/>
        <v>207.47499999999854</v>
      </c>
      <c r="M94" s="260"/>
      <c r="N94" s="260"/>
      <c r="O94" s="260"/>
      <c r="P94" s="163"/>
      <c r="Q94" s="163"/>
      <c r="R94" s="261"/>
      <c r="S94" s="254"/>
      <c r="T94" s="254"/>
      <c r="U94" s="254"/>
      <c r="V94" s="254"/>
      <c r="W94" s="254"/>
      <c r="X94" s="254"/>
      <c r="Y94" s="254"/>
      <c r="Z94" s="13"/>
    </row>
    <row r="95" spans="1:26" ht="15.75" customHeight="1">
      <c r="A95" s="255" t="s">
        <v>479</v>
      </c>
      <c r="B95" s="251" t="s">
        <v>542</v>
      </c>
      <c r="C95" s="256">
        <f t="shared" ref="C95:K95" si="28">SUM(C96:C97)</f>
        <v>84</v>
      </c>
      <c r="D95" s="256">
        <f t="shared" si="28"/>
        <v>42</v>
      </c>
      <c r="E95" s="256">
        <f t="shared" si="28"/>
        <v>49</v>
      </c>
      <c r="F95" s="256">
        <f t="shared" si="28"/>
        <v>28</v>
      </c>
      <c r="G95" s="256">
        <f t="shared" si="28"/>
        <v>1262</v>
      </c>
      <c r="H95" s="256">
        <f t="shared" si="28"/>
        <v>0</v>
      </c>
      <c r="I95" s="256">
        <f t="shared" si="28"/>
        <v>3499.125</v>
      </c>
      <c r="J95" s="256">
        <f t="shared" si="28"/>
        <v>2923.125</v>
      </c>
      <c r="K95" s="256">
        <f t="shared" si="28"/>
        <v>257.89999999999998</v>
      </c>
      <c r="L95" s="248">
        <f t="shared" si="21"/>
        <v>318.09999999999991</v>
      </c>
      <c r="M95" s="249"/>
      <c r="N95" s="249"/>
      <c r="O95" s="249"/>
      <c r="P95" s="252"/>
      <c r="Q95" s="252"/>
      <c r="R95" s="253"/>
      <c r="S95" s="254"/>
      <c r="T95" s="254"/>
      <c r="U95" s="254"/>
      <c r="V95" s="254"/>
      <c r="W95" s="254"/>
      <c r="X95" s="254"/>
      <c r="Y95" s="254"/>
      <c r="Z95" s="13"/>
    </row>
    <row r="96" spans="1:26" ht="15.75" customHeight="1">
      <c r="A96" s="257"/>
      <c r="B96" s="258" t="s">
        <v>543</v>
      </c>
      <c r="C96" s="259">
        <f>'B2 TOÁN  M'!C72</f>
        <v>24</v>
      </c>
      <c r="D96" s="259">
        <f>'B2 TOÁN  M'!D72</f>
        <v>12</v>
      </c>
      <c r="E96" s="259">
        <f>'B2 TOÁN  M'!E72</f>
        <v>24</v>
      </c>
      <c r="F96" s="259">
        <f>'B2 TOÁN  M'!F72</f>
        <v>8</v>
      </c>
      <c r="G96" s="259">
        <f>'B2 TOÁN  M'!G72</f>
        <v>787</v>
      </c>
      <c r="H96" s="259">
        <f>'B2 TOÁN  M'!H72</f>
        <v>0</v>
      </c>
      <c r="I96" s="259">
        <f>'B2 TOÁN  M'!I72</f>
        <v>2196</v>
      </c>
      <c r="J96" s="259">
        <f>'B2 TOÁN  M'!J72</f>
        <v>2196</v>
      </c>
      <c r="K96" s="259">
        <f>'B2 TOÁN  M'!K72</f>
        <v>104.2</v>
      </c>
      <c r="L96" s="259">
        <f>'B2 TOÁN  M'!L72</f>
        <v>0</v>
      </c>
      <c r="M96" s="249"/>
      <c r="N96" s="249"/>
      <c r="O96" s="249"/>
      <c r="P96" s="252"/>
      <c r="Q96" s="252"/>
      <c r="R96" s="253"/>
      <c r="S96" s="254"/>
      <c r="T96" s="254"/>
      <c r="U96" s="254"/>
      <c r="V96" s="254"/>
      <c r="W96" s="254"/>
      <c r="X96" s="254"/>
      <c r="Y96" s="254"/>
      <c r="Z96" s="13"/>
    </row>
    <row r="97" spans="1:26" ht="15.75" customHeight="1">
      <c r="A97" s="257"/>
      <c r="B97" s="258" t="s">
        <v>544</v>
      </c>
      <c r="C97" s="259">
        <f>'B2 TOÁN  M'!C86</f>
        <v>60</v>
      </c>
      <c r="D97" s="259">
        <f>'B2 TOÁN  M'!D86</f>
        <v>30</v>
      </c>
      <c r="E97" s="259">
        <f>'B2 TOÁN  M'!E86</f>
        <v>25</v>
      </c>
      <c r="F97" s="259">
        <f>'B2 TOÁN  M'!F86</f>
        <v>20</v>
      </c>
      <c r="G97" s="259">
        <f>'B2 TOÁN  M'!G86</f>
        <v>475</v>
      </c>
      <c r="H97" s="259">
        <f>'B2 TOÁN  M'!H86</f>
        <v>0</v>
      </c>
      <c r="I97" s="259">
        <f>'B2 TOÁN  M'!I86</f>
        <v>1303.125</v>
      </c>
      <c r="J97" s="259">
        <f>'B2 TOÁN  M'!J86</f>
        <v>727.125</v>
      </c>
      <c r="K97" s="259">
        <f>'B2 TOÁN  M'!K86</f>
        <v>153.69999999999999</v>
      </c>
      <c r="L97" s="259">
        <f>'B2 TOÁN  M'!L86</f>
        <v>422.3</v>
      </c>
      <c r="M97" s="249"/>
      <c r="N97" s="249"/>
      <c r="O97" s="249"/>
      <c r="P97" s="252"/>
      <c r="Q97" s="252"/>
      <c r="R97" s="253"/>
      <c r="S97" s="254"/>
      <c r="T97" s="254"/>
      <c r="U97" s="254"/>
      <c r="V97" s="254"/>
      <c r="W97" s="254"/>
      <c r="X97" s="254"/>
      <c r="Y97" s="254"/>
      <c r="Z97" s="13"/>
    </row>
    <row r="98" spans="1:26" ht="15.75" customHeight="1">
      <c r="A98" s="257" t="s">
        <v>481</v>
      </c>
      <c r="B98" s="251" t="s">
        <v>545</v>
      </c>
      <c r="C98" s="273">
        <f t="shared" ref="C98:K98" si="29">C99+C100</f>
        <v>54</v>
      </c>
      <c r="D98" s="273">
        <f t="shared" si="29"/>
        <v>27</v>
      </c>
      <c r="E98" s="273">
        <f t="shared" si="29"/>
        <v>31</v>
      </c>
      <c r="F98" s="273">
        <f t="shared" si="29"/>
        <v>18</v>
      </c>
      <c r="G98" s="273">
        <f t="shared" si="29"/>
        <v>540</v>
      </c>
      <c r="H98" s="273">
        <f t="shared" si="29"/>
        <v>2430</v>
      </c>
      <c r="I98" s="273">
        <f t="shared" si="29"/>
        <v>1615.875</v>
      </c>
      <c r="J98" s="273">
        <f t="shared" si="29"/>
        <v>1198.875</v>
      </c>
      <c r="K98" s="273">
        <f t="shared" si="29"/>
        <v>417</v>
      </c>
      <c r="L98" s="248">
        <f t="shared" ref="L98:L116" si="30">I98-(J98+K98)</f>
        <v>0</v>
      </c>
      <c r="M98" s="249"/>
      <c r="N98" s="249"/>
      <c r="O98" s="249"/>
      <c r="P98" s="252"/>
      <c r="Q98" s="252"/>
      <c r="R98" s="253"/>
      <c r="S98" s="254"/>
      <c r="T98" s="254"/>
      <c r="U98" s="254"/>
      <c r="V98" s="254"/>
      <c r="W98" s="254"/>
      <c r="X98" s="254"/>
      <c r="Y98" s="254"/>
      <c r="Z98" s="13"/>
    </row>
    <row r="99" spans="1:26" ht="15.75" customHeight="1">
      <c r="A99" s="262"/>
      <c r="B99" s="258" t="s">
        <v>543</v>
      </c>
      <c r="C99" s="263">
        <f>'B2 LÝ'!C39</f>
        <v>54</v>
      </c>
      <c r="D99" s="263">
        <f>'B2 LÝ'!D39</f>
        <v>27</v>
      </c>
      <c r="E99" s="263">
        <f>'B2 LÝ'!E39</f>
        <v>31</v>
      </c>
      <c r="F99" s="263">
        <f>'B2 LÝ'!F39</f>
        <v>18</v>
      </c>
      <c r="G99" s="263">
        <f>'B2 LÝ'!G39</f>
        <v>540</v>
      </c>
      <c r="H99" s="263">
        <f>'B2 LÝ'!H39</f>
        <v>2430</v>
      </c>
      <c r="I99" s="263">
        <f>'B2 LÝ'!I39</f>
        <v>1615.875</v>
      </c>
      <c r="J99" s="263">
        <f>'B2 LÝ'!J39</f>
        <v>1198.875</v>
      </c>
      <c r="K99" s="263">
        <f>'B2 LÝ'!K39</f>
        <v>417</v>
      </c>
      <c r="L99" s="248">
        <f t="shared" si="30"/>
        <v>0</v>
      </c>
      <c r="M99" s="249"/>
      <c r="N99" s="249"/>
      <c r="O99" s="249"/>
      <c r="P99" s="252"/>
      <c r="Q99" s="252"/>
      <c r="R99" s="253"/>
      <c r="S99" s="254"/>
      <c r="T99" s="254"/>
      <c r="U99" s="254"/>
      <c r="V99" s="254"/>
      <c r="W99" s="254"/>
      <c r="X99" s="254"/>
      <c r="Y99" s="254"/>
      <c r="Z99" s="13"/>
    </row>
    <row r="100" spans="1:26" ht="15.75" customHeight="1">
      <c r="A100" s="262"/>
      <c r="B100" s="258" t="s">
        <v>544</v>
      </c>
      <c r="C100" s="263">
        <v>0</v>
      </c>
      <c r="D100" s="263">
        <v>0</v>
      </c>
      <c r="E100" s="263">
        <v>0</v>
      </c>
      <c r="F100" s="263">
        <v>0</v>
      </c>
      <c r="G100" s="263">
        <v>0</v>
      </c>
      <c r="H100" s="263">
        <v>0</v>
      </c>
      <c r="I100" s="263">
        <v>0</v>
      </c>
      <c r="J100" s="263">
        <v>0</v>
      </c>
      <c r="K100" s="263">
        <v>0</v>
      </c>
      <c r="L100" s="248">
        <f t="shared" si="30"/>
        <v>0</v>
      </c>
      <c r="M100" s="249"/>
      <c r="N100" s="249"/>
      <c r="O100" s="249"/>
      <c r="P100" s="252"/>
      <c r="Q100" s="252"/>
      <c r="R100" s="253"/>
      <c r="S100" s="254"/>
      <c r="T100" s="254"/>
      <c r="U100" s="254"/>
      <c r="V100" s="254"/>
      <c r="W100" s="254"/>
      <c r="X100" s="254"/>
      <c r="Y100" s="254"/>
      <c r="Z100" s="13"/>
    </row>
    <row r="101" spans="1:26" ht="15.75" customHeight="1">
      <c r="A101" s="262" t="s">
        <v>483</v>
      </c>
      <c r="B101" s="251" t="s">
        <v>546</v>
      </c>
      <c r="C101" s="256">
        <f>SUM(C102:C103)</f>
        <v>69</v>
      </c>
      <c r="D101" s="256">
        <f t="shared" ref="D101:K101" si="31">+SUM(D102:D103)</f>
        <v>34.5</v>
      </c>
      <c r="E101" s="256">
        <f t="shared" si="31"/>
        <v>23</v>
      </c>
      <c r="F101" s="256">
        <f t="shared" si="31"/>
        <v>23</v>
      </c>
      <c r="G101" s="256">
        <f t="shared" si="31"/>
        <v>416</v>
      </c>
      <c r="H101" s="256">
        <f t="shared" si="31"/>
        <v>1872</v>
      </c>
      <c r="I101" s="256">
        <f t="shared" si="31"/>
        <v>1198.875</v>
      </c>
      <c r="J101" s="256">
        <f t="shared" si="31"/>
        <v>834</v>
      </c>
      <c r="K101" s="256">
        <f t="shared" si="31"/>
        <v>208.5</v>
      </c>
      <c r="L101" s="248">
        <f t="shared" si="30"/>
        <v>156.375</v>
      </c>
      <c r="M101" s="249"/>
      <c r="N101" s="249"/>
      <c r="O101" s="249"/>
      <c r="P101" s="252"/>
      <c r="Q101" s="252"/>
      <c r="R101" s="253"/>
      <c r="S101" s="254"/>
      <c r="T101" s="254"/>
      <c r="U101" s="254"/>
      <c r="V101" s="254"/>
      <c r="W101" s="254"/>
      <c r="X101" s="254"/>
      <c r="Y101" s="254"/>
      <c r="Z101" s="13"/>
    </row>
    <row r="102" spans="1:26" ht="15.75" customHeight="1">
      <c r="A102" s="262"/>
      <c r="B102" s="258" t="s">
        <v>543</v>
      </c>
      <c r="C102" s="259">
        <f>'B2 Hoá M'!C50</f>
        <v>24</v>
      </c>
      <c r="D102" s="259">
        <f>'B2 Hoá M'!D50</f>
        <v>12</v>
      </c>
      <c r="E102" s="259">
        <f>'B2 Hoá M'!E50</f>
        <v>8</v>
      </c>
      <c r="F102" s="259">
        <f>'B2 Hoá M'!F50</f>
        <v>8</v>
      </c>
      <c r="G102" s="259">
        <f>'B2 Hoá M'!G50</f>
        <v>256</v>
      </c>
      <c r="H102" s="259">
        <f>'B2 Hoá M'!H50</f>
        <v>1152</v>
      </c>
      <c r="I102" s="259">
        <f>'B2 Hoá M'!I50</f>
        <v>417</v>
      </c>
      <c r="J102" s="259">
        <f>'B2 Hoá M'!J50</f>
        <v>260.625</v>
      </c>
      <c r="K102" s="259">
        <f>'B2 Hoá M'!K50</f>
        <v>104.25</v>
      </c>
      <c r="L102" s="248">
        <f t="shared" si="30"/>
        <v>52.125</v>
      </c>
      <c r="M102" s="249"/>
      <c r="N102" s="249"/>
      <c r="O102" s="249"/>
      <c r="P102" s="252"/>
      <c r="Q102" s="252"/>
      <c r="R102" s="253"/>
      <c r="S102" s="254"/>
      <c r="T102" s="254"/>
      <c r="U102" s="254"/>
      <c r="V102" s="254"/>
      <c r="W102" s="254"/>
      <c r="X102" s="254"/>
      <c r="Y102" s="254"/>
      <c r="Z102" s="13"/>
    </row>
    <row r="103" spans="1:26" ht="15.75" customHeight="1">
      <c r="A103" s="262"/>
      <c r="B103" s="258" t="s">
        <v>544</v>
      </c>
      <c r="C103" s="259">
        <f>'B2 Hoá M'!C61</f>
        <v>45</v>
      </c>
      <c r="D103" s="259">
        <f>'B2 Hoá M'!D61</f>
        <v>22.5</v>
      </c>
      <c r="E103" s="259">
        <f>'B2 Hoá M'!E61</f>
        <v>15</v>
      </c>
      <c r="F103" s="259">
        <f>'B2 Hoá M'!F61</f>
        <v>15</v>
      </c>
      <c r="G103" s="259">
        <f>'B2 Hoá M'!G61</f>
        <v>160</v>
      </c>
      <c r="H103" s="259">
        <f>'B2 Hoá M'!H61</f>
        <v>720</v>
      </c>
      <c r="I103" s="259">
        <f>'B2 Hoá M'!I61</f>
        <v>781.875</v>
      </c>
      <c r="J103" s="259">
        <f>'B2 Hoá M'!J61</f>
        <v>573.375</v>
      </c>
      <c r="K103" s="259">
        <f>'B2 Hoá M'!K61</f>
        <v>104.25</v>
      </c>
      <c r="L103" s="248">
        <f t="shared" si="30"/>
        <v>104.25</v>
      </c>
      <c r="M103" s="249"/>
      <c r="N103" s="249"/>
      <c r="O103" s="249"/>
      <c r="P103" s="252"/>
      <c r="Q103" s="252"/>
      <c r="R103" s="253"/>
      <c r="S103" s="254"/>
      <c r="T103" s="254"/>
      <c r="U103" s="254"/>
      <c r="V103" s="254"/>
      <c r="W103" s="254"/>
      <c r="X103" s="254"/>
      <c r="Y103" s="254"/>
      <c r="Z103" s="13"/>
    </row>
    <row r="104" spans="1:26" ht="15.75" customHeight="1">
      <c r="A104" s="264" t="s">
        <v>484</v>
      </c>
      <c r="B104" s="251" t="s">
        <v>547</v>
      </c>
      <c r="C104" s="256">
        <f t="shared" ref="C104:K104" si="32">C105+C106</f>
        <v>84</v>
      </c>
      <c r="D104" s="256">
        <f t="shared" si="32"/>
        <v>42</v>
      </c>
      <c r="E104" s="256">
        <f t="shared" si="32"/>
        <v>65</v>
      </c>
      <c r="F104" s="256">
        <f t="shared" si="32"/>
        <v>28</v>
      </c>
      <c r="G104" s="256">
        <f t="shared" si="32"/>
        <v>650</v>
      </c>
      <c r="H104" s="256">
        <f t="shared" si="32"/>
        <v>2925</v>
      </c>
      <c r="I104" s="256">
        <f t="shared" si="32"/>
        <v>3388.125</v>
      </c>
      <c r="J104" s="256">
        <f t="shared" si="32"/>
        <v>2580.1875</v>
      </c>
      <c r="K104" s="256">
        <f t="shared" si="32"/>
        <v>1068.5625</v>
      </c>
      <c r="L104" s="248">
        <f t="shared" si="30"/>
        <v>-260.625</v>
      </c>
      <c r="M104" s="249"/>
      <c r="N104" s="249"/>
      <c r="O104" s="249"/>
      <c r="P104" s="252"/>
      <c r="Q104" s="252"/>
      <c r="R104" s="253"/>
      <c r="S104" s="254"/>
      <c r="T104" s="254"/>
      <c r="U104" s="254"/>
      <c r="V104" s="254"/>
      <c r="W104" s="254"/>
      <c r="X104" s="254"/>
      <c r="Y104" s="254"/>
      <c r="Z104" s="13"/>
    </row>
    <row r="105" spans="1:26" ht="15.75" customHeight="1">
      <c r="A105" s="262"/>
      <c r="B105" s="258" t="s">
        <v>543</v>
      </c>
      <c r="C105" s="259">
        <f>'B2 SINH'!C38</f>
        <v>24</v>
      </c>
      <c r="D105" s="259">
        <f>'B2 SINH'!D38</f>
        <v>12</v>
      </c>
      <c r="E105" s="259">
        <f>'B2 SINH'!E38</f>
        <v>40</v>
      </c>
      <c r="F105" s="259">
        <f>'B2 SINH'!F38</f>
        <v>8</v>
      </c>
      <c r="G105" s="259">
        <f>'B2 SINH'!G38</f>
        <v>400</v>
      </c>
      <c r="H105" s="259">
        <f>'B2 SINH'!H38</f>
        <v>1800</v>
      </c>
      <c r="I105" s="259">
        <f>'B2 SINH'!I38</f>
        <v>2085</v>
      </c>
      <c r="J105" s="259">
        <f>'B2 SINH'!J38</f>
        <v>1694.0625</v>
      </c>
      <c r="K105" s="259">
        <f>'B2 SINH'!K38</f>
        <v>651.5625</v>
      </c>
      <c r="L105" s="248">
        <f t="shared" si="30"/>
        <v>-260.625</v>
      </c>
      <c r="M105" s="249"/>
      <c r="N105" s="249"/>
      <c r="O105" s="249"/>
      <c r="P105" s="252"/>
      <c r="Q105" s="252"/>
      <c r="R105" s="253"/>
      <c r="S105" s="254"/>
      <c r="T105" s="254"/>
      <c r="U105" s="254"/>
      <c r="V105" s="254"/>
      <c r="W105" s="254"/>
      <c r="X105" s="254"/>
      <c r="Y105" s="254"/>
      <c r="Z105" s="13"/>
    </row>
    <row r="106" spans="1:26" ht="15.75" customHeight="1">
      <c r="A106" s="262"/>
      <c r="B106" s="258" t="s">
        <v>544</v>
      </c>
      <c r="C106" s="259">
        <f>'B2 SINH'!C47</f>
        <v>60</v>
      </c>
      <c r="D106" s="259">
        <f>'B2 SINH'!D47</f>
        <v>30</v>
      </c>
      <c r="E106" s="259">
        <f>'B2 SINH'!E47</f>
        <v>25</v>
      </c>
      <c r="F106" s="259">
        <f>'B2 SINH'!F47</f>
        <v>20</v>
      </c>
      <c r="G106" s="259">
        <f>'B2 SINH'!G47</f>
        <v>250</v>
      </c>
      <c r="H106" s="259">
        <f>'B2 SINH'!H47</f>
        <v>1125</v>
      </c>
      <c r="I106" s="259">
        <f>'B2 SINH'!I47</f>
        <v>1303.125</v>
      </c>
      <c r="J106" s="259">
        <f>'B2 SINH'!J47</f>
        <v>886.125</v>
      </c>
      <c r="K106" s="259">
        <f>'B2 SINH'!K47</f>
        <v>417</v>
      </c>
      <c r="L106" s="248">
        <f t="shared" si="30"/>
        <v>0</v>
      </c>
      <c r="M106" s="249"/>
      <c r="N106" s="249"/>
      <c r="O106" s="249"/>
      <c r="P106" s="252"/>
      <c r="Q106" s="252"/>
      <c r="R106" s="253"/>
      <c r="S106" s="254"/>
      <c r="T106" s="254"/>
      <c r="U106" s="254"/>
      <c r="V106" s="254"/>
      <c r="W106" s="254"/>
      <c r="X106" s="254"/>
      <c r="Y106" s="254"/>
      <c r="Z106" s="13"/>
    </row>
    <row r="107" spans="1:26" ht="15.75" customHeight="1">
      <c r="A107" s="257" t="s">
        <v>485</v>
      </c>
      <c r="B107" s="251" t="s">
        <v>548</v>
      </c>
      <c r="C107" s="256">
        <f t="shared" ref="C107:K107" si="33">C108+C109</f>
        <v>6</v>
      </c>
      <c r="D107" s="256">
        <f t="shared" si="33"/>
        <v>3</v>
      </c>
      <c r="E107" s="256">
        <f t="shared" si="33"/>
        <v>2</v>
      </c>
      <c r="F107" s="256">
        <f t="shared" si="33"/>
        <v>2</v>
      </c>
      <c r="G107" s="256">
        <f t="shared" si="33"/>
        <v>40</v>
      </c>
      <c r="H107" s="256">
        <f t="shared" si="33"/>
        <v>180</v>
      </c>
      <c r="I107" s="256">
        <f t="shared" si="33"/>
        <v>104.25</v>
      </c>
      <c r="J107" s="256">
        <f t="shared" si="33"/>
        <v>104.25</v>
      </c>
      <c r="K107" s="256">
        <f t="shared" si="33"/>
        <v>0</v>
      </c>
      <c r="L107" s="248">
        <f t="shared" si="30"/>
        <v>0</v>
      </c>
      <c r="M107" s="260"/>
      <c r="N107" s="260"/>
      <c r="O107" s="260"/>
      <c r="P107" s="163"/>
      <c r="Q107" s="163"/>
      <c r="R107" s="261"/>
      <c r="S107" s="254"/>
      <c r="T107" s="254"/>
      <c r="U107" s="254"/>
      <c r="V107" s="254"/>
      <c r="W107" s="254"/>
      <c r="X107" s="254"/>
      <c r="Y107" s="254"/>
      <c r="Z107" s="13"/>
    </row>
    <row r="108" spans="1:26" ht="15.75" customHeight="1">
      <c r="A108" s="262"/>
      <c r="B108" s="258" t="s">
        <v>543</v>
      </c>
      <c r="C108" s="259">
        <f>'B2 TIN M'!C34</f>
        <v>6</v>
      </c>
      <c r="D108" s="259">
        <f>'B2 TIN M'!D34</f>
        <v>3</v>
      </c>
      <c r="E108" s="259">
        <f>'B2 TIN M'!E34</f>
        <v>2</v>
      </c>
      <c r="F108" s="259">
        <f>'B2 TIN M'!F34</f>
        <v>2</v>
      </c>
      <c r="G108" s="259">
        <f>'B2 TIN M'!G34</f>
        <v>40</v>
      </c>
      <c r="H108" s="259">
        <f>'B2 TIN M'!H34</f>
        <v>180</v>
      </c>
      <c r="I108" s="259">
        <f>'B2 TIN M'!I34</f>
        <v>104.25</v>
      </c>
      <c r="J108" s="259">
        <f>'B2 TIN M'!J34</f>
        <v>104.25</v>
      </c>
      <c r="K108" s="259">
        <f>'B2 TIN M'!K34</f>
        <v>0</v>
      </c>
      <c r="L108" s="248">
        <f t="shared" si="30"/>
        <v>0</v>
      </c>
      <c r="M108" s="260"/>
      <c r="N108" s="260"/>
      <c r="O108" s="260"/>
      <c r="P108" s="163"/>
      <c r="Q108" s="163"/>
      <c r="R108" s="261"/>
      <c r="S108" s="254"/>
      <c r="T108" s="254"/>
      <c r="U108" s="254"/>
      <c r="V108" s="254"/>
      <c r="W108" s="254"/>
      <c r="X108" s="254"/>
      <c r="Y108" s="254"/>
      <c r="Z108" s="13"/>
    </row>
    <row r="109" spans="1:26" ht="15.75" customHeight="1">
      <c r="A109" s="262"/>
      <c r="B109" s="258" t="s">
        <v>544</v>
      </c>
      <c r="C109" s="259">
        <v>0</v>
      </c>
      <c r="D109" s="259">
        <v>0</v>
      </c>
      <c r="E109" s="259">
        <v>0</v>
      </c>
      <c r="F109" s="259">
        <v>0</v>
      </c>
      <c r="G109" s="259">
        <v>0</v>
      </c>
      <c r="H109" s="259">
        <v>0</v>
      </c>
      <c r="I109" s="259">
        <v>0</v>
      </c>
      <c r="J109" s="263">
        <v>0</v>
      </c>
      <c r="K109" s="263">
        <v>0</v>
      </c>
      <c r="L109" s="248">
        <f t="shared" si="30"/>
        <v>0</v>
      </c>
      <c r="M109" s="260"/>
      <c r="N109" s="260"/>
      <c r="O109" s="260"/>
      <c r="P109" s="163"/>
      <c r="Q109" s="163"/>
      <c r="R109" s="261"/>
      <c r="S109" s="254"/>
      <c r="T109" s="254"/>
      <c r="U109" s="254"/>
      <c r="V109" s="254"/>
      <c r="W109" s="254"/>
      <c r="X109" s="254"/>
      <c r="Y109" s="254"/>
      <c r="Z109" s="13"/>
    </row>
    <row r="110" spans="1:26" ht="15.75" customHeight="1">
      <c r="A110" s="262" t="s">
        <v>486</v>
      </c>
      <c r="B110" s="251" t="s">
        <v>549</v>
      </c>
      <c r="C110" s="256">
        <f t="shared" ref="C110:K110" si="34">SUM(C111:C112)</f>
        <v>54</v>
      </c>
      <c r="D110" s="256">
        <f t="shared" si="34"/>
        <v>27</v>
      </c>
      <c r="E110" s="256">
        <f t="shared" si="34"/>
        <v>18</v>
      </c>
      <c r="F110" s="256">
        <f t="shared" si="34"/>
        <v>0</v>
      </c>
      <c r="G110" s="256">
        <f t="shared" si="34"/>
        <v>351</v>
      </c>
      <c r="H110" s="256">
        <f t="shared" si="34"/>
        <v>1579.5</v>
      </c>
      <c r="I110" s="256">
        <f t="shared" si="34"/>
        <v>938.25</v>
      </c>
      <c r="J110" s="256">
        <f t="shared" si="34"/>
        <v>938.25</v>
      </c>
      <c r="K110" s="256">
        <f t="shared" si="34"/>
        <v>0</v>
      </c>
      <c r="L110" s="248">
        <f t="shared" si="30"/>
        <v>0</v>
      </c>
      <c r="M110" s="260"/>
      <c r="N110" s="260"/>
      <c r="O110" s="260"/>
      <c r="P110" s="163"/>
      <c r="Q110" s="163"/>
      <c r="R110" s="261"/>
      <c r="S110" s="254"/>
      <c r="T110" s="254"/>
      <c r="U110" s="254"/>
      <c r="V110" s="254"/>
      <c r="W110" s="254"/>
      <c r="X110" s="254"/>
      <c r="Y110" s="254"/>
      <c r="Z110" s="13"/>
    </row>
    <row r="111" spans="1:26" ht="15.75" customHeight="1">
      <c r="A111" s="262"/>
      <c r="B111" s="258" t="s">
        <v>543</v>
      </c>
      <c r="C111" s="259">
        <f>'B2 VĂN M'!C46</f>
        <v>54</v>
      </c>
      <c r="D111" s="259">
        <f>'B2 VĂN M'!D46</f>
        <v>27</v>
      </c>
      <c r="E111" s="259">
        <f>'B2 VĂN M'!E46</f>
        <v>18</v>
      </c>
      <c r="F111" s="259">
        <f>'B2 VĂN M'!F46</f>
        <v>0</v>
      </c>
      <c r="G111" s="259">
        <f>'B2 VĂN M'!G46</f>
        <v>351</v>
      </c>
      <c r="H111" s="259">
        <f>'B2 VĂN M'!H46</f>
        <v>1579.5</v>
      </c>
      <c r="I111" s="259">
        <f>'B2 VĂN M'!I46</f>
        <v>938.25</v>
      </c>
      <c r="J111" s="259">
        <f>'B2 VĂN M'!J46</f>
        <v>938.25</v>
      </c>
      <c r="K111" s="259">
        <f>'B2 VĂN M'!K46</f>
        <v>0</v>
      </c>
      <c r="L111" s="248">
        <f t="shared" si="30"/>
        <v>0</v>
      </c>
      <c r="M111" s="260"/>
      <c r="N111" s="260"/>
      <c r="O111" s="260"/>
      <c r="P111" s="163"/>
      <c r="Q111" s="163"/>
      <c r="R111" s="261"/>
      <c r="S111" s="254"/>
      <c r="T111" s="254"/>
      <c r="U111" s="254"/>
      <c r="V111" s="254"/>
      <c r="W111" s="254"/>
      <c r="X111" s="254"/>
      <c r="Y111" s="254"/>
      <c r="Z111" s="13"/>
    </row>
    <row r="112" spans="1:26" ht="15.75" customHeight="1">
      <c r="A112" s="262"/>
      <c r="B112" s="258" t="s">
        <v>544</v>
      </c>
      <c r="C112" s="259">
        <f>'B2 VĂN M'!C68</f>
        <v>0</v>
      </c>
      <c r="D112" s="259">
        <f>'B2 VĂN M'!D68</f>
        <v>0</v>
      </c>
      <c r="E112" s="259">
        <f>'B2 VĂN M'!E68</f>
        <v>0</v>
      </c>
      <c r="F112" s="259">
        <f>'B2 VĂN M'!F68</f>
        <v>0</v>
      </c>
      <c r="G112" s="259">
        <f>'B2 VĂN M'!G68</f>
        <v>0</v>
      </c>
      <c r="H112" s="259">
        <f>'B2 VĂN M'!H68</f>
        <v>0</v>
      </c>
      <c r="I112" s="259">
        <f>'B2 VĂN M'!I68</f>
        <v>0</v>
      </c>
      <c r="J112" s="259">
        <f>'B2 VĂN M'!J68</f>
        <v>0</v>
      </c>
      <c r="K112" s="259">
        <f>'B2 VĂN M'!K68</f>
        <v>0</v>
      </c>
      <c r="L112" s="248">
        <f t="shared" si="30"/>
        <v>0</v>
      </c>
      <c r="M112" s="260"/>
      <c r="N112" s="260"/>
      <c r="O112" s="260"/>
      <c r="P112" s="163"/>
      <c r="Q112" s="163"/>
      <c r="R112" s="261"/>
      <c r="S112" s="254"/>
      <c r="T112" s="254"/>
      <c r="U112" s="254"/>
      <c r="V112" s="254"/>
      <c r="W112" s="254"/>
      <c r="X112" s="254"/>
      <c r="Y112" s="254"/>
      <c r="Z112" s="13"/>
    </row>
    <row r="113" spans="1:26" ht="15.75" customHeight="1">
      <c r="A113" s="262" t="s">
        <v>487</v>
      </c>
      <c r="B113" s="251" t="s">
        <v>550</v>
      </c>
      <c r="C113" s="256">
        <f t="shared" ref="C113:K113" si="35">SUM(C114:C115)</f>
        <v>54</v>
      </c>
      <c r="D113" s="256">
        <f t="shared" si="35"/>
        <v>27</v>
      </c>
      <c r="E113" s="256">
        <f t="shared" si="35"/>
        <v>18</v>
      </c>
      <c r="F113" s="256">
        <f t="shared" si="35"/>
        <v>18</v>
      </c>
      <c r="G113" s="256">
        <f t="shared" si="35"/>
        <v>182</v>
      </c>
      <c r="H113" s="256">
        <f t="shared" si="35"/>
        <v>819</v>
      </c>
      <c r="I113" s="256">
        <f t="shared" si="35"/>
        <v>938.25</v>
      </c>
      <c r="J113" s="256">
        <f t="shared" si="35"/>
        <v>870.375</v>
      </c>
      <c r="K113" s="256">
        <f t="shared" si="35"/>
        <v>178.5</v>
      </c>
      <c r="L113" s="248">
        <f t="shared" si="30"/>
        <v>-110.625</v>
      </c>
      <c r="M113" s="260"/>
      <c r="N113" s="260"/>
      <c r="O113" s="260"/>
      <c r="P113" s="163"/>
      <c r="Q113" s="163"/>
      <c r="R113" s="261"/>
      <c r="S113" s="254"/>
      <c r="T113" s="254"/>
      <c r="U113" s="254"/>
      <c r="V113" s="254"/>
      <c r="W113" s="254"/>
      <c r="X113" s="254"/>
      <c r="Y113" s="254"/>
      <c r="Z113" s="13"/>
    </row>
    <row r="114" spans="1:26" ht="15.75" customHeight="1">
      <c r="A114" s="262"/>
      <c r="B114" s="258" t="s">
        <v>543</v>
      </c>
      <c r="C114" s="259">
        <f>'B2 Sử M'!C45</f>
        <v>36</v>
      </c>
      <c r="D114" s="259">
        <f>'B2 Sử M'!D45</f>
        <v>18</v>
      </c>
      <c r="E114" s="259">
        <f>'B2 Sử M'!E45</f>
        <v>12</v>
      </c>
      <c r="F114" s="259">
        <f>'B2 Sử M'!F45</f>
        <v>12</v>
      </c>
      <c r="G114" s="259">
        <f>'B2 Sử M'!G45</f>
        <v>133</v>
      </c>
      <c r="H114" s="259">
        <f>'B2 Sử M'!H45</f>
        <v>598.5</v>
      </c>
      <c r="I114" s="259">
        <f>'B2 Sử M'!I45</f>
        <v>625.5</v>
      </c>
      <c r="J114" s="259">
        <f>'B2 Sử M'!J45</f>
        <v>521.25</v>
      </c>
      <c r="K114" s="259">
        <f>'B2 Sử M'!K45</f>
        <v>126.375</v>
      </c>
      <c r="L114" s="248">
        <f t="shared" si="30"/>
        <v>-22.125</v>
      </c>
      <c r="M114" s="260"/>
      <c r="N114" s="260"/>
      <c r="O114" s="260"/>
      <c r="P114" s="163"/>
      <c r="Q114" s="163"/>
      <c r="R114" s="261"/>
      <c r="S114" s="254"/>
      <c r="T114" s="254"/>
      <c r="U114" s="254"/>
      <c r="V114" s="254"/>
      <c r="W114" s="254"/>
      <c r="X114" s="254"/>
      <c r="Y114" s="254"/>
      <c r="Z114" s="13"/>
    </row>
    <row r="115" spans="1:26" ht="15.75" customHeight="1">
      <c r="A115" s="262"/>
      <c r="B115" s="258" t="s">
        <v>544</v>
      </c>
      <c r="C115" s="259">
        <f>'B2 Sử M'!C58</f>
        <v>18</v>
      </c>
      <c r="D115" s="259">
        <f>'B2 Sử M'!D58</f>
        <v>9</v>
      </c>
      <c r="E115" s="259">
        <f>'B2 Sử M'!E58</f>
        <v>6</v>
      </c>
      <c r="F115" s="259">
        <f>'B2 Sử M'!F58</f>
        <v>6</v>
      </c>
      <c r="G115" s="259">
        <f>'B2 Sử M'!G58</f>
        <v>49</v>
      </c>
      <c r="H115" s="259">
        <f>'B2 Sử M'!H58</f>
        <v>220.5</v>
      </c>
      <c r="I115" s="259">
        <f>'B2 Sử M'!I58</f>
        <v>312.75</v>
      </c>
      <c r="J115" s="259">
        <f>'B2 Sử M'!J58</f>
        <v>349.125</v>
      </c>
      <c r="K115" s="259">
        <f>'B2 Sử M'!K58</f>
        <v>52.125</v>
      </c>
      <c r="L115" s="248">
        <f t="shared" si="30"/>
        <v>-88.5</v>
      </c>
      <c r="M115" s="260"/>
      <c r="N115" s="260"/>
      <c r="O115" s="260"/>
      <c r="P115" s="163"/>
      <c r="Q115" s="163"/>
      <c r="R115" s="261"/>
      <c r="S115" s="254"/>
      <c r="T115" s="254"/>
      <c r="U115" s="254"/>
      <c r="V115" s="254"/>
      <c r="W115" s="254"/>
      <c r="X115" s="254"/>
      <c r="Y115" s="254"/>
      <c r="Z115" s="13"/>
    </row>
    <row r="116" spans="1:26" ht="15.75" customHeight="1">
      <c r="A116" s="264" t="s">
        <v>488</v>
      </c>
      <c r="B116" s="251" t="s">
        <v>551</v>
      </c>
      <c r="C116" s="256">
        <f t="shared" ref="C116:K116" si="36">C117+C118</f>
        <v>39</v>
      </c>
      <c r="D116" s="256">
        <f t="shared" si="36"/>
        <v>19.5</v>
      </c>
      <c r="E116" s="256">
        <f t="shared" si="36"/>
        <v>13</v>
      </c>
      <c r="F116" s="256">
        <f t="shared" si="36"/>
        <v>13</v>
      </c>
      <c r="G116" s="256">
        <f t="shared" si="36"/>
        <v>98</v>
      </c>
      <c r="H116" s="256">
        <f t="shared" si="36"/>
        <v>0</v>
      </c>
      <c r="I116" s="256">
        <f t="shared" si="36"/>
        <v>677.625</v>
      </c>
      <c r="J116" s="256">
        <f t="shared" si="36"/>
        <v>521.25</v>
      </c>
      <c r="K116" s="256">
        <f t="shared" si="36"/>
        <v>104.25</v>
      </c>
      <c r="L116" s="248">
        <f t="shared" si="30"/>
        <v>52.125</v>
      </c>
      <c r="M116" s="260"/>
      <c r="N116" s="260"/>
      <c r="O116" s="260"/>
      <c r="P116" s="163"/>
      <c r="Q116" s="163"/>
      <c r="R116" s="261"/>
      <c r="S116" s="254"/>
      <c r="T116" s="254"/>
      <c r="U116" s="254"/>
      <c r="V116" s="254"/>
      <c r="W116" s="254"/>
      <c r="X116" s="254"/>
      <c r="Y116" s="254"/>
      <c r="Z116" s="13"/>
    </row>
    <row r="117" spans="1:26" ht="15.75" customHeight="1">
      <c r="A117" s="262"/>
      <c r="B117" s="258" t="s">
        <v>543</v>
      </c>
      <c r="C117" s="274">
        <f>'B2 ĐỊA LÝ'!C57</f>
        <v>24</v>
      </c>
      <c r="D117" s="274">
        <f>'B2 ĐỊA LÝ'!D57</f>
        <v>12</v>
      </c>
      <c r="E117" s="274">
        <f>'B2 ĐỊA LÝ'!E57</f>
        <v>8</v>
      </c>
      <c r="F117" s="274">
        <f>'B2 ĐỊA LÝ'!F57</f>
        <v>8</v>
      </c>
      <c r="G117" s="274">
        <f>'B2 ĐỊA LÝ'!G57</f>
        <v>64</v>
      </c>
      <c r="H117" s="274">
        <f>'B2 ĐỊA LÝ'!H57</f>
        <v>0</v>
      </c>
      <c r="I117" s="274">
        <f>'B2 ĐỊA LÝ'!I57</f>
        <v>417</v>
      </c>
      <c r="J117" s="274">
        <f>'B2 ĐỊA LÝ'!J57</f>
        <v>312.75</v>
      </c>
      <c r="K117" s="274">
        <f>'B2 ĐỊA LÝ'!K57</f>
        <v>52.125</v>
      </c>
      <c r="L117" s="274">
        <f>'B2 ĐỊA LÝ'!L57</f>
        <v>0</v>
      </c>
      <c r="M117" s="260"/>
      <c r="N117" s="260"/>
      <c r="O117" s="260"/>
      <c r="P117" s="163"/>
      <c r="Q117" s="163"/>
      <c r="R117" s="261"/>
      <c r="S117" s="254"/>
      <c r="T117" s="254"/>
      <c r="U117" s="254"/>
      <c r="V117" s="254"/>
      <c r="W117" s="254"/>
      <c r="X117" s="254"/>
      <c r="Y117" s="254"/>
      <c r="Z117" s="13"/>
    </row>
    <row r="118" spans="1:26" ht="15.75" customHeight="1">
      <c r="A118" s="262"/>
      <c r="B118" s="258" t="s">
        <v>544</v>
      </c>
      <c r="C118" s="274">
        <f>'B2 ĐỊA LÝ'!C66</f>
        <v>15</v>
      </c>
      <c r="D118" s="274">
        <f>'B2 ĐỊA LÝ'!D66</f>
        <v>7.5</v>
      </c>
      <c r="E118" s="274">
        <f>'B2 ĐỊA LÝ'!E66</f>
        <v>5</v>
      </c>
      <c r="F118" s="274">
        <f>'B2 ĐỊA LÝ'!F66</f>
        <v>5</v>
      </c>
      <c r="G118" s="274">
        <f>'B2 ĐỊA LÝ'!G66</f>
        <v>34</v>
      </c>
      <c r="H118" s="274">
        <f>'B2 ĐỊA LÝ'!H66</f>
        <v>0</v>
      </c>
      <c r="I118" s="274">
        <f>'B2 ĐỊA LÝ'!I66</f>
        <v>260.625</v>
      </c>
      <c r="J118" s="274">
        <f>'B2 ĐỊA LÝ'!J66</f>
        <v>208.5</v>
      </c>
      <c r="K118" s="274">
        <f>'B2 ĐỊA LÝ'!K66</f>
        <v>52.125</v>
      </c>
      <c r="L118" s="274">
        <f>'B2 ĐỊA LÝ'!L66</f>
        <v>0</v>
      </c>
      <c r="M118" s="260"/>
      <c r="N118" s="260"/>
      <c r="O118" s="260"/>
      <c r="P118" s="163"/>
      <c r="Q118" s="163"/>
      <c r="R118" s="261"/>
      <c r="S118" s="254"/>
      <c r="T118" s="254"/>
      <c r="U118" s="254"/>
      <c r="V118" s="254"/>
      <c r="W118" s="254"/>
      <c r="X118" s="254"/>
      <c r="Y118" s="254"/>
      <c r="Z118" s="13"/>
    </row>
    <row r="119" spans="1:26" ht="15.75" customHeight="1">
      <c r="A119" s="257" t="s">
        <v>489</v>
      </c>
      <c r="B119" s="251" t="s">
        <v>552</v>
      </c>
      <c r="C119" s="256">
        <v>15</v>
      </c>
      <c r="D119" s="256">
        <v>6</v>
      </c>
      <c r="E119" s="256">
        <v>5</v>
      </c>
      <c r="F119" s="256">
        <v>6</v>
      </c>
      <c r="G119" s="256">
        <v>90</v>
      </c>
      <c r="H119" s="256">
        <v>0</v>
      </c>
      <c r="I119" s="256">
        <v>255</v>
      </c>
      <c r="J119" s="248">
        <f t="shared" ref="J119:J121" si="37">I119</f>
        <v>255</v>
      </c>
      <c r="K119" s="263">
        <v>0</v>
      </c>
      <c r="L119" s="248">
        <f t="shared" ref="L119:L134" si="38">I119-(J119+K119)</f>
        <v>0</v>
      </c>
      <c r="M119" s="260"/>
      <c r="N119" s="260"/>
      <c r="O119" s="260"/>
      <c r="P119" s="151"/>
      <c r="Q119" s="151"/>
      <c r="R119" s="261"/>
      <c r="S119" s="254"/>
      <c r="T119" s="254"/>
      <c r="U119" s="254"/>
      <c r="V119" s="254"/>
      <c r="W119" s="254"/>
      <c r="X119" s="254"/>
      <c r="Y119" s="254"/>
      <c r="Z119" s="13"/>
    </row>
    <row r="120" spans="1:26" ht="15.75" customHeight="1">
      <c r="A120" s="262"/>
      <c r="B120" s="258" t="s">
        <v>543</v>
      </c>
      <c r="C120" s="259">
        <v>8</v>
      </c>
      <c r="D120" s="259">
        <v>3</v>
      </c>
      <c r="E120" s="259">
        <v>3</v>
      </c>
      <c r="F120" s="259">
        <v>3</v>
      </c>
      <c r="G120" s="259">
        <v>45</v>
      </c>
      <c r="H120" s="259">
        <v>0</v>
      </c>
      <c r="I120" s="259">
        <v>155</v>
      </c>
      <c r="J120" s="248">
        <f t="shared" si="37"/>
        <v>155</v>
      </c>
      <c r="K120" s="263">
        <v>0</v>
      </c>
      <c r="L120" s="248">
        <f t="shared" si="38"/>
        <v>0</v>
      </c>
      <c r="M120" s="260"/>
      <c r="N120" s="260"/>
      <c r="O120" s="260"/>
      <c r="P120" s="151"/>
      <c r="Q120" s="151"/>
      <c r="R120" s="261"/>
      <c r="S120" s="254"/>
      <c r="T120" s="254"/>
      <c r="U120" s="254"/>
      <c r="V120" s="254"/>
      <c r="W120" s="254"/>
      <c r="X120" s="254"/>
      <c r="Y120" s="254"/>
      <c r="Z120" s="13"/>
    </row>
    <row r="121" spans="1:26" ht="15.75" customHeight="1">
      <c r="A121" s="262"/>
      <c r="B121" s="258" t="s">
        <v>544</v>
      </c>
      <c r="C121" s="259">
        <v>7</v>
      </c>
      <c r="D121" s="259">
        <v>3</v>
      </c>
      <c r="E121" s="259">
        <v>2</v>
      </c>
      <c r="F121" s="259">
        <v>3</v>
      </c>
      <c r="G121" s="259">
        <v>45</v>
      </c>
      <c r="H121" s="259">
        <v>0</v>
      </c>
      <c r="I121" s="259">
        <v>100</v>
      </c>
      <c r="J121" s="248">
        <f t="shared" si="37"/>
        <v>100</v>
      </c>
      <c r="K121" s="263">
        <v>0</v>
      </c>
      <c r="L121" s="248">
        <f t="shared" si="38"/>
        <v>0</v>
      </c>
      <c r="M121" s="260"/>
      <c r="N121" s="260"/>
      <c r="O121" s="260"/>
      <c r="P121" s="151"/>
      <c r="Q121" s="151"/>
      <c r="R121" s="261"/>
      <c r="S121" s="254"/>
      <c r="T121" s="254"/>
      <c r="U121" s="254"/>
      <c r="V121" s="254"/>
      <c r="W121" s="254"/>
      <c r="X121" s="254"/>
      <c r="Y121" s="254"/>
      <c r="Z121" s="13"/>
    </row>
    <row r="122" spans="1:26" ht="15.75" customHeight="1">
      <c r="A122" s="262" t="s">
        <v>490</v>
      </c>
      <c r="B122" s="251" t="s">
        <v>567</v>
      </c>
      <c r="C122" s="256">
        <f t="shared" ref="C122:K122" si="39">C123+C124</f>
        <v>24</v>
      </c>
      <c r="D122" s="256">
        <f t="shared" si="39"/>
        <v>11</v>
      </c>
      <c r="E122" s="256">
        <f t="shared" si="39"/>
        <v>11</v>
      </c>
      <c r="F122" s="256">
        <f t="shared" si="39"/>
        <v>16.5</v>
      </c>
      <c r="G122" s="256">
        <f t="shared" si="39"/>
        <v>99</v>
      </c>
      <c r="H122" s="256">
        <f t="shared" si="39"/>
        <v>324</v>
      </c>
      <c r="I122" s="256">
        <f t="shared" si="39"/>
        <v>417</v>
      </c>
      <c r="J122" s="256">
        <f t="shared" si="39"/>
        <v>364.875</v>
      </c>
      <c r="K122" s="256">
        <f t="shared" si="39"/>
        <v>0</v>
      </c>
      <c r="L122" s="248">
        <f t="shared" si="38"/>
        <v>52.125</v>
      </c>
      <c r="M122" s="260"/>
      <c r="N122" s="260"/>
      <c r="O122" s="260"/>
      <c r="P122" s="163"/>
      <c r="Q122" s="163"/>
      <c r="R122" s="261"/>
      <c r="S122" s="254"/>
      <c r="T122" s="254"/>
      <c r="U122" s="254"/>
      <c r="V122" s="254"/>
      <c r="W122" s="254"/>
      <c r="X122" s="254"/>
      <c r="Y122" s="254"/>
      <c r="Z122" s="13"/>
    </row>
    <row r="123" spans="1:26" ht="15.75" customHeight="1">
      <c r="A123" s="262"/>
      <c r="B123" s="258" t="s">
        <v>543</v>
      </c>
      <c r="C123" s="259">
        <f>'B2 GDMN'!C52</f>
        <v>24</v>
      </c>
      <c r="D123" s="259">
        <f>'B2 GDMN'!D52</f>
        <v>11</v>
      </c>
      <c r="E123" s="259">
        <f>'B2 GDMN'!E52</f>
        <v>11</v>
      </c>
      <c r="F123" s="259">
        <f>'B2 GDMN'!F52</f>
        <v>16.5</v>
      </c>
      <c r="G123" s="259">
        <f>'B2 GDMN'!G52</f>
        <v>99</v>
      </c>
      <c r="H123" s="259">
        <f>'B2 GDMN'!H52</f>
        <v>324</v>
      </c>
      <c r="I123" s="259">
        <f>'B2 GDMN'!I52</f>
        <v>417</v>
      </c>
      <c r="J123" s="259">
        <f>'B2 GDMN'!J52</f>
        <v>364.875</v>
      </c>
      <c r="K123" s="259">
        <f>'B2 GDMN'!K52</f>
        <v>0</v>
      </c>
      <c r="L123" s="248">
        <f t="shared" si="38"/>
        <v>52.125</v>
      </c>
      <c r="M123" s="260"/>
      <c r="N123" s="260"/>
      <c r="O123" s="260"/>
      <c r="P123" s="163"/>
      <c r="Q123" s="163"/>
      <c r="R123" s="261"/>
      <c r="S123" s="254"/>
      <c r="T123" s="254"/>
      <c r="U123" s="254"/>
      <c r="V123" s="254"/>
      <c r="W123" s="254"/>
      <c r="X123" s="254"/>
      <c r="Y123" s="254"/>
      <c r="Z123" s="13"/>
    </row>
    <row r="124" spans="1:26" ht="15.75" customHeight="1">
      <c r="A124" s="262"/>
      <c r="B124" s="258" t="s">
        <v>544</v>
      </c>
      <c r="C124" s="259">
        <v>0</v>
      </c>
      <c r="D124" s="259">
        <v>0</v>
      </c>
      <c r="E124" s="259">
        <v>0</v>
      </c>
      <c r="F124" s="259">
        <v>0</v>
      </c>
      <c r="G124" s="259">
        <v>0</v>
      </c>
      <c r="H124" s="259">
        <v>0</v>
      </c>
      <c r="I124" s="259">
        <v>0</v>
      </c>
      <c r="J124" s="259">
        <v>0</v>
      </c>
      <c r="K124" s="259">
        <v>0</v>
      </c>
      <c r="L124" s="248">
        <f t="shared" si="38"/>
        <v>0</v>
      </c>
      <c r="M124" s="260"/>
      <c r="N124" s="260"/>
      <c r="O124" s="260"/>
      <c r="P124" s="163"/>
      <c r="Q124" s="163"/>
      <c r="R124" s="261"/>
      <c r="S124" s="254"/>
      <c r="T124" s="254"/>
      <c r="U124" s="254"/>
      <c r="V124" s="254"/>
      <c r="W124" s="254"/>
      <c r="X124" s="254"/>
      <c r="Y124" s="254"/>
      <c r="Z124" s="13"/>
    </row>
    <row r="125" spans="1:26" ht="15.75" customHeight="1">
      <c r="A125" s="262" t="s">
        <v>491</v>
      </c>
      <c r="B125" s="251" t="s">
        <v>554</v>
      </c>
      <c r="C125" s="256">
        <f t="shared" ref="C125:I125" si="40">SUM(C126:C127)</f>
        <v>21</v>
      </c>
      <c r="D125" s="256">
        <f t="shared" si="40"/>
        <v>10.5</v>
      </c>
      <c r="E125" s="256">
        <f t="shared" si="40"/>
        <v>35</v>
      </c>
      <c r="F125" s="256">
        <f t="shared" si="40"/>
        <v>7</v>
      </c>
      <c r="G125" s="256">
        <f t="shared" si="40"/>
        <v>728</v>
      </c>
      <c r="H125" s="256">
        <f t="shared" si="40"/>
        <v>3276</v>
      </c>
      <c r="I125" s="256">
        <f t="shared" si="40"/>
        <v>1824.375</v>
      </c>
      <c r="J125" s="256">
        <f>I125</f>
        <v>1824.375</v>
      </c>
      <c r="K125" s="263">
        <v>0</v>
      </c>
      <c r="L125" s="248">
        <f t="shared" si="38"/>
        <v>0</v>
      </c>
      <c r="M125" s="260"/>
      <c r="N125" s="260"/>
      <c r="O125" s="260"/>
      <c r="P125" s="163"/>
      <c r="Q125" s="163"/>
      <c r="R125" s="261"/>
      <c r="S125" s="254"/>
      <c r="T125" s="254"/>
      <c r="U125" s="254"/>
      <c r="V125" s="254"/>
      <c r="W125" s="254"/>
      <c r="X125" s="254"/>
      <c r="Y125" s="254"/>
      <c r="Z125" s="13"/>
    </row>
    <row r="126" spans="1:26" ht="15.75" customHeight="1">
      <c r="A126" s="262"/>
      <c r="B126" s="258" t="s">
        <v>543</v>
      </c>
      <c r="C126" s="259">
        <f>'B2 GDTH M'!C77</f>
        <v>21</v>
      </c>
      <c r="D126" s="259">
        <f>'B2 GDTH M'!D77</f>
        <v>10.5</v>
      </c>
      <c r="E126" s="259">
        <f>'B2 GDTH M'!E77</f>
        <v>35</v>
      </c>
      <c r="F126" s="259">
        <f>'B2 GDTH M'!F77</f>
        <v>7</v>
      </c>
      <c r="G126" s="259">
        <f>'B2 GDTH M'!G77</f>
        <v>728</v>
      </c>
      <c r="H126" s="259">
        <f>'B2 GDTH M'!H77</f>
        <v>3276</v>
      </c>
      <c r="I126" s="259">
        <f>'B2 GDTH M'!I77</f>
        <v>1824.375</v>
      </c>
      <c r="J126" s="259">
        <f>'B2 GDTH M'!J77</f>
        <v>1824.375</v>
      </c>
      <c r="K126" s="259">
        <f>'B2 GDTH M'!K77</f>
        <v>0</v>
      </c>
      <c r="L126" s="248">
        <f t="shared" si="38"/>
        <v>0</v>
      </c>
      <c r="M126" s="260"/>
      <c r="N126" s="260"/>
      <c r="O126" s="260"/>
      <c r="P126" s="163"/>
      <c r="Q126" s="163"/>
      <c r="R126" s="261"/>
      <c r="S126" s="254"/>
      <c r="T126" s="254"/>
      <c r="U126" s="254"/>
      <c r="V126" s="254"/>
      <c r="W126" s="254"/>
      <c r="X126" s="254"/>
      <c r="Y126" s="254"/>
      <c r="Z126" s="13"/>
    </row>
    <row r="127" spans="1:26" ht="15.75" customHeight="1">
      <c r="A127" s="262"/>
      <c r="B127" s="258" t="s">
        <v>544</v>
      </c>
      <c r="C127" s="259">
        <v>0</v>
      </c>
      <c r="D127" s="259">
        <v>0</v>
      </c>
      <c r="E127" s="259">
        <v>0</v>
      </c>
      <c r="F127" s="259">
        <v>0</v>
      </c>
      <c r="G127" s="259">
        <v>0</v>
      </c>
      <c r="H127" s="259">
        <v>0</v>
      </c>
      <c r="I127" s="259">
        <v>0</v>
      </c>
      <c r="J127" s="259">
        <v>0</v>
      </c>
      <c r="K127" s="259">
        <v>0</v>
      </c>
      <c r="L127" s="248">
        <f t="shared" si="38"/>
        <v>0</v>
      </c>
      <c r="M127" s="260"/>
      <c r="N127" s="260"/>
      <c r="O127" s="260"/>
      <c r="P127" s="163"/>
      <c r="Q127" s="163"/>
      <c r="R127" s="261"/>
      <c r="S127" s="254"/>
      <c r="T127" s="254"/>
      <c r="U127" s="254"/>
      <c r="V127" s="254"/>
      <c r="W127" s="254"/>
      <c r="X127" s="254"/>
      <c r="Y127" s="254"/>
      <c r="Z127" s="13"/>
    </row>
    <row r="128" spans="1:26" ht="15.75" customHeight="1">
      <c r="A128" s="264" t="s">
        <v>492</v>
      </c>
      <c r="B128" s="251" t="s">
        <v>555</v>
      </c>
      <c r="C128" s="256">
        <f t="shared" ref="C128:K128" si="41">C129+C130</f>
        <v>78</v>
      </c>
      <c r="D128" s="256">
        <f t="shared" si="41"/>
        <v>0</v>
      </c>
      <c r="E128" s="256">
        <f t="shared" si="41"/>
        <v>97</v>
      </c>
      <c r="F128" s="256">
        <f t="shared" si="41"/>
        <v>0</v>
      </c>
      <c r="G128" s="256">
        <f t="shared" si="41"/>
        <v>2075</v>
      </c>
      <c r="H128" s="256">
        <f t="shared" si="41"/>
        <v>34495</v>
      </c>
      <c r="I128" s="256">
        <f t="shared" si="41"/>
        <v>5056.125</v>
      </c>
      <c r="J128" s="256">
        <f t="shared" si="41"/>
        <v>5056.125</v>
      </c>
      <c r="K128" s="256">
        <f t="shared" si="41"/>
        <v>0</v>
      </c>
      <c r="L128" s="248">
        <f t="shared" si="38"/>
        <v>0</v>
      </c>
      <c r="M128" s="260"/>
      <c r="N128" s="260"/>
      <c r="O128" s="260"/>
      <c r="P128" s="163"/>
      <c r="Q128" s="163"/>
      <c r="R128" s="261"/>
      <c r="S128" s="254"/>
      <c r="T128" s="254"/>
      <c r="U128" s="254"/>
      <c r="V128" s="254"/>
      <c r="W128" s="254"/>
      <c r="X128" s="254"/>
      <c r="Y128" s="254"/>
      <c r="Z128" s="13"/>
    </row>
    <row r="129" spans="1:26" ht="15.75" customHeight="1">
      <c r="A129" s="262"/>
      <c r="B129" s="258" t="s">
        <v>543</v>
      </c>
      <c r="C129" s="259">
        <f>'B2 TLGD M'!C47</f>
        <v>78</v>
      </c>
      <c r="D129" s="259">
        <f>'B2 TLGD M'!D47</f>
        <v>0</v>
      </c>
      <c r="E129" s="259">
        <f>'B2 TLGD M'!E47</f>
        <v>97</v>
      </c>
      <c r="F129" s="259">
        <f>'B2 TLGD M'!F47</f>
        <v>0</v>
      </c>
      <c r="G129" s="259">
        <f>'B2 TLGD M'!G47</f>
        <v>2075</v>
      </c>
      <c r="H129" s="259">
        <f>'B2 TLGD M'!H47</f>
        <v>34495</v>
      </c>
      <c r="I129" s="259">
        <f>'B2 TLGD M'!I47</f>
        <v>5056.125</v>
      </c>
      <c r="J129" s="259">
        <f>'B2 TLGD M'!J47</f>
        <v>5056.125</v>
      </c>
      <c r="K129" s="259">
        <f>'B2 TLGD M'!K47</f>
        <v>0</v>
      </c>
      <c r="L129" s="248">
        <f t="shared" si="38"/>
        <v>0</v>
      </c>
      <c r="M129" s="260"/>
      <c r="N129" s="260"/>
      <c r="O129" s="260"/>
      <c r="P129" s="163"/>
      <c r="Q129" s="163"/>
      <c r="R129" s="261"/>
      <c r="S129" s="254"/>
      <c r="T129" s="254"/>
      <c r="U129" s="254"/>
      <c r="V129" s="254"/>
      <c r="W129" s="254"/>
      <c r="X129" s="254"/>
      <c r="Y129" s="254"/>
      <c r="Z129" s="13"/>
    </row>
    <row r="130" spans="1:26" ht="15.75" customHeight="1">
      <c r="A130" s="262"/>
      <c r="B130" s="258" t="s">
        <v>544</v>
      </c>
      <c r="C130" s="259">
        <v>0</v>
      </c>
      <c r="D130" s="259">
        <v>0</v>
      </c>
      <c r="E130" s="259">
        <v>0</v>
      </c>
      <c r="F130" s="259">
        <v>0</v>
      </c>
      <c r="G130" s="259">
        <v>0</v>
      </c>
      <c r="H130" s="259">
        <v>0</v>
      </c>
      <c r="I130" s="259">
        <v>0</v>
      </c>
      <c r="J130" s="259">
        <v>0</v>
      </c>
      <c r="K130" s="259">
        <v>0</v>
      </c>
      <c r="L130" s="248">
        <f t="shared" si="38"/>
        <v>0</v>
      </c>
      <c r="M130" s="260"/>
      <c r="N130" s="260"/>
      <c r="O130" s="260"/>
      <c r="P130" s="163"/>
      <c r="Q130" s="163"/>
      <c r="R130" s="261"/>
      <c r="S130" s="254"/>
      <c r="T130" s="254"/>
      <c r="U130" s="254"/>
      <c r="V130" s="254"/>
      <c r="W130" s="254"/>
      <c r="X130" s="254"/>
      <c r="Y130" s="254"/>
      <c r="Z130" s="13"/>
    </row>
    <row r="131" spans="1:26" ht="15.75" customHeight="1">
      <c r="A131" s="270" t="s">
        <v>265</v>
      </c>
      <c r="B131" s="271" t="s">
        <v>512</v>
      </c>
      <c r="C131" s="248">
        <f t="shared" ref="C131:K131" si="42">SUM(C132:C143)</f>
        <v>75</v>
      </c>
      <c r="D131" s="248">
        <f t="shared" si="42"/>
        <v>2</v>
      </c>
      <c r="E131" s="248">
        <f t="shared" si="42"/>
        <v>211</v>
      </c>
      <c r="F131" s="248">
        <f t="shared" si="42"/>
        <v>3</v>
      </c>
      <c r="G131" s="248">
        <f t="shared" si="42"/>
        <v>358</v>
      </c>
      <c r="H131" s="248">
        <f t="shared" si="42"/>
        <v>6710</v>
      </c>
      <c r="I131" s="248">
        <f t="shared" si="42"/>
        <v>13020</v>
      </c>
      <c r="J131" s="248">
        <f t="shared" si="42"/>
        <v>12145</v>
      </c>
      <c r="K131" s="248">
        <f t="shared" si="42"/>
        <v>560</v>
      </c>
      <c r="L131" s="248">
        <f t="shared" si="38"/>
        <v>315</v>
      </c>
      <c r="M131" s="260"/>
      <c r="N131" s="260"/>
      <c r="O131" s="260"/>
      <c r="P131" s="163"/>
      <c r="Q131" s="163"/>
      <c r="R131" s="261"/>
      <c r="S131" s="254"/>
      <c r="T131" s="254"/>
      <c r="U131" s="254"/>
      <c r="V131" s="254"/>
      <c r="W131" s="254"/>
      <c r="X131" s="254"/>
      <c r="Y131" s="254"/>
      <c r="Z131" s="13"/>
    </row>
    <row r="132" spans="1:26" ht="15.75" customHeight="1">
      <c r="A132" s="275" t="s">
        <v>557</v>
      </c>
      <c r="B132" s="276" t="s">
        <v>542</v>
      </c>
      <c r="C132" s="263">
        <f>'B2 TOÁN  M'!C82</f>
        <v>0</v>
      </c>
      <c r="D132" s="263">
        <f>'B2 TOÁN  M'!D82</f>
        <v>0</v>
      </c>
      <c r="E132" s="263">
        <f>'B2 TOÁN  M'!E82</f>
        <v>0</v>
      </c>
      <c r="F132" s="263">
        <f>'B2 TOÁN  M'!F82</f>
        <v>0</v>
      </c>
      <c r="G132" s="263">
        <f>'B2 TOÁN  M'!G82</f>
        <v>27</v>
      </c>
      <c r="H132" s="263">
        <f>'B2 TOÁN  M'!H82</f>
        <v>0</v>
      </c>
      <c r="I132" s="263">
        <f>'B2 TOÁN  M'!I82</f>
        <v>945</v>
      </c>
      <c r="J132" s="263">
        <f>'B2 TOÁN  M'!J82</f>
        <v>945</v>
      </c>
      <c r="K132" s="263">
        <f>'B2 TOÁN  M'!K82</f>
        <v>0</v>
      </c>
      <c r="L132" s="248">
        <f t="shared" si="38"/>
        <v>0</v>
      </c>
      <c r="M132" s="260"/>
      <c r="N132" s="260"/>
      <c r="O132" s="260"/>
      <c r="P132" s="163"/>
      <c r="Q132" s="163"/>
      <c r="R132" s="261"/>
      <c r="S132" s="254"/>
      <c r="T132" s="254"/>
      <c r="U132" s="254"/>
      <c r="V132" s="254"/>
      <c r="W132" s="254"/>
      <c r="X132" s="254"/>
      <c r="Y132" s="254"/>
      <c r="Z132" s="13"/>
    </row>
    <row r="133" spans="1:26" ht="15.75" customHeight="1">
      <c r="A133" s="275" t="s">
        <v>572</v>
      </c>
      <c r="B133" s="276" t="s">
        <v>545</v>
      </c>
      <c r="C133" s="263">
        <f>'B2 LÝ'!C58</f>
        <v>0</v>
      </c>
      <c r="D133" s="263">
        <f>'B2 LÝ'!D58</f>
        <v>0</v>
      </c>
      <c r="E133" s="263">
        <f>'B2 LÝ'!E58</f>
        <v>0</v>
      </c>
      <c r="F133" s="263">
        <f>'B2 LÝ'!F58</f>
        <v>0</v>
      </c>
      <c r="G133" s="263">
        <f>'B2 LÝ'!G58</f>
        <v>7</v>
      </c>
      <c r="H133" s="263">
        <f>'B2 LÝ'!H58</f>
        <v>0</v>
      </c>
      <c r="I133" s="263">
        <f>'B2 LÝ'!I58</f>
        <v>245</v>
      </c>
      <c r="J133" s="263">
        <f>'B2 LÝ'!J58</f>
        <v>140</v>
      </c>
      <c r="K133" s="263">
        <f>'B2 LÝ'!K58</f>
        <v>70</v>
      </c>
      <c r="L133" s="248">
        <f t="shared" si="38"/>
        <v>35</v>
      </c>
      <c r="M133" s="260"/>
      <c r="N133" s="260"/>
      <c r="O133" s="260"/>
      <c r="P133" s="163"/>
      <c r="Q133" s="163"/>
      <c r="R133" s="261"/>
      <c r="S133" s="254"/>
      <c r="T133" s="254"/>
      <c r="U133" s="254"/>
      <c r="V133" s="254"/>
      <c r="W133" s="254"/>
      <c r="X133" s="254"/>
      <c r="Y133" s="254"/>
      <c r="Z133" s="13"/>
    </row>
    <row r="134" spans="1:26" ht="15.75" customHeight="1">
      <c r="A134" s="275" t="s">
        <v>573</v>
      </c>
      <c r="B134" s="276" t="s">
        <v>546</v>
      </c>
      <c r="C134" s="263">
        <f>'B2 Hoá M'!C60</f>
        <v>15</v>
      </c>
      <c r="D134" s="263">
        <f>'B2 Hoá M'!D60</f>
        <v>1</v>
      </c>
      <c r="E134" s="263">
        <f>'B2 Hoá M'!E60</f>
        <v>32</v>
      </c>
      <c r="F134" s="263">
        <f>'B2 Hoá M'!F60</f>
        <v>1</v>
      </c>
      <c r="G134" s="263">
        <f>'B2 Hoá M'!G60</f>
        <v>32</v>
      </c>
      <c r="H134" s="263">
        <f>'B2 Hoá M'!H60</f>
        <v>480</v>
      </c>
      <c r="I134" s="263">
        <f>'B2 Hoá M'!I60</f>
        <v>1120</v>
      </c>
      <c r="J134" s="263">
        <f>'B2 Hoá M'!J60</f>
        <v>1120</v>
      </c>
      <c r="K134" s="263">
        <f>'B2 Hoá M'!K60</f>
        <v>0</v>
      </c>
      <c r="L134" s="248">
        <f t="shared" si="38"/>
        <v>0</v>
      </c>
      <c r="M134" s="260"/>
      <c r="N134" s="260"/>
      <c r="O134" s="260"/>
      <c r="P134" s="163"/>
      <c r="Q134" s="163"/>
      <c r="R134" s="261"/>
      <c r="S134" s="254"/>
      <c r="T134" s="254"/>
      <c r="U134" s="254"/>
      <c r="V134" s="254"/>
      <c r="W134" s="254"/>
      <c r="X134" s="254"/>
      <c r="Y134" s="254"/>
      <c r="Z134" s="13"/>
    </row>
    <row r="135" spans="1:26" ht="15.75" customHeight="1">
      <c r="A135" s="275" t="s">
        <v>574</v>
      </c>
      <c r="B135" s="276" t="s">
        <v>547</v>
      </c>
      <c r="C135" s="248">
        <f>'B2 SINH'!C68</f>
        <v>0</v>
      </c>
      <c r="D135" s="248">
        <f>'B2 SINH'!D68</f>
        <v>0</v>
      </c>
      <c r="E135" s="248">
        <f>'B2 SINH'!E68</f>
        <v>0</v>
      </c>
      <c r="F135" s="248">
        <f>'B2 SINH'!F68</f>
        <v>0</v>
      </c>
      <c r="G135" s="248">
        <f>'B2 SINH'!G68</f>
        <v>19</v>
      </c>
      <c r="H135" s="248">
        <f>'B2 SINH'!H68</f>
        <v>0</v>
      </c>
      <c r="I135" s="248">
        <f>'B2 SINH'!I68</f>
        <v>665</v>
      </c>
      <c r="J135" s="248">
        <f>'B2 SINH'!J68</f>
        <v>350</v>
      </c>
      <c r="K135" s="248">
        <f>'B2 SINH'!K68</f>
        <v>315</v>
      </c>
      <c r="L135" s="248">
        <f>'B2 SINH'!L68</f>
        <v>0</v>
      </c>
      <c r="M135" s="260"/>
      <c r="N135" s="260"/>
      <c r="O135" s="260"/>
      <c r="P135" s="163"/>
      <c r="Q135" s="163"/>
      <c r="R135" s="261"/>
      <c r="S135" s="254"/>
      <c r="T135" s="254"/>
      <c r="U135" s="254"/>
      <c r="V135" s="254"/>
      <c r="W135" s="254"/>
      <c r="X135" s="254"/>
      <c r="Y135" s="254"/>
      <c r="Z135" s="13"/>
    </row>
    <row r="136" spans="1:26" ht="15.75" customHeight="1">
      <c r="A136" s="275" t="s">
        <v>575</v>
      </c>
      <c r="B136" s="276" t="s">
        <v>548</v>
      </c>
      <c r="C136" s="263">
        <f>'B2 TIN M'!C37</f>
        <v>10</v>
      </c>
      <c r="D136" s="263">
        <f>'B2 TIN M'!D37</f>
        <v>0</v>
      </c>
      <c r="E136" s="263">
        <f>'B2 TIN M'!E37</f>
        <v>1</v>
      </c>
      <c r="F136" s="263">
        <f>'B2 TIN M'!F37</f>
        <v>1</v>
      </c>
      <c r="G136" s="263">
        <f>'B2 TIN M'!G37</f>
        <v>4</v>
      </c>
      <c r="H136" s="263">
        <f>'B2 TIN M'!H37</f>
        <v>0</v>
      </c>
      <c r="I136" s="263">
        <f>'B2 TIN M'!I37</f>
        <v>140</v>
      </c>
      <c r="J136" s="263">
        <f>'B2 TIN M'!J37</f>
        <v>140</v>
      </c>
      <c r="K136" s="263">
        <f>'B2 TIN M'!K37</f>
        <v>0</v>
      </c>
      <c r="L136" s="248">
        <f t="shared" ref="L136:L138" si="43">I136-(J136+K136)</f>
        <v>0</v>
      </c>
      <c r="M136" s="260"/>
      <c r="N136" s="260"/>
      <c r="O136" s="260"/>
      <c r="P136" s="163"/>
      <c r="Q136" s="163"/>
      <c r="R136" s="261"/>
      <c r="S136" s="254"/>
      <c r="T136" s="254"/>
      <c r="U136" s="254"/>
      <c r="V136" s="254"/>
      <c r="W136" s="254"/>
      <c r="X136" s="254"/>
      <c r="Y136" s="254"/>
      <c r="Z136" s="13"/>
    </row>
    <row r="137" spans="1:26" ht="15.75" customHeight="1">
      <c r="A137" s="275" t="s">
        <v>576</v>
      </c>
      <c r="B137" s="276" t="s">
        <v>549</v>
      </c>
      <c r="C137" s="263">
        <f>'B2 VĂN M'!C66</f>
        <v>0</v>
      </c>
      <c r="D137" s="263">
        <f>'B2 VĂN M'!D66</f>
        <v>0</v>
      </c>
      <c r="E137" s="263">
        <f>'B2 VĂN M'!E66</f>
        <v>0</v>
      </c>
      <c r="F137" s="263">
        <f>'B2 VĂN M'!F66</f>
        <v>0</v>
      </c>
      <c r="G137" s="263">
        <f>'B2 VĂN M'!G66</f>
        <v>0</v>
      </c>
      <c r="H137" s="263">
        <f>'B2 VĂN M'!H66</f>
        <v>0</v>
      </c>
      <c r="I137" s="263">
        <f>'B2 VĂN M'!I66</f>
        <v>0</v>
      </c>
      <c r="J137" s="263">
        <f>'B2 VĂN M'!J66</f>
        <v>0</v>
      </c>
      <c r="K137" s="263">
        <f>'B2 VĂN M'!K66</f>
        <v>0</v>
      </c>
      <c r="L137" s="248">
        <f t="shared" si="43"/>
        <v>0</v>
      </c>
      <c r="M137" s="260"/>
      <c r="N137" s="260"/>
      <c r="O137" s="260"/>
      <c r="P137" s="163"/>
      <c r="Q137" s="163"/>
      <c r="R137" s="261"/>
      <c r="S137" s="254"/>
      <c r="T137" s="254"/>
      <c r="U137" s="254"/>
      <c r="V137" s="254"/>
      <c r="W137" s="254"/>
      <c r="X137" s="254"/>
      <c r="Y137" s="254"/>
      <c r="Z137" s="13"/>
    </row>
    <row r="138" spans="1:26" ht="15.75" customHeight="1">
      <c r="A138" s="275" t="s">
        <v>577</v>
      </c>
      <c r="B138" s="276" t="s">
        <v>578</v>
      </c>
      <c r="C138" s="248">
        <f>'B2 Sử M'!C65</f>
        <v>0</v>
      </c>
      <c r="D138" s="248">
        <f>'B2 Sử M'!D65</f>
        <v>0</v>
      </c>
      <c r="E138" s="248">
        <f>'B2 Sử M'!E65</f>
        <v>0</v>
      </c>
      <c r="F138" s="248">
        <f>'B2 Sử M'!F65</f>
        <v>0</v>
      </c>
      <c r="G138" s="248">
        <f>'B2 Sử M'!G65</f>
        <v>0</v>
      </c>
      <c r="H138" s="248">
        <f>'B2 Sử M'!H65</f>
        <v>0</v>
      </c>
      <c r="I138" s="248">
        <f>'B2 Sử M'!I65</f>
        <v>490</v>
      </c>
      <c r="J138" s="248">
        <f>'B2 Sử M'!J65</f>
        <v>350</v>
      </c>
      <c r="K138" s="248">
        <f>'B2 Sử M'!K65</f>
        <v>140</v>
      </c>
      <c r="L138" s="248">
        <f t="shared" si="43"/>
        <v>0</v>
      </c>
      <c r="M138" s="260"/>
      <c r="N138" s="260"/>
      <c r="O138" s="260"/>
      <c r="P138" s="163"/>
      <c r="Q138" s="163"/>
      <c r="R138" s="261"/>
      <c r="S138" s="254"/>
      <c r="T138" s="254"/>
      <c r="U138" s="254"/>
      <c r="V138" s="254"/>
      <c r="W138" s="254"/>
      <c r="X138" s="254"/>
      <c r="Y138" s="254"/>
      <c r="Z138" s="13"/>
    </row>
    <row r="139" spans="1:26" ht="15.75" customHeight="1">
      <c r="A139" s="275" t="s">
        <v>579</v>
      </c>
      <c r="B139" s="276" t="s">
        <v>551</v>
      </c>
      <c r="C139" s="277">
        <f>'B2 ĐỊA LÝ'!C72</f>
        <v>0</v>
      </c>
      <c r="D139" s="277">
        <f>'B2 ĐỊA LÝ'!D72</f>
        <v>0</v>
      </c>
      <c r="E139" s="277">
        <f>'B2 ĐỊA LÝ'!E72</f>
        <v>0</v>
      </c>
      <c r="F139" s="277">
        <f>'B2 ĐỊA LÝ'!F72</f>
        <v>0</v>
      </c>
      <c r="G139" s="277">
        <f>'B2 ĐỊA LÝ'!G72</f>
        <v>6</v>
      </c>
      <c r="H139" s="277">
        <f>'B2 ĐỊA LÝ'!H72</f>
        <v>0</v>
      </c>
      <c r="I139" s="277">
        <f>'B2 ĐỊA LÝ'!I72</f>
        <v>210</v>
      </c>
      <c r="J139" s="277">
        <f>'B2 ĐỊA LÝ'!J72</f>
        <v>175</v>
      </c>
      <c r="K139" s="277">
        <f>'B2 ĐỊA LÝ'!K72</f>
        <v>35</v>
      </c>
      <c r="L139" s="277">
        <f>'B2 ĐỊA LÝ'!L72</f>
        <v>0</v>
      </c>
      <c r="M139" s="260"/>
      <c r="N139" s="260"/>
      <c r="O139" s="260"/>
      <c r="P139" s="163"/>
      <c r="Q139" s="163"/>
      <c r="R139" s="261"/>
      <c r="S139" s="254"/>
      <c r="T139" s="254"/>
      <c r="U139" s="254"/>
      <c r="V139" s="254"/>
      <c r="W139" s="254"/>
      <c r="X139" s="254"/>
      <c r="Y139" s="254"/>
      <c r="Z139" s="13"/>
    </row>
    <row r="140" spans="1:26" ht="15.75" customHeight="1">
      <c r="A140" s="275" t="s">
        <v>580</v>
      </c>
      <c r="B140" s="276" t="s">
        <v>552</v>
      </c>
      <c r="C140" s="263">
        <f>'B2 GDCT M'!C47</f>
        <v>0</v>
      </c>
      <c r="D140" s="263">
        <f>'B2 GDCT M'!D47</f>
        <v>0</v>
      </c>
      <c r="E140" s="263">
        <f>'B2 GDCT M'!E47</f>
        <v>0</v>
      </c>
      <c r="F140" s="263">
        <f>'B2 GDCT M'!F47</f>
        <v>0</v>
      </c>
      <c r="G140" s="263">
        <f>'B2 GDCT M'!G47</f>
        <v>0</v>
      </c>
      <c r="H140" s="263">
        <f>'B2 GDCT M'!H47</f>
        <v>0</v>
      </c>
      <c r="I140" s="263">
        <f>'B2 GDCT M'!I47</f>
        <v>0</v>
      </c>
      <c r="J140" s="263">
        <f>'B2 GDCT M'!J47</f>
        <v>0</v>
      </c>
      <c r="K140" s="263">
        <f>'B2 GDCT M'!K47</f>
        <v>0</v>
      </c>
      <c r="L140" s="248">
        <f>I140-(J140+K140)</f>
        <v>0</v>
      </c>
      <c r="M140" s="260"/>
      <c r="N140" s="260"/>
      <c r="O140" s="260"/>
      <c r="P140" s="260"/>
      <c r="Q140" s="260"/>
      <c r="R140" s="260"/>
      <c r="S140" s="254"/>
      <c r="T140" s="254"/>
      <c r="U140" s="254"/>
      <c r="V140" s="254"/>
      <c r="W140" s="254"/>
      <c r="X140" s="254"/>
      <c r="Y140" s="254"/>
      <c r="Z140" s="13"/>
    </row>
    <row r="141" spans="1:26" ht="15.75" customHeight="1">
      <c r="A141" s="275" t="s">
        <v>581</v>
      </c>
      <c r="B141" s="276" t="s">
        <v>567</v>
      </c>
      <c r="C141" s="263">
        <f>'B2 GDMN'!C64</f>
        <v>15</v>
      </c>
      <c r="D141" s="263">
        <f>'B2 GDMN'!D64</f>
        <v>0</v>
      </c>
      <c r="E141" s="263">
        <f>'B2 GDMN'!E64</f>
        <v>0</v>
      </c>
      <c r="F141" s="263">
        <f>'B2 GDMN'!F64</f>
        <v>0</v>
      </c>
      <c r="G141" s="263">
        <f>'B2 GDMN'!G64</f>
        <v>18</v>
      </c>
      <c r="H141" s="263">
        <f>'B2 GDMN'!H64</f>
        <v>0</v>
      </c>
      <c r="I141" s="263">
        <f>'B2 GDMN'!I64</f>
        <v>630</v>
      </c>
      <c r="J141" s="263">
        <f>'B2 GDMN'!J64</f>
        <v>350</v>
      </c>
      <c r="K141" s="263">
        <f>'B2 GDMN'!K64</f>
        <v>0</v>
      </c>
      <c r="L141" s="263">
        <f>'B2 GDMN'!L64</f>
        <v>280</v>
      </c>
      <c r="M141" s="260"/>
      <c r="N141" s="260"/>
      <c r="O141" s="260"/>
      <c r="P141" s="163"/>
      <c r="Q141" s="163"/>
      <c r="R141" s="261"/>
      <c r="S141" s="254"/>
      <c r="T141" s="254"/>
      <c r="U141" s="254"/>
      <c r="V141" s="254"/>
      <c r="W141" s="254"/>
      <c r="X141" s="254"/>
      <c r="Y141" s="254"/>
      <c r="Z141" s="13"/>
    </row>
    <row r="142" spans="1:26" ht="15.75" customHeight="1">
      <c r="A142" s="275" t="s">
        <v>582</v>
      </c>
      <c r="B142" s="276" t="s">
        <v>554</v>
      </c>
      <c r="C142" s="263">
        <f>'B2 GDTH M'!C85</f>
        <v>0</v>
      </c>
      <c r="D142" s="263">
        <f>'B2 GDTH M'!D85</f>
        <v>0</v>
      </c>
      <c r="E142" s="263">
        <f>'B2 GDTH M'!E85</f>
        <v>0</v>
      </c>
      <c r="F142" s="263">
        <f>'B2 GDTH M'!F85</f>
        <v>0</v>
      </c>
      <c r="G142" s="263">
        <f>'B2 GDTH M'!G85</f>
        <v>67</v>
      </c>
      <c r="H142" s="263">
        <f>'B2 GDTH M'!H85</f>
        <v>0</v>
      </c>
      <c r="I142" s="263">
        <f>'B2 GDTH M'!I85</f>
        <v>2345</v>
      </c>
      <c r="J142" s="263">
        <f>'B2 GDTH M'!J85</f>
        <v>2345</v>
      </c>
      <c r="K142" s="263">
        <f>'B2 GDTH M'!K85</f>
        <v>0</v>
      </c>
      <c r="L142" s="248">
        <f t="shared" ref="L142:L152" si="44">I142-(J142+K142)</f>
        <v>0</v>
      </c>
      <c r="M142" s="260"/>
      <c r="N142" s="260"/>
      <c r="O142" s="260"/>
      <c r="P142" s="163"/>
      <c r="Q142" s="163"/>
      <c r="R142" s="261"/>
      <c r="S142" s="254"/>
      <c r="T142" s="254"/>
      <c r="U142" s="254"/>
      <c r="V142" s="254"/>
      <c r="W142" s="254"/>
      <c r="X142" s="254"/>
      <c r="Y142" s="254"/>
      <c r="Z142" s="13"/>
    </row>
    <row r="143" spans="1:26" ht="15.75" customHeight="1">
      <c r="A143" s="275" t="s">
        <v>583</v>
      </c>
      <c r="B143" s="276" t="s">
        <v>555</v>
      </c>
      <c r="C143" s="263">
        <f>'B2 TLGD M'!C74</f>
        <v>35</v>
      </c>
      <c r="D143" s="263">
        <f>'B2 TLGD M'!D74</f>
        <v>1</v>
      </c>
      <c r="E143" s="263">
        <f>'B2 TLGD M'!E74</f>
        <v>178</v>
      </c>
      <c r="F143" s="263">
        <f>'B2 TLGD M'!F74</f>
        <v>1</v>
      </c>
      <c r="G143" s="263">
        <f>'B2 TLGD M'!G74</f>
        <v>178</v>
      </c>
      <c r="H143" s="263">
        <f>'B2 TLGD M'!H74</f>
        <v>6230</v>
      </c>
      <c r="I143" s="263">
        <f>'B2 TLGD M'!I74</f>
        <v>6230</v>
      </c>
      <c r="J143" s="263">
        <f>'B2 TLGD M'!J74</f>
        <v>6230</v>
      </c>
      <c r="K143" s="263">
        <f>'B2 TLGD M'!K74</f>
        <v>0</v>
      </c>
      <c r="L143" s="248">
        <f t="shared" si="44"/>
        <v>0</v>
      </c>
      <c r="M143" s="260"/>
      <c r="N143" s="260"/>
      <c r="O143" s="260"/>
      <c r="P143" s="163"/>
      <c r="Q143" s="163"/>
      <c r="R143" s="261"/>
      <c r="S143" s="254"/>
      <c r="T143" s="254"/>
      <c r="U143" s="254"/>
      <c r="V143" s="254"/>
      <c r="W143" s="254"/>
      <c r="X143" s="254"/>
      <c r="Y143" s="254"/>
      <c r="Z143" s="13"/>
    </row>
    <row r="144" spans="1:26" ht="15.75" customHeight="1">
      <c r="A144" s="246">
        <v>3</v>
      </c>
      <c r="B144" s="247" t="s">
        <v>584</v>
      </c>
      <c r="C144" s="248">
        <f t="shared" ref="C144:K144" si="45">C145+C151+C155</f>
        <v>33</v>
      </c>
      <c r="D144" s="248">
        <f t="shared" si="45"/>
        <v>19</v>
      </c>
      <c r="E144" s="248">
        <f t="shared" si="45"/>
        <v>15</v>
      </c>
      <c r="F144" s="248">
        <f t="shared" si="45"/>
        <v>11</v>
      </c>
      <c r="G144" s="248">
        <f t="shared" si="45"/>
        <v>40</v>
      </c>
      <c r="H144" s="248">
        <f t="shared" si="45"/>
        <v>213</v>
      </c>
      <c r="I144" s="248">
        <f t="shared" si="45"/>
        <v>1566.2</v>
      </c>
      <c r="J144" s="248">
        <f t="shared" si="45"/>
        <v>1367.2</v>
      </c>
      <c r="K144" s="248">
        <f t="shared" si="45"/>
        <v>139</v>
      </c>
      <c r="L144" s="248">
        <f t="shared" si="44"/>
        <v>60</v>
      </c>
      <c r="M144" s="260"/>
      <c r="N144" s="260"/>
      <c r="O144" s="260"/>
      <c r="P144" s="163"/>
      <c r="Q144" s="163"/>
      <c r="R144" s="261"/>
      <c r="S144" s="254"/>
      <c r="T144" s="254"/>
      <c r="U144" s="254"/>
      <c r="V144" s="254"/>
      <c r="W144" s="254"/>
      <c r="X144" s="254"/>
      <c r="Y144" s="254"/>
      <c r="Z144" s="13"/>
    </row>
    <row r="145" spans="1:26" ht="15.75" customHeight="1">
      <c r="A145" s="250" t="s">
        <v>263</v>
      </c>
      <c r="B145" s="251" t="s">
        <v>585</v>
      </c>
      <c r="C145" s="248">
        <f t="shared" ref="C145:K145" si="46">SUM(C146:C150)</f>
        <v>27</v>
      </c>
      <c r="D145" s="248">
        <f t="shared" si="46"/>
        <v>15</v>
      </c>
      <c r="E145" s="248">
        <f t="shared" si="46"/>
        <v>12</v>
      </c>
      <c r="F145" s="248">
        <f t="shared" si="46"/>
        <v>9</v>
      </c>
      <c r="G145" s="248">
        <f t="shared" si="46"/>
        <v>27</v>
      </c>
      <c r="H145" s="248">
        <f t="shared" si="46"/>
        <v>153</v>
      </c>
      <c r="I145" s="248">
        <f t="shared" si="46"/>
        <v>1069.2</v>
      </c>
      <c r="J145" s="248">
        <f t="shared" si="46"/>
        <v>970.2</v>
      </c>
      <c r="K145" s="248">
        <f t="shared" si="46"/>
        <v>99</v>
      </c>
      <c r="L145" s="248">
        <f t="shared" si="44"/>
        <v>0</v>
      </c>
      <c r="M145" s="260"/>
      <c r="N145" s="260"/>
      <c r="O145" s="260"/>
      <c r="P145" s="163"/>
      <c r="Q145" s="163"/>
      <c r="R145" s="261"/>
      <c r="S145" s="254"/>
      <c r="T145" s="254"/>
      <c r="U145" s="254"/>
      <c r="V145" s="254"/>
      <c r="W145" s="254"/>
      <c r="X145" s="254"/>
      <c r="Y145" s="254"/>
      <c r="Z145" s="13"/>
    </row>
    <row r="146" spans="1:26" ht="15.75" customHeight="1">
      <c r="A146" s="255" t="s">
        <v>479</v>
      </c>
      <c r="B146" s="276" t="s">
        <v>542</v>
      </c>
      <c r="C146" s="263">
        <v>0</v>
      </c>
      <c r="D146" s="263">
        <v>0</v>
      </c>
      <c r="E146" s="263">
        <v>0</v>
      </c>
      <c r="F146" s="263">
        <v>0</v>
      </c>
      <c r="G146" s="263">
        <v>0</v>
      </c>
      <c r="H146" s="263">
        <v>0</v>
      </c>
      <c r="I146" s="263">
        <v>0</v>
      </c>
      <c r="J146" s="263">
        <v>0</v>
      </c>
      <c r="K146" s="263">
        <v>0</v>
      </c>
      <c r="L146" s="248">
        <f t="shared" si="44"/>
        <v>0</v>
      </c>
      <c r="M146" s="260"/>
      <c r="N146" s="260"/>
      <c r="O146" s="260"/>
      <c r="P146" s="163"/>
      <c r="Q146" s="163"/>
      <c r="R146" s="261"/>
      <c r="S146" s="254"/>
      <c r="T146" s="254"/>
      <c r="U146" s="254"/>
      <c r="V146" s="254"/>
      <c r="W146" s="254"/>
      <c r="X146" s="254"/>
      <c r="Y146" s="254"/>
      <c r="Z146" s="13"/>
    </row>
    <row r="147" spans="1:26" ht="15.75" customHeight="1">
      <c r="A147" s="257" t="s">
        <v>481</v>
      </c>
      <c r="B147" s="276" t="s">
        <v>586</v>
      </c>
      <c r="C147" s="263">
        <v>0</v>
      </c>
      <c r="D147" s="263">
        <v>0</v>
      </c>
      <c r="E147" s="263">
        <v>0</v>
      </c>
      <c r="F147" s="263">
        <v>0</v>
      </c>
      <c r="G147" s="263">
        <v>0</v>
      </c>
      <c r="H147" s="263">
        <v>0</v>
      </c>
      <c r="I147" s="263">
        <v>0</v>
      </c>
      <c r="J147" s="263">
        <v>0</v>
      </c>
      <c r="K147" s="263">
        <v>0</v>
      </c>
      <c r="L147" s="248">
        <f t="shared" si="44"/>
        <v>0</v>
      </c>
      <c r="M147" s="260"/>
      <c r="N147" s="260"/>
      <c r="O147" s="260"/>
      <c r="P147" s="163"/>
      <c r="Q147" s="163"/>
      <c r="R147" s="261"/>
      <c r="S147" s="254"/>
      <c r="T147" s="254"/>
      <c r="U147" s="254"/>
      <c r="V147" s="254"/>
      <c r="W147" s="254"/>
      <c r="X147" s="254"/>
      <c r="Y147" s="254"/>
      <c r="Z147" s="13"/>
    </row>
    <row r="148" spans="1:26" ht="15.75" customHeight="1">
      <c r="A148" s="275" t="s">
        <v>483</v>
      </c>
      <c r="B148" s="276" t="s">
        <v>587</v>
      </c>
      <c r="C148" s="263">
        <f>'B2 VĂN M'!C73</f>
        <v>9</v>
      </c>
      <c r="D148" s="263">
        <f>'B2 VĂN M'!D73</f>
        <v>3</v>
      </c>
      <c r="E148" s="263">
        <f>'B2 VĂN M'!E73</f>
        <v>3</v>
      </c>
      <c r="F148" s="263">
        <f>'B2 VĂN M'!F73</f>
        <v>3</v>
      </c>
      <c r="G148" s="263">
        <f>'B2 VĂN M'!G73</f>
        <v>3</v>
      </c>
      <c r="H148" s="263">
        <f>'B2 VĂN M'!H73</f>
        <v>9</v>
      </c>
      <c r="I148" s="263">
        <f>'B2 VĂN M'!I73</f>
        <v>178.2</v>
      </c>
      <c r="J148" s="263">
        <f>'B2 VĂN M'!J73</f>
        <v>178.2</v>
      </c>
      <c r="K148" s="263">
        <f>'B2 VĂN M'!K73</f>
        <v>0</v>
      </c>
      <c r="L148" s="248">
        <f t="shared" si="44"/>
        <v>0</v>
      </c>
      <c r="M148" s="260"/>
      <c r="N148" s="260"/>
      <c r="O148" s="260"/>
      <c r="P148" s="163"/>
      <c r="Q148" s="163"/>
      <c r="R148" s="261"/>
      <c r="S148" s="254"/>
      <c r="T148" s="254"/>
      <c r="U148" s="254"/>
      <c r="V148" s="254"/>
      <c r="W148" s="254"/>
      <c r="X148" s="254"/>
      <c r="Y148" s="254"/>
      <c r="Z148" s="13"/>
    </row>
    <row r="149" spans="1:26" ht="15.75" customHeight="1">
      <c r="A149" s="278" t="s">
        <v>484</v>
      </c>
      <c r="B149" s="276" t="s">
        <v>588</v>
      </c>
      <c r="C149" s="263">
        <f>'B2 Sử M'!C69</f>
        <v>9</v>
      </c>
      <c r="D149" s="263">
        <f>'B2 Sử M'!D69</f>
        <v>6</v>
      </c>
      <c r="E149" s="263">
        <f>'B2 Sử M'!E69</f>
        <v>3</v>
      </c>
      <c r="F149" s="263">
        <f>'B2 Sử M'!F69</f>
        <v>3</v>
      </c>
      <c r="G149" s="263">
        <f>'B2 Sử M'!G69</f>
        <v>3</v>
      </c>
      <c r="H149" s="263">
        <f>'B2 Sử M'!H69</f>
        <v>18</v>
      </c>
      <c r="I149" s="263">
        <f>'B2 Sử M'!I69</f>
        <v>297</v>
      </c>
      <c r="J149" s="263">
        <f>'B2 Sử M'!J69</f>
        <v>198</v>
      </c>
      <c r="K149" s="263">
        <f>'B2 Sử M'!K69</f>
        <v>99</v>
      </c>
      <c r="L149" s="248">
        <f t="shared" si="44"/>
        <v>0</v>
      </c>
      <c r="M149" s="260"/>
      <c r="N149" s="260"/>
      <c r="O149" s="260"/>
      <c r="P149" s="163"/>
      <c r="Q149" s="163"/>
      <c r="R149" s="261"/>
      <c r="S149" s="254"/>
      <c r="T149" s="254"/>
      <c r="U149" s="254"/>
      <c r="V149" s="254"/>
      <c r="W149" s="254"/>
      <c r="X149" s="254"/>
      <c r="Y149" s="254"/>
      <c r="Z149" s="13"/>
    </row>
    <row r="150" spans="1:26" ht="15.75" customHeight="1">
      <c r="A150" s="278" t="s">
        <v>485</v>
      </c>
      <c r="B150" s="276" t="s">
        <v>555</v>
      </c>
      <c r="C150" s="263">
        <f>'B2 TLGD M'!C77</f>
        <v>9</v>
      </c>
      <c r="D150" s="263">
        <f>'B2 TLGD M'!D77</f>
        <v>6</v>
      </c>
      <c r="E150" s="263">
        <f>'B2 TLGD M'!E77</f>
        <v>6</v>
      </c>
      <c r="F150" s="263">
        <f>'B2 TLGD M'!F77</f>
        <v>3</v>
      </c>
      <c r="G150" s="263">
        <f>'B2 TLGD M'!G77</f>
        <v>21</v>
      </c>
      <c r="H150" s="263">
        <f>'B2 TLGD M'!H77</f>
        <v>126</v>
      </c>
      <c r="I150" s="263">
        <f>'B2 TLGD M'!I77</f>
        <v>594</v>
      </c>
      <c r="J150" s="263">
        <f>'B2 TLGD M'!J77</f>
        <v>594</v>
      </c>
      <c r="K150" s="263">
        <f>'B2 TLGD M'!K77</f>
        <v>0</v>
      </c>
      <c r="L150" s="248">
        <f t="shared" si="44"/>
        <v>0</v>
      </c>
      <c r="M150" s="260"/>
      <c r="N150" s="260"/>
      <c r="O150" s="260"/>
      <c r="P150" s="163"/>
      <c r="Q150" s="163"/>
      <c r="R150" s="261"/>
      <c r="S150" s="254"/>
      <c r="T150" s="254"/>
      <c r="U150" s="254"/>
      <c r="V150" s="254"/>
      <c r="W150" s="254"/>
      <c r="X150" s="254"/>
      <c r="Y150" s="254"/>
      <c r="Z150" s="13"/>
    </row>
    <row r="151" spans="1:26" ht="15.75" customHeight="1">
      <c r="A151" s="279" t="s">
        <v>265</v>
      </c>
      <c r="B151" s="271" t="s">
        <v>589</v>
      </c>
      <c r="C151" s="248">
        <f t="shared" ref="C151:K151" si="47">SUM(C152:C154)</f>
        <v>6</v>
      </c>
      <c r="D151" s="248">
        <f t="shared" si="47"/>
        <v>4</v>
      </c>
      <c r="E151" s="248">
        <f t="shared" si="47"/>
        <v>3</v>
      </c>
      <c r="F151" s="248">
        <f t="shared" si="47"/>
        <v>2</v>
      </c>
      <c r="G151" s="248">
        <f t="shared" si="47"/>
        <v>10</v>
      </c>
      <c r="H151" s="248">
        <f t="shared" si="47"/>
        <v>60</v>
      </c>
      <c r="I151" s="248">
        <f t="shared" si="47"/>
        <v>297</v>
      </c>
      <c r="J151" s="248">
        <f t="shared" si="47"/>
        <v>297</v>
      </c>
      <c r="K151" s="248">
        <f t="shared" si="47"/>
        <v>0</v>
      </c>
      <c r="L151" s="248">
        <f t="shared" si="44"/>
        <v>0</v>
      </c>
      <c r="M151" s="260"/>
      <c r="N151" s="260"/>
      <c r="O151" s="260"/>
      <c r="P151" s="163"/>
      <c r="Q151" s="163"/>
      <c r="R151" s="261"/>
      <c r="S151" s="254"/>
      <c r="T151" s="254"/>
      <c r="U151" s="254"/>
      <c r="V151" s="254"/>
      <c r="W151" s="254"/>
      <c r="X151" s="254"/>
      <c r="Y151" s="254"/>
      <c r="Z151" s="13"/>
    </row>
    <row r="152" spans="1:26" ht="15.75" customHeight="1">
      <c r="A152" s="278">
        <v>1</v>
      </c>
      <c r="B152" s="280" t="s">
        <v>542</v>
      </c>
      <c r="C152" s="263">
        <v>0</v>
      </c>
      <c r="D152" s="263">
        <v>0</v>
      </c>
      <c r="E152" s="263">
        <v>0</v>
      </c>
      <c r="F152" s="263">
        <v>0</v>
      </c>
      <c r="G152" s="263">
        <v>0</v>
      </c>
      <c r="H152" s="263">
        <v>0</v>
      </c>
      <c r="I152" s="263">
        <v>0</v>
      </c>
      <c r="J152" s="263">
        <v>0</v>
      </c>
      <c r="K152" s="263">
        <v>0</v>
      </c>
      <c r="L152" s="248">
        <f t="shared" si="44"/>
        <v>0</v>
      </c>
      <c r="M152" s="260"/>
      <c r="N152" s="260"/>
      <c r="O152" s="260"/>
      <c r="P152" s="163"/>
      <c r="Q152" s="163"/>
      <c r="R152" s="261"/>
      <c r="S152" s="254"/>
      <c r="T152" s="254"/>
      <c r="U152" s="254"/>
      <c r="V152" s="254"/>
      <c r="W152" s="254"/>
      <c r="X152" s="254"/>
      <c r="Y152" s="254"/>
      <c r="Z152" s="13"/>
    </row>
    <row r="153" spans="1:26" ht="15.75" customHeight="1">
      <c r="A153" s="278">
        <v>2</v>
      </c>
      <c r="B153" s="280" t="s">
        <v>588</v>
      </c>
      <c r="C153" s="263">
        <f>'B2 Sử M'!C73</f>
        <v>3</v>
      </c>
      <c r="D153" s="263">
        <f>'B2 Sử M'!D73</f>
        <v>2</v>
      </c>
      <c r="E153" s="263">
        <f>'B2 Sử M'!E73</f>
        <v>1</v>
      </c>
      <c r="F153" s="263">
        <f>'B2 Sử M'!F73</f>
        <v>1</v>
      </c>
      <c r="G153" s="263">
        <f>'B2 Sử M'!G73</f>
        <v>3</v>
      </c>
      <c r="H153" s="263">
        <f>'B2 Sử M'!H73</f>
        <v>18</v>
      </c>
      <c r="I153" s="263">
        <f>'B2 Sử M'!I73</f>
        <v>99</v>
      </c>
      <c r="J153" s="263">
        <f>'B2 Sử M'!J73</f>
        <v>99</v>
      </c>
      <c r="K153" s="263">
        <f>'B2 Sử M'!K73</f>
        <v>0</v>
      </c>
      <c r="L153" s="263">
        <f>'B2 Sử M'!L73</f>
        <v>0</v>
      </c>
      <c r="M153" s="260"/>
      <c r="N153" s="260"/>
      <c r="O153" s="260"/>
      <c r="P153" s="163"/>
      <c r="Q153" s="163"/>
      <c r="R153" s="261"/>
      <c r="S153" s="254"/>
      <c r="T153" s="254"/>
      <c r="U153" s="254"/>
      <c r="V153" s="254"/>
      <c r="W153" s="254"/>
      <c r="X153" s="254"/>
      <c r="Y153" s="254"/>
      <c r="Z153" s="13"/>
    </row>
    <row r="154" spans="1:26" ht="15.75" customHeight="1">
      <c r="A154" s="278">
        <v>3</v>
      </c>
      <c r="B154" s="280" t="s">
        <v>555</v>
      </c>
      <c r="C154" s="263">
        <f>'B2 TLGD M'!C81</f>
        <v>3</v>
      </c>
      <c r="D154" s="263">
        <f>'B2 TLGD M'!D81</f>
        <v>2</v>
      </c>
      <c r="E154" s="263">
        <f>'B2 TLGD M'!E81</f>
        <v>2</v>
      </c>
      <c r="F154" s="263">
        <f>'B2 TLGD M'!F81</f>
        <v>1</v>
      </c>
      <c r="G154" s="263">
        <f>'B2 TLGD M'!G81</f>
        <v>7</v>
      </c>
      <c r="H154" s="263">
        <f>'B2 TLGD M'!H81</f>
        <v>42</v>
      </c>
      <c r="I154" s="263">
        <f>'B2 TLGD M'!I81</f>
        <v>198</v>
      </c>
      <c r="J154" s="263">
        <f>'B2 TLGD M'!J81</f>
        <v>198</v>
      </c>
      <c r="K154" s="263">
        <f>'B2 TLGD M'!K81</f>
        <v>0</v>
      </c>
      <c r="L154" s="248">
        <f t="shared" ref="L154:L171" si="48">I154-(J154+K154)</f>
        <v>0</v>
      </c>
      <c r="M154" s="260"/>
      <c r="N154" s="260"/>
      <c r="O154" s="260"/>
      <c r="P154" s="163"/>
      <c r="Q154" s="163"/>
      <c r="R154" s="261"/>
      <c r="S154" s="254"/>
      <c r="T154" s="254"/>
      <c r="U154" s="254"/>
      <c r="V154" s="254"/>
      <c r="W154" s="254"/>
      <c r="X154" s="254"/>
      <c r="Y154" s="254"/>
      <c r="Z154" s="13"/>
    </row>
    <row r="155" spans="1:26" ht="21.75" customHeight="1">
      <c r="A155" s="279" t="s">
        <v>267</v>
      </c>
      <c r="B155" s="271" t="s">
        <v>590</v>
      </c>
      <c r="C155" s="248">
        <f t="shared" ref="C155:K155" si="49">SUM(C156:C158)</f>
        <v>0</v>
      </c>
      <c r="D155" s="248">
        <f t="shared" si="49"/>
        <v>0</v>
      </c>
      <c r="E155" s="248">
        <f t="shared" si="49"/>
        <v>0</v>
      </c>
      <c r="F155" s="248">
        <f t="shared" si="49"/>
        <v>0</v>
      </c>
      <c r="G155" s="248">
        <f t="shared" si="49"/>
        <v>3</v>
      </c>
      <c r="H155" s="248">
        <f t="shared" si="49"/>
        <v>0</v>
      </c>
      <c r="I155" s="248">
        <f t="shared" si="49"/>
        <v>200</v>
      </c>
      <c r="J155" s="248">
        <f t="shared" si="49"/>
        <v>100</v>
      </c>
      <c r="K155" s="248">
        <f t="shared" si="49"/>
        <v>40</v>
      </c>
      <c r="L155" s="248">
        <f t="shared" si="48"/>
        <v>60</v>
      </c>
      <c r="M155" s="260"/>
      <c r="N155" s="260"/>
      <c r="O155" s="260"/>
      <c r="P155" s="163"/>
      <c r="Q155" s="163"/>
      <c r="R155" s="261"/>
      <c r="S155" s="254"/>
      <c r="T155" s="254"/>
      <c r="U155" s="254"/>
      <c r="V155" s="254"/>
      <c r="W155" s="254"/>
      <c r="X155" s="254"/>
      <c r="Y155" s="254"/>
      <c r="Z155" s="13"/>
    </row>
    <row r="156" spans="1:26" ht="15.75" customHeight="1">
      <c r="A156" s="278"/>
      <c r="B156" s="280" t="s">
        <v>542</v>
      </c>
      <c r="C156" s="263">
        <v>0</v>
      </c>
      <c r="D156" s="263">
        <v>0</v>
      </c>
      <c r="E156" s="263">
        <v>0</v>
      </c>
      <c r="F156" s="263">
        <v>0</v>
      </c>
      <c r="G156" s="263">
        <v>0</v>
      </c>
      <c r="H156" s="263">
        <v>0</v>
      </c>
      <c r="I156" s="263">
        <v>0</v>
      </c>
      <c r="J156" s="263">
        <v>0</v>
      </c>
      <c r="K156" s="263">
        <v>0</v>
      </c>
      <c r="L156" s="248">
        <f t="shared" si="48"/>
        <v>0</v>
      </c>
      <c r="M156" s="260"/>
      <c r="N156" s="260"/>
      <c r="O156" s="260"/>
      <c r="P156" s="163"/>
      <c r="Q156" s="163"/>
      <c r="R156" s="261"/>
      <c r="S156" s="254"/>
      <c r="T156" s="254"/>
      <c r="U156" s="254"/>
      <c r="V156" s="254"/>
      <c r="W156" s="254"/>
      <c r="X156" s="254"/>
      <c r="Y156" s="254"/>
      <c r="Z156" s="13"/>
    </row>
    <row r="157" spans="1:26" ht="15.75" customHeight="1">
      <c r="A157" s="278"/>
      <c r="B157" s="280" t="s">
        <v>588</v>
      </c>
      <c r="C157" s="263">
        <f>'B2 Sử M'!C75</f>
        <v>0</v>
      </c>
      <c r="D157" s="263">
        <f>'B2 Sử M'!D75</f>
        <v>0</v>
      </c>
      <c r="E157" s="263">
        <f>'B2 Sử M'!E75</f>
        <v>0</v>
      </c>
      <c r="F157" s="263">
        <f>'B2 Sử M'!F75</f>
        <v>0</v>
      </c>
      <c r="G157" s="263">
        <f>'B2 Sử M'!G75</f>
        <v>3</v>
      </c>
      <c r="H157" s="263">
        <f>'B2 Sử M'!H75</f>
        <v>0</v>
      </c>
      <c r="I157" s="263">
        <f>'B2 Sử M'!I75</f>
        <v>200</v>
      </c>
      <c r="J157" s="263">
        <f>'B2 Sử M'!J75</f>
        <v>100</v>
      </c>
      <c r="K157" s="263">
        <f>'B2 Sử M'!K75</f>
        <v>40</v>
      </c>
      <c r="L157" s="248">
        <f t="shared" si="48"/>
        <v>60</v>
      </c>
      <c r="M157" s="260"/>
      <c r="N157" s="260"/>
      <c r="O157" s="260"/>
      <c r="P157" s="163"/>
      <c r="Q157" s="163"/>
      <c r="R157" s="261"/>
      <c r="S157" s="254"/>
      <c r="T157" s="254"/>
      <c r="U157" s="254"/>
      <c r="V157" s="254"/>
      <c r="W157" s="254"/>
      <c r="X157" s="254"/>
      <c r="Y157" s="254"/>
      <c r="Z157" s="13"/>
    </row>
    <row r="158" spans="1:26" ht="15.75" customHeight="1">
      <c r="A158" s="278"/>
      <c r="B158" s="280" t="s">
        <v>591</v>
      </c>
      <c r="C158" s="259">
        <v>0</v>
      </c>
      <c r="D158" s="259">
        <v>0</v>
      </c>
      <c r="E158" s="259">
        <v>0</v>
      </c>
      <c r="F158" s="259">
        <v>0</v>
      </c>
      <c r="G158" s="259">
        <v>0</v>
      </c>
      <c r="H158" s="259">
        <v>0</v>
      </c>
      <c r="I158" s="259">
        <v>0</v>
      </c>
      <c r="J158" s="259">
        <v>0</v>
      </c>
      <c r="K158" s="259">
        <v>0</v>
      </c>
      <c r="L158" s="248">
        <f t="shared" si="48"/>
        <v>0</v>
      </c>
      <c r="M158" s="260"/>
      <c r="N158" s="260"/>
      <c r="O158" s="260"/>
      <c r="P158" s="163"/>
      <c r="Q158" s="163"/>
      <c r="R158" s="261"/>
      <c r="S158" s="254"/>
      <c r="T158" s="254"/>
      <c r="U158" s="254"/>
      <c r="V158" s="254"/>
      <c r="W158" s="254"/>
      <c r="X158" s="254"/>
      <c r="Y158" s="254"/>
      <c r="Z158" s="13"/>
    </row>
    <row r="159" spans="1:26" ht="36" customHeight="1">
      <c r="A159" s="246" t="s">
        <v>284</v>
      </c>
      <c r="B159" s="247" t="s">
        <v>514</v>
      </c>
      <c r="C159" s="248">
        <f t="shared" ref="C159:K159" si="50">C160</f>
        <v>356</v>
      </c>
      <c r="D159" s="248">
        <f t="shared" si="50"/>
        <v>100</v>
      </c>
      <c r="E159" s="248">
        <f t="shared" si="50"/>
        <v>465</v>
      </c>
      <c r="F159" s="248">
        <f t="shared" si="50"/>
        <v>104</v>
      </c>
      <c r="G159" s="248">
        <f t="shared" si="50"/>
        <v>5206</v>
      </c>
      <c r="H159" s="248">
        <f t="shared" si="50"/>
        <v>18426</v>
      </c>
      <c r="I159" s="248">
        <f t="shared" si="50"/>
        <v>17223.95</v>
      </c>
      <c r="J159" s="248">
        <f t="shared" si="50"/>
        <v>16167.95</v>
      </c>
      <c r="K159" s="248">
        <f t="shared" si="50"/>
        <v>91</v>
      </c>
      <c r="L159" s="248">
        <f t="shared" si="48"/>
        <v>965</v>
      </c>
      <c r="M159" s="260"/>
      <c r="N159" s="260"/>
      <c r="O159" s="260"/>
      <c r="P159" s="163"/>
      <c r="Q159" s="163"/>
      <c r="R159" s="261"/>
      <c r="S159" s="254"/>
      <c r="T159" s="254"/>
      <c r="U159" s="254"/>
      <c r="V159" s="254"/>
      <c r="W159" s="254"/>
      <c r="X159" s="254"/>
      <c r="Y159" s="254"/>
      <c r="Z159" s="13"/>
    </row>
    <row r="160" spans="1:26" ht="15.75" customHeight="1">
      <c r="A160" s="246">
        <v>1</v>
      </c>
      <c r="B160" s="251" t="s">
        <v>515</v>
      </c>
      <c r="C160" s="248">
        <f t="shared" ref="C160:K160" si="51">C161+C199</f>
        <v>356</v>
      </c>
      <c r="D160" s="248">
        <f t="shared" si="51"/>
        <v>100</v>
      </c>
      <c r="E160" s="248">
        <f t="shared" si="51"/>
        <v>465</v>
      </c>
      <c r="F160" s="248">
        <f t="shared" si="51"/>
        <v>104</v>
      </c>
      <c r="G160" s="248">
        <f t="shared" si="51"/>
        <v>5206</v>
      </c>
      <c r="H160" s="248">
        <f t="shared" si="51"/>
        <v>18426</v>
      </c>
      <c r="I160" s="248">
        <f t="shared" si="51"/>
        <v>17223.95</v>
      </c>
      <c r="J160" s="248">
        <f t="shared" si="51"/>
        <v>16167.95</v>
      </c>
      <c r="K160" s="248">
        <f t="shared" si="51"/>
        <v>91</v>
      </c>
      <c r="L160" s="248">
        <f t="shared" si="48"/>
        <v>965</v>
      </c>
      <c r="M160" s="260"/>
      <c r="N160" s="260"/>
      <c r="O160" s="260"/>
      <c r="P160" s="163"/>
      <c r="Q160" s="163"/>
      <c r="R160" s="261"/>
      <c r="S160" s="254"/>
      <c r="T160" s="254"/>
      <c r="U160" s="254"/>
      <c r="V160" s="254"/>
      <c r="W160" s="254"/>
      <c r="X160" s="254"/>
      <c r="Y160" s="254"/>
      <c r="Z160" s="13"/>
    </row>
    <row r="161" spans="1:26" ht="15.75" customHeight="1">
      <c r="A161" s="246" t="s">
        <v>263</v>
      </c>
      <c r="B161" s="251" t="s">
        <v>592</v>
      </c>
      <c r="C161" s="248">
        <f t="shared" ref="C161:K161" si="52">C162+C165+C168+C171+C174+C177+C180+C183+C186+C189+C192+C195</f>
        <v>356</v>
      </c>
      <c r="D161" s="248">
        <f t="shared" si="52"/>
        <v>100</v>
      </c>
      <c r="E161" s="248">
        <f t="shared" si="52"/>
        <v>460</v>
      </c>
      <c r="F161" s="248">
        <f t="shared" si="52"/>
        <v>100</v>
      </c>
      <c r="G161" s="248">
        <f t="shared" si="52"/>
        <v>5206</v>
      </c>
      <c r="H161" s="248">
        <f t="shared" si="52"/>
        <v>18426</v>
      </c>
      <c r="I161" s="248">
        <f t="shared" si="52"/>
        <v>16794.75</v>
      </c>
      <c r="J161" s="248">
        <f t="shared" si="52"/>
        <v>15908.75</v>
      </c>
      <c r="K161" s="248">
        <f t="shared" si="52"/>
        <v>91</v>
      </c>
      <c r="L161" s="248">
        <f t="shared" si="48"/>
        <v>795</v>
      </c>
      <c r="M161" s="260"/>
      <c r="N161" s="260"/>
      <c r="O161" s="260"/>
      <c r="P161" s="163"/>
      <c r="Q161" s="163"/>
      <c r="R161" s="261"/>
      <c r="S161" s="254"/>
      <c r="T161" s="254"/>
      <c r="U161" s="254"/>
      <c r="V161" s="254"/>
      <c r="W161" s="254"/>
      <c r="X161" s="254"/>
      <c r="Y161" s="254"/>
      <c r="Z161" s="13"/>
    </row>
    <row r="162" spans="1:26" ht="15.75" customHeight="1">
      <c r="A162" s="255" t="s">
        <v>479</v>
      </c>
      <c r="B162" s="251" t="s">
        <v>542</v>
      </c>
      <c r="C162" s="256">
        <f t="shared" ref="C162:K162" si="53">SUM(C163:C164)</f>
        <v>35</v>
      </c>
      <c r="D162" s="256">
        <f t="shared" si="53"/>
        <v>11</v>
      </c>
      <c r="E162" s="256">
        <f t="shared" si="53"/>
        <v>18</v>
      </c>
      <c r="F162" s="256">
        <f t="shared" si="53"/>
        <v>11</v>
      </c>
      <c r="G162" s="256">
        <f t="shared" si="53"/>
        <v>612</v>
      </c>
      <c r="H162" s="256">
        <f t="shared" si="53"/>
        <v>1939</v>
      </c>
      <c r="I162" s="256">
        <f t="shared" si="53"/>
        <v>665.25</v>
      </c>
      <c r="J162" s="256">
        <f t="shared" si="53"/>
        <v>630.5</v>
      </c>
      <c r="K162" s="256">
        <f t="shared" si="53"/>
        <v>34.75</v>
      </c>
      <c r="L162" s="248">
        <f t="shared" si="48"/>
        <v>0</v>
      </c>
      <c r="M162" s="249"/>
      <c r="N162" s="249"/>
      <c r="O162" s="249"/>
      <c r="P162" s="252"/>
      <c r="Q162" s="252"/>
      <c r="R162" s="253"/>
      <c r="S162" s="254"/>
      <c r="T162" s="254"/>
      <c r="U162" s="254"/>
      <c r="V162" s="254"/>
      <c r="W162" s="254"/>
      <c r="X162" s="254"/>
      <c r="Y162" s="254"/>
      <c r="Z162" s="13"/>
    </row>
    <row r="163" spans="1:26" ht="15.75" customHeight="1">
      <c r="A163" s="257"/>
      <c r="B163" s="258" t="s">
        <v>543</v>
      </c>
      <c r="C163" s="263">
        <f>'B2 TOÁN  M'!C109</f>
        <v>23</v>
      </c>
      <c r="D163" s="263">
        <f>'B2 TOÁN  M'!D109</f>
        <v>7</v>
      </c>
      <c r="E163" s="263">
        <f>'B2 TOÁN  M'!E109</f>
        <v>10</v>
      </c>
      <c r="F163" s="263">
        <f>'B2 TOÁN  M'!F109</f>
        <v>7</v>
      </c>
      <c r="G163" s="263">
        <f>'B2 TOÁN  M'!G109</f>
        <v>340</v>
      </c>
      <c r="H163" s="263">
        <f>'B2 TOÁN  M'!H109</f>
        <v>1123</v>
      </c>
      <c r="I163" s="263">
        <f>'B2 TOÁN  M'!I109</f>
        <v>387.25</v>
      </c>
      <c r="J163" s="263">
        <f>'B2 TOÁN  M'!J109</f>
        <v>352.5</v>
      </c>
      <c r="K163" s="263">
        <f>'B2 TOÁN  M'!K109</f>
        <v>34.75</v>
      </c>
      <c r="L163" s="248">
        <f t="shared" si="48"/>
        <v>0</v>
      </c>
      <c r="M163" s="249"/>
      <c r="N163" s="249"/>
      <c r="O163" s="249"/>
      <c r="P163" s="252"/>
      <c r="Q163" s="252"/>
      <c r="R163" s="253"/>
      <c r="S163" s="254"/>
      <c r="T163" s="254"/>
      <c r="U163" s="254"/>
      <c r="V163" s="254"/>
      <c r="W163" s="254"/>
      <c r="X163" s="254"/>
      <c r="Y163" s="254"/>
      <c r="Z163" s="13"/>
    </row>
    <row r="164" spans="1:26" ht="15.75" customHeight="1">
      <c r="A164" s="257"/>
      <c r="B164" s="258" t="s">
        <v>544</v>
      </c>
      <c r="C164" s="259">
        <f>'B2 TOÁN  M'!C117</f>
        <v>12</v>
      </c>
      <c r="D164" s="259">
        <f>'B2 TOÁN  M'!D117</f>
        <v>4</v>
      </c>
      <c r="E164" s="259">
        <f>'B2 TOÁN  M'!E117</f>
        <v>8</v>
      </c>
      <c r="F164" s="259">
        <f>'B2 TOÁN  M'!F117</f>
        <v>4</v>
      </c>
      <c r="G164" s="259">
        <f>'B2 TOÁN  M'!G117</f>
        <v>272</v>
      </c>
      <c r="H164" s="259">
        <f>'B2 TOÁN  M'!H117</f>
        <v>816</v>
      </c>
      <c r="I164" s="259">
        <f>'B2 TOÁN  M'!I117</f>
        <v>278</v>
      </c>
      <c r="J164" s="259">
        <f>'B2 TOÁN  M'!J117</f>
        <v>278</v>
      </c>
      <c r="K164" s="259">
        <f>'B2 TOÁN  M'!K117</f>
        <v>0</v>
      </c>
      <c r="L164" s="248">
        <f t="shared" si="48"/>
        <v>0</v>
      </c>
      <c r="M164" s="249"/>
      <c r="N164" s="249"/>
      <c r="O164" s="249"/>
      <c r="P164" s="252"/>
      <c r="Q164" s="252"/>
      <c r="R164" s="253"/>
      <c r="S164" s="254"/>
      <c r="T164" s="254"/>
      <c r="U164" s="254"/>
      <c r="V164" s="254"/>
      <c r="W164" s="254"/>
      <c r="X164" s="254"/>
      <c r="Y164" s="254"/>
      <c r="Z164" s="13"/>
    </row>
    <row r="165" spans="1:26" ht="15.75" customHeight="1">
      <c r="A165" s="257" t="s">
        <v>481</v>
      </c>
      <c r="B165" s="251" t="s">
        <v>545</v>
      </c>
      <c r="C165" s="248">
        <f t="shared" ref="C165:K165" si="54">C166+C167</f>
        <v>0</v>
      </c>
      <c r="D165" s="248">
        <f t="shared" si="54"/>
        <v>0</v>
      </c>
      <c r="E165" s="248">
        <f t="shared" si="54"/>
        <v>0</v>
      </c>
      <c r="F165" s="248">
        <f t="shared" si="54"/>
        <v>0</v>
      </c>
      <c r="G165" s="248">
        <f t="shared" si="54"/>
        <v>0</v>
      </c>
      <c r="H165" s="248">
        <f t="shared" si="54"/>
        <v>0</v>
      </c>
      <c r="I165" s="248">
        <f t="shared" si="54"/>
        <v>0</v>
      </c>
      <c r="J165" s="248">
        <f t="shared" si="54"/>
        <v>0</v>
      </c>
      <c r="K165" s="248">
        <f t="shared" si="54"/>
        <v>0</v>
      </c>
      <c r="L165" s="248">
        <f t="shared" si="48"/>
        <v>0</v>
      </c>
      <c r="M165" s="249"/>
      <c r="N165" s="249"/>
      <c r="O165" s="249"/>
      <c r="P165" s="252"/>
      <c r="Q165" s="252"/>
      <c r="R165" s="253"/>
      <c r="S165" s="254"/>
      <c r="T165" s="254"/>
      <c r="U165" s="254"/>
      <c r="V165" s="254"/>
      <c r="W165" s="254"/>
      <c r="X165" s="254"/>
      <c r="Y165" s="254"/>
      <c r="Z165" s="13"/>
    </row>
    <row r="166" spans="1:26" ht="15.75" customHeight="1">
      <c r="A166" s="262"/>
      <c r="B166" s="258" t="s">
        <v>543</v>
      </c>
      <c r="C166" s="263">
        <v>0</v>
      </c>
      <c r="D166" s="263">
        <v>0</v>
      </c>
      <c r="E166" s="263">
        <v>0</v>
      </c>
      <c r="F166" s="263">
        <v>0</v>
      </c>
      <c r="G166" s="263">
        <v>0</v>
      </c>
      <c r="H166" s="263">
        <v>0</v>
      </c>
      <c r="I166" s="263">
        <v>0</v>
      </c>
      <c r="J166" s="263">
        <v>0</v>
      </c>
      <c r="K166" s="248">
        <v>0</v>
      </c>
      <c r="L166" s="248">
        <f t="shared" si="48"/>
        <v>0</v>
      </c>
      <c r="M166" s="249"/>
      <c r="N166" s="249"/>
      <c r="O166" s="249"/>
      <c r="P166" s="252"/>
      <c r="Q166" s="252"/>
      <c r="R166" s="253"/>
      <c r="S166" s="254"/>
      <c r="T166" s="254"/>
      <c r="U166" s="254"/>
      <c r="V166" s="254"/>
      <c r="W166" s="254"/>
      <c r="X166" s="254"/>
      <c r="Y166" s="254"/>
      <c r="Z166" s="13"/>
    </row>
    <row r="167" spans="1:26" ht="15.75" customHeight="1">
      <c r="A167" s="262"/>
      <c r="B167" s="258" t="s">
        <v>544</v>
      </c>
      <c r="C167" s="263">
        <v>0</v>
      </c>
      <c r="D167" s="263">
        <v>0</v>
      </c>
      <c r="E167" s="263">
        <v>0</v>
      </c>
      <c r="F167" s="263">
        <v>0</v>
      </c>
      <c r="G167" s="263">
        <v>0</v>
      </c>
      <c r="H167" s="263">
        <v>0</v>
      </c>
      <c r="I167" s="263">
        <v>0</v>
      </c>
      <c r="J167" s="263">
        <v>0</v>
      </c>
      <c r="K167" s="248">
        <v>0</v>
      </c>
      <c r="L167" s="248">
        <f t="shared" si="48"/>
        <v>0</v>
      </c>
      <c r="M167" s="249"/>
      <c r="N167" s="249"/>
      <c r="O167" s="249"/>
      <c r="P167" s="252"/>
      <c r="Q167" s="252"/>
      <c r="R167" s="253"/>
      <c r="S167" s="254"/>
      <c r="T167" s="254"/>
      <c r="U167" s="254"/>
      <c r="V167" s="254"/>
      <c r="W167" s="254"/>
      <c r="X167" s="254"/>
      <c r="Y167" s="254"/>
      <c r="Z167" s="13"/>
    </row>
    <row r="168" spans="1:26" ht="15.75" customHeight="1">
      <c r="A168" s="262" t="s">
        <v>483</v>
      </c>
      <c r="B168" s="251" t="s">
        <v>546</v>
      </c>
      <c r="C168" s="256">
        <f t="shared" ref="C168:K168" si="55">C169+C170</f>
        <v>0</v>
      </c>
      <c r="D168" s="256">
        <f t="shared" si="55"/>
        <v>0</v>
      </c>
      <c r="E168" s="256">
        <f t="shared" si="55"/>
        <v>0</v>
      </c>
      <c r="F168" s="256">
        <f t="shared" si="55"/>
        <v>0</v>
      </c>
      <c r="G168" s="256">
        <f t="shared" si="55"/>
        <v>0</v>
      </c>
      <c r="H168" s="256">
        <f t="shared" si="55"/>
        <v>0</v>
      </c>
      <c r="I168" s="256">
        <f t="shared" si="55"/>
        <v>0</v>
      </c>
      <c r="J168" s="256">
        <f t="shared" si="55"/>
        <v>0</v>
      </c>
      <c r="K168" s="256">
        <f t="shared" si="55"/>
        <v>0</v>
      </c>
      <c r="L168" s="248">
        <f t="shared" si="48"/>
        <v>0</v>
      </c>
      <c r="M168" s="249"/>
      <c r="N168" s="249"/>
      <c r="O168" s="249"/>
      <c r="P168" s="252"/>
      <c r="Q168" s="252"/>
      <c r="R168" s="253"/>
      <c r="S168" s="254"/>
      <c r="T168" s="254"/>
      <c r="U168" s="254"/>
      <c r="V168" s="254"/>
      <c r="W168" s="254"/>
      <c r="X168" s="254"/>
      <c r="Y168" s="254"/>
      <c r="Z168" s="13"/>
    </row>
    <row r="169" spans="1:26" ht="15.75" customHeight="1">
      <c r="A169" s="262"/>
      <c r="B169" s="258" t="s">
        <v>543</v>
      </c>
      <c r="C169" s="259">
        <v>0</v>
      </c>
      <c r="D169" s="259">
        <v>0</v>
      </c>
      <c r="E169" s="259">
        <v>0</v>
      </c>
      <c r="F169" s="259">
        <v>0</v>
      </c>
      <c r="G169" s="259">
        <v>0</v>
      </c>
      <c r="H169" s="259">
        <v>0</v>
      </c>
      <c r="I169" s="259">
        <v>0</v>
      </c>
      <c r="J169" s="248">
        <v>0</v>
      </c>
      <c r="K169" s="248">
        <v>0</v>
      </c>
      <c r="L169" s="248">
        <f t="shared" si="48"/>
        <v>0</v>
      </c>
      <c r="M169" s="249"/>
      <c r="N169" s="249"/>
      <c r="O169" s="249"/>
      <c r="P169" s="252"/>
      <c r="Q169" s="252"/>
      <c r="R169" s="253"/>
      <c r="S169" s="254"/>
      <c r="T169" s="254"/>
      <c r="U169" s="254"/>
      <c r="V169" s="254"/>
      <c r="W169" s="254"/>
      <c r="X169" s="254"/>
      <c r="Y169" s="254"/>
      <c r="Z169" s="13"/>
    </row>
    <row r="170" spans="1:26" ht="15.75" customHeight="1">
      <c r="A170" s="262"/>
      <c r="B170" s="258" t="s">
        <v>544</v>
      </c>
      <c r="C170" s="259">
        <v>0</v>
      </c>
      <c r="D170" s="259">
        <v>0</v>
      </c>
      <c r="E170" s="259">
        <v>0</v>
      </c>
      <c r="F170" s="259">
        <v>0</v>
      </c>
      <c r="G170" s="259">
        <v>0</v>
      </c>
      <c r="H170" s="259">
        <v>0</v>
      </c>
      <c r="I170" s="259">
        <v>0</v>
      </c>
      <c r="J170" s="248">
        <v>0</v>
      </c>
      <c r="K170" s="248">
        <v>0</v>
      </c>
      <c r="L170" s="248">
        <f t="shared" si="48"/>
        <v>0</v>
      </c>
      <c r="M170" s="249"/>
      <c r="N170" s="249"/>
      <c r="O170" s="249"/>
      <c r="P170" s="252"/>
      <c r="Q170" s="252"/>
      <c r="R170" s="253"/>
      <c r="S170" s="254"/>
      <c r="T170" s="254"/>
      <c r="U170" s="254"/>
      <c r="V170" s="254"/>
      <c r="W170" s="254"/>
      <c r="X170" s="254"/>
      <c r="Y170" s="254"/>
      <c r="Z170" s="13"/>
    </row>
    <row r="171" spans="1:26" ht="15.75" customHeight="1">
      <c r="A171" s="264" t="s">
        <v>484</v>
      </c>
      <c r="B171" s="251" t="s">
        <v>547</v>
      </c>
      <c r="C171" s="256">
        <f t="shared" ref="C171:K171" si="56">C172+C173</f>
        <v>0</v>
      </c>
      <c r="D171" s="256">
        <f t="shared" si="56"/>
        <v>0</v>
      </c>
      <c r="E171" s="256">
        <f t="shared" si="56"/>
        <v>0</v>
      </c>
      <c r="F171" s="256">
        <f t="shared" si="56"/>
        <v>0</v>
      </c>
      <c r="G171" s="256">
        <f t="shared" si="56"/>
        <v>0</v>
      </c>
      <c r="H171" s="256">
        <f t="shared" si="56"/>
        <v>0</v>
      </c>
      <c r="I171" s="256">
        <f t="shared" si="56"/>
        <v>0</v>
      </c>
      <c r="J171" s="256">
        <f t="shared" si="56"/>
        <v>0</v>
      </c>
      <c r="K171" s="256">
        <f t="shared" si="56"/>
        <v>0</v>
      </c>
      <c r="L171" s="248">
        <f t="shared" si="48"/>
        <v>0</v>
      </c>
      <c r="M171" s="249"/>
      <c r="N171" s="249"/>
      <c r="O171" s="249"/>
      <c r="P171" s="252"/>
      <c r="Q171" s="252"/>
      <c r="R171" s="253"/>
      <c r="S171" s="254"/>
      <c r="T171" s="254"/>
      <c r="U171" s="254"/>
      <c r="V171" s="254"/>
      <c r="W171" s="254"/>
      <c r="X171" s="254"/>
      <c r="Y171" s="254"/>
      <c r="Z171" s="13"/>
    </row>
    <row r="172" spans="1:26" ht="15.75" customHeight="1">
      <c r="A172" s="262"/>
      <c r="B172" s="258" t="s">
        <v>543</v>
      </c>
      <c r="C172" s="259">
        <f>'B2 SINH'!C75</f>
        <v>0</v>
      </c>
      <c r="D172" s="259">
        <f>'B2 SINH'!D75</f>
        <v>0</v>
      </c>
      <c r="E172" s="259">
        <f>'B2 SINH'!E75</f>
        <v>0</v>
      </c>
      <c r="F172" s="259">
        <f>'B2 SINH'!F75</f>
        <v>0</v>
      </c>
      <c r="G172" s="259">
        <f>'B2 SINH'!G75</f>
        <v>0</v>
      </c>
      <c r="H172" s="259">
        <f>'B2 SINH'!H75</f>
        <v>0</v>
      </c>
      <c r="I172" s="259">
        <f>'B2 SINH'!I75</f>
        <v>0</v>
      </c>
      <c r="J172" s="259">
        <f>'B2 SINH'!J75</f>
        <v>0</v>
      </c>
      <c r="K172" s="259">
        <f>'B2 SINH'!K75</f>
        <v>0</v>
      </c>
      <c r="L172" s="259">
        <f>'B2 SINH'!L75</f>
        <v>0</v>
      </c>
      <c r="M172" s="249"/>
      <c r="N172" s="249"/>
      <c r="O172" s="249"/>
      <c r="P172" s="252"/>
      <c r="Q172" s="252"/>
      <c r="R172" s="253"/>
      <c r="S172" s="254"/>
      <c r="T172" s="254"/>
      <c r="U172" s="254"/>
      <c r="V172" s="254"/>
      <c r="W172" s="254"/>
      <c r="X172" s="254"/>
      <c r="Y172" s="254"/>
      <c r="Z172" s="13"/>
    </row>
    <row r="173" spans="1:26" ht="15.75" customHeight="1">
      <c r="A173" s="262"/>
      <c r="B173" s="258" t="s">
        <v>544</v>
      </c>
      <c r="C173" s="259">
        <v>0</v>
      </c>
      <c r="D173" s="259">
        <v>0</v>
      </c>
      <c r="E173" s="259">
        <v>0</v>
      </c>
      <c r="F173" s="259">
        <v>0</v>
      </c>
      <c r="G173" s="259">
        <v>0</v>
      </c>
      <c r="H173" s="259">
        <v>0</v>
      </c>
      <c r="I173" s="259">
        <v>0</v>
      </c>
      <c r="J173" s="263">
        <v>0</v>
      </c>
      <c r="K173" s="263">
        <v>0</v>
      </c>
      <c r="L173" s="248">
        <f t="shared" ref="L173:L180" si="57">I173-(J173+K173)</f>
        <v>0</v>
      </c>
      <c r="M173" s="249"/>
      <c r="N173" s="249"/>
      <c r="O173" s="249"/>
      <c r="P173" s="252"/>
      <c r="Q173" s="252"/>
      <c r="R173" s="253"/>
      <c r="S173" s="254"/>
      <c r="T173" s="254"/>
      <c r="U173" s="254"/>
      <c r="V173" s="254"/>
      <c r="W173" s="254"/>
      <c r="X173" s="254"/>
      <c r="Y173" s="254"/>
      <c r="Z173" s="13"/>
    </row>
    <row r="174" spans="1:26" ht="15.75" customHeight="1">
      <c r="A174" s="257" t="s">
        <v>485</v>
      </c>
      <c r="B174" s="251" t="s">
        <v>548</v>
      </c>
      <c r="C174" s="256">
        <f t="shared" ref="C174:K174" si="58">SUM(C175:C176)</f>
        <v>30</v>
      </c>
      <c r="D174" s="256">
        <f t="shared" si="58"/>
        <v>8</v>
      </c>
      <c r="E174" s="256">
        <f t="shared" si="58"/>
        <v>24</v>
      </c>
      <c r="F174" s="256">
        <f t="shared" si="58"/>
        <v>8</v>
      </c>
      <c r="G174" s="256">
        <f t="shared" si="58"/>
        <v>320</v>
      </c>
      <c r="H174" s="256">
        <f t="shared" si="58"/>
        <v>1200</v>
      </c>
      <c r="I174" s="256">
        <f t="shared" si="58"/>
        <v>1042.5</v>
      </c>
      <c r="J174" s="256">
        <f t="shared" si="58"/>
        <v>1042.5</v>
      </c>
      <c r="K174" s="256">
        <f t="shared" si="58"/>
        <v>0</v>
      </c>
      <c r="L174" s="248">
        <f t="shared" si="57"/>
        <v>0</v>
      </c>
      <c r="M174" s="260"/>
      <c r="N174" s="260"/>
      <c r="O174" s="260"/>
      <c r="P174" s="163"/>
      <c r="Q174" s="163"/>
      <c r="R174" s="261"/>
      <c r="S174" s="254"/>
      <c r="T174" s="254"/>
      <c r="U174" s="254"/>
      <c r="V174" s="254"/>
      <c r="W174" s="254"/>
      <c r="X174" s="254"/>
      <c r="Y174" s="254"/>
      <c r="Z174" s="13"/>
    </row>
    <row r="175" spans="1:26" ht="15.75" customHeight="1">
      <c r="A175" s="262"/>
      <c r="B175" s="258" t="s">
        <v>543</v>
      </c>
      <c r="C175" s="259">
        <f>'B2 TIN M'!C53</f>
        <v>21</v>
      </c>
      <c r="D175" s="259">
        <f>'B2 TIN M'!D53</f>
        <v>5</v>
      </c>
      <c r="E175" s="259">
        <f>'B2 TIN M'!E53</f>
        <v>15</v>
      </c>
      <c r="F175" s="259">
        <f>'B2 TIN M'!F53</f>
        <v>5</v>
      </c>
      <c r="G175" s="259">
        <f>'B2 TIN M'!G53</f>
        <v>200</v>
      </c>
      <c r="H175" s="259">
        <f>'B2 TIN M'!H53</f>
        <v>840</v>
      </c>
      <c r="I175" s="259">
        <f>'B2 TIN M'!I53</f>
        <v>729.75</v>
      </c>
      <c r="J175" s="259">
        <f>'B2 TIN M'!J53</f>
        <v>729.75</v>
      </c>
      <c r="K175" s="259">
        <v>0</v>
      </c>
      <c r="L175" s="248">
        <f t="shared" si="57"/>
        <v>0</v>
      </c>
      <c r="M175" s="260"/>
      <c r="N175" s="260"/>
      <c r="O175" s="260"/>
      <c r="P175" s="163"/>
      <c r="Q175" s="163"/>
      <c r="R175" s="261"/>
      <c r="S175" s="254"/>
      <c r="T175" s="254"/>
      <c r="U175" s="254"/>
      <c r="V175" s="254"/>
      <c r="W175" s="254"/>
      <c r="X175" s="254"/>
      <c r="Y175" s="254"/>
      <c r="Z175" s="13"/>
    </row>
    <row r="176" spans="1:26" ht="15.75" customHeight="1">
      <c r="A176" s="262"/>
      <c r="B176" s="258" t="s">
        <v>544</v>
      </c>
      <c r="C176" s="259">
        <f>'B2 TIN M'!C59</f>
        <v>9</v>
      </c>
      <c r="D176" s="259">
        <f>'B2 TIN M'!D59</f>
        <v>3</v>
      </c>
      <c r="E176" s="259">
        <f>'B2 TIN M'!E59</f>
        <v>9</v>
      </c>
      <c r="F176" s="259">
        <f>'B2 TIN M'!F59</f>
        <v>3</v>
      </c>
      <c r="G176" s="259">
        <f>'B2 TIN M'!G59</f>
        <v>120</v>
      </c>
      <c r="H176" s="259">
        <f>'B2 TIN M'!H59</f>
        <v>360</v>
      </c>
      <c r="I176" s="259">
        <f>'B2 TIN M'!I59</f>
        <v>312.75</v>
      </c>
      <c r="J176" s="259">
        <f>'B2 TIN M'!J59</f>
        <v>312.75</v>
      </c>
      <c r="K176" s="259">
        <f>'B2 TIN M'!K59</f>
        <v>0</v>
      </c>
      <c r="L176" s="248">
        <f t="shared" si="57"/>
        <v>0</v>
      </c>
      <c r="M176" s="260"/>
      <c r="N176" s="260"/>
      <c r="O176" s="260"/>
      <c r="P176" s="163"/>
      <c r="Q176" s="163"/>
      <c r="R176" s="261"/>
      <c r="S176" s="254"/>
      <c r="T176" s="254"/>
      <c r="U176" s="254"/>
      <c r="V176" s="254"/>
      <c r="W176" s="254"/>
      <c r="X176" s="254"/>
      <c r="Y176" s="254"/>
      <c r="Z176" s="13"/>
    </row>
    <row r="177" spans="1:26" ht="15.75" customHeight="1">
      <c r="A177" s="262" t="s">
        <v>486</v>
      </c>
      <c r="B177" s="251" t="s">
        <v>549</v>
      </c>
      <c r="C177" s="256">
        <f t="shared" ref="C177:K177" si="59">C178+C179</f>
        <v>24</v>
      </c>
      <c r="D177" s="256">
        <f t="shared" si="59"/>
        <v>7</v>
      </c>
      <c r="E177" s="256">
        <f t="shared" si="59"/>
        <v>7</v>
      </c>
      <c r="F177" s="256">
        <f t="shared" si="59"/>
        <v>7</v>
      </c>
      <c r="G177" s="256">
        <f t="shared" si="59"/>
        <v>341</v>
      </c>
      <c r="H177" s="256">
        <f t="shared" si="59"/>
        <v>1167</v>
      </c>
      <c r="I177" s="256">
        <f t="shared" si="59"/>
        <v>283</v>
      </c>
      <c r="J177" s="256">
        <f t="shared" si="59"/>
        <v>283</v>
      </c>
      <c r="K177" s="256">
        <f t="shared" si="59"/>
        <v>0</v>
      </c>
      <c r="L177" s="248">
        <f t="shared" si="57"/>
        <v>0</v>
      </c>
      <c r="M177" s="272"/>
      <c r="N177" s="272"/>
      <c r="O177" s="272"/>
      <c r="P177" s="281"/>
      <c r="Q177" s="281"/>
      <c r="R177" s="281"/>
      <c r="S177" s="254"/>
      <c r="T177" s="254"/>
      <c r="U177" s="254"/>
      <c r="V177" s="254"/>
      <c r="W177" s="254"/>
      <c r="X177" s="254"/>
      <c r="Y177" s="254"/>
      <c r="Z177" s="13"/>
    </row>
    <row r="178" spans="1:26" ht="15.75" customHeight="1">
      <c r="A178" s="262"/>
      <c r="B178" s="258" t="s">
        <v>543</v>
      </c>
      <c r="C178" s="259">
        <f>'B2 VĂN M'!C81</f>
        <v>11</v>
      </c>
      <c r="D178" s="259">
        <f>'B2 VĂN M'!D81</f>
        <v>3</v>
      </c>
      <c r="E178" s="259">
        <f>'B2 VĂN M'!E81</f>
        <v>3</v>
      </c>
      <c r="F178" s="259">
        <f>'B2 VĂN M'!F81</f>
        <v>3</v>
      </c>
      <c r="G178" s="259">
        <f>'B2 VĂN M'!G81</f>
        <v>141</v>
      </c>
      <c r="H178" s="259">
        <f>'B2 VĂN M'!H81</f>
        <v>517</v>
      </c>
      <c r="I178" s="259">
        <f>'B2 VĂN M'!I81</f>
        <v>130.75</v>
      </c>
      <c r="J178" s="259">
        <f>'B2 VĂN M'!J81</f>
        <v>130.75</v>
      </c>
      <c r="K178" s="259">
        <f>'B2 VĂN M'!K81</f>
        <v>0</v>
      </c>
      <c r="L178" s="248">
        <f t="shared" si="57"/>
        <v>0</v>
      </c>
      <c r="M178" s="260"/>
      <c r="N178" s="260"/>
      <c r="O178" s="260"/>
      <c r="P178" s="163"/>
      <c r="Q178" s="163"/>
      <c r="R178" s="261"/>
      <c r="S178" s="254"/>
      <c r="T178" s="254"/>
      <c r="U178" s="254"/>
      <c r="V178" s="254"/>
      <c r="W178" s="254"/>
      <c r="X178" s="254"/>
      <c r="Y178" s="254"/>
      <c r="Z178" s="13"/>
    </row>
    <row r="179" spans="1:26" ht="15.75" customHeight="1">
      <c r="A179" s="262"/>
      <c r="B179" s="258" t="s">
        <v>544</v>
      </c>
      <c r="C179" s="259">
        <f>'B2 VĂN M'!C85</f>
        <v>13</v>
      </c>
      <c r="D179" s="259">
        <f>'B2 VĂN M'!D85</f>
        <v>4</v>
      </c>
      <c r="E179" s="259">
        <f>'B2 VĂN M'!E85</f>
        <v>4</v>
      </c>
      <c r="F179" s="259">
        <f>'B2 VĂN M'!F85</f>
        <v>4</v>
      </c>
      <c r="G179" s="259">
        <f>'B2 VĂN M'!G85</f>
        <v>200</v>
      </c>
      <c r="H179" s="259">
        <f>'B2 VĂN M'!H85</f>
        <v>650</v>
      </c>
      <c r="I179" s="259">
        <f>'B2 VĂN M'!I85</f>
        <v>152.25</v>
      </c>
      <c r="J179" s="259">
        <f>'B2 VĂN M'!J85</f>
        <v>152.25</v>
      </c>
      <c r="K179" s="259">
        <f>'B2 VĂN M'!K85</f>
        <v>0</v>
      </c>
      <c r="L179" s="248">
        <f t="shared" si="57"/>
        <v>0</v>
      </c>
      <c r="M179" s="260"/>
      <c r="N179" s="260"/>
      <c r="O179" s="260"/>
      <c r="P179" s="163"/>
      <c r="Q179" s="163"/>
      <c r="R179" s="261"/>
      <c r="S179" s="254"/>
      <c r="T179" s="254"/>
      <c r="U179" s="254"/>
      <c r="V179" s="254"/>
      <c r="W179" s="254"/>
      <c r="X179" s="254"/>
      <c r="Y179" s="254"/>
      <c r="Z179" s="13"/>
    </row>
    <row r="180" spans="1:26" ht="15.75" customHeight="1">
      <c r="A180" s="262" t="s">
        <v>487</v>
      </c>
      <c r="B180" s="251" t="s">
        <v>550</v>
      </c>
      <c r="C180" s="256">
        <f t="shared" ref="C180:K180" si="60">SUM(C181:C182)</f>
        <v>45</v>
      </c>
      <c r="D180" s="256">
        <f t="shared" si="60"/>
        <v>10</v>
      </c>
      <c r="E180" s="256">
        <f t="shared" si="60"/>
        <v>10</v>
      </c>
      <c r="F180" s="256">
        <f t="shared" si="60"/>
        <v>10</v>
      </c>
      <c r="G180" s="256">
        <f t="shared" si="60"/>
        <v>200</v>
      </c>
      <c r="H180" s="256">
        <f t="shared" si="60"/>
        <v>900</v>
      </c>
      <c r="I180" s="256">
        <f t="shared" si="60"/>
        <v>516.25</v>
      </c>
      <c r="J180" s="256">
        <f t="shared" si="60"/>
        <v>516.25</v>
      </c>
      <c r="K180" s="256">
        <f t="shared" si="60"/>
        <v>0</v>
      </c>
      <c r="L180" s="248">
        <f t="shared" si="57"/>
        <v>0</v>
      </c>
      <c r="M180" s="260"/>
      <c r="N180" s="260"/>
      <c r="O180" s="260"/>
      <c r="P180" s="163"/>
      <c r="Q180" s="163"/>
      <c r="R180" s="261"/>
      <c r="S180" s="254"/>
      <c r="T180" s="254"/>
      <c r="U180" s="254"/>
      <c r="V180" s="254"/>
      <c r="W180" s="254"/>
      <c r="X180" s="254"/>
      <c r="Y180" s="254"/>
      <c r="Z180" s="13"/>
    </row>
    <row r="181" spans="1:26" ht="15.75" customHeight="1">
      <c r="A181" s="262"/>
      <c r="B181" s="258" t="s">
        <v>543</v>
      </c>
      <c r="C181" s="259">
        <f>'B2 Sử M'!C81</f>
        <v>23</v>
      </c>
      <c r="D181" s="259">
        <f>'B2 Sử M'!D81</f>
        <v>5</v>
      </c>
      <c r="E181" s="259">
        <f>'B2 Sử M'!E81</f>
        <v>5</v>
      </c>
      <c r="F181" s="259">
        <f>'B2 Sử M'!F81</f>
        <v>5</v>
      </c>
      <c r="G181" s="259">
        <f>'B2 Sử M'!G81</f>
        <v>100</v>
      </c>
      <c r="H181" s="259">
        <f>'B2 Sử M'!H81</f>
        <v>460</v>
      </c>
      <c r="I181" s="259">
        <f>'B2 Sử M'!I81</f>
        <v>259.75</v>
      </c>
      <c r="J181" s="259">
        <f>'B2 Sử M'!J81</f>
        <v>259.75</v>
      </c>
      <c r="K181" s="259">
        <f>'B2 Sử M'!K81</f>
        <v>0</v>
      </c>
      <c r="L181" s="259">
        <f>'B2 Sử M'!L81</f>
        <v>0</v>
      </c>
      <c r="M181" s="260"/>
      <c r="N181" s="260"/>
      <c r="O181" s="260"/>
      <c r="P181" s="163"/>
      <c r="Q181" s="163"/>
      <c r="R181" s="261"/>
      <c r="S181" s="254"/>
      <c r="T181" s="254"/>
      <c r="U181" s="254"/>
      <c r="V181" s="254"/>
      <c r="W181" s="254"/>
      <c r="X181" s="254"/>
      <c r="Y181" s="254"/>
      <c r="Z181" s="13"/>
    </row>
    <row r="182" spans="1:26" ht="15.75" customHeight="1">
      <c r="A182" s="262"/>
      <c r="B182" s="258" t="s">
        <v>544</v>
      </c>
      <c r="C182" s="259">
        <f>'B2 Sử M'!C87</f>
        <v>22</v>
      </c>
      <c r="D182" s="259">
        <f>'B2 Sử M'!D87</f>
        <v>5</v>
      </c>
      <c r="E182" s="259">
        <f>'B2 Sử M'!E87</f>
        <v>5</v>
      </c>
      <c r="F182" s="259">
        <f>'B2 Sử M'!F87</f>
        <v>5</v>
      </c>
      <c r="G182" s="259">
        <f>'B2 Sử M'!G87</f>
        <v>100</v>
      </c>
      <c r="H182" s="259">
        <f>'B2 Sử M'!H87</f>
        <v>440</v>
      </c>
      <c r="I182" s="259">
        <f>'B2 Sử M'!I87</f>
        <v>256.5</v>
      </c>
      <c r="J182" s="259">
        <f>'B2 Sử M'!J87</f>
        <v>256.5</v>
      </c>
      <c r="K182" s="259">
        <f>'B2 Sử M'!K87</f>
        <v>0</v>
      </c>
      <c r="L182" s="259">
        <f>'B2 Sử M'!L87</f>
        <v>0</v>
      </c>
      <c r="M182" s="260"/>
      <c r="N182" s="260"/>
      <c r="O182" s="260"/>
      <c r="P182" s="163"/>
      <c r="Q182" s="163"/>
      <c r="R182" s="261"/>
      <c r="S182" s="254"/>
      <c r="T182" s="254"/>
      <c r="U182" s="254"/>
      <c r="V182" s="254"/>
      <c r="W182" s="254"/>
      <c r="X182" s="254"/>
      <c r="Y182" s="254"/>
      <c r="Z182" s="13"/>
    </row>
    <row r="183" spans="1:26" ht="15.75" customHeight="1">
      <c r="A183" s="264" t="s">
        <v>488</v>
      </c>
      <c r="B183" s="251" t="s">
        <v>551</v>
      </c>
      <c r="C183" s="256">
        <f t="shared" ref="C183:K183" si="61">C184+C185</f>
        <v>15</v>
      </c>
      <c r="D183" s="256">
        <f t="shared" si="61"/>
        <v>3</v>
      </c>
      <c r="E183" s="256">
        <f t="shared" si="61"/>
        <v>3</v>
      </c>
      <c r="F183" s="256">
        <f t="shared" si="61"/>
        <v>3</v>
      </c>
      <c r="G183" s="256">
        <f t="shared" si="61"/>
        <v>108</v>
      </c>
      <c r="H183" s="256">
        <f t="shared" si="61"/>
        <v>540</v>
      </c>
      <c r="I183" s="256">
        <f t="shared" si="61"/>
        <v>168.75</v>
      </c>
      <c r="J183" s="256">
        <f t="shared" si="61"/>
        <v>112.5</v>
      </c>
      <c r="K183" s="256">
        <f t="shared" si="61"/>
        <v>56.25</v>
      </c>
      <c r="L183" s="248">
        <f>I183-(J183+K183)</f>
        <v>0</v>
      </c>
      <c r="M183" s="260"/>
      <c r="N183" s="260"/>
      <c r="O183" s="260"/>
      <c r="P183" s="163"/>
      <c r="Q183" s="163"/>
      <c r="R183" s="261"/>
      <c r="S183" s="254"/>
      <c r="T183" s="254"/>
      <c r="U183" s="254"/>
      <c r="V183" s="254"/>
      <c r="W183" s="254"/>
      <c r="X183" s="254"/>
      <c r="Y183" s="254"/>
      <c r="Z183" s="13"/>
    </row>
    <row r="184" spans="1:26" ht="15.75" customHeight="1">
      <c r="A184" s="262"/>
      <c r="B184" s="258" t="s">
        <v>543</v>
      </c>
      <c r="C184" s="259">
        <f>'B2 ĐỊA LÝ'!C85</f>
        <v>15</v>
      </c>
      <c r="D184" s="259">
        <f>'B2 ĐỊA LÝ'!D85</f>
        <v>3</v>
      </c>
      <c r="E184" s="259">
        <f>'B2 ĐỊA LÝ'!E85</f>
        <v>3</v>
      </c>
      <c r="F184" s="259">
        <f>'B2 ĐỊA LÝ'!F85</f>
        <v>3</v>
      </c>
      <c r="G184" s="259">
        <f>'B2 ĐỊA LÝ'!G85</f>
        <v>108</v>
      </c>
      <c r="H184" s="259">
        <f>'B2 ĐỊA LÝ'!H85</f>
        <v>540</v>
      </c>
      <c r="I184" s="259">
        <f>'B2 ĐỊA LÝ'!I85</f>
        <v>168.75</v>
      </c>
      <c r="J184" s="259">
        <f>'B2 ĐỊA LÝ'!J85</f>
        <v>112.5</v>
      </c>
      <c r="K184" s="259">
        <f>'B2 ĐỊA LÝ'!K85</f>
        <v>56.25</v>
      </c>
      <c r="L184" s="259">
        <f>'B2 ĐỊA LÝ'!L85</f>
        <v>0</v>
      </c>
      <c r="M184" s="260"/>
      <c r="N184" s="260"/>
      <c r="O184" s="260"/>
      <c r="P184" s="163"/>
      <c r="Q184" s="163"/>
      <c r="R184" s="261"/>
      <c r="S184" s="254"/>
      <c r="T184" s="254"/>
      <c r="U184" s="254"/>
      <c r="V184" s="254"/>
      <c r="W184" s="254"/>
      <c r="X184" s="254"/>
      <c r="Y184" s="254"/>
      <c r="Z184" s="13"/>
    </row>
    <row r="185" spans="1:26" ht="15.75" customHeight="1">
      <c r="A185" s="262"/>
      <c r="B185" s="258" t="s">
        <v>544</v>
      </c>
      <c r="C185" s="259">
        <v>0</v>
      </c>
      <c r="D185" s="259">
        <v>0</v>
      </c>
      <c r="E185" s="259">
        <v>0</v>
      </c>
      <c r="F185" s="259">
        <v>0</v>
      </c>
      <c r="G185" s="259">
        <v>0</v>
      </c>
      <c r="H185" s="259">
        <v>0</v>
      </c>
      <c r="I185" s="259">
        <v>0</v>
      </c>
      <c r="J185" s="263">
        <v>0</v>
      </c>
      <c r="K185" s="263">
        <v>0</v>
      </c>
      <c r="L185" s="248">
        <f t="shared" ref="L185:L189" si="62">I185-(J185+K185)</f>
        <v>0</v>
      </c>
      <c r="M185" s="260"/>
      <c r="N185" s="260"/>
      <c r="O185" s="260"/>
      <c r="P185" s="163"/>
      <c r="Q185" s="163"/>
      <c r="R185" s="261"/>
      <c r="S185" s="254"/>
      <c r="T185" s="254"/>
      <c r="U185" s="254"/>
      <c r="V185" s="254"/>
      <c r="W185" s="254"/>
      <c r="X185" s="254"/>
      <c r="Y185" s="254"/>
      <c r="Z185" s="13"/>
    </row>
    <row r="186" spans="1:26" ht="15.75" customHeight="1">
      <c r="A186" s="257" t="s">
        <v>489</v>
      </c>
      <c r="B186" s="251" t="s">
        <v>552</v>
      </c>
      <c r="C186" s="256">
        <f t="shared" ref="C186:K186" si="63">C187+C188</f>
        <v>18</v>
      </c>
      <c r="D186" s="256">
        <f t="shared" si="63"/>
        <v>8</v>
      </c>
      <c r="E186" s="256">
        <f t="shared" si="63"/>
        <v>120</v>
      </c>
      <c r="F186" s="256">
        <f t="shared" si="63"/>
        <v>8</v>
      </c>
      <c r="G186" s="256">
        <f t="shared" si="63"/>
        <v>320</v>
      </c>
      <c r="H186" s="256">
        <f t="shared" si="63"/>
        <v>540</v>
      </c>
      <c r="I186" s="256">
        <f t="shared" si="63"/>
        <v>3427.5</v>
      </c>
      <c r="J186" s="256">
        <f t="shared" si="63"/>
        <v>3427.5</v>
      </c>
      <c r="K186" s="256">
        <f t="shared" si="63"/>
        <v>0</v>
      </c>
      <c r="L186" s="248">
        <f t="shared" si="62"/>
        <v>0</v>
      </c>
      <c r="M186" s="260"/>
      <c r="N186" s="260"/>
      <c r="O186" s="260"/>
      <c r="P186" s="151"/>
      <c r="Q186" s="151"/>
      <c r="R186" s="261"/>
      <c r="S186" s="254"/>
      <c r="T186" s="254"/>
      <c r="U186" s="254"/>
      <c r="V186" s="254"/>
      <c r="W186" s="254"/>
      <c r="X186" s="254"/>
      <c r="Y186" s="254"/>
      <c r="Z186" s="13"/>
    </row>
    <row r="187" spans="1:26" ht="15.75" customHeight="1">
      <c r="A187" s="262"/>
      <c r="B187" s="258" t="s">
        <v>543</v>
      </c>
      <c r="C187" s="259">
        <f>'B2 GDCT M'!C52</f>
        <v>9</v>
      </c>
      <c r="D187" s="259">
        <f>'B2 GDCT M'!D52</f>
        <v>4</v>
      </c>
      <c r="E187" s="259">
        <f>'B2 GDCT M'!E52</f>
        <v>60</v>
      </c>
      <c r="F187" s="259">
        <f>'B2 GDCT M'!F52</f>
        <v>4</v>
      </c>
      <c r="G187" s="259">
        <f>'B2 GDCT M'!G52</f>
        <v>160</v>
      </c>
      <c r="H187" s="259">
        <f>'B2 GDCT M'!H52</f>
        <v>270</v>
      </c>
      <c r="I187" s="259">
        <f>'B2 GDCT M'!I52</f>
        <v>1713.75</v>
      </c>
      <c r="J187" s="259">
        <f>'B2 GDCT M'!J52</f>
        <v>1713.75</v>
      </c>
      <c r="K187" s="259">
        <f>'B2 GDCT M'!K52</f>
        <v>0</v>
      </c>
      <c r="L187" s="248">
        <f t="shared" si="62"/>
        <v>0</v>
      </c>
      <c r="M187" s="260"/>
      <c r="N187" s="260"/>
      <c r="O187" s="260"/>
      <c r="P187" s="151"/>
      <c r="Q187" s="151"/>
      <c r="R187" s="261"/>
      <c r="S187" s="254"/>
      <c r="T187" s="254"/>
      <c r="U187" s="254"/>
      <c r="V187" s="254"/>
      <c r="W187" s="254"/>
      <c r="X187" s="254"/>
      <c r="Y187" s="254"/>
      <c r="Z187" s="13"/>
    </row>
    <row r="188" spans="1:26" ht="15.75" customHeight="1">
      <c r="A188" s="262"/>
      <c r="B188" s="258" t="s">
        <v>544</v>
      </c>
      <c r="C188" s="259">
        <f>'B2 GDCT M'!C57</f>
        <v>9</v>
      </c>
      <c r="D188" s="259">
        <f>'B2 GDCT M'!D57</f>
        <v>4</v>
      </c>
      <c r="E188" s="259">
        <f>'B2 GDCT M'!E57</f>
        <v>60</v>
      </c>
      <c r="F188" s="259">
        <f>'B2 GDCT M'!F57</f>
        <v>4</v>
      </c>
      <c r="G188" s="259">
        <f>'B2 GDCT M'!G57</f>
        <v>160</v>
      </c>
      <c r="H188" s="259">
        <f>'B2 GDCT M'!H57</f>
        <v>270</v>
      </c>
      <c r="I188" s="259">
        <f>'B2 GDCT M'!I57</f>
        <v>1713.75</v>
      </c>
      <c r="J188" s="259">
        <f>'B2 GDCT M'!J57</f>
        <v>1713.75</v>
      </c>
      <c r="K188" s="259">
        <f>'B2 GDCT M'!K57</f>
        <v>0</v>
      </c>
      <c r="L188" s="248">
        <f t="shared" si="62"/>
        <v>0</v>
      </c>
      <c r="M188" s="260"/>
      <c r="N188" s="260"/>
      <c r="O188" s="260"/>
      <c r="P188" s="151"/>
      <c r="Q188" s="151"/>
      <c r="R188" s="261"/>
      <c r="S188" s="254"/>
      <c r="T188" s="254"/>
      <c r="U188" s="254"/>
      <c r="V188" s="254"/>
      <c r="W188" s="254"/>
      <c r="X188" s="254"/>
      <c r="Y188" s="254"/>
      <c r="Z188" s="13"/>
    </row>
    <row r="189" spans="1:26" ht="15.75" customHeight="1">
      <c r="A189" s="262" t="s">
        <v>490</v>
      </c>
      <c r="B189" s="251" t="s">
        <v>567</v>
      </c>
      <c r="C189" s="273">
        <f t="shared" ref="C189:K189" si="64">C190+C191</f>
        <v>127</v>
      </c>
      <c r="D189" s="273">
        <f t="shared" si="64"/>
        <v>32</v>
      </c>
      <c r="E189" s="273">
        <f t="shared" si="64"/>
        <v>119</v>
      </c>
      <c r="F189" s="273">
        <f t="shared" si="64"/>
        <v>32</v>
      </c>
      <c r="G189" s="273">
        <f t="shared" si="64"/>
        <v>2240</v>
      </c>
      <c r="H189" s="273">
        <f t="shared" si="64"/>
        <v>8890</v>
      </c>
      <c r="I189" s="273">
        <f t="shared" si="64"/>
        <v>5392.75</v>
      </c>
      <c r="J189" s="273">
        <f t="shared" si="64"/>
        <v>5392.75</v>
      </c>
      <c r="K189" s="273">
        <f t="shared" si="64"/>
        <v>0</v>
      </c>
      <c r="L189" s="248">
        <f t="shared" si="62"/>
        <v>0</v>
      </c>
      <c r="M189" s="260"/>
      <c r="N189" s="260"/>
      <c r="O189" s="260"/>
      <c r="P189" s="163"/>
      <c r="Q189" s="163"/>
      <c r="R189" s="261"/>
      <c r="S189" s="254"/>
      <c r="T189" s="254"/>
      <c r="U189" s="254"/>
      <c r="V189" s="254"/>
      <c r="W189" s="254"/>
      <c r="X189" s="254"/>
      <c r="Y189" s="254"/>
      <c r="Z189" s="13"/>
    </row>
    <row r="190" spans="1:26" ht="15.75" customHeight="1">
      <c r="A190" s="262"/>
      <c r="B190" s="258" t="s">
        <v>543</v>
      </c>
      <c r="C190" s="259">
        <f>'B2 GDMN'!C67</f>
        <v>78</v>
      </c>
      <c r="D190" s="259">
        <f>'B2 GDMN'!D67</f>
        <v>20</v>
      </c>
      <c r="E190" s="259">
        <f>'B2 GDMN'!E67</f>
        <v>89</v>
      </c>
      <c r="F190" s="259">
        <f>'B2 GDMN'!F67</f>
        <v>20</v>
      </c>
      <c r="G190" s="259">
        <f>'B2 GDMN'!G67</f>
        <v>1400</v>
      </c>
      <c r="H190" s="259">
        <f>'B2 GDMN'!H67</f>
        <v>5460</v>
      </c>
      <c r="I190" s="259">
        <f>'B2 GDMN'!I67</f>
        <v>3992.75</v>
      </c>
      <c r="J190" s="259">
        <f>'B2 GDMN'!J67</f>
        <v>3992.75</v>
      </c>
      <c r="K190" s="259">
        <f>'B2 GDMN'!K67</f>
        <v>0</v>
      </c>
      <c r="L190" s="259">
        <f>'B2 GDMN'!L67</f>
        <v>0</v>
      </c>
      <c r="M190" s="260"/>
      <c r="N190" s="260"/>
      <c r="O190" s="260"/>
      <c r="P190" s="163"/>
      <c r="Q190" s="163"/>
      <c r="R190" s="261"/>
      <c r="S190" s="254"/>
      <c r="T190" s="254"/>
      <c r="U190" s="254"/>
      <c r="V190" s="254"/>
      <c r="W190" s="254"/>
      <c r="X190" s="254"/>
      <c r="Y190" s="254"/>
      <c r="Z190" s="13"/>
    </row>
    <row r="191" spans="1:26" ht="15.75" customHeight="1">
      <c r="A191" s="262"/>
      <c r="B191" s="258" t="s">
        <v>544</v>
      </c>
      <c r="C191" s="259">
        <f>'B2 GDMN'!C88</f>
        <v>49</v>
      </c>
      <c r="D191" s="259">
        <f>'B2 GDMN'!D88</f>
        <v>12</v>
      </c>
      <c r="E191" s="259">
        <f>'B2 GDMN'!E88</f>
        <v>30</v>
      </c>
      <c r="F191" s="259">
        <f>'B2 GDMN'!F88</f>
        <v>12</v>
      </c>
      <c r="G191" s="259">
        <f>'B2 GDMN'!G88</f>
        <v>840</v>
      </c>
      <c r="H191" s="259">
        <f>'B2 GDMN'!H88</f>
        <v>3430</v>
      </c>
      <c r="I191" s="259">
        <f>'B2 GDMN'!I88</f>
        <v>1400</v>
      </c>
      <c r="J191" s="259">
        <f>'B2 GDMN'!J88</f>
        <v>1400</v>
      </c>
      <c r="K191" s="259">
        <f>'B2 GDMN'!K88</f>
        <v>0</v>
      </c>
      <c r="L191" s="259">
        <f>'B2 GDMN'!L88</f>
        <v>0</v>
      </c>
      <c r="M191" s="260"/>
      <c r="N191" s="260"/>
      <c r="O191" s="260"/>
      <c r="P191" s="163"/>
      <c r="Q191" s="163"/>
      <c r="R191" s="261"/>
      <c r="S191" s="254"/>
      <c r="T191" s="254"/>
      <c r="U191" s="254"/>
      <c r="V191" s="254"/>
      <c r="W191" s="254"/>
      <c r="X191" s="254"/>
      <c r="Y191" s="254"/>
      <c r="Z191" s="13"/>
    </row>
    <row r="192" spans="1:26" ht="15.75" customHeight="1">
      <c r="A192" s="262" t="s">
        <v>491</v>
      </c>
      <c r="B192" s="251" t="s">
        <v>554</v>
      </c>
      <c r="C192" s="256">
        <f t="shared" ref="C192:L192" si="65">C193+C194</f>
        <v>40</v>
      </c>
      <c r="D192" s="256">
        <f t="shared" si="65"/>
        <v>14</v>
      </c>
      <c r="E192" s="256">
        <f t="shared" si="65"/>
        <v>120</v>
      </c>
      <c r="F192" s="256">
        <f t="shared" si="65"/>
        <v>14</v>
      </c>
      <c r="G192" s="256">
        <f t="shared" si="65"/>
        <v>680</v>
      </c>
      <c r="H192" s="256">
        <f t="shared" si="65"/>
        <v>2040</v>
      </c>
      <c r="I192" s="256">
        <f t="shared" si="65"/>
        <v>3878.25</v>
      </c>
      <c r="J192" s="256">
        <f t="shared" si="65"/>
        <v>3083.25</v>
      </c>
      <c r="K192" s="256">
        <f t="shared" si="65"/>
        <v>0</v>
      </c>
      <c r="L192" s="256">
        <f t="shared" si="65"/>
        <v>795</v>
      </c>
      <c r="M192" s="260"/>
      <c r="N192" s="260"/>
      <c r="O192" s="260"/>
      <c r="P192" s="163"/>
      <c r="Q192" s="163"/>
      <c r="R192" s="261"/>
      <c r="S192" s="254"/>
      <c r="T192" s="254"/>
      <c r="U192" s="254"/>
      <c r="V192" s="254"/>
      <c r="W192" s="254"/>
      <c r="X192" s="254"/>
      <c r="Y192" s="254"/>
      <c r="Z192" s="13"/>
    </row>
    <row r="193" spans="1:26" ht="15.75" customHeight="1">
      <c r="A193" s="262"/>
      <c r="B193" s="258" t="s">
        <v>543</v>
      </c>
      <c r="C193" s="259">
        <f>'B2 GDTH M'!C106</f>
        <v>40</v>
      </c>
      <c r="D193" s="259">
        <f>'B2 GDTH M'!D106</f>
        <v>14</v>
      </c>
      <c r="E193" s="259">
        <f>'B2 GDTH M'!E106</f>
        <v>120</v>
      </c>
      <c r="F193" s="259">
        <f>'B2 GDTH M'!F106</f>
        <v>14</v>
      </c>
      <c r="G193" s="259">
        <f>'B2 GDTH M'!G106</f>
        <v>680</v>
      </c>
      <c r="H193" s="259">
        <f>'B2 GDTH M'!H106</f>
        <v>2040</v>
      </c>
      <c r="I193" s="259">
        <f>'B2 GDTH M'!I106</f>
        <v>3878.25</v>
      </c>
      <c r="J193" s="259">
        <f>'B2 GDTH M'!J106</f>
        <v>3083.25</v>
      </c>
      <c r="K193" s="259">
        <f>'B2 GDTH M'!K106</f>
        <v>0</v>
      </c>
      <c r="L193" s="259">
        <f>'B2 GDTH M'!L106</f>
        <v>795</v>
      </c>
      <c r="M193" s="260"/>
      <c r="N193" s="260"/>
      <c r="O193" s="260"/>
      <c r="P193" s="163"/>
      <c r="Q193" s="163"/>
      <c r="R193" s="261"/>
      <c r="S193" s="254"/>
      <c r="T193" s="254"/>
      <c r="U193" s="254"/>
      <c r="V193" s="254"/>
      <c r="W193" s="254"/>
      <c r="X193" s="254"/>
      <c r="Y193" s="254"/>
      <c r="Z193" s="13"/>
    </row>
    <row r="194" spans="1:26" ht="15.75" customHeight="1">
      <c r="A194" s="262"/>
      <c r="B194" s="258" t="s">
        <v>544</v>
      </c>
      <c r="C194" s="259">
        <v>0</v>
      </c>
      <c r="D194" s="259">
        <v>0</v>
      </c>
      <c r="E194" s="259">
        <v>0</v>
      </c>
      <c r="F194" s="259">
        <v>0</v>
      </c>
      <c r="G194" s="259">
        <v>0</v>
      </c>
      <c r="H194" s="259">
        <v>0</v>
      </c>
      <c r="I194" s="259">
        <v>0</v>
      </c>
      <c r="J194" s="259">
        <v>0</v>
      </c>
      <c r="K194" s="259">
        <v>0</v>
      </c>
      <c r="L194" s="248">
        <f t="shared" ref="L194:L195" si="66">I194-(J194+K194)</f>
        <v>0</v>
      </c>
      <c r="M194" s="260"/>
      <c r="N194" s="260"/>
      <c r="O194" s="260"/>
      <c r="P194" s="163"/>
      <c r="Q194" s="163"/>
      <c r="R194" s="261"/>
      <c r="S194" s="254"/>
      <c r="T194" s="254"/>
      <c r="U194" s="254"/>
      <c r="V194" s="254"/>
      <c r="W194" s="254"/>
      <c r="X194" s="254"/>
      <c r="Y194" s="254"/>
      <c r="Z194" s="13"/>
    </row>
    <row r="195" spans="1:26" ht="15.75" customHeight="1">
      <c r="A195" s="264" t="s">
        <v>492</v>
      </c>
      <c r="B195" s="251" t="s">
        <v>555</v>
      </c>
      <c r="C195" s="256">
        <f t="shared" ref="C195:I195" si="67">SUM(C196:C197)</f>
        <v>22</v>
      </c>
      <c r="D195" s="256">
        <f t="shared" si="67"/>
        <v>7</v>
      </c>
      <c r="E195" s="256">
        <f t="shared" si="67"/>
        <v>39</v>
      </c>
      <c r="F195" s="256">
        <f t="shared" si="67"/>
        <v>7</v>
      </c>
      <c r="G195" s="256">
        <f t="shared" si="67"/>
        <v>385</v>
      </c>
      <c r="H195" s="256">
        <f t="shared" si="67"/>
        <v>1210</v>
      </c>
      <c r="I195" s="256">
        <f t="shared" si="67"/>
        <v>1420.5</v>
      </c>
      <c r="J195" s="256">
        <f>I195</f>
        <v>1420.5</v>
      </c>
      <c r="K195" s="259">
        <f>SUM(K196:K197)</f>
        <v>0</v>
      </c>
      <c r="L195" s="248">
        <f t="shared" si="66"/>
        <v>0</v>
      </c>
      <c r="M195" s="260"/>
      <c r="N195" s="260"/>
      <c r="O195" s="260"/>
      <c r="P195" s="163"/>
      <c r="Q195" s="163"/>
      <c r="R195" s="261"/>
      <c r="S195" s="254"/>
      <c r="T195" s="254"/>
      <c r="U195" s="254"/>
      <c r="V195" s="254"/>
      <c r="W195" s="254"/>
      <c r="X195" s="254"/>
      <c r="Y195" s="254"/>
      <c r="Z195" s="13"/>
    </row>
    <row r="196" spans="1:26" ht="15.75" customHeight="1">
      <c r="A196" s="262"/>
      <c r="B196" s="258" t="s">
        <v>543</v>
      </c>
      <c r="C196" s="259">
        <f>'B2 TLGD M'!C85</f>
        <v>22</v>
      </c>
      <c r="D196" s="259">
        <f>'B2 TLGD M'!D85</f>
        <v>7</v>
      </c>
      <c r="E196" s="259">
        <f>'B2 TLGD M'!E85</f>
        <v>39</v>
      </c>
      <c r="F196" s="259">
        <f>'B2 TLGD M'!F85</f>
        <v>7</v>
      </c>
      <c r="G196" s="259">
        <f>'B2 TLGD M'!G85</f>
        <v>385</v>
      </c>
      <c r="H196" s="259">
        <f>'B2 TLGD M'!H85</f>
        <v>1210</v>
      </c>
      <c r="I196" s="259">
        <f>'B2 TLGD M'!I85</f>
        <v>1420.5</v>
      </c>
      <c r="J196" s="259">
        <f>'B2 TLGD M'!J85</f>
        <v>1420.5</v>
      </c>
      <c r="K196" s="259">
        <f>'B2 TLGD M'!K85</f>
        <v>0</v>
      </c>
      <c r="L196" s="259">
        <f>'B2 TLGD M'!L85</f>
        <v>0</v>
      </c>
      <c r="M196" s="260"/>
      <c r="N196" s="260"/>
      <c r="O196" s="260"/>
      <c r="P196" s="163"/>
      <c r="Q196" s="163"/>
      <c r="R196" s="261"/>
      <c r="S196" s="254"/>
      <c r="T196" s="254"/>
      <c r="U196" s="254"/>
      <c r="V196" s="254"/>
      <c r="W196" s="254"/>
      <c r="X196" s="254"/>
      <c r="Y196" s="254"/>
      <c r="Z196" s="13"/>
    </row>
    <row r="197" spans="1:26" ht="15.75" customHeight="1">
      <c r="A197" s="262"/>
      <c r="B197" s="258" t="s">
        <v>544</v>
      </c>
      <c r="C197" s="259"/>
      <c r="D197" s="259"/>
      <c r="E197" s="259"/>
      <c r="F197" s="259"/>
      <c r="G197" s="259"/>
      <c r="H197" s="259"/>
      <c r="I197" s="259"/>
      <c r="J197" s="259"/>
      <c r="K197" s="259"/>
      <c r="L197" s="248">
        <f>I197-(J197+K197)</f>
        <v>0</v>
      </c>
      <c r="M197" s="260"/>
      <c r="N197" s="260"/>
      <c r="O197" s="260"/>
      <c r="P197" s="163"/>
      <c r="Q197" s="163"/>
      <c r="R197" s="261"/>
      <c r="S197" s="254"/>
      <c r="T197" s="254"/>
      <c r="U197" s="254"/>
      <c r="V197" s="254"/>
      <c r="W197" s="254"/>
      <c r="X197" s="254"/>
      <c r="Y197" s="254"/>
      <c r="Z197" s="13"/>
    </row>
    <row r="198" spans="1:26" ht="15.75" customHeight="1">
      <c r="A198" s="270"/>
      <c r="B198" s="271"/>
      <c r="C198" s="256"/>
      <c r="D198" s="256"/>
      <c r="E198" s="256"/>
      <c r="F198" s="256"/>
      <c r="G198" s="256"/>
      <c r="H198" s="256"/>
      <c r="I198" s="256"/>
      <c r="J198" s="256"/>
      <c r="K198" s="256"/>
      <c r="L198" s="248"/>
      <c r="M198" s="260"/>
      <c r="N198" s="260"/>
      <c r="O198" s="260"/>
      <c r="P198" s="163"/>
      <c r="Q198" s="163"/>
      <c r="R198" s="261"/>
      <c r="S198" s="254"/>
      <c r="T198" s="254"/>
      <c r="U198" s="254"/>
      <c r="V198" s="254"/>
      <c r="W198" s="254"/>
      <c r="X198" s="254"/>
      <c r="Y198" s="254"/>
      <c r="Z198" s="13"/>
    </row>
    <row r="199" spans="1:26" ht="15.75" customHeight="1">
      <c r="A199" s="270" t="s">
        <v>265</v>
      </c>
      <c r="B199" s="271" t="s">
        <v>593</v>
      </c>
      <c r="C199" s="256">
        <f t="shared" ref="C199:K199" si="68">C200+C214</f>
        <v>0</v>
      </c>
      <c r="D199" s="256">
        <f t="shared" si="68"/>
        <v>0</v>
      </c>
      <c r="E199" s="256">
        <f t="shared" si="68"/>
        <v>5</v>
      </c>
      <c r="F199" s="256">
        <f t="shared" si="68"/>
        <v>4</v>
      </c>
      <c r="G199" s="256">
        <f t="shared" si="68"/>
        <v>0</v>
      </c>
      <c r="H199" s="256">
        <f t="shared" si="68"/>
        <v>0</v>
      </c>
      <c r="I199" s="256">
        <f t="shared" si="68"/>
        <v>429.20000000000005</v>
      </c>
      <c r="J199" s="256">
        <f t="shared" si="68"/>
        <v>259.20000000000005</v>
      </c>
      <c r="K199" s="256">
        <f t="shared" si="68"/>
        <v>0</v>
      </c>
      <c r="L199" s="248">
        <f t="shared" ref="L199:L214" si="69">I199-(J199+K199)</f>
        <v>170</v>
      </c>
      <c r="M199" s="260"/>
      <c r="N199" s="260"/>
      <c r="O199" s="260"/>
      <c r="P199" s="163"/>
      <c r="Q199" s="163"/>
      <c r="R199" s="261"/>
      <c r="S199" s="254"/>
      <c r="T199" s="254"/>
      <c r="U199" s="254"/>
      <c r="V199" s="254"/>
      <c r="W199" s="254"/>
      <c r="X199" s="254"/>
      <c r="Y199" s="254"/>
      <c r="Z199" s="13"/>
    </row>
    <row r="200" spans="1:26" ht="15.75" customHeight="1">
      <c r="A200" s="275" t="s">
        <v>557</v>
      </c>
      <c r="B200" s="280" t="s">
        <v>594</v>
      </c>
      <c r="C200" s="282">
        <f t="shared" ref="C200:K200" si="70">C201+C202</f>
        <v>0</v>
      </c>
      <c r="D200" s="282">
        <f t="shared" si="70"/>
        <v>0</v>
      </c>
      <c r="E200" s="282">
        <f t="shared" si="70"/>
        <v>5</v>
      </c>
      <c r="F200" s="282">
        <f t="shared" si="70"/>
        <v>4</v>
      </c>
      <c r="G200" s="282">
        <f t="shared" si="70"/>
        <v>0</v>
      </c>
      <c r="H200" s="282">
        <f t="shared" si="70"/>
        <v>0</v>
      </c>
      <c r="I200" s="282">
        <f t="shared" si="70"/>
        <v>259.20000000000005</v>
      </c>
      <c r="J200" s="282">
        <f t="shared" si="70"/>
        <v>259.20000000000005</v>
      </c>
      <c r="K200" s="282">
        <f t="shared" si="70"/>
        <v>0</v>
      </c>
      <c r="L200" s="248">
        <f t="shared" si="69"/>
        <v>0</v>
      </c>
      <c r="M200" s="260"/>
      <c r="N200" s="260"/>
      <c r="O200" s="260"/>
      <c r="P200" s="163"/>
      <c r="Q200" s="163"/>
      <c r="R200" s="261"/>
      <c r="S200" s="254"/>
      <c r="T200" s="254"/>
      <c r="U200" s="254"/>
      <c r="V200" s="254"/>
      <c r="W200" s="254"/>
      <c r="X200" s="254"/>
      <c r="Y200" s="254"/>
      <c r="Z200" s="13"/>
    </row>
    <row r="201" spans="1:26" ht="15.75" customHeight="1">
      <c r="A201" s="275"/>
      <c r="B201" s="258" t="s">
        <v>543</v>
      </c>
      <c r="C201" s="256">
        <f>'B2 VĂN M'!C91</f>
        <v>0</v>
      </c>
      <c r="D201" s="256">
        <f>'B2 VĂN M'!D91</f>
        <v>0</v>
      </c>
      <c r="E201" s="256">
        <f>'B2 VĂN M'!E91</f>
        <v>3</v>
      </c>
      <c r="F201" s="256">
        <f>'B2 VĂN M'!F91</f>
        <v>2.4000000000000004</v>
      </c>
      <c r="G201" s="256">
        <f>'B2 VĂN M'!G91</f>
        <v>0</v>
      </c>
      <c r="H201" s="256">
        <f>'B2 VĂN M'!H91</f>
        <v>0</v>
      </c>
      <c r="I201" s="256">
        <f>'B2 VĂN M'!I91</f>
        <v>158.4</v>
      </c>
      <c r="J201" s="256">
        <f>'B2 VĂN M'!J91</f>
        <v>158.4</v>
      </c>
      <c r="K201" s="256">
        <f>'B2 VĂN M'!K91</f>
        <v>0</v>
      </c>
      <c r="L201" s="248">
        <f t="shared" si="69"/>
        <v>0</v>
      </c>
      <c r="M201" s="260"/>
      <c r="N201" s="260"/>
      <c r="O201" s="260"/>
      <c r="P201" s="163"/>
      <c r="Q201" s="163"/>
      <c r="R201" s="261"/>
      <c r="S201" s="254"/>
      <c r="T201" s="254"/>
      <c r="U201" s="254"/>
      <c r="V201" s="254"/>
      <c r="W201" s="254"/>
      <c r="X201" s="254"/>
      <c r="Y201" s="254"/>
      <c r="Z201" s="13"/>
    </row>
    <row r="202" spans="1:26" ht="15.75" customHeight="1">
      <c r="A202" s="275"/>
      <c r="B202" s="258" t="s">
        <v>544</v>
      </c>
      <c r="C202" s="263">
        <f>'B2 VĂN M'!C95</f>
        <v>0</v>
      </c>
      <c r="D202" s="263">
        <f>'B2 VĂN M'!D95</f>
        <v>0</v>
      </c>
      <c r="E202" s="263">
        <f>'B2 VĂN M'!E95</f>
        <v>2</v>
      </c>
      <c r="F202" s="263">
        <f>'B2 VĂN M'!F95</f>
        <v>1.6</v>
      </c>
      <c r="G202" s="263">
        <f>'B2 VĂN M'!G95</f>
        <v>0</v>
      </c>
      <c r="H202" s="263">
        <f>'B2 VĂN M'!H95</f>
        <v>0</v>
      </c>
      <c r="I202" s="263">
        <f>'B2 VĂN M'!I95</f>
        <v>100.80000000000001</v>
      </c>
      <c r="J202" s="263">
        <f>'B2 VĂN M'!J95</f>
        <v>100.80000000000001</v>
      </c>
      <c r="K202" s="263">
        <f>'B2 VĂN M'!K95</f>
        <v>0</v>
      </c>
      <c r="L202" s="248">
        <f t="shared" si="69"/>
        <v>0</v>
      </c>
      <c r="M202" s="260"/>
      <c r="N202" s="260"/>
      <c r="O202" s="260"/>
      <c r="P202" s="163"/>
      <c r="Q202" s="163"/>
      <c r="R202" s="261"/>
      <c r="S202" s="254"/>
      <c r="T202" s="254"/>
      <c r="U202" s="254"/>
      <c r="V202" s="254"/>
      <c r="W202" s="254"/>
      <c r="X202" s="254"/>
      <c r="Y202" s="254"/>
      <c r="Z202" s="13"/>
    </row>
    <row r="203" spans="1:26" ht="15.75" hidden="1" customHeight="1">
      <c r="A203" s="246">
        <v>2</v>
      </c>
      <c r="B203" s="247" t="s">
        <v>519</v>
      </c>
      <c r="C203" s="263"/>
      <c r="D203" s="263"/>
      <c r="E203" s="263"/>
      <c r="F203" s="263"/>
      <c r="G203" s="263"/>
      <c r="H203" s="263"/>
      <c r="I203" s="263"/>
      <c r="J203" s="263"/>
      <c r="K203" s="263"/>
      <c r="L203" s="248">
        <f t="shared" si="69"/>
        <v>0</v>
      </c>
      <c r="M203" s="260"/>
      <c r="N203" s="260"/>
      <c r="O203" s="260"/>
      <c r="P203" s="163"/>
      <c r="Q203" s="163"/>
      <c r="R203" s="261"/>
      <c r="S203" s="254"/>
      <c r="T203" s="254"/>
      <c r="U203" s="254"/>
      <c r="V203" s="254"/>
      <c r="W203" s="254"/>
      <c r="X203" s="254"/>
      <c r="Y203" s="254"/>
      <c r="Z203" s="13"/>
    </row>
    <row r="204" spans="1:26" ht="15.75" hidden="1" customHeight="1">
      <c r="A204" s="246" t="s">
        <v>263</v>
      </c>
      <c r="B204" s="251" t="s">
        <v>595</v>
      </c>
      <c r="C204" s="263"/>
      <c r="D204" s="263"/>
      <c r="E204" s="263"/>
      <c r="F204" s="263"/>
      <c r="G204" s="263"/>
      <c r="H204" s="263"/>
      <c r="I204" s="263"/>
      <c r="J204" s="263"/>
      <c r="K204" s="263"/>
      <c r="L204" s="248">
        <f t="shared" si="69"/>
        <v>0</v>
      </c>
      <c r="M204" s="260"/>
      <c r="N204" s="260"/>
      <c r="O204" s="260"/>
      <c r="P204" s="163"/>
      <c r="Q204" s="163"/>
      <c r="R204" s="261"/>
      <c r="S204" s="254"/>
      <c r="T204" s="254"/>
      <c r="U204" s="254"/>
      <c r="V204" s="254"/>
      <c r="W204" s="254"/>
      <c r="X204" s="254"/>
      <c r="Y204" s="254"/>
      <c r="Z204" s="13"/>
    </row>
    <row r="205" spans="1:26" ht="15.75" hidden="1" customHeight="1">
      <c r="A205" s="283" t="s">
        <v>479</v>
      </c>
      <c r="B205" s="276" t="s">
        <v>596</v>
      </c>
      <c r="C205" s="263"/>
      <c r="D205" s="263"/>
      <c r="E205" s="263"/>
      <c r="F205" s="263"/>
      <c r="G205" s="263"/>
      <c r="H205" s="263"/>
      <c r="I205" s="263"/>
      <c r="J205" s="263"/>
      <c r="K205" s="263"/>
      <c r="L205" s="248">
        <f t="shared" si="69"/>
        <v>0</v>
      </c>
      <c r="M205" s="260"/>
      <c r="N205" s="260"/>
      <c r="O205" s="260"/>
      <c r="P205" s="163"/>
      <c r="Q205" s="163"/>
      <c r="R205" s="261"/>
      <c r="S205" s="254"/>
      <c r="T205" s="254"/>
      <c r="U205" s="254"/>
      <c r="V205" s="254"/>
      <c r="W205" s="254"/>
      <c r="X205" s="254"/>
      <c r="Y205" s="254"/>
      <c r="Z205" s="13"/>
    </row>
    <row r="206" spans="1:26" ht="15.75" hidden="1" customHeight="1">
      <c r="A206" s="284" t="s">
        <v>481</v>
      </c>
      <c r="B206" s="276" t="s">
        <v>596</v>
      </c>
      <c r="C206" s="263"/>
      <c r="D206" s="263"/>
      <c r="E206" s="263"/>
      <c r="F206" s="263"/>
      <c r="G206" s="263"/>
      <c r="H206" s="263"/>
      <c r="I206" s="263"/>
      <c r="J206" s="263"/>
      <c r="K206" s="263"/>
      <c r="L206" s="248">
        <f t="shared" si="69"/>
        <v>0</v>
      </c>
      <c r="M206" s="260"/>
      <c r="N206" s="260"/>
      <c r="O206" s="260"/>
      <c r="P206" s="163"/>
      <c r="Q206" s="163"/>
      <c r="R206" s="261"/>
      <c r="S206" s="254"/>
      <c r="T206" s="254"/>
      <c r="U206" s="254"/>
      <c r="V206" s="254"/>
      <c r="W206" s="254"/>
      <c r="X206" s="254"/>
      <c r="Y206" s="254"/>
      <c r="Z206" s="13"/>
    </row>
    <row r="207" spans="1:26" ht="15.75" hidden="1" customHeight="1">
      <c r="A207" s="275" t="s">
        <v>483</v>
      </c>
      <c r="B207" s="276" t="s">
        <v>596</v>
      </c>
      <c r="C207" s="263"/>
      <c r="D207" s="263"/>
      <c r="E207" s="263"/>
      <c r="F207" s="263"/>
      <c r="G207" s="263"/>
      <c r="H207" s="263"/>
      <c r="I207" s="263"/>
      <c r="J207" s="263"/>
      <c r="K207" s="263"/>
      <c r="L207" s="248">
        <f t="shared" si="69"/>
        <v>0</v>
      </c>
      <c r="M207" s="260"/>
      <c r="N207" s="260"/>
      <c r="O207" s="260"/>
      <c r="P207" s="163"/>
      <c r="Q207" s="163"/>
      <c r="R207" s="261"/>
      <c r="S207" s="254"/>
      <c r="T207" s="254"/>
      <c r="U207" s="254"/>
      <c r="V207" s="254"/>
      <c r="W207" s="254"/>
      <c r="X207" s="254"/>
      <c r="Y207" s="254"/>
      <c r="Z207" s="13"/>
    </row>
    <row r="208" spans="1:26" ht="15.75" hidden="1" customHeight="1">
      <c r="A208" s="278" t="s">
        <v>484</v>
      </c>
      <c r="B208" s="276" t="s">
        <v>596</v>
      </c>
      <c r="C208" s="263"/>
      <c r="D208" s="263"/>
      <c r="E208" s="263"/>
      <c r="F208" s="263"/>
      <c r="G208" s="263"/>
      <c r="H208" s="263"/>
      <c r="I208" s="263"/>
      <c r="J208" s="263"/>
      <c r="K208" s="263"/>
      <c r="L208" s="248">
        <f t="shared" si="69"/>
        <v>0</v>
      </c>
      <c r="M208" s="260"/>
      <c r="N208" s="260"/>
      <c r="O208" s="260"/>
      <c r="P208" s="163"/>
      <c r="Q208" s="163"/>
      <c r="R208" s="261"/>
      <c r="S208" s="254"/>
      <c r="T208" s="254"/>
      <c r="U208" s="254"/>
      <c r="V208" s="254"/>
      <c r="W208" s="254"/>
      <c r="X208" s="254"/>
      <c r="Y208" s="254"/>
      <c r="Z208" s="13"/>
    </row>
    <row r="209" spans="1:26" ht="15.75" hidden="1" customHeight="1">
      <c r="A209" s="284" t="s">
        <v>485</v>
      </c>
      <c r="B209" s="276" t="s">
        <v>596</v>
      </c>
      <c r="C209" s="263"/>
      <c r="D209" s="263"/>
      <c r="E209" s="263"/>
      <c r="F209" s="263"/>
      <c r="G209" s="263"/>
      <c r="H209" s="263"/>
      <c r="I209" s="263"/>
      <c r="J209" s="263"/>
      <c r="K209" s="263"/>
      <c r="L209" s="248">
        <f t="shared" si="69"/>
        <v>0</v>
      </c>
      <c r="M209" s="260"/>
      <c r="N209" s="260"/>
      <c r="O209" s="260"/>
      <c r="P209" s="163"/>
      <c r="Q209" s="163"/>
      <c r="R209" s="261"/>
      <c r="S209" s="254"/>
      <c r="T209" s="254"/>
      <c r="U209" s="254"/>
      <c r="V209" s="254"/>
      <c r="W209" s="254"/>
      <c r="X209" s="254"/>
      <c r="Y209" s="254"/>
      <c r="Z209" s="13"/>
    </row>
    <row r="210" spans="1:26" ht="15.75" hidden="1" customHeight="1">
      <c r="A210" s="270" t="s">
        <v>265</v>
      </c>
      <c r="B210" s="280"/>
      <c r="C210" s="263"/>
      <c r="D210" s="263"/>
      <c r="E210" s="263"/>
      <c r="F210" s="263"/>
      <c r="G210" s="263"/>
      <c r="H210" s="263"/>
      <c r="I210" s="263"/>
      <c r="J210" s="263"/>
      <c r="K210" s="263"/>
      <c r="L210" s="248">
        <f t="shared" si="69"/>
        <v>0</v>
      </c>
      <c r="M210" s="260"/>
      <c r="N210" s="260"/>
      <c r="O210" s="260"/>
      <c r="P210" s="163"/>
      <c r="Q210" s="163"/>
      <c r="R210" s="261"/>
      <c r="S210" s="254"/>
      <c r="T210" s="254"/>
      <c r="U210" s="254"/>
      <c r="V210" s="254"/>
      <c r="W210" s="254"/>
      <c r="X210" s="254"/>
      <c r="Y210" s="254"/>
      <c r="Z210" s="13"/>
    </row>
    <row r="211" spans="1:26" ht="15.75" hidden="1" customHeight="1">
      <c r="A211" s="285" t="s">
        <v>206</v>
      </c>
      <c r="B211" s="247" t="s">
        <v>597</v>
      </c>
      <c r="C211" s="263"/>
      <c r="D211" s="263"/>
      <c r="E211" s="263"/>
      <c r="F211" s="263"/>
      <c r="G211" s="263"/>
      <c r="H211" s="263"/>
      <c r="I211" s="263"/>
      <c r="J211" s="263"/>
      <c r="K211" s="263"/>
      <c r="L211" s="248">
        <f t="shared" si="69"/>
        <v>0</v>
      </c>
      <c r="M211" s="260"/>
      <c r="N211" s="260"/>
      <c r="O211" s="260"/>
      <c r="P211" s="163"/>
      <c r="Q211" s="163"/>
      <c r="R211" s="261"/>
      <c r="S211" s="254"/>
      <c r="T211" s="254"/>
      <c r="U211" s="254"/>
      <c r="V211" s="254"/>
      <c r="W211" s="254"/>
      <c r="X211" s="254"/>
      <c r="Y211" s="254"/>
      <c r="Z211" s="13"/>
    </row>
    <row r="212" spans="1:26" ht="15.75" hidden="1" customHeight="1">
      <c r="A212" s="286"/>
      <c r="B212" s="247"/>
      <c r="C212" s="263"/>
      <c r="D212" s="263"/>
      <c r="E212" s="263"/>
      <c r="F212" s="263"/>
      <c r="G212" s="263"/>
      <c r="H212" s="263"/>
      <c r="I212" s="263"/>
      <c r="J212" s="263"/>
      <c r="K212" s="263"/>
      <c r="L212" s="248">
        <f t="shared" si="69"/>
        <v>0</v>
      </c>
      <c r="M212" s="260"/>
      <c r="N212" s="260"/>
      <c r="O212" s="260"/>
      <c r="P212" s="163"/>
      <c r="Q212" s="163"/>
      <c r="R212" s="261"/>
      <c r="S212" s="254"/>
      <c r="T212" s="254"/>
      <c r="U212" s="254"/>
      <c r="V212" s="254"/>
      <c r="W212" s="254"/>
      <c r="X212" s="254"/>
      <c r="Y212" s="254"/>
      <c r="Z212" s="13"/>
    </row>
    <row r="213" spans="1:26" ht="15.75" hidden="1" customHeight="1">
      <c r="A213" s="286"/>
      <c r="B213" s="247"/>
      <c r="C213" s="263"/>
      <c r="D213" s="263"/>
      <c r="E213" s="263"/>
      <c r="F213" s="263"/>
      <c r="G213" s="263"/>
      <c r="H213" s="263"/>
      <c r="I213" s="263"/>
      <c r="J213" s="263"/>
      <c r="K213" s="263"/>
      <c r="L213" s="248">
        <f t="shared" si="69"/>
        <v>0</v>
      </c>
      <c r="M213" s="260"/>
      <c r="N213" s="260"/>
      <c r="O213" s="260"/>
      <c r="P213" s="163"/>
      <c r="Q213" s="163"/>
      <c r="R213" s="261"/>
      <c r="S213" s="254"/>
      <c r="T213" s="254"/>
      <c r="U213" s="254"/>
      <c r="V213" s="254"/>
      <c r="W213" s="254"/>
      <c r="X213" s="254"/>
      <c r="Y213" s="254"/>
      <c r="Z213" s="13"/>
    </row>
    <row r="214" spans="1:26" ht="20.25" customHeight="1">
      <c r="A214" s="86" t="s">
        <v>572</v>
      </c>
      <c r="B214" s="251" t="s">
        <v>598</v>
      </c>
      <c r="C214" s="263">
        <f t="shared" ref="C214:K214" si="71">C215+C216</f>
        <v>0</v>
      </c>
      <c r="D214" s="263">
        <f t="shared" si="71"/>
        <v>0</v>
      </c>
      <c r="E214" s="263">
        <f t="shared" si="71"/>
        <v>0</v>
      </c>
      <c r="F214" s="263">
        <f t="shared" si="71"/>
        <v>0</v>
      </c>
      <c r="G214" s="263">
        <f t="shared" si="71"/>
        <v>0</v>
      </c>
      <c r="H214" s="263">
        <f t="shared" si="71"/>
        <v>0</v>
      </c>
      <c r="I214" s="263">
        <f t="shared" si="71"/>
        <v>170</v>
      </c>
      <c r="J214" s="263">
        <f t="shared" si="71"/>
        <v>0</v>
      </c>
      <c r="K214" s="263">
        <f t="shared" si="71"/>
        <v>0</v>
      </c>
      <c r="L214" s="248">
        <f t="shared" si="69"/>
        <v>170</v>
      </c>
      <c r="M214" s="260"/>
      <c r="N214" s="260"/>
      <c r="O214" s="260"/>
      <c r="P214" s="151"/>
      <c r="Q214" s="151"/>
      <c r="R214" s="261"/>
      <c r="S214" s="56"/>
      <c r="T214" s="56"/>
      <c r="U214" s="56"/>
      <c r="V214" s="56"/>
      <c r="W214" s="56"/>
      <c r="X214" s="56"/>
      <c r="Y214" s="56"/>
      <c r="Z214" s="13"/>
    </row>
    <row r="215" spans="1:26" ht="20.25" customHeight="1">
      <c r="A215" s="86"/>
      <c r="B215" s="258" t="s">
        <v>543</v>
      </c>
      <c r="C215" s="263">
        <f>'B2 ĐỊA LÝ'!C98</f>
        <v>0</v>
      </c>
      <c r="D215" s="263">
        <f>'B2 ĐỊA LÝ'!D98</f>
        <v>0</v>
      </c>
      <c r="E215" s="263">
        <f>'B2 ĐỊA LÝ'!E98</f>
        <v>0</v>
      </c>
      <c r="F215" s="263">
        <f>'B2 ĐỊA LÝ'!F98</f>
        <v>0</v>
      </c>
      <c r="G215" s="263">
        <f>'B2 ĐỊA LÝ'!G98</f>
        <v>0</v>
      </c>
      <c r="H215" s="263">
        <f>'B2 ĐỊA LÝ'!H98</f>
        <v>0</v>
      </c>
      <c r="I215" s="263">
        <f>'B2 ĐỊA LÝ'!I98</f>
        <v>170</v>
      </c>
      <c r="J215" s="263">
        <f>'B2 ĐỊA LÝ'!J98</f>
        <v>0</v>
      </c>
      <c r="K215" s="263">
        <f>'B2 ĐỊA LÝ'!K98</f>
        <v>0</v>
      </c>
      <c r="L215" s="263">
        <f>'B2 ĐỊA LÝ'!L98</f>
        <v>0</v>
      </c>
      <c r="M215" s="260"/>
      <c r="N215" s="260"/>
      <c r="O215" s="260"/>
      <c r="P215" s="151"/>
      <c r="Q215" s="151"/>
      <c r="R215" s="261"/>
      <c r="S215" s="56"/>
      <c r="T215" s="56"/>
      <c r="U215" s="56"/>
      <c r="V215" s="56"/>
      <c r="W215" s="56"/>
      <c r="X215" s="56"/>
      <c r="Y215" s="56"/>
      <c r="Z215" s="13"/>
    </row>
    <row r="216" spans="1:26" ht="20.25" customHeight="1">
      <c r="A216" s="86"/>
      <c r="B216" s="258" t="s">
        <v>544</v>
      </c>
      <c r="C216" s="263"/>
      <c r="D216" s="263"/>
      <c r="E216" s="263"/>
      <c r="F216" s="263"/>
      <c r="G216" s="263"/>
      <c r="H216" s="263"/>
      <c r="I216" s="263"/>
      <c r="J216" s="263"/>
      <c r="K216" s="263"/>
      <c r="L216" s="248">
        <f t="shared" ref="L216:L240" si="72">I216-(J216+K216)</f>
        <v>0</v>
      </c>
      <c r="M216" s="260"/>
      <c r="N216" s="260"/>
      <c r="O216" s="260"/>
      <c r="P216" s="151"/>
      <c r="Q216" s="151"/>
      <c r="R216" s="261"/>
      <c r="S216" s="56"/>
      <c r="T216" s="56"/>
      <c r="U216" s="56"/>
      <c r="V216" s="56"/>
      <c r="W216" s="56"/>
      <c r="X216" s="56"/>
      <c r="Y216" s="56"/>
      <c r="Z216" s="13"/>
    </row>
    <row r="217" spans="1:26" ht="20.25" customHeight="1">
      <c r="A217" s="252" t="s">
        <v>206</v>
      </c>
      <c r="B217" s="251" t="s">
        <v>599</v>
      </c>
      <c r="C217" s="263"/>
      <c r="D217" s="263"/>
      <c r="E217" s="263"/>
      <c r="F217" s="263">
        <f>F211+F16</f>
        <v>0</v>
      </c>
      <c r="G217" s="263"/>
      <c r="H217" s="263"/>
      <c r="I217" s="263">
        <f t="shared" ref="I217:K217" si="73">I211+I16</f>
        <v>0</v>
      </c>
      <c r="J217" s="263">
        <f t="shared" si="73"/>
        <v>0</v>
      </c>
      <c r="K217" s="263">
        <f t="shared" si="73"/>
        <v>0</v>
      </c>
      <c r="L217" s="248">
        <f t="shared" si="72"/>
        <v>0</v>
      </c>
      <c r="M217" s="260"/>
      <c r="N217" s="260"/>
      <c r="O217" s="260"/>
      <c r="P217" s="151"/>
      <c r="Q217" s="151"/>
      <c r="R217" s="261"/>
      <c r="S217" s="56"/>
      <c r="T217" s="56"/>
      <c r="U217" s="56"/>
      <c r="V217" s="56"/>
      <c r="W217" s="56"/>
      <c r="X217" s="56"/>
      <c r="Y217" s="56"/>
      <c r="Z217" s="13"/>
    </row>
    <row r="218" spans="1:26" ht="15.75" customHeight="1">
      <c r="A218" s="252" t="s">
        <v>258</v>
      </c>
      <c r="B218" s="247" t="s">
        <v>477</v>
      </c>
      <c r="C218" s="248">
        <f t="shared" ref="C218:K218" si="74">C219+C224+C229</f>
        <v>1881</v>
      </c>
      <c r="D218" s="248">
        <f t="shared" si="74"/>
        <v>45243.167000000001</v>
      </c>
      <c r="E218" s="248">
        <f t="shared" si="74"/>
        <v>1770</v>
      </c>
      <c r="F218" s="248">
        <f t="shared" si="74"/>
        <v>500.70000000000005</v>
      </c>
      <c r="G218" s="248">
        <f t="shared" si="74"/>
        <v>69832</v>
      </c>
      <c r="H218" s="248">
        <f t="shared" si="74"/>
        <v>265116.91000000003</v>
      </c>
      <c r="I218" s="248">
        <f t="shared" si="74"/>
        <v>119960.24666666666</v>
      </c>
      <c r="J218" s="248">
        <f t="shared" si="74"/>
        <v>106877.35916666668</v>
      </c>
      <c r="K218" s="248">
        <f t="shared" si="74"/>
        <v>5657.1625000000004</v>
      </c>
      <c r="L218" s="248">
        <f t="shared" si="72"/>
        <v>7425.7249999999767</v>
      </c>
      <c r="M218" s="249"/>
      <c r="N218" s="287"/>
      <c r="O218" s="287"/>
      <c r="P218" s="56"/>
      <c r="Q218" s="56"/>
      <c r="R218" s="261"/>
      <c r="S218" s="56"/>
      <c r="T218" s="56"/>
      <c r="U218" s="56"/>
      <c r="V218" s="56"/>
      <c r="W218" s="56"/>
      <c r="X218" s="56"/>
      <c r="Y218" s="56"/>
      <c r="Z218" s="13"/>
    </row>
    <row r="219" spans="1:26" ht="15.75" customHeight="1">
      <c r="A219" s="252">
        <v>1</v>
      </c>
      <c r="B219" s="247" t="s">
        <v>441</v>
      </c>
      <c r="C219" s="248">
        <f t="shared" ref="C219:K219" si="75">C220+C223</f>
        <v>1191</v>
      </c>
      <c r="D219" s="248">
        <f t="shared" si="75"/>
        <v>44972.667000000001</v>
      </c>
      <c r="E219" s="248">
        <f t="shared" si="75"/>
        <v>1177</v>
      </c>
      <c r="F219" s="248">
        <f t="shared" si="75"/>
        <v>336.20000000000005</v>
      </c>
      <c r="G219" s="248">
        <f t="shared" si="75"/>
        <v>62903</v>
      </c>
      <c r="H219" s="248">
        <f t="shared" si="75"/>
        <v>210293.41</v>
      </c>
      <c r="I219" s="248">
        <f t="shared" si="75"/>
        <v>85461.171666666662</v>
      </c>
      <c r="J219" s="248">
        <f t="shared" si="75"/>
        <v>75894.471666666679</v>
      </c>
      <c r="K219" s="248">
        <f t="shared" si="75"/>
        <v>2723.4500000000003</v>
      </c>
      <c r="L219" s="248">
        <f t="shared" si="72"/>
        <v>6843.2499999999854</v>
      </c>
      <c r="M219" s="249"/>
      <c r="N219" s="260"/>
      <c r="O219" s="260"/>
      <c r="P219" s="163"/>
      <c r="Q219" s="163"/>
      <c r="R219" s="261"/>
      <c r="S219" s="56"/>
      <c r="T219" s="56"/>
      <c r="U219" s="56"/>
      <c r="V219" s="56"/>
      <c r="W219" s="56"/>
      <c r="X219" s="56"/>
      <c r="Y219" s="56"/>
      <c r="Z219" s="13"/>
    </row>
    <row r="220" spans="1:26" ht="15.75" customHeight="1">
      <c r="A220" s="252" t="s">
        <v>263</v>
      </c>
      <c r="B220" s="251" t="s">
        <v>541</v>
      </c>
      <c r="C220" s="248">
        <f t="shared" ref="C220:K220" si="76">C221+C222</f>
        <v>1171</v>
      </c>
      <c r="D220" s="248">
        <f t="shared" si="76"/>
        <v>44965.467000000004</v>
      </c>
      <c r="E220" s="248">
        <f t="shared" si="76"/>
        <v>1171</v>
      </c>
      <c r="F220" s="248">
        <f t="shared" si="76"/>
        <v>330.20000000000005</v>
      </c>
      <c r="G220" s="248">
        <f t="shared" si="76"/>
        <v>61549</v>
      </c>
      <c r="H220" s="248">
        <f t="shared" si="76"/>
        <v>207199.41</v>
      </c>
      <c r="I220" s="248">
        <f t="shared" si="76"/>
        <v>83664.671666666662</v>
      </c>
      <c r="J220" s="248">
        <f t="shared" si="76"/>
        <v>74097.971666666679</v>
      </c>
      <c r="K220" s="248">
        <f t="shared" si="76"/>
        <v>2723.4500000000003</v>
      </c>
      <c r="L220" s="248">
        <f t="shared" si="72"/>
        <v>6843.2499999999854</v>
      </c>
      <c r="M220" s="249"/>
      <c r="N220" s="260"/>
      <c r="O220" s="260"/>
      <c r="P220" s="163"/>
      <c r="Q220" s="163"/>
      <c r="R220" s="261"/>
      <c r="S220" s="56"/>
      <c r="T220" s="56"/>
      <c r="U220" s="56"/>
      <c r="V220" s="56"/>
      <c r="W220" s="56"/>
      <c r="X220" s="56"/>
      <c r="Y220" s="56"/>
      <c r="Z220" s="13"/>
    </row>
    <row r="221" spans="1:26" ht="15.75" customHeight="1">
      <c r="A221" s="252"/>
      <c r="B221" s="258" t="s">
        <v>543</v>
      </c>
      <c r="C221" s="263">
        <f t="shared" ref="C221:K221" si="77">C21+C24+C27+C30+C33+C36+C39+C42+C45+C48+C51+C54</f>
        <v>535</v>
      </c>
      <c r="D221" s="263">
        <f t="shared" si="77"/>
        <v>44770.430000000008</v>
      </c>
      <c r="E221" s="263">
        <f t="shared" si="77"/>
        <v>524</v>
      </c>
      <c r="F221" s="263">
        <f t="shared" si="77"/>
        <v>146.00000000000003</v>
      </c>
      <c r="G221" s="263">
        <f t="shared" si="77"/>
        <v>27907</v>
      </c>
      <c r="H221" s="263">
        <f t="shared" si="77"/>
        <v>95201.8</v>
      </c>
      <c r="I221" s="263">
        <f t="shared" si="77"/>
        <v>36365.35</v>
      </c>
      <c r="J221" s="263">
        <f t="shared" si="77"/>
        <v>30412.15</v>
      </c>
      <c r="K221" s="263">
        <f t="shared" si="77"/>
        <v>2470.2000000000003</v>
      </c>
      <c r="L221" s="248">
        <f t="shared" si="72"/>
        <v>3483</v>
      </c>
      <c r="M221" s="260"/>
      <c r="N221" s="260"/>
      <c r="O221" s="260"/>
      <c r="P221" s="163"/>
      <c r="Q221" s="163"/>
      <c r="R221" s="261"/>
      <c r="S221" s="56"/>
      <c r="T221" s="56"/>
      <c r="U221" s="56"/>
      <c r="V221" s="56"/>
      <c r="W221" s="56"/>
      <c r="X221" s="56"/>
      <c r="Y221" s="56"/>
      <c r="Z221" s="13"/>
    </row>
    <row r="222" spans="1:26" ht="15.75" customHeight="1">
      <c r="A222" s="252"/>
      <c r="B222" s="258" t="s">
        <v>544</v>
      </c>
      <c r="C222" s="263">
        <f t="shared" ref="C222:K222" si="78">C22+C25+C28+C31+C34+C37+C40+C43+C46+C49+C52+C55</f>
        <v>636</v>
      </c>
      <c r="D222" s="263">
        <f t="shared" si="78"/>
        <v>195.03700000000001</v>
      </c>
      <c r="E222" s="263">
        <f t="shared" si="78"/>
        <v>647</v>
      </c>
      <c r="F222" s="263">
        <f t="shared" si="78"/>
        <v>184.20000000000002</v>
      </c>
      <c r="G222" s="263">
        <f t="shared" si="78"/>
        <v>33642</v>
      </c>
      <c r="H222" s="263">
        <f t="shared" si="78"/>
        <v>111997.61</v>
      </c>
      <c r="I222" s="263">
        <f t="shared" si="78"/>
        <v>47299.32166666667</v>
      </c>
      <c r="J222" s="263">
        <f t="shared" si="78"/>
        <v>43685.82166666667</v>
      </c>
      <c r="K222" s="263">
        <f t="shared" si="78"/>
        <v>253.25</v>
      </c>
      <c r="L222" s="248">
        <f t="shared" si="72"/>
        <v>3360.25</v>
      </c>
      <c r="M222" s="260"/>
      <c r="N222" s="260"/>
      <c r="O222" s="260"/>
      <c r="P222" s="163"/>
      <c r="Q222" s="163"/>
      <c r="R222" s="261"/>
      <c r="S222" s="56"/>
      <c r="T222" s="56"/>
      <c r="U222" s="56"/>
      <c r="V222" s="56"/>
      <c r="W222" s="56"/>
      <c r="X222" s="56"/>
      <c r="Y222" s="56"/>
      <c r="Z222" s="13"/>
    </row>
    <row r="223" spans="1:26" ht="15.75" customHeight="1">
      <c r="A223" s="252" t="s">
        <v>265</v>
      </c>
      <c r="B223" s="271" t="s">
        <v>512</v>
      </c>
      <c r="C223" s="263">
        <f t="shared" ref="C223:K223" si="79">C56</f>
        <v>20</v>
      </c>
      <c r="D223" s="263">
        <f t="shared" si="79"/>
        <v>7.2</v>
      </c>
      <c r="E223" s="263">
        <f t="shared" si="79"/>
        <v>6</v>
      </c>
      <c r="F223" s="263">
        <f t="shared" si="79"/>
        <v>6</v>
      </c>
      <c r="G223" s="263">
        <f t="shared" si="79"/>
        <v>1354</v>
      </c>
      <c r="H223" s="263">
        <f t="shared" si="79"/>
        <v>3094</v>
      </c>
      <c r="I223" s="263">
        <f t="shared" si="79"/>
        <v>1796.5</v>
      </c>
      <c r="J223" s="263">
        <f t="shared" si="79"/>
        <v>1796.5</v>
      </c>
      <c r="K223" s="263">
        <f t="shared" si="79"/>
        <v>0</v>
      </c>
      <c r="L223" s="248">
        <f t="shared" si="72"/>
        <v>0</v>
      </c>
      <c r="M223" s="260"/>
      <c r="N223" s="260"/>
      <c r="O223" s="260"/>
      <c r="P223" s="163"/>
      <c r="Q223" s="163"/>
      <c r="R223" s="261"/>
      <c r="S223" s="56"/>
      <c r="T223" s="56"/>
      <c r="U223" s="56"/>
      <c r="V223" s="56"/>
      <c r="W223" s="56"/>
      <c r="X223" s="56"/>
      <c r="Y223" s="56"/>
      <c r="Z223" s="13"/>
    </row>
    <row r="224" spans="1:26" ht="20.25" customHeight="1">
      <c r="A224" s="252">
        <v>2</v>
      </c>
      <c r="B224" s="247" t="s">
        <v>600</v>
      </c>
      <c r="C224" s="248">
        <f t="shared" ref="C224:K224" si="80">C225+C228</f>
        <v>657</v>
      </c>
      <c r="D224" s="248">
        <f t="shared" si="80"/>
        <v>251.5</v>
      </c>
      <c r="E224" s="248">
        <f t="shared" si="80"/>
        <v>578</v>
      </c>
      <c r="F224" s="248">
        <f t="shared" si="80"/>
        <v>162.5</v>
      </c>
      <c r="G224" s="248">
        <f t="shared" si="80"/>
        <v>6889</v>
      </c>
      <c r="H224" s="248">
        <f t="shared" si="80"/>
        <v>54610.5</v>
      </c>
      <c r="I224" s="248">
        <f t="shared" si="80"/>
        <v>32932.875</v>
      </c>
      <c r="J224" s="248">
        <f t="shared" si="80"/>
        <v>29615.6875</v>
      </c>
      <c r="K224" s="248">
        <f t="shared" si="80"/>
        <v>2794.7125000000001</v>
      </c>
      <c r="L224" s="248">
        <f t="shared" si="72"/>
        <v>522.47499999999854</v>
      </c>
      <c r="M224" s="249"/>
      <c r="N224" s="260"/>
      <c r="O224" s="260"/>
      <c r="P224" s="163"/>
      <c r="Q224" s="163"/>
      <c r="R224" s="261"/>
      <c r="S224" s="56"/>
      <c r="T224" s="56"/>
      <c r="U224" s="56"/>
      <c r="V224" s="56"/>
      <c r="W224" s="56"/>
      <c r="X224" s="56"/>
      <c r="Y224" s="56"/>
      <c r="Z224" s="13"/>
    </row>
    <row r="225" spans="1:26" ht="20.25" customHeight="1">
      <c r="A225" s="252" t="s">
        <v>263</v>
      </c>
      <c r="B225" s="251" t="s">
        <v>571</v>
      </c>
      <c r="C225" s="248">
        <f t="shared" ref="C225:K225" si="81">C226+C227</f>
        <v>582</v>
      </c>
      <c r="D225" s="248">
        <f t="shared" si="81"/>
        <v>249.5</v>
      </c>
      <c r="E225" s="248">
        <f t="shared" si="81"/>
        <v>367</v>
      </c>
      <c r="F225" s="248">
        <f t="shared" si="81"/>
        <v>159.5</v>
      </c>
      <c r="G225" s="248">
        <f t="shared" si="81"/>
        <v>6531</v>
      </c>
      <c r="H225" s="248">
        <f t="shared" si="81"/>
        <v>47900.5</v>
      </c>
      <c r="I225" s="248">
        <f t="shared" si="81"/>
        <v>19912.875</v>
      </c>
      <c r="J225" s="248">
        <f t="shared" si="81"/>
        <v>17470.6875</v>
      </c>
      <c r="K225" s="248">
        <f t="shared" si="81"/>
        <v>2234.7125000000001</v>
      </c>
      <c r="L225" s="248">
        <f t="shared" si="72"/>
        <v>207.47499999999854</v>
      </c>
      <c r="M225" s="249"/>
      <c r="N225" s="260"/>
      <c r="O225" s="260"/>
      <c r="P225" s="163"/>
      <c r="Q225" s="163"/>
      <c r="R225" s="261"/>
      <c r="S225" s="56"/>
      <c r="T225" s="56"/>
      <c r="U225" s="56"/>
      <c r="V225" s="56"/>
      <c r="W225" s="56"/>
      <c r="X225" s="56"/>
      <c r="Y225" s="56"/>
      <c r="Z225" s="13"/>
    </row>
    <row r="226" spans="1:26" ht="20.25" customHeight="1">
      <c r="A226" s="252"/>
      <c r="B226" s="258" t="s">
        <v>543</v>
      </c>
      <c r="C226" s="263">
        <f t="shared" ref="C226:K226" si="82">C96+C99+C102+C105+C108+C111+C114+C117+C120+C123+C126+C129</f>
        <v>377</v>
      </c>
      <c r="D226" s="263">
        <f t="shared" si="82"/>
        <v>147.5</v>
      </c>
      <c r="E226" s="263">
        <f t="shared" si="82"/>
        <v>289</v>
      </c>
      <c r="F226" s="263">
        <f t="shared" si="82"/>
        <v>90.5</v>
      </c>
      <c r="G226" s="263">
        <f t="shared" si="82"/>
        <v>5518</v>
      </c>
      <c r="H226" s="263">
        <f t="shared" si="82"/>
        <v>45835</v>
      </c>
      <c r="I226" s="263">
        <f t="shared" si="82"/>
        <v>15851.375</v>
      </c>
      <c r="J226" s="263">
        <f t="shared" si="82"/>
        <v>14626.4375</v>
      </c>
      <c r="K226" s="263">
        <f t="shared" si="82"/>
        <v>1455.5125</v>
      </c>
      <c r="L226" s="248">
        <f t="shared" si="72"/>
        <v>-230.57500000000073</v>
      </c>
      <c r="M226" s="260"/>
      <c r="N226" s="260"/>
      <c r="O226" s="260"/>
      <c r="P226" s="163"/>
      <c r="Q226" s="163"/>
      <c r="R226" s="261"/>
      <c r="S226" s="56"/>
      <c r="T226" s="56"/>
      <c r="U226" s="56"/>
      <c r="V226" s="56"/>
      <c r="W226" s="56"/>
      <c r="X226" s="56"/>
      <c r="Y226" s="56"/>
      <c r="Z226" s="13"/>
    </row>
    <row r="227" spans="1:26" ht="20.25" customHeight="1">
      <c r="A227" s="252"/>
      <c r="B227" s="258" t="s">
        <v>544</v>
      </c>
      <c r="C227" s="263">
        <f t="shared" ref="C227:K227" si="83">C97+C100+C103+C106+C109+C112+C115+C118+C121+C124+C127+C130</f>
        <v>205</v>
      </c>
      <c r="D227" s="263">
        <f t="shared" si="83"/>
        <v>102</v>
      </c>
      <c r="E227" s="263">
        <f t="shared" si="83"/>
        <v>78</v>
      </c>
      <c r="F227" s="263">
        <f t="shared" si="83"/>
        <v>69</v>
      </c>
      <c r="G227" s="263">
        <f t="shared" si="83"/>
        <v>1013</v>
      </c>
      <c r="H227" s="263">
        <f t="shared" si="83"/>
        <v>2065.5</v>
      </c>
      <c r="I227" s="263">
        <f t="shared" si="83"/>
        <v>4061.5</v>
      </c>
      <c r="J227" s="263">
        <f t="shared" si="83"/>
        <v>2844.25</v>
      </c>
      <c r="K227" s="263">
        <f t="shared" si="83"/>
        <v>779.2</v>
      </c>
      <c r="L227" s="248">
        <f t="shared" si="72"/>
        <v>438.05000000000018</v>
      </c>
      <c r="M227" s="260"/>
      <c r="N227" s="260"/>
      <c r="O227" s="260"/>
      <c r="P227" s="163"/>
      <c r="Q227" s="163"/>
      <c r="R227" s="261"/>
      <c r="S227" s="56"/>
      <c r="T227" s="56"/>
      <c r="U227" s="56"/>
      <c r="V227" s="56"/>
      <c r="W227" s="56"/>
      <c r="X227" s="56"/>
      <c r="Y227" s="56"/>
      <c r="Z227" s="13"/>
    </row>
    <row r="228" spans="1:26" ht="15.75" customHeight="1">
      <c r="A228" s="252" t="s">
        <v>265</v>
      </c>
      <c r="B228" s="271" t="s">
        <v>512</v>
      </c>
      <c r="C228" s="263">
        <f t="shared" ref="C228:K228" si="84">C131</f>
        <v>75</v>
      </c>
      <c r="D228" s="263">
        <f t="shared" si="84"/>
        <v>2</v>
      </c>
      <c r="E228" s="263">
        <f t="shared" si="84"/>
        <v>211</v>
      </c>
      <c r="F228" s="263">
        <f t="shared" si="84"/>
        <v>3</v>
      </c>
      <c r="G228" s="263">
        <f t="shared" si="84"/>
        <v>358</v>
      </c>
      <c r="H228" s="263">
        <f t="shared" si="84"/>
        <v>6710</v>
      </c>
      <c r="I228" s="263">
        <f t="shared" si="84"/>
        <v>13020</v>
      </c>
      <c r="J228" s="263">
        <f t="shared" si="84"/>
        <v>12145</v>
      </c>
      <c r="K228" s="263">
        <f t="shared" si="84"/>
        <v>560</v>
      </c>
      <c r="L228" s="248">
        <f t="shared" si="72"/>
        <v>315</v>
      </c>
      <c r="M228" s="260"/>
      <c r="N228" s="260"/>
      <c r="O228" s="260"/>
      <c r="P228" s="163"/>
      <c r="Q228" s="163"/>
      <c r="R228" s="261"/>
      <c r="S228" s="254"/>
      <c r="T228" s="254"/>
      <c r="U228" s="254"/>
      <c r="V228" s="254"/>
      <c r="W228" s="254"/>
      <c r="X228" s="254"/>
      <c r="Y228" s="254"/>
      <c r="Z228" s="13"/>
    </row>
    <row r="229" spans="1:26" ht="20.25" customHeight="1">
      <c r="A229" s="252">
        <v>3</v>
      </c>
      <c r="B229" s="251" t="s">
        <v>584</v>
      </c>
      <c r="C229" s="248">
        <f t="shared" ref="C229:K229" si="85">SUM(C230:C232)</f>
        <v>33</v>
      </c>
      <c r="D229" s="248">
        <f t="shared" si="85"/>
        <v>19</v>
      </c>
      <c r="E229" s="248">
        <f t="shared" si="85"/>
        <v>15</v>
      </c>
      <c r="F229" s="248">
        <f t="shared" si="85"/>
        <v>2</v>
      </c>
      <c r="G229" s="248">
        <f t="shared" si="85"/>
        <v>40</v>
      </c>
      <c r="H229" s="248">
        <f t="shared" si="85"/>
        <v>213</v>
      </c>
      <c r="I229" s="248">
        <f t="shared" si="85"/>
        <v>1566.2</v>
      </c>
      <c r="J229" s="248">
        <f t="shared" si="85"/>
        <v>1367.2</v>
      </c>
      <c r="K229" s="248">
        <f t="shared" si="85"/>
        <v>139</v>
      </c>
      <c r="L229" s="248">
        <f t="shared" si="72"/>
        <v>60</v>
      </c>
      <c r="M229" s="249"/>
      <c r="N229" s="260"/>
      <c r="O229" s="260"/>
      <c r="P229" s="163"/>
      <c r="Q229" s="163"/>
      <c r="R229" s="261"/>
      <c r="S229" s="56"/>
      <c r="T229" s="56"/>
      <c r="U229" s="56"/>
      <c r="V229" s="56"/>
      <c r="W229" s="56"/>
      <c r="X229" s="56"/>
      <c r="Y229" s="56"/>
      <c r="Z229" s="13"/>
    </row>
    <row r="230" spans="1:26" ht="20.25" customHeight="1">
      <c r="A230" s="252" t="s">
        <v>263</v>
      </c>
      <c r="B230" s="251" t="s">
        <v>585</v>
      </c>
      <c r="C230" s="263">
        <f t="shared" ref="C230:E230" si="86">C145</f>
        <v>27</v>
      </c>
      <c r="D230" s="263">
        <f t="shared" si="86"/>
        <v>15</v>
      </c>
      <c r="E230" s="263">
        <f t="shared" si="86"/>
        <v>12</v>
      </c>
      <c r="F230" s="263"/>
      <c r="G230" s="263">
        <f t="shared" ref="G230:K230" si="87">G145</f>
        <v>27</v>
      </c>
      <c r="H230" s="263">
        <f t="shared" si="87"/>
        <v>153</v>
      </c>
      <c r="I230" s="263">
        <f t="shared" si="87"/>
        <v>1069.2</v>
      </c>
      <c r="J230" s="263">
        <f t="shared" si="87"/>
        <v>970.2</v>
      </c>
      <c r="K230" s="263">
        <f t="shared" si="87"/>
        <v>99</v>
      </c>
      <c r="L230" s="248">
        <f t="shared" si="72"/>
        <v>0</v>
      </c>
      <c r="M230" s="260"/>
      <c r="N230" s="260"/>
      <c r="O230" s="260"/>
      <c r="P230" s="163"/>
      <c r="Q230" s="163"/>
      <c r="R230" s="261"/>
      <c r="S230" s="56"/>
      <c r="T230" s="56"/>
      <c r="U230" s="56"/>
      <c r="V230" s="56"/>
      <c r="W230" s="56"/>
      <c r="X230" s="56"/>
      <c r="Y230" s="56"/>
      <c r="Z230" s="13"/>
    </row>
    <row r="231" spans="1:26" ht="20.25" customHeight="1">
      <c r="A231" s="252" t="s">
        <v>265</v>
      </c>
      <c r="B231" s="271" t="s">
        <v>589</v>
      </c>
      <c r="C231" s="263">
        <f t="shared" ref="C231:K231" si="88">C151</f>
        <v>6</v>
      </c>
      <c r="D231" s="263">
        <f t="shared" si="88"/>
        <v>4</v>
      </c>
      <c r="E231" s="263">
        <f t="shared" si="88"/>
        <v>3</v>
      </c>
      <c r="F231" s="263">
        <f t="shared" si="88"/>
        <v>2</v>
      </c>
      <c r="G231" s="263">
        <f t="shared" si="88"/>
        <v>10</v>
      </c>
      <c r="H231" s="263">
        <f t="shared" si="88"/>
        <v>60</v>
      </c>
      <c r="I231" s="263">
        <f t="shared" si="88"/>
        <v>297</v>
      </c>
      <c r="J231" s="263">
        <f t="shared" si="88"/>
        <v>297</v>
      </c>
      <c r="K231" s="263">
        <f t="shared" si="88"/>
        <v>0</v>
      </c>
      <c r="L231" s="248">
        <f t="shared" si="72"/>
        <v>0</v>
      </c>
      <c r="M231" s="260"/>
      <c r="N231" s="260"/>
      <c r="O231" s="260"/>
      <c r="P231" s="163"/>
      <c r="Q231" s="163"/>
      <c r="R231" s="261"/>
      <c r="S231" s="56"/>
      <c r="T231" s="56"/>
      <c r="U231" s="56"/>
      <c r="V231" s="56"/>
      <c r="W231" s="56"/>
      <c r="X231" s="56"/>
      <c r="Y231" s="56"/>
      <c r="Z231" s="13"/>
    </row>
    <row r="232" spans="1:26" ht="20.25" customHeight="1">
      <c r="A232" s="252" t="s">
        <v>267</v>
      </c>
      <c r="B232" s="251" t="s">
        <v>601</v>
      </c>
      <c r="C232" s="263">
        <f t="shared" ref="C232:K232" si="89">C155</f>
        <v>0</v>
      </c>
      <c r="D232" s="263">
        <f t="shared" si="89"/>
        <v>0</v>
      </c>
      <c r="E232" s="263">
        <f t="shared" si="89"/>
        <v>0</v>
      </c>
      <c r="F232" s="263">
        <f t="shared" si="89"/>
        <v>0</v>
      </c>
      <c r="G232" s="263">
        <f t="shared" si="89"/>
        <v>3</v>
      </c>
      <c r="H232" s="263">
        <f t="shared" si="89"/>
        <v>0</v>
      </c>
      <c r="I232" s="263">
        <f t="shared" si="89"/>
        <v>200</v>
      </c>
      <c r="J232" s="263">
        <f t="shared" si="89"/>
        <v>100</v>
      </c>
      <c r="K232" s="263">
        <f t="shared" si="89"/>
        <v>40</v>
      </c>
      <c r="L232" s="248">
        <f t="shared" si="72"/>
        <v>60</v>
      </c>
      <c r="M232" s="260"/>
      <c r="N232" s="260"/>
      <c r="O232" s="260"/>
      <c r="P232" s="163"/>
      <c r="Q232" s="163"/>
      <c r="R232" s="261"/>
      <c r="S232" s="56"/>
      <c r="T232" s="56"/>
      <c r="U232" s="56"/>
      <c r="V232" s="56"/>
      <c r="W232" s="56"/>
      <c r="X232" s="56"/>
      <c r="Y232" s="56"/>
      <c r="Z232" s="13"/>
    </row>
    <row r="233" spans="1:26" ht="24.75" customHeight="1">
      <c r="A233" s="252" t="s">
        <v>284</v>
      </c>
      <c r="B233" s="247" t="s">
        <v>514</v>
      </c>
      <c r="C233" s="248">
        <f t="shared" ref="C233:K233" si="90">C234</f>
        <v>356</v>
      </c>
      <c r="D233" s="248">
        <f t="shared" si="90"/>
        <v>100</v>
      </c>
      <c r="E233" s="248">
        <f t="shared" si="90"/>
        <v>465</v>
      </c>
      <c r="F233" s="248">
        <f t="shared" si="90"/>
        <v>104</v>
      </c>
      <c r="G233" s="248">
        <f t="shared" si="90"/>
        <v>5206</v>
      </c>
      <c r="H233" s="248">
        <f t="shared" si="90"/>
        <v>18426</v>
      </c>
      <c r="I233" s="248">
        <f t="shared" si="90"/>
        <v>17223.95</v>
      </c>
      <c r="J233" s="248">
        <f t="shared" si="90"/>
        <v>16167.95</v>
      </c>
      <c r="K233" s="248">
        <f t="shared" si="90"/>
        <v>91</v>
      </c>
      <c r="L233" s="248">
        <f t="shared" si="72"/>
        <v>965</v>
      </c>
      <c r="M233" s="249"/>
      <c r="N233" s="260"/>
      <c r="O233" s="260"/>
      <c r="P233" s="163"/>
      <c r="Q233" s="163"/>
      <c r="R233" s="261"/>
      <c r="S233" s="56"/>
      <c r="T233" s="56"/>
      <c r="U233" s="56"/>
      <c r="V233" s="56"/>
      <c r="W233" s="56"/>
      <c r="X233" s="56"/>
      <c r="Y233" s="56"/>
      <c r="Z233" s="13"/>
    </row>
    <row r="234" spans="1:26" ht="24.75" customHeight="1">
      <c r="A234" s="252">
        <v>1</v>
      </c>
      <c r="B234" s="251" t="s">
        <v>515</v>
      </c>
      <c r="C234" s="248">
        <f t="shared" ref="C234:K234" si="91">C235+C238</f>
        <v>356</v>
      </c>
      <c r="D234" s="248">
        <f t="shared" si="91"/>
        <v>100</v>
      </c>
      <c r="E234" s="248">
        <f t="shared" si="91"/>
        <v>465</v>
      </c>
      <c r="F234" s="248">
        <f t="shared" si="91"/>
        <v>104</v>
      </c>
      <c r="G234" s="248">
        <f t="shared" si="91"/>
        <v>5206</v>
      </c>
      <c r="H234" s="248">
        <f t="shared" si="91"/>
        <v>18426</v>
      </c>
      <c r="I234" s="248">
        <f t="shared" si="91"/>
        <v>17223.95</v>
      </c>
      <c r="J234" s="248">
        <f t="shared" si="91"/>
        <v>16167.95</v>
      </c>
      <c r="K234" s="248">
        <f t="shared" si="91"/>
        <v>91</v>
      </c>
      <c r="L234" s="248">
        <f t="shared" si="72"/>
        <v>965</v>
      </c>
      <c r="M234" s="249"/>
      <c r="N234" s="260"/>
      <c r="O234" s="260"/>
      <c r="P234" s="163"/>
      <c r="Q234" s="163"/>
      <c r="R234" s="261"/>
      <c r="S234" s="56"/>
      <c r="T234" s="56"/>
      <c r="U234" s="56"/>
      <c r="V234" s="56"/>
      <c r="W234" s="56"/>
      <c r="X234" s="56"/>
      <c r="Y234" s="56"/>
      <c r="Z234" s="13"/>
    </row>
    <row r="235" spans="1:26" ht="24.75" customHeight="1">
      <c r="A235" s="252" t="s">
        <v>263</v>
      </c>
      <c r="B235" s="251" t="s">
        <v>592</v>
      </c>
      <c r="C235" s="248">
        <f t="shared" ref="C235:K235" si="92">C236+C237</f>
        <v>356</v>
      </c>
      <c r="D235" s="248">
        <f t="shared" si="92"/>
        <v>100</v>
      </c>
      <c r="E235" s="248">
        <f t="shared" si="92"/>
        <v>460</v>
      </c>
      <c r="F235" s="248">
        <f t="shared" si="92"/>
        <v>100</v>
      </c>
      <c r="G235" s="248">
        <f t="shared" si="92"/>
        <v>5206</v>
      </c>
      <c r="H235" s="248">
        <f t="shared" si="92"/>
        <v>18426</v>
      </c>
      <c r="I235" s="248">
        <f t="shared" si="92"/>
        <v>16794.75</v>
      </c>
      <c r="J235" s="248">
        <f t="shared" si="92"/>
        <v>15908.75</v>
      </c>
      <c r="K235" s="248">
        <f t="shared" si="92"/>
        <v>91</v>
      </c>
      <c r="L235" s="248">
        <f t="shared" si="72"/>
        <v>795</v>
      </c>
      <c r="M235" s="249"/>
      <c r="N235" s="260"/>
      <c r="O235" s="260"/>
      <c r="P235" s="163"/>
      <c r="Q235" s="163"/>
      <c r="R235" s="261"/>
      <c r="S235" s="56"/>
      <c r="T235" s="56"/>
      <c r="U235" s="56"/>
      <c r="V235" s="56"/>
      <c r="W235" s="56"/>
      <c r="X235" s="56"/>
      <c r="Y235" s="56"/>
      <c r="Z235" s="13"/>
    </row>
    <row r="236" spans="1:26" ht="21" customHeight="1">
      <c r="A236" s="252"/>
      <c r="B236" s="258" t="s">
        <v>543</v>
      </c>
      <c r="C236" s="263">
        <f t="shared" ref="C236:K236" si="93">C163+C166+C169+C172+C175+C178+C181+C184+C187+C190+C193+C196</f>
        <v>242</v>
      </c>
      <c r="D236" s="263">
        <f t="shared" si="93"/>
        <v>68</v>
      </c>
      <c r="E236" s="263">
        <f t="shared" si="93"/>
        <v>344</v>
      </c>
      <c r="F236" s="263">
        <f t="shared" si="93"/>
        <v>68</v>
      </c>
      <c r="G236" s="263">
        <f t="shared" si="93"/>
        <v>3514</v>
      </c>
      <c r="H236" s="263">
        <f t="shared" si="93"/>
        <v>12460</v>
      </c>
      <c r="I236" s="263">
        <f t="shared" si="93"/>
        <v>12681.5</v>
      </c>
      <c r="J236" s="263">
        <f t="shared" si="93"/>
        <v>11795.5</v>
      </c>
      <c r="K236" s="263">
        <f t="shared" si="93"/>
        <v>91</v>
      </c>
      <c r="L236" s="248">
        <f t="shared" si="72"/>
        <v>795</v>
      </c>
      <c r="M236" s="260"/>
      <c r="N236" s="260"/>
      <c r="O236" s="260"/>
      <c r="P236" s="163"/>
      <c r="Q236" s="163"/>
      <c r="R236" s="261"/>
      <c r="S236" s="56"/>
      <c r="T236" s="56"/>
      <c r="U236" s="56"/>
      <c r="V236" s="56"/>
      <c r="W236" s="56"/>
      <c r="X236" s="56"/>
      <c r="Y236" s="56"/>
      <c r="Z236" s="13"/>
    </row>
    <row r="237" spans="1:26" ht="20.25" customHeight="1">
      <c r="A237" s="252"/>
      <c r="B237" s="258" t="s">
        <v>544</v>
      </c>
      <c r="C237" s="263">
        <f t="shared" ref="C237:K237" si="94">C164+C167+C170+C173+C176+C179+C182+C185+C188+C191+C194+C197</f>
        <v>114</v>
      </c>
      <c r="D237" s="263">
        <f t="shared" si="94"/>
        <v>32</v>
      </c>
      <c r="E237" s="263">
        <f t="shared" si="94"/>
        <v>116</v>
      </c>
      <c r="F237" s="263">
        <f t="shared" si="94"/>
        <v>32</v>
      </c>
      <c r="G237" s="263">
        <f t="shared" si="94"/>
        <v>1692</v>
      </c>
      <c r="H237" s="263">
        <f t="shared" si="94"/>
        <v>5966</v>
      </c>
      <c r="I237" s="263">
        <f t="shared" si="94"/>
        <v>4113.25</v>
      </c>
      <c r="J237" s="263">
        <f t="shared" si="94"/>
        <v>4113.25</v>
      </c>
      <c r="K237" s="263">
        <f t="shared" si="94"/>
        <v>0</v>
      </c>
      <c r="L237" s="248">
        <f t="shared" si="72"/>
        <v>0</v>
      </c>
      <c r="M237" s="260"/>
      <c r="N237" s="260"/>
      <c r="O237" s="260"/>
      <c r="P237" s="163"/>
      <c r="Q237" s="163"/>
      <c r="R237" s="261"/>
      <c r="S237" s="56"/>
      <c r="T237" s="56"/>
      <c r="U237" s="56"/>
      <c r="V237" s="56"/>
      <c r="W237" s="56"/>
      <c r="X237" s="56"/>
      <c r="Y237" s="56"/>
      <c r="Z237" s="13"/>
    </row>
    <row r="238" spans="1:26" ht="20.25" customHeight="1">
      <c r="A238" s="252" t="s">
        <v>265</v>
      </c>
      <c r="B238" s="271" t="s">
        <v>593</v>
      </c>
      <c r="C238" s="248">
        <f t="shared" ref="C238:K238" si="95">C199</f>
        <v>0</v>
      </c>
      <c r="D238" s="248">
        <f t="shared" si="95"/>
        <v>0</v>
      </c>
      <c r="E238" s="248">
        <f t="shared" si="95"/>
        <v>5</v>
      </c>
      <c r="F238" s="248">
        <f t="shared" si="95"/>
        <v>4</v>
      </c>
      <c r="G238" s="248">
        <f t="shared" si="95"/>
        <v>0</v>
      </c>
      <c r="H238" s="248">
        <f t="shared" si="95"/>
        <v>0</v>
      </c>
      <c r="I238" s="248">
        <f t="shared" si="95"/>
        <v>429.20000000000005</v>
      </c>
      <c r="J238" s="248">
        <f t="shared" si="95"/>
        <v>259.20000000000005</v>
      </c>
      <c r="K238" s="248">
        <f t="shared" si="95"/>
        <v>0</v>
      </c>
      <c r="L238" s="248">
        <f t="shared" si="72"/>
        <v>170</v>
      </c>
      <c r="M238" s="260"/>
      <c r="N238" s="260"/>
      <c r="O238" s="260"/>
      <c r="P238" s="163"/>
      <c r="Q238" s="163"/>
      <c r="R238" s="261"/>
      <c r="S238" s="56"/>
      <c r="T238" s="56"/>
      <c r="U238" s="56"/>
      <c r="V238" s="56"/>
      <c r="W238" s="56"/>
      <c r="X238" s="56"/>
      <c r="Y238" s="56"/>
      <c r="Z238" s="13"/>
    </row>
    <row r="239" spans="1:26" ht="20.25" customHeight="1">
      <c r="A239" s="252"/>
      <c r="B239" s="247" t="s">
        <v>602</v>
      </c>
      <c r="C239" s="263">
        <f t="shared" ref="C239:K239" si="96">C238-C240</f>
        <v>0</v>
      </c>
      <c r="D239" s="263">
        <f t="shared" si="96"/>
        <v>0</v>
      </c>
      <c r="E239" s="263">
        <f t="shared" si="96"/>
        <v>0</v>
      </c>
      <c r="F239" s="263">
        <f t="shared" si="96"/>
        <v>0</v>
      </c>
      <c r="G239" s="263">
        <f t="shared" si="96"/>
        <v>0</v>
      </c>
      <c r="H239" s="263">
        <f t="shared" si="96"/>
        <v>0</v>
      </c>
      <c r="I239" s="263">
        <f t="shared" si="96"/>
        <v>170</v>
      </c>
      <c r="J239" s="263">
        <f t="shared" si="96"/>
        <v>0</v>
      </c>
      <c r="K239" s="263">
        <f t="shared" si="96"/>
        <v>0</v>
      </c>
      <c r="L239" s="248">
        <f t="shared" si="72"/>
        <v>170</v>
      </c>
      <c r="M239" s="260"/>
      <c r="N239" s="260"/>
      <c r="O239" s="260"/>
      <c r="P239" s="163"/>
      <c r="Q239" s="163"/>
      <c r="R239" s="261"/>
      <c r="S239" s="56"/>
      <c r="T239" s="56"/>
      <c r="U239" s="56"/>
      <c r="V239" s="56"/>
      <c r="W239" s="56"/>
      <c r="X239" s="56"/>
      <c r="Y239" s="56"/>
      <c r="Z239" s="13"/>
    </row>
    <row r="240" spans="1:26" ht="20.25" customHeight="1">
      <c r="A240" s="163"/>
      <c r="B240" s="247" t="s">
        <v>603</v>
      </c>
      <c r="C240" s="263">
        <f t="shared" ref="C240:K240" si="97">C200</f>
        <v>0</v>
      </c>
      <c r="D240" s="263">
        <f t="shared" si="97"/>
        <v>0</v>
      </c>
      <c r="E240" s="263">
        <f t="shared" si="97"/>
        <v>5</v>
      </c>
      <c r="F240" s="263">
        <f t="shared" si="97"/>
        <v>4</v>
      </c>
      <c r="G240" s="263">
        <f t="shared" si="97"/>
        <v>0</v>
      </c>
      <c r="H240" s="263">
        <f t="shared" si="97"/>
        <v>0</v>
      </c>
      <c r="I240" s="263">
        <f t="shared" si="97"/>
        <v>259.20000000000005</v>
      </c>
      <c r="J240" s="263">
        <f t="shared" si="97"/>
        <v>259.20000000000005</v>
      </c>
      <c r="K240" s="263">
        <f t="shared" si="97"/>
        <v>0</v>
      </c>
      <c r="L240" s="248">
        <f t="shared" si="72"/>
        <v>0</v>
      </c>
      <c r="M240" s="260"/>
      <c r="N240" s="260"/>
      <c r="O240" s="260"/>
      <c r="P240" s="163"/>
      <c r="Q240" s="163"/>
      <c r="R240" s="261"/>
      <c r="S240" s="56"/>
      <c r="T240" s="56"/>
      <c r="U240" s="56"/>
      <c r="V240" s="56"/>
      <c r="W240" s="56"/>
      <c r="X240" s="56"/>
      <c r="Y240" s="56"/>
      <c r="Z240" s="13"/>
    </row>
    <row r="241" spans="1:26">
      <c r="A241" s="39"/>
      <c r="B241" s="37" t="s">
        <v>604</v>
      </c>
      <c r="C241" s="282">
        <f t="shared" ref="C241:L241" si="98">SUM(C242:C253)</f>
        <v>2237</v>
      </c>
      <c r="D241" s="282">
        <f t="shared" si="98"/>
        <v>45343.167000000009</v>
      </c>
      <c r="E241" s="282">
        <f t="shared" si="98"/>
        <v>2235</v>
      </c>
      <c r="F241" s="282">
        <f t="shared" si="98"/>
        <v>613.70000000000016</v>
      </c>
      <c r="G241" s="282">
        <f t="shared" si="98"/>
        <v>75038</v>
      </c>
      <c r="H241" s="282">
        <f t="shared" si="98"/>
        <v>283542.91000000003</v>
      </c>
      <c r="I241" s="282">
        <f t="shared" si="98"/>
        <v>137184.19666666666</v>
      </c>
      <c r="J241" s="282">
        <f t="shared" si="98"/>
        <v>123045.30916666667</v>
      </c>
      <c r="K241" s="282">
        <f t="shared" si="98"/>
        <v>5748.1625000000004</v>
      </c>
      <c r="L241" s="282">
        <f t="shared" si="98"/>
        <v>8390.7250000000004</v>
      </c>
      <c r="M241" s="13"/>
      <c r="N241" s="13"/>
      <c r="O241" s="13"/>
      <c r="P241" s="13"/>
      <c r="Q241" s="13"/>
      <c r="R241" s="13"/>
      <c r="S241" s="13"/>
      <c r="T241" s="13"/>
      <c r="U241" s="13"/>
      <c r="V241" s="13"/>
      <c r="W241" s="13"/>
      <c r="X241" s="13"/>
      <c r="Y241" s="13"/>
      <c r="Z241" s="13"/>
    </row>
    <row r="242" spans="1:26" ht="20.25" customHeight="1">
      <c r="A242" s="2833"/>
      <c r="B242" s="1892" t="s">
        <v>542</v>
      </c>
      <c r="C242" s="248">
        <f t="shared" ref="C242:L242" si="99">C20+C95+C57+C146+C156+C162+C132</f>
        <v>308</v>
      </c>
      <c r="D242" s="248">
        <f t="shared" si="99"/>
        <v>110.76</v>
      </c>
      <c r="E242" s="248">
        <f t="shared" si="99"/>
        <v>263</v>
      </c>
      <c r="F242" s="248">
        <f t="shared" si="99"/>
        <v>95</v>
      </c>
      <c r="G242" s="248">
        <f t="shared" si="99"/>
        <v>12371</v>
      </c>
      <c r="H242" s="248">
        <f t="shared" si="99"/>
        <v>40778.479999999996</v>
      </c>
      <c r="I242" s="248">
        <f t="shared" si="99"/>
        <v>17413.675000000003</v>
      </c>
      <c r="J242" s="248">
        <f t="shared" si="99"/>
        <v>16753.425000000003</v>
      </c>
      <c r="K242" s="248">
        <f t="shared" si="99"/>
        <v>342.15</v>
      </c>
      <c r="L242" s="248">
        <f t="shared" si="99"/>
        <v>318.09999999999991</v>
      </c>
      <c r="M242" s="249">
        <f>'B3 tổng hợp giờ chuẩn từng khoa'!L47</f>
        <v>5980</v>
      </c>
      <c r="N242" s="249">
        <f>'B3 tổng hợp giờ chuẩn từng khoa'!T47</f>
        <v>5038</v>
      </c>
      <c r="O242" s="249">
        <f t="shared" ref="O242:O254" si="100">J242-N242</f>
        <v>11715.425000000003</v>
      </c>
      <c r="P242" s="288">
        <f>'B3 tổng hợp giờ chuẩn từng khoa'!U47</f>
        <v>6242</v>
      </c>
      <c r="Q242" s="288">
        <f>'B3 tổng hợp giờ chuẩn từng khoa'!V47</f>
        <v>2950</v>
      </c>
      <c r="R242" s="261"/>
      <c r="S242" s="56"/>
      <c r="T242" s="56"/>
      <c r="U242" s="56"/>
      <c r="V242" s="56"/>
      <c r="W242" s="56"/>
      <c r="X242" s="56"/>
      <c r="Y242" s="56"/>
      <c r="Z242" s="13"/>
    </row>
    <row r="243" spans="1:26" ht="20.25" customHeight="1">
      <c r="A243" s="2834"/>
      <c r="B243" s="1892" t="s">
        <v>545</v>
      </c>
      <c r="C243" s="248">
        <f t="shared" ref="C243:L243" si="101">C23+C60+C98+C133+C165</f>
        <v>136</v>
      </c>
      <c r="D243" s="248">
        <f t="shared" si="101"/>
        <v>51.14</v>
      </c>
      <c r="E243" s="248">
        <f t="shared" si="101"/>
        <v>66</v>
      </c>
      <c r="F243" s="248">
        <f t="shared" si="101"/>
        <v>40</v>
      </c>
      <c r="G243" s="248">
        <f t="shared" si="101"/>
        <v>2119</v>
      </c>
      <c r="H243" s="248">
        <f t="shared" si="101"/>
        <v>9153</v>
      </c>
      <c r="I243" s="248">
        <f t="shared" si="101"/>
        <v>4204.4750000000004</v>
      </c>
      <c r="J243" s="248">
        <f t="shared" si="101"/>
        <v>3466.4749999999999</v>
      </c>
      <c r="K243" s="248">
        <f t="shared" si="101"/>
        <v>487</v>
      </c>
      <c r="L243" s="248">
        <f t="shared" si="101"/>
        <v>251.00000000000045</v>
      </c>
      <c r="M243" s="249">
        <f>'B3 tổng hợp giờ chuẩn từng khoa'!L64</f>
        <v>2270</v>
      </c>
      <c r="N243" s="249">
        <f>'B3 tổng hợp giờ chuẩn từng khoa'!T64</f>
        <v>1730</v>
      </c>
      <c r="O243" s="249">
        <f t="shared" si="100"/>
        <v>1736.4749999999999</v>
      </c>
      <c r="P243" s="288">
        <f>'B3 tổng hợp giờ chuẩn từng khoa'!U64</f>
        <v>2323.25</v>
      </c>
      <c r="Q243" s="288">
        <f>'B3 tổng hợp giờ chuẩn từng khoa'!V64</f>
        <v>1565</v>
      </c>
      <c r="R243" s="261"/>
      <c r="S243" s="56"/>
      <c r="T243" s="56"/>
      <c r="U243" s="56"/>
      <c r="V243" s="56"/>
      <c r="W243" s="56"/>
      <c r="X243" s="56"/>
      <c r="Y243" s="56"/>
      <c r="Z243" s="13"/>
    </row>
    <row r="244" spans="1:26" ht="20.25" customHeight="1">
      <c r="A244" s="2834"/>
      <c r="B244" s="1892" t="s">
        <v>546</v>
      </c>
      <c r="C244" s="248">
        <f t="shared" ref="C244:L244" si="102">C26+C63+C101+C134+C147+C168</f>
        <v>179</v>
      </c>
      <c r="D244" s="248">
        <f t="shared" si="102"/>
        <v>72.100000000000009</v>
      </c>
      <c r="E244" s="248">
        <f t="shared" si="102"/>
        <v>109</v>
      </c>
      <c r="F244" s="248">
        <f t="shared" si="102"/>
        <v>57</v>
      </c>
      <c r="G244" s="248">
        <f t="shared" si="102"/>
        <v>1392</v>
      </c>
      <c r="H244" s="248">
        <f t="shared" si="102"/>
        <v>5417.8</v>
      </c>
      <c r="I244" s="248">
        <f t="shared" si="102"/>
        <v>4872.375</v>
      </c>
      <c r="J244" s="248">
        <f t="shared" si="102"/>
        <v>4375.5</v>
      </c>
      <c r="K244" s="248">
        <f t="shared" si="102"/>
        <v>315.75</v>
      </c>
      <c r="L244" s="248">
        <f t="shared" si="102"/>
        <v>181.125</v>
      </c>
      <c r="M244" s="249">
        <f>'B3 tổng hợp giờ chuẩn từng khoa'!L86</f>
        <v>2670</v>
      </c>
      <c r="N244" s="249">
        <f>'B3 tổng hợp giờ chuẩn từng khoa'!T86</f>
        <v>2061</v>
      </c>
      <c r="O244" s="249">
        <f t="shared" si="100"/>
        <v>2314.5</v>
      </c>
      <c r="P244" s="288">
        <f>'B3 tổng hợp giờ chuẩn từng khoa'!U86</f>
        <v>3153</v>
      </c>
      <c r="Q244" s="288">
        <f>'B3 tổng hợp giờ chuẩn từng khoa'!V86</f>
        <v>1921</v>
      </c>
      <c r="R244" s="261"/>
      <c r="S244" s="56"/>
      <c r="T244" s="56"/>
      <c r="U244" s="56"/>
      <c r="V244" s="56"/>
      <c r="W244" s="56"/>
      <c r="X244" s="56"/>
      <c r="Y244" s="56"/>
      <c r="Z244" s="13"/>
    </row>
    <row r="245" spans="1:26" ht="20.25" customHeight="1">
      <c r="A245" s="2834"/>
      <c r="B245" s="1892" t="s">
        <v>547</v>
      </c>
      <c r="C245" s="248">
        <f t="shared" ref="C245:L245" si="103">C29+C66+C104+C135+C171</f>
        <v>131</v>
      </c>
      <c r="D245" s="248">
        <f t="shared" si="103"/>
        <v>56.879999999999995</v>
      </c>
      <c r="E245" s="248">
        <f t="shared" si="103"/>
        <v>79</v>
      </c>
      <c r="F245" s="248">
        <f t="shared" si="103"/>
        <v>41</v>
      </c>
      <c r="G245" s="248">
        <f t="shared" si="103"/>
        <v>1011</v>
      </c>
      <c r="H245" s="248">
        <f t="shared" si="103"/>
        <v>4321.7</v>
      </c>
      <c r="I245" s="248">
        <f t="shared" si="103"/>
        <v>5105.67</v>
      </c>
      <c r="J245" s="248">
        <f t="shared" si="103"/>
        <v>3982.7325000000001</v>
      </c>
      <c r="K245" s="248">
        <f t="shared" si="103"/>
        <v>1383.5625</v>
      </c>
      <c r="L245" s="248">
        <f t="shared" si="103"/>
        <v>-260.625</v>
      </c>
      <c r="M245" s="249">
        <f>'B3 tổng hợp giờ chuẩn từng khoa'!L106</f>
        <v>3000</v>
      </c>
      <c r="N245" s="249">
        <f>'B3 tổng hợp giờ chuẩn từng khoa'!T106</f>
        <v>2390</v>
      </c>
      <c r="O245" s="249">
        <f t="shared" si="100"/>
        <v>1592.7325000000001</v>
      </c>
      <c r="P245" s="288">
        <f>'B3 tổng hợp giờ chuẩn từng khoa'!U106</f>
        <v>3386.75</v>
      </c>
      <c r="Q245" s="288">
        <f>'B3 tổng hợp giờ chuẩn từng khoa'!V106</f>
        <v>2123.5</v>
      </c>
      <c r="R245" s="261"/>
      <c r="S245" s="56"/>
      <c r="T245" s="56"/>
      <c r="U245" s="56"/>
      <c r="V245" s="56"/>
      <c r="W245" s="56"/>
      <c r="X245" s="56"/>
      <c r="Y245" s="56"/>
      <c r="Z245" s="13"/>
    </row>
    <row r="246" spans="1:26" ht="20.25" customHeight="1">
      <c r="A246" s="2834"/>
      <c r="B246" s="1892" t="s">
        <v>548</v>
      </c>
      <c r="C246" s="248">
        <f t="shared" ref="C246:L246" si="104">C32+C69+C107+C136+C174</f>
        <v>101</v>
      </c>
      <c r="D246" s="248">
        <f t="shared" si="104"/>
        <v>29.024999999999999</v>
      </c>
      <c r="E246" s="248">
        <f t="shared" si="104"/>
        <v>74</v>
      </c>
      <c r="F246" s="248">
        <f t="shared" si="104"/>
        <v>28.799999999999997</v>
      </c>
      <c r="G246" s="248">
        <f t="shared" si="104"/>
        <v>2194</v>
      </c>
      <c r="H246" s="248">
        <f t="shared" si="104"/>
        <v>6523</v>
      </c>
      <c r="I246" s="248">
        <f t="shared" si="104"/>
        <v>6710.1</v>
      </c>
      <c r="J246" s="248">
        <f t="shared" si="104"/>
        <v>6710.1</v>
      </c>
      <c r="K246" s="248">
        <f t="shared" si="104"/>
        <v>0</v>
      </c>
      <c r="L246" s="248">
        <f t="shared" si="104"/>
        <v>0</v>
      </c>
      <c r="M246" s="249">
        <f>'B3 tổng hợp giờ chuẩn từng khoa'!L120</f>
        <v>1430</v>
      </c>
      <c r="N246" s="249">
        <f>'B3 tổng hợp giờ chuẩn từng khoa'!T120</f>
        <v>1246.5</v>
      </c>
      <c r="O246" s="249">
        <f t="shared" si="100"/>
        <v>5463.6</v>
      </c>
      <c r="P246" s="288">
        <f>'B3 tổng hợp giờ chuẩn từng khoa'!U120</f>
        <v>927.25</v>
      </c>
      <c r="Q246" s="288">
        <f>'B3 tổng hợp giờ chuẩn từng khoa'!V120</f>
        <v>760</v>
      </c>
      <c r="R246" s="261"/>
      <c r="S246" s="56"/>
      <c r="T246" s="56"/>
      <c r="U246" s="56"/>
      <c r="V246" s="56"/>
      <c r="W246" s="56"/>
      <c r="X246" s="56"/>
      <c r="Y246" s="56"/>
      <c r="Z246" s="13"/>
    </row>
    <row r="247" spans="1:26" ht="20.25" customHeight="1">
      <c r="A247" s="2834"/>
      <c r="B247" s="1892" t="s">
        <v>549</v>
      </c>
      <c r="C247" s="248">
        <f t="shared" ref="C247:L247" si="105">C35+C72+C110+C137+C158+C177+C200+C148</f>
        <v>267</v>
      </c>
      <c r="D247" s="248">
        <f t="shared" si="105"/>
        <v>69.935000000000002</v>
      </c>
      <c r="E247" s="248">
        <f t="shared" si="105"/>
        <v>128</v>
      </c>
      <c r="F247" s="248">
        <f t="shared" si="105"/>
        <v>45.900000000000006</v>
      </c>
      <c r="G247" s="248">
        <f t="shared" si="105"/>
        <v>4882</v>
      </c>
      <c r="H247" s="248">
        <f t="shared" si="105"/>
        <v>19898.5</v>
      </c>
      <c r="I247" s="248">
        <f t="shared" si="105"/>
        <v>9784.716666666669</v>
      </c>
      <c r="J247" s="248">
        <f t="shared" si="105"/>
        <v>9784.716666666669</v>
      </c>
      <c r="K247" s="248">
        <f t="shared" si="105"/>
        <v>0</v>
      </c>
      <c r="L247" s="248">
        <f t="shared" si="105"/>
        <v>0</v>
      </c>
      <c r="M247" s="249">
        <f>'B3 tổng hợp giờ chuẩn từng khoa'!L145</f>
        <v>3740</v>
      </c>
      <c r="N247" s="249">
        <f>'B3 tổng hợp giờ chuẩn từng khoa'!T145</f>
        <v>3330</v>
      </c>
      <c r="O247" s="249">
        <f t="shared" si="100"/>
        <v>6454.716666666669</v>
      </c>
      <c r="P247" s="288">
        <f>'B3 tổng hợp giờ chuẩn từng khoa'!U145</f>
        <v>4490.5</v>
      </c>
      <c r="Q247" s="288">
        <f>'B3 tổng hợp giờ chuẩn từng khoa'!V145</f>
        <v>3029.5</v>
      </c>
      <c r="R247" s="261"/>
      <c r="S247" s="56"/>
      <c r="T247" s="56"/>
      <c r="U247" s="56"/>
      <c r="V247" s="56"/>
      <c r="W247" s="56"/>
      <c r="X247" s="56"/>
      <c r="Y247" s="56"/>
      <c r="Z247" s="13"/>
    </row>
    <row r="248" spans="1:26" ht="20.25" customHeight="1">
      <c r="A248" s="2834"/>
      <c r="B248" s="1892" t="s">
        <v>605</v>
      </c>
      <c r="C248" s="248">
        <f t="shared" ref="C248:L248" si="106">C38+C75+C113+C138+C149+C153+C157+C180</f>
        <v>206</v>
      </c>
      <c r="D248" s="248">
        <f t="shared" si="106"/>
        <v>72.2</v>
      </c>
      <c r="E248" s="248">
        <f t="shared" si="106"/>
        <v>64</v>
      </c>
      <c r="F248" s="248">
        <f t="shared" si="106"/>
        <v>58</v>
      </c>
      <c r="G248" s="248">
        <f t="shared" si="106"/>
        <v>1387</v>
      </c>
      <c r="H248" s="248">
        <f t="shared" si="106"/>
        <v>5197.8</v>
      </c>
      <c r="I248" s="248">
        <f t="shared" si="106"/>
        <v>4489.1000000000004</v>
      </c>
      <c r="J248" s="248">
        <f t="shared" si="106"/>
        <v>3942.7249999999999</v>
      </c>
      <c r="K248" s="248">
        <f t="shared" si="106"/>
        <v>587</v>
      </c>
      <c r="L248" s="248">
        <f t="shared" si="106"/>
        <v>-40.625</v>
      </c>
      <c r="M248" s="249">
        <f>'B3 tổng hợp giờ chuẩn từng khoa'!L166</f>
        <v>2400</v>
      </c>
      <c r="N248" s="249">
        <f>'B3 tổng hợp giờ chuẩn từng khoa'!T166</f>
        <v>2190</v>
      </c>
      <c r="O248" s="249">
        <f t="shared" si="100"/>
        <v>1752.7249999999999</v>
      </c>
      <c r="P248" s="288">
        <f>'B3 tổng hợp giờ chuẩn từng khoa'!U166</f>
        <v>3255.25</v>
      </c>
      <c r="Q248" s="288">
        <f>'B3 tổng hợp giờ chuẩn từng khoa'!V166</f>
        <v>1835</v>
      </c>
      <c r="R248" s="261"/>
      <c r="S248" s="56"/>
      <c r="T248" s="56"/>
      <c r="U248" s="56"/>
      <c r="V248" s="56"/>
      <c r="W248" s="56"/>
      <c r="X248" s="56"/>
      <c r="Y248" s="56"/>
      <c r="Z248" s="13"/>
    </row>
    <row r="249" spans="1:26" ht="20.25" customHeight="1">
      <c r="A249" s="2834"/>
      <c r="B249" s="1892" t="s">
        <v>551</v>
      </c>
      <c r="C249" s="248">
        <f t="shared" ref="C249:L249" si="107">C41+C78+C116+C139+C183+C214</f>
        <v>143</v>
      </c>
      <c r="D249" s="248">
        <f t="shared" si="107"/>
        <v>47.89</v>
      </c>
      <c r="E249" s="248">
        <f t="shared" si="107"/>
        <v>43</v>
      </c>
      <c r="F249" s="248">
        <f t="shared" si="107"/>
        <v>41</v>
      </c>
      <c r="G249" s="248">
        <f t="shared" si="107"/>
        <v>1388</v>
      </c>
      <c r="H249" s="248">
        <f t="shared" si="107"/>
        <v>4761.2000000000007</v>
      </c>
      <c r="I249" s="248">
        <f t="shared" si="107"/>
        <v>3258.0749999999998</v>
      </c>
      <c r="J249" s="248">
        <f t="shared" si="107"/>
        <v>2790.95</v>
      </c>
      <c r="K249" s="248">
        <f t="shared" si="107"/>
        <v>245</v>
      </c>
      <c r="L249" s="248">
        <f t="shared" si="107"/>
        <v>222.125</v>
      </c>
      <c r="M249" s="249">
        <f>'B3 tổng hợp giờ chuẩn từng khoa'!L184</f>
        <v>1600</v>
      </c>
      <c r="N249" s="249">
        <f>'B3 tổng hợp giờ chuẩn từng khoa'!T184</f>
        <v>1370</v>
      </c>
      <c r="O249" s="249">
        <f t="shared" si="100"/>
        <v>1420.9499999999998</v>
      </c>
      <c r="P249" s="288">
        <f>'B3 tổng hợp giờ chuẩn từng khoa'!U184</f>
        <v>2059.25</v>
      </c>
      <c r="Q249" s="288">
        <f>'B3 tổng hợp giờ chuẩn từng khoa'!V184</f>
        <v>1185</v>
      </c>
      <c r="R249" s="261"/>
      <c r="S249" s="56"/>
      <c r="T249" s="56"/>
      <c r="U249" s="56"/>
      <c r="V249" s="56"/>
      <c r="W249" s="56"/>
      <c r="X249" s="56"/>
      <c r="Y249" s="56"/>
      <c r="Z249" s="13"/>
    </row>
    <row r="250" spans="1:26" ht="20.25" customHeight="1">
      <c r="A250" s="2834"/>
      <c r="B250" s="1892" t="s">
        <v>552</v>
      </c>
      <c r="C250" s="248">
        <f t="shared" ref="C250:L250" si="108">C44+C81+C119+C140+C186</f>
        <v>85</v>
      </c>
      <c r="D250" s="248">
        <f t="shared" si="108"/>
        <v>34.6</v>
      </c>
      <c r="E250" s="248">
        <f t="shared" si="108"/>
        <v>360</v>
      </c>
      <c r="F250" s="248">
        <f t="shared" si="108"/>
        <v>34.6</v>
      </c>
      <c r="G250" s="248">
        <f t="shared" si="108"/>
        <v>16240</v>
      </c>
      <c r="H250" s="248">
        <f t="shared" si="108"/>
        <v>35968</v>
      </c>
      <c r="I250" s="248">
        <f t="shared" si="108"/>
        <v>12704.5</v>
      </c>
      <c r="J250" s="248">
        <f t="shared" si="108"/>
        <v>7864</v>
      </c>
      <c r="K250" s="248">
        <f t="shared" si="108"/>
        <v>0</v>
      </c>
      <c r="L250" s="248">
        <f t="shared" si="108"/>
        <v>4840.5</v>
      </c>
      <c r="M250" s="249">
        <f>'B3 tổng hợp giờ chuẩn từng khoa'!L208</f>
        <v>3710</v>
      </c>
      <c r="N250" s="249">
        <f>'B3 tổng hợp giờ chuẩn từng khoa'!T208</f>
        <v>3413.5</v>
      </c>
      <c r="O250" s="249">
        <f t="shared" si="100"/>
        <v>4450.5</v>
      </c>
      <c r="P250" s="288">
        <f>'B3 tổng hợp giờ chuẩn từng khoa'!U208</f>
        <v>2637.25</v>
      </c>
      <c r="Q250" s="288">
        <f>'B3 tổng hợp giờ chuẩn từng khoa'!V208</f>
        <v>2490</v>
      </c>
      <c r="R250" s="261"/>
      <c r="S250" s="56"/>
      <c r="T250" s="56"/>
      <c r="U250" s="56"/>
      <c r="V250" s="56"/>
      <c r="W250" s="56"/>
      <c r="X250" s="56"/>
      <c r="Y250" s="56"/>
      <c r="Z250" s="13"/>
    </row>
    <row r="251" spans="1:26" ht="20.25" customHeight="1">
      <c r="A251" s="2834"/>
      <c r="B251" s="1892" t="s">
        <v>553</v>
      </c>
      <c r="C251" s="248">
        <f t="shared" ref="C251:L251" si="109">C47+C84+C122+C141+C189</f>
        <v>243</v>
      </c>
      <c r="D251" s="248">
        <f t="shared" si="109"/>
        <v>44689.570000000007</v>
      </c>
      <c r="E251" s="248">
        <f t="shared" si="109"/>
        <v>252</v>
      </c>
      <c r="F251" s="248">
        <f t="shared" si="109"/>
        <v>72.5</v>
      </c>
      <c r="G251" s="248">
        <f t="shared" si="109"/>
        <v>7596</v>
      </c>
      <c r="H251" s="248">
        <f t="shared" si="109"/>
        <v>27889.199999999997</v>
      </c>
      <c r="I251" s="248">
        <f t="shared" si="109"/>
        <v>22052.05</v>
      </c>
      <c r="J251" s="248">
        <f t="shared" si="109"/>
        <v>19967.924999999999</v>
      </c>
      <c r="K251" s="248">
        <f t="shared" si="109"/>
        <v>0</v>
      </c>
      <c r="L251" s="248">
        <f t="shared" si="109"/>
        <v>2084.125</v>
      </c>
      <c r="M251" s="249">
        <f>'B3 tổng hợp giờ chuẩn từng khoa'!L225</f>
        <v>1960</v>
      </c>
      <c r="N251" s="249">
        <f>'B3 tổng hợp giờ chuẩn từng khoa'!T225</f>
        <v>1190</v>
      </c>
      <c r="O251" s="249">
        <f t="shared" si="100"/>
        <v>18777.924999999999</v>
      </c>
      <c r="P251" s="288">
        <f>'B3 tổng hợp giờ chuẩn từng khoa'!U225</f>
        <v>1085.25</v>
      </c>
      <c r="Q251" s="288">
        <f>'B3 tổng hợp giờ chuẩn từng khoa'!V225</f>
        <v>1485</v>
      </c>
      <c r="R251" s="261"/>
      <c r="S251" s="56"/>
      <c r="T251" s="56"/>
      <c r="U251" s="56"/>
      <c r="V251" s="56"/>
      <c r="W251" s="56"/>
      <c r="X251" s="56"/>
      <c r="Y251" s="56"/>
      <c r="Z251" s="13"/>
    </row>
    <row r="252" spans="1:26" ht="20.25" customHeight="1">
      <c r="A252" s="2834"/>
      <c r="B252" s="1892" t="s">
        <v>554</v>
      </c>
      <c r="C252" s="248">
        <f t="shared" ref="C252:L252" si="110">C50+C87+C125+C142+C192</f>
        <v>187</v>
      </c>
      <c r="D252" s="248">
        <f t="shared" si="110"/>
        <v>62.167000000000002</v>
      </c>
      <c r="E252" s="248">
        <f t="shared" si="110"/>
        <v>371</v>
      </c>
      <c r="F252" s="248">
        <f t="shared" si="110"/>
        <v>61.70000000000001</v>
      </c>
      <c r="G252" s="248">
        <f t="shared" si="110"/>
        <v>17797</v>
      </c>
      <c r="H252" s="248">
        <f t="shared" si="110"/>
        <v>67617.83</v>
      </c>
      <c r="I252" s="248">
        <f t="shared" si="110"/>
        <v>27780.875</v>
      </c>
      <c r="J252" s="248">
        <f t="shared" si="110"/>
        <v>24598.174999999999</v>
      </c>
      <c r="K252" s="248">
        <f t="shared" si="110"/>
        <v>2387.7000000000003</v>
      </c>
      <c r="L252" s="248">
        <f t="shared" si="110"/>
        <v>795</v>
      </c>
      <c r="M252" s="249">
        <f>'B3 tổng hợp giờ chuẩn từng khoa'!L245</f>
        <v>2800</v>
      </c>
      <c r="N252" s="249">
        <f>'B3 tổng hợp giờ chuẩn từng khoa'!T245</f>
        <v>2069</v>
      </c>
      <c r="O252" s="249">
        <f t="shared" si="100"/>
        <v>22529.174999999999</v>
      </c>
      <c r="P252" s="288">
        <f>'B3 tổng hợp giờ chuẩn từng khoa'!U245</f>
        <v>1533.75</v>
      </c>
      <c r="Q252" s="288">
        <f>'B3 tổng hợp giờ chuẩn từng khoa'!V245</f>
        <v>1400</v>
      </c>
      <c r="R252" s="261"/>
      <c r="S252" s="56"/>
      <c r="T252" s="56"/>
      <c r="U252" s="56"/>
      <c r="V252" s="56"/>
      <c r="W252" s="56"/>
      <c r="X252" s="56"/>
      <c r="Y252" s="56"/>
      <c r="Z252" s="13"/>
    </row>
    <row r="253" spans="1:26" ht="20.25" customHeight="1">
      <c r="A253" s="2834"/>
      <c r="B253" s="1892" t="s">
        <v>555</v>
      </c>
      <c r="C253" s="248">
        <f t="shared" ref="C253:L253" si="111">C53+C90+C128+C143+C150+C154+C195</f>
        <v>251</v>
      </c>
      <c r="D253" s="248">
        <f t="shared" si="111"/>
        <v>46.900000000000006</v>
      </c>
      <c r="E253" s="248">
        <f t="shared" si="111"/>
        <v>426</v>
      </c>
      <c r="F253" s="248">
        <f t="shared" si="111"/>
        <v>38.199999999999996</v>
      </c>
      <c r="G253" s="248">
        <f t="shared" si="111"/>
        <v>6661</v>
      </c>
      <c r="H253" s="248">
        <f t="shared" si="111"/>
        <v>56016.4</v>
      </c>
      <c r="I253" s="248">
        <f t="shared" si="111"/>
        <v>18808.584999999999</v>
      </c>
      <c r="J253" s="248">
        <f t="shared" si="111"/>
        <v>18808.584999999999</v>
      </c>
      <c r="K253" s="248">
        <f t="shared" si="111"/>
        <v>0</v>
      </c>
      <c r="L253" s="248">
        <f t="shared" si="111"/>
        <v>0</v>
      </c>
      <c r="M253" s="249">
        <f>'B3 tổng hợp giờ chuẩn từng khoa'!L271</f>
        <v>4360</v>
      </c>
      <c r="N253" s="249">
        <f>'B3 tổng hợp giờ chuẩn từng khoa'!T271</f>
        <v>3815</v>
      </c>
      <c r="O253" s="249">
        <f t="shared" si="100"/>
        <v>14993.584999999999</v>
      </c>
      <c r="P253" s="288">
        <f>'B3 tổng hợp giờ chuẩn từng khoa'!U271</f>
        <v>2862.75</v>
      </c>
      <c r="Q253" s="288">
        <f>'B3 tổng hợp giờ chuẩn từng khoa'!V271</f>
        <v>2810</v>
      </c>
      <c r="R253" s="261"/>
      <c r="S253" s="56"/>
      <c r="T253" s="56"/>
      <c r="U253" s="56"/>
      <c r="V253" s="56"/>
      <c r="W253" s="56"/>
      <c r="X253" s="56"/>
      <c r="Y253" s="56"/>
      <c r="Z253" s="13"/>
    </row>
    <row r="254" spans="1:26" ht="20.25" customHeight="1">
      <c r="A254" s="2834"/>
      <c r="B254" s="1892" t="s">
        <v>606</v>
      </c>
      <c r="C254" s="248">
        <v>0</v>
      </c>
      <c r="D254" s="248">
        <v>0</v>
      </c>
      <c r="E254" s="248">
        <v>0</v>
      </c>
      <c r="F254" s="248">
        <v>0</v>
      </c>
      <c r="G254" s="248">
        <v>0</v>
      </c>
      <c r="H254" s="248">
        <v>0</v>
      </c>
      <c r="I254" s="248">
        <v>0</v>
      </c>
      <c r="J254" s="248">
        <v>0</v>
      </c>
      <c r="K254" s="248">
        <v>0</v>
      </c>
      <c r="L254" s="248">
        <v>0</v>
      </c>
      <c r="M254" s="249">
        <f>'B3 tổng hợp giờ chuẩn từng khoa'!L282</f>
        <v>200</v>
      </c>
      <c r="N254" s="249">
        <f>'B3 tổng hợp giờ chuẩn từng khoa'!T282</f>
        <v>60.000000000000007</v>
      </c>
      <c r="O254" s="249">
        <f t="shared" si="100"/>
        <v>-60.000000000000007</v>
      </c>
      <c r="P254" s="288">
        <f>'B3 tổng hợp giờ chuẩn từng khoa'!U282</f>
        <v>88.5</v>
      </c>
      <c r="Q254" s="288">
        <f>'B3 tổng hợp giờ chuẩn từng khoa'!V282</f>
        <v>0</v>
      </c>
      <c r="R254" s="261"/>
      <c r="S254" s="56"/>
      <c r="T254" s="56"/>
      <c r="U254" s="56"/>
      <c r="V254" s="56"/>
      <c r="W254" s="56"/>
      <c r="X254" s="56"/>
      <c r="Y254" s="56"/>
      <c r="Z254" s="13"/>
    </row>
    <row r="255" spans="1:26" ht="20.25" customHeight="1">
      <c r="A255" s="2779"/>
      <c r="B255" s="1893" t="s">
        <v>607</v>
      </c>
      <c r="C255" s="248">
        <f t="shared" ref="C255:L255" si="112">C218+C233</f>
        <v>2237</v>
      </c>
      <c r="D255" s="248">
        <f t="shared" si="112"/>
        <v>45343.167000000001</v>
      </c>
      <c r="E255" s="248">
        <f t="shared" si="112"/>
        <v>2235</v>
      </c>
      <c r="F255" s="248">
        <f t="shared" si="112"/>
        <v>604.70000000000005</v>
      </c>
      <c r="G255" s="248">
        <f t="shared" si="112"/>
        <v>75038</v>
      </c>
      <c r="H255" s="248">
        <f t="shared" si="112"/>
        <v>283542.91000000003</v>
      </c>
      <c r="I255" s="248">
        <f t="shared" si="112"/>
        <v>137184.19666666666</v>
      </c>
      <c r="J255" s="248">
        <f t="shared" si="112"/>
        <v>123045.30916666667</v>
      </c>
      <c r="K255" s="248">
        <f t="shared" si="112"/>
        <v>5748.1625000000004</v>
      </c>
      <c r="L255" s="248">
        <f t="shared" si="112"/>
        <v>8390.7249999999767</v>
      </c>
      <c r="M255" s="249">
        <f t="shared" ref="M255:Q255" si="113">SUM(M242:M254)</f>
        <v>36120</v>
      </c>
      <c r="N255" s="249">
        <f t="shared" si="113"/>
        <v>29903</v>
      </c>
      <c r="O255" s="249">
        <f t="shared" si="113"/>
        <v>93142.309166666673</v>
      </c>
      <c r="P255" s="249">
        <f t="shared" si="113"/>
        <v>34044.75</v>
      </c>
      <c r="Q255" s="249">
        <f t="shared" si="113"/>
        <v>23554</v>
      </c>
      <c r="R255" s="261"/>
      <c r="S255" s="56"/>
      <c r="T255" s="56"/>
      <c r="U255" s="56"/>
      <c r="V255" s="56"/>
      <c r="W255" s="56"/>
      <c r="X255" s="56"/>
      <c r="Y255" s="56"/>
      <c r="Z255" s="13"/>
    </row>
    <row r="256" spans="1:26" ht="20.25" customHeight="1">
      <c r="A256" s="289"/>
      <c r="B256" s="290"/>
      <c r="C256" s="291"/>
      <c r="D256" s="291"/>
      <c r="E256" s="291"/>
      <c r="F256" s="291"/>
      <c r="G256" s="291"/>
      <c r="H256" s="291"/>
      <c r="I256" s="291"/>
      <c r="J256" s="291"/>
      <c r="K256" s="291"/>
      <c r="L256" s="291"/>
      <c r="M256" s="292"/>
      <c r="N256" s="292"/>
      <c r="O256" s="292"/>
      <c r="P256" s="292"/>
      <c r="Q256" s="292"/>
      <c r="R256" s="119"/>
      <c r="S256" s="56"/>
      <c r="T256" s="56"/>
      <c r="U256" s="56"/>
      <c r="V256" s="56"/>
      <c r="W256" s="56"/>
      <c r="X256" s="56"/>
      <c r="Y256" s="56"/>
      <c r="Z256" s="13"/>
    </row>
    <row r="257" spans="1:26" ht="21" customHeight="1">
      <c r="A257" s="293"/>
      <c r="B257" s="294"/>
      <c r="C257" s="294"/>
      <c r="D257" s="294"/>
      <c r="E257" s="294"/>
      <c r="F257" s="294"/>
      <c r="G257" s="294"/>
      <c r="H257" s="294"/>
      <c r="I257" s="294"/>
      <c r="J257" s="2829" t="s">
        <v>608</v>
      </c>
      <c r="K257" s="2732"/>
      <c r="L257" s="2732"/>
      <c r="M257" s="2732"/>
      <c r="N257" s="2732"/>
      <c r="O257" s="2732"/>
      <c r="P257" s="40"/>
      <c r="Q257" s="40"/>
      <c r="R257" s="231"/>
      <c r="S257" s="40"/>
      <c r="T257" s="40"/>
      <c r="U257" s="40"/>
      <c r="V257" s="40"/>
      <c r="W257" s="87"/>
      <c r="X257" s="87"/>
      <c r="Y257" s="87"/>
      <c r="Z257" s="87"/>
    </row>
    <row r="258" spans="1:26" ht="21" customHeight="1">
      <c r="A258" s="85"/>
      <c r="B258" s="294"/>
      <c r="C258" s="294"/>
      <c r="D258" s="294"/>
      <c r="E258" s="294"/>
      <c r="F258" s="294"/>
      <c r="G258" s="294"/>
      <c r="H258" s="294"/>
      <c r="I258" s="294"/>
      <c r="J258" s="2830" t="s">
        <v>609</v>
      </c>
      <c r="K258" s="2732"/>
      <c r="L258" s="2732"/>
      <c r="M258" s="2732"/>
      <c r="N258" s="2732"/>
      <c r="O258" s="2732"/>
      <c r="P258" s="40"/>
      <c r="Q258" s="40"/>
      <c r="R258" s="167"/>
      <c r="S258" s="41"/>
      <c r="T258" s="41"/>
      <c r="U258" s="41"/>
      <c r="V258" s="41"/>
      <c r="W258" s="13"/>
      <c r="X258" s="13"/>
      <c r="Y258" s="13"/>
      <c r="Z258" s="13"/>
    </row>
    <row r="259" spans="1:26">
      <c r="A259" s="39"/>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21" customHeight="1">
      <c r="A260" s="85"/>
      <c r="B260" s="294"/>
      <c r="C260" s="294"/>
      <c r="D260" s="294"/>
      <c r="E260" s="294"/>
      <c r="F260" s="294"/>
      <c r="G260" s="294"/>
      <c r="H260" s="294"/>
      <c r="I260" s="294"/>
      <c r="J260" s="296"/>
      <c r="K260" s="297"/>
      <c r="L260" s="297"/>
      <c r="M260" s="297"/>
      <c r="N260" s="297"/>
      <c r="O260" s="297"/>
      <c r="P260" s="297"/>
      <c r="Q260" s="297"/>
      <c r="R260" s="167"/>
      <c r="S260" s="41"/>
      <c r="T260" s="41"/>
      <c r="U260" s="41"/>
      <c r="V260" s="41"/>
      <c r="W260" s="13"/>
      <c r="X260" s="13"/>
      <c r="Y260" s="13"/>
      <c r="Z260" s="13"/>
    </row>
    <row r="261" spans="1:26" ht="21" customHeight="1">
      <c r="A261" s="85"/>
      <c r="B261" s="294"/>
      <c r="C261" s="294"/>
      <c r="D261" s="294"/>
      <c r="E261" s="294"/>
      <c r="F261" s="294"/>
      <c r="G261" s="294"/>
      <c r="H261" s="294"/>
      <c r="I261" s="294"/>
      <c r="J261" s="296"/>
      <c r="K261" s="296"/>
      <c r="L261" s="298"/>
      <c r="M261" s="299"/>
      <c r="N261" s="300"/>
      <c r="O261" s="298"/>
      <c r="P261" s="40"/>
      <c r="Q261" s="40"/>
      <c r="R261" s="167"/>
      <c r="S261" s="41"/>
      <c r="T261" s="41"/>
      <c r="U261" s="41"/>
      <c r="V261" s="41"/>
      <c r="W261" s="13"/>
      <c r="X261" s="13"/>
      <c r="Y261" s="13"/>
      <c r="Z261" s="13"/>
    </row>
    <row r="262" spans="1:26" ht="21" customHeight="1">
      <c r="A262" s="85"/>
      <c r="B262" s="294"/>
      <c r="C262" s="294"/>
      <c r="D262" s="294"/>
      <c r="E262" s="294"/>
      <c r="F262" s="294"/>
      <c r="G262" s="294"/>
      <c r="H262" s="294"/>
      <c r="I262" s="294"/>
      <c r="J262" s="296"/>
      <c r="K262" s="296"/>
      <c r="L262" s="298"/>
      <c r="M262" s="299"/>
      <c r="N262" s="300"/>
      <c r="O262" s="298"/>
      <c r="P262" s="40"/>
      <c r="Q262" s="40"/>
      <c r="R262" s="167"/>
      <c r="S262" s="41"/>
      <c r="T262" s="41"/>
      <c r="U262" s="41"/>
      <c r="V262" s="41"/>
      <c r="W262" s="13"/>
      <c r="X262" s="13"/>
      <c r="Y262" s="13"/>
      <c r="Z262" s="13"/>
    </row>
    <row r="263" spans="1:26" ht="21" customHeight="1">
      <c r="A263" s="85"/>
      <c r="B263" s="294"/>
      <c r="C263" s="294"/>
      <c r="D263" s="294"/>
      <c r="E263" s="294"/>
      <c r="F263" s="294"/>
      <c r="G263" s="294"/>
      <c r="H263" s="294"/>
      <c r="I263" s="294"/>
      <c r="J263" s="296"/>
      <c r="K263" s="296"/>
      <c r="L263" s="298"/>
      <c r="M263" s="299"/>
      <c r="N263" s="300"/>
      <c r="O263" s="298"/>
      <c r="P263" s="40"/>
      <c r="Q263" s="40"/>
      <c r="R263" s="167"/>
      <c r="S263" s="41"/>
      <c r="T263" s="41"/>
      <c r="U263" s="41"/>
      <c r="V263" s="41"/>
      <c r="W263" s="13"/>
      <c r="X263" s="13"/>
      <c r="Y263" s="13"/>
      <c r="Z263" s="13"/>
    </row>
    <row r="264" spans="1:26" ht="21" customHeight="1">
      <c r="A264" s="85"/>
      <c r="B264" s="294"/>
      <c r="C264" s="294"/>
      <c r="D264" s="294"/>
      <c r="E264" s="294"/>
      <c r="F264" s="294"/>
      <c r="G264" s="294"/>
      <c r="H264" s="294"/>
      <c r="I264" s="294"/>
      <c r="J264" s="2830" t="s">
        <v>610</v>
      </c>
      <c r="K264" s="2732"/>
      <c r="L264" s="2732"/>
      <c r="M264" s="2732"/>
      <c r="N264" s="2732"/>
      <c r="O264" s="2732"/>
      <c r="P264" s="40"/>
      <c r="Q264" s="40"/>
      <c r="R264" s="167"/>
      <c r="S264" s="41"/>
      <c r="T264" s="41"/>
      <c r="U264" s="41"/>
      <c r="V264" s="41"/>
      <c r="W264" s="13"/>
      <c r="X264" s="13"/>
      <c r="Y264" s="13"/>
      <c r="Z264" s="13"/>
    </row>
    <row r="265" spans="1:26" ht="21" customHeight="1">
      <c r="A265" s="85"/>
      <c r="B265" s="294"/>
      <c r="C265" s="294"/>
      <c r="D265" s="294"/>
      <c r="E265" s="294"/>
      <c r="F265" s="294"/>
      <c r="G265" s="294"/>
      <c r="H265" s="294"/>
      <c r="I265" s="294"/>
      <c r="J265" s="294"/>
      <c r="K265" s="294"/>
      <c r="L265" s="294"/>
      <c r="M265" s="40"/>
      <c r="N265" s="40"/>
      <c r="O265" s="40"/>
      <c r="P265" s="40"/>
      <c r="Q265" s="40"/>
      <c r="R265" s="167"/>
      <c r="S265" s="41"/>
      <c r="T265" s="41"/>
      <c r="U265" s="41"/>
      <c r="V265" s="41"/>
      <c r="W265" s="13"/>
      <c r="X265" s="13"/>
      <c r="Y265" s="13"/>
      <c r="Z265" s="13"/>
    </row>
    <row r="266" spans="1:26" ht="21" customHeight="1">
      <c r="A266" s="85"/>
      <c r="B266" s="294"/>
      <c r="C266" s="294"/>
      <c r="D266" s="294"/>
      <c r="E266" s="294"/>
      <c r="F266" s="294"/>
      <c r="G266" s="294"/>
      <c r="H266" s="294"/>
      <c r="I266" s="294"/>
      <c r="J266" s="294"/>
      <c r="K266" s="294"/>
      <c r="L266" s="294"/>
      <c r="M266" s="40"/>
      <c r="N266" s="40"/>
      <c r="O266" s="40"/>
      <c r="P266" s="40"/>
      <c r="Q266" s="40"/>
      <c r="R266" s="167"/>
      <c r="S266" s="41"/>
      <c r="T266" s="41"/>
      <c r="U266" s="41"/>
      <c r="V266" s="41"/>
      <c r="W266" s="13"/>
      <c r="X266" s="13"/>
      <c r="Y266" s="13"/>
      <c r="Z266" s="13"/>
    </row>
    <row r="267" spans="1:26" ht="21" customHeight="1">
      <c r="A267" s="85"/>
      <c r="B267" s="294"/>
      <c r="C267" s="294"/>
      <c r="D267" s="294"/>
      <c r="E267" s="294"/>
      <c r="F267" s="294"/>
      <c r="G267" s="294"/>
      <c r="H267" s="294"/>
      <c r="I267" s="294"/>
      <c r="J267" s="294"/>
      <c r="K267" s="294"/>
      <c r="L267" s="294"/>
      <c r="M267" s="40"/>
      <c r="N267" s="40"/>
      <c r="O267" s="40"/>
      <c r="P267" s="40"/>
      <c r="Q267" s="40"/>
      <c r="R267" s="167"/>
      <c r="S267" s="41"/>
      <c r="T267" s="41"/>
      <c r="U267" s="41"/>
      <c r="V267" s="41"/>
      <c r="W267" s="13"/>
      <c r="X267" s="13"/>
      <c r="Y267" s="13"/>
      <c r="Z267" s="13"/>
    </row>
    <row r="268" spans="1:26" ht="21" customHeight="1">
      <c r="A268" s="85"/>
      <c r="B268" s="294"/>
      <c r="C268" s="294"/>
      <c r="D268" s="294"/>
      <c r="E268" s="294"/>
      <c r="F268" s="294"/>
      <c r="G268" s="294"/>
      <c r="H268" s="294"/>
      <c r="I268" s="294"/>
      <c r="J268" s="294"/>
      <c r="K268" s="294"/>
      <c r="L268" s="294"/>
      <c r="M268" s="40"/>
      <c r="N268" s="40"/>
      <c r="O268" s="40"/>
      <c r="P268" s="40"/>
      <c r="Q268" s="40"/>
      <c r="R268" s="167"/>
      <c r="S268" s="41"/>
      <c r="T268" s="41"/>
      <c r="U268" s="41"/>
      <c r="V268" s="41"/>
      <c r="W268" s="13"/>
      <c r="X268" s="13"/>
      <c r="Y268" s="13"/>
      <c r="Z268" s="13"/>
    </row>
    <row r="269" spans="1:26" ht="21" customHeight="1">
      <c r="A269" s="85"/>
      <c r="B269" s="294"/>
      <c r="C269" s="294"/>
      <c r="D269" s="294"/>
      <c r="E269" s="294"/>
      <c r="F269" s="294"/>
      <c r="G269" s="294"/>
      <c r="H269" s="294"/>
      <c r="I269" s="294"/>
      <c r="J269" s="294"/>
      <c r="K269" s="294"/>
      <c r="L269" s="294"/>
      <c r="M269" s="40"/>
      <c r="N269" s="40"/>
      <c r="O269" s="40"/>
      <c r="P269" s="40"/>
      <c r="Q269" s="40"/>
      <c r="R269" s="167"/>
      <c r="S269" s="41"/>
      <c r="T269" s="41"/>
      <c r="U269" s="41"/>
      <c r="V269" s="41"/>
      <c r="W269" s="13"/>
      <c r="X269" s="13"/>
      <c r="Y269" s="13"/>
      <c r="Z269" s="13"/>
    </row>
    <row r="270" spans="1:26" ht="21" customHeight="1">
      <c r="A270" s="85"/>
      <c r="B270" s="294"/>
      <c r="C270" s="294"/>
      <c r="D270" s="294"/>
      <c r="E270" s="294"/>
      <c r="F270" s="294"/>
      <c r="G270" s="294"/>
      <c r="H270" s="294"/>
      <c r="I270" s="294"/>
      <c r="J270" s="294"/>
      <c r="K270" s="294"/>
      <c r="L270" s="294"/>
      <c r="M270" s="40"/>
      <c r="N270" s="40"/>
      <c r="O270" s="40"/>
      <c r="P270" s="40"/>
      <c r="Q270" s="40"/>
      <c r="R270" s="167"/>
      <c r="S270" s="41"/>
      <c r="T270" s="41"/>
      <c r="U270" s="41"/>
      <c r="V270" s="41"/>
      <c r="W270" s="13"/>
      <c r="X270" s="13"/>
      <c r="Y270" s="13"/>
      <c r="Z270" s="13"/>
    </row>
    <row r="271" spans="1:26" ht="21" customHeight="1">
      <c r="A271" s="85"/>
      <c r="B271" s="294"/>
      <c r="C271" s="294"/>
      <c r="D271" s="294"/>
      <c r="E271" s="294"/>
      <c r="F271" s="294"/>
      <c r="G271" s="294"/>
      <c r="H271" s="294"/>
      <c r="I271" s="294"/>
      <c r="J271" s="294"/>
      <c r="K271" s="294"/>
      <c r="L271" s="294"/>
      <c r="M271" s="40"/>
      <c r="N271" s="40"/>
      <c r="O271" s="40"/>
      <c r="P271" s="40"/>
      <c r="Q271" s="40"/>
      <c r="R271" s="167"/>
      <c r="S271" s="41"/>
      <c r="T271" s="41"/>
      <c r="U271" s="41"/>
      <c r="V271" s="41"/>
      <c r="W271" s="13"/>
      <c r="X271" s="13"/>
      <c r="Y271" s="13"/>
      <c r="Z271" s="13"/>
    </row>
    <row r="272" spans="1:26" ht="21" customHeight="1">
      <c r="A272" s="85"/>
      <c r="B272" s="294"/>
      <c r="C272" s="294"/>
      <c r="D272" s="294"/>
      <c r="E272" s="294"/>
      <c r="F272" s="294"/>
      <c r="G272" s="294"/>
      <c r="H272" s="294"/>
      <c r="I272" s="294"/>
      <c r="J272" s="294"/>
      <c r="K272" s="294"/>
      <c r="L272" s="294"/>
      <c r="M272" s="40"/>
      <c r="N272" s="40"/>
      <c r="O272" s="40"/>
      <c r="P272" s="40"/>
      <c r="Q272" s="40"/>
      <c r="R272" s="167"/>
      <c r="S272" s="41"/>
      <c r="T272" s="41"/>
      <c r="U272" s="41"/>
      <c r="V272" s="41"/>
      <c r="W272" s="13"/>
      <c r="X272" s="13"/>
      <c r="Y272" s="13"/>
      <c r="Z272" s="13"/>
    </row>
    <row r="273" spans="1:26" ht="21" customHeight="1">
      <c r="A273" s="85"/>
      <c r="B273" s="294"/>
      <c r="C273" s="294"/>
      <c r="D273" s="294"/>
      <c r="E273" s="294"/>
      <c r="F273" s="294"/>
      <c r="G273" s="294"/>
      <c r="H273" s="294"/>
      <c r="I273" s="294"/>
      <c r="J273" s="294"/>
      <c r="K273" s="294"/>
      <c r="L273" s="294"/>
      <c r="M273" s="40"/>
      <c r="N273" s="40"/>
      <c r="O273" s="40"/>
      <c r="P273" s="40"/>
      <c r="Q273" s="40"/>
      <c r="R273" s="167"/>
      <c r="S273" s="41"/>
      <c r="T273" s="41"/>
      <c r="U273" s="41"/>
      <c r="V273" s="41"/>
      <c r="W273" s="13"/>
      <c r="X273" s="13"/>
      <c r="Y273" s="13"/>
      <c r="Z273" s="13"/>
    </row>
    <row r="274" spans="1:26" ht="21" customHeight="1">
      <c r="A274" s="85"/>
      <c r="B274" s="294"/>
      <c r="C274" s="294"/>
      <c r="D274" s="294"/>
      <c r="E274" s="294"/>
      <c r="F274" s="294"/>
      <c r="G274" s="294"/>
      <c r="H274" s="294"/>
      <c r="I274" s="294"/>
      <c r="J274" s="294"/>
      <c r="K274" s="294"/>
      <c r="L274" s="294"/>
      <c r="M274" s="40"/>
      <c r="N274" s="40"/>
      <c r="O274" s="40"/>
      <c r="P274" s="40"/>
      <c r="Q274" s="40"/>
      <c r="R274" s="167"/>
      <c r="S274" s="41"/>
      <c r="T274" s="41"/>
      <c r="U274" s="41"/>
      <c r="V274" s="41"/>
      <c r="W274" s="13"/>
      <c r="X274" s="13"/>
      <c r="Y274" s="13"/>
      <c r="Z274" s="13"/>
    </row>
    <row r="275" spans="1:26" ht="39.75" customHeight="1">
      <c r="A275" s="85"/>
      <c r="B275" s="2831" t="s">
        <v>611</v>
      </c>
      <c r="C275" s="2732"/>
      <c r="D275" s="2732"/>
      <c r="E275" s="2732"/>
      <c r="F275" s="2732"/>
      <c r="G275" s="2732"/>
      <c r="H275" s="2732"/>
      <c r="I275" s="2732"/>
      <c r="J275" s="2732"/>
      <c r="K275" s="2732"/>
      <c r="L275" s="2732"/>
      <c r="M275" s="40"/>
      <c r="N275" s="40"/>
      <c r="O275" s="40"/>
      <c r="P275" s="40"/>
      <c r="Q275" s="40"/>
      <c r="R275" s="167"/>
      <c r="S275" s="41"/>
      <c r="T275" s="41"/>
      <c r="U275" s="41"/>
      <c r="V275" s="41"/>
      <c r="W275" s="13"/>
      <c r="X275" s="13"/>
      <c r="Y275" s="13"/>
      <c r="Z275" s="13"/>
    </row>
    <row r="276" spans="1:26" ht="20.25" customHeight="1">
      <c r="A276" s="85"/>
      <c r="B276" s="2832" t="s">
        <v>612</v>
      </c>
      <c r="C276" s="2732"/>
      <c r="D276" s="2732"/>
      <c r="E276" s="2732"/>
      <c r="F276" s="2732"/>
      <c r="G276" s="2732"/>
      <c r="H276" s="2732"/>
      <c r="I276" s="2732"/>
      <c r="J276" s="2732"/>
      <c r="K276" s="2732"/>
      <c r="L276" s="2732"/>
      <c r="M276" s="40"/>
      <c r="N276" s="40"/>
      <c r="O276" s="40"/>
      <c r="P276" s="40"/>
      <c r="Q276" s="40"/>
      <c r="R276" s="167"/>
      <c r="S276" s="41"/>
      <c r="T276" s="41"/>
      <c r="U276" s="41"/>
      <c r="V276" s="41"/>
      <c r="W276" s="13"/>
      <c r="X276" s="13"/>
      <c r="Y276" s="13"/>
      <c r="Z276" s="13"/>
    </row>
    <row r="277" spans="1:26" ht="15" customHeight="1">
      <c r="A277" s="85"/>
      <c r="B277" s="302" t="s">
        <v>613</v>
      </c>
      <c r="C277" s="303"/>
      <c r="D277" s="304"/>
      <c r="E277" s="304"/>
      <c r="F277" s="304"/>
      <c r="G277" s="304"/>
      <c r="H277" s="304"/>
      <c r="I277" s="304"/>
      <c r="J277" s="304"/>
      <c r="K277" s="304"/>
      <c r="L277" s="304"/>
      <c r="M277" s="40"/>
      <c r="N277" s="40"/>
      <c r="O277" s="40"/>
      <c r="P277" s="40"/>
      <c r="Q277" s="40"/>
      <c r="R277" s="85"/>
      <c r="S277" s="41"/>
      <c r="T277" s="41"/>
      <c r="U277" s="41"/>
      <c r="V277" s="41"/>
      <c r="W277" s="13"/>
      <c r="X277" s="13"/>
      <c r="Y277" s="13"/>
      <c r="Z277" s="13"/>
    </row>
    <row r="278" spans="1:26" ht="15.75" customHeight="1">
      <c r="A278" s="85"/>
      <c r="B278" s="302" t="s">
        <v>614</v>
      </c>
      <c r="C278" s="293"/>
      <c r="D278" s="40"/>
      <c r="E278" s="40"/>
      <c r="F278" s="40"/>
      <c r="G278" s="40"/>
      <c r="H278" s="40"/>
      <c r="I278" s="40"/>
      <c r="J278" s="40"/>
      <c r="K278" s="40"/>
      <c r="L278" s="40"/>
      <c r="M278" s="40"/>
      <c r="N278" s="40"/>
      <c r="O278" s="40"/>
      <c r="P278" s="40"/>
      <c r="Q278" s="40"/>
      <c r="R278" s="41"/>
      <c r="S278" s="41"/>
      <c r="T278" s="41"/>
      <c r="U278" s="41"/>
      <c r="V278" s="41"/>
      <c r="W278" s="13"/>
      <c r="X278" s="13"/>
      <c r="Y278" s="13"/>
      <c r="Z278" s="13"/>
    </row>
    <row r="279" spans="1:26" ht="15.75" customHeight="1">
      <c r="A279" s="85"/>
      <c r="B279" s="302" t="s">
        <v>615</v>
      </c>
      <c r="C279" s="293"/>
      <c r="D279" s="40"/>
      <c r="E279" s="40"/>
      <c r="F279" s="40"/>
      <c r="G279" s="40"/>
      <c r="H279" s="40"/>
      <c r="I279" s="40"/>
      <c r="J279" s="40"/>
      <c r="K279" s="40"/>
      <c r="L279" s="40"/>
      <c r="M279" s="40"/>
      <c r="N279" s="40"/>
      <c r="O279" s="40"/>
      <c r="P279" s="40"/>
      <c r="Q279" s="40"/>
      <c r="R279" s="41"/>
      <c r="S279" s="41"/>
      <c r="T279" s="41"/>
      <c r="U279" s="41"/>
      <c r="V279" s="41"/>
      <c r="W279" s="13"/>
      <c r="X279" s="13"/>
      <c r="Y279" s="13"/>
      <c r="Z279" s="13"/>
    </row>
    <row r="280" spans="1:26" ht="15.75" customHeight="1">
      <c r="A280" s="85"/>
      <c r="B280" s="302" t="s">
        <v>616</v>
      </c>
      <c r="C280" s="293"/>
      <c r="D280" s="40"/>
      <c r="E280" s="40"/>
      <c r="F280" s="40"/>
      <c r="G280" s="40"/>
      <c r="H280" s="40"/>
      <c r="I280" s="40"/>
      <c r="J280" s="40"/>
      <c r="K280" s="40"/>
      <c r="L280" s="40"/>
      <c r="M280" s="40"/>
      <c r="N280" s="40"/>
      <c r="O280" s="40"/>
      <c r="P280" s="40"/>
      <c r="Q280" s="40"/>
      <c r="R280" s="41"/>
      <c r="S280" s="41"/>
      <c r="T280" s="41"/>
      <c r="U280" s="41"/>
      <c r="V280" s="41"/>
      <c r="W280" s="13"/>
      <c r="X280" s="13"/>
      <c r="Y280" s="13"/>
      <c r="Z280" s="13"/>
    </row>
    <row r="281" spans="1:26" ht="15.75" customHeight="1">
      <c r="A281" s="85"/>
      <c r="B281" s="85"/>
      <c r="C281" s="85"/>
      <c r="D281" s="41"/>
      <c r="E281" s="41"/>
      <c r="F281" s="41"/>
      <c r="G281" s="41"/>
      <c r="H281" s="41"/>
      <c r="I281" s="40"/>
      <c r="J281" s="40"/>
      <c r="K281" s="40"/>
      <c r="L281" s="40"/>
      <c r="M281" s="40"/>
      <c r="N281" s="40"/>
      <c r="O281" s="40"/>
      <c r="P281" s="40"/>
      <c r="Q281" s="40"/>
      <c r="R281" s="41"/>
      <c r="S281" s="41"/>
      <c r="T281" s="41"/>
      <c r="U281" s="41"/>
      <c r="V281" s="41"/>
      <c r="W281" s="13"/>
      <c r="X281" s="13"/>
      <c r="Y281" s="13"/>
      <c r="Z281" s="13"/>
    </row>
    <row r="282" spans="1:26" ht="15.75" customHeight="1">
      <c r="A282" s="85"/>
      <c r="B282" s="85"/>
      <c r="C282" s="85"/>
      <c r="D282" s="41"/>
      <c r="E282" s="41"/>
      <c r="F282" s="41"/>
      <c r="G282" s="41"/>
      <c r="H282" s="41"/>
      <c r="I282" s="40"/>
      <c r="J282" s="40"/>
      <c r="K282" s="40"/>
      <c r="L282" s="40"/>
      <c r="M282" s="40"/>
      <c r="N282" s="40"/>
      <c r="O282" s="40"/>
      <c r="P282" s="40"/>
      <c r="Q282" s="40"/>
      <c r="R282" s="41"/>
      <c r="S282" s="41"/>
      <c r="T282" s="41"/>
      <c r="U282" s="41"/>
      <c r="V282" s="41"/>
      <c r="W282" s="13"/>
      <c r="X282" s="13"/>
      <c r="Y282" s="13"/>
      <c r="Z282" s="13"/>
    </row>
    <row r="283" spans="1:26" ht="13.5" customHeight="1">
      <c r="A283" s="85"/>
      <c r="B283" s="85"/>
      <c r="C283" s="85"/>
      <c r="D283" s="305"/>
      <c r="E283" s="305"/>
      <c r="F283" s="305"/>
      <c r="G283" s="305"/>
      <c r="H283" s="305"/>
      <c r="I283" s="40"/>
      <c r="J283" s="40"/>
      <c r="K283" s="40"/>
      <c r="L283" s="40"/>
      <c r="M283" s="40"/>
      <c r="N283" s="40"/>
      <c r="O283" s="40"/>
      <c r="P283" s="40"/>
      <c r="Q283" s="40"/>
      <c r="R283" s="41"/>
      <c r="S283" s="41"/>
      <c r="T283" s="41"/>
      <c r="U283" s="41"/>
      <c r="V283" s="41"/>
      <c r="W283" s="13"/>
      <c r="X283" s="13"/>
      <c r="Y283" s="13"/>
      <c r="Z283" s="13"/>
    </row>
    <row r="284" spans="1:26" ht="15.75" customHeight="1">
      <c r="A284" s="85"/>
      <c r="B284" s="85"/>
      <c r="C284" s="293"/>
      <c r="D284" s="40"/>
      <c r="E284" s="40"/>
      <c r="F284" s="40"/>
      <c r="G284" s="40"/>
      <c r="H284" s="40"/>
      <c r="I284" s="40"/>
      <c r="J284" s="40"/>
      <c r="K284" s="40"/>
      <c r="L284" s="40"/>
      <c r="M284" s="40"/>
      <c r="N284" s="40"/>
      <c r="O284" s="40"/>
      <c r="P284" s="40"/>
      <c r="Q284" s="40"/>
      <c r="R284" s="41"/>
      <c r="S284" s="41"/>
      <c r="T284" s="41"/>
      <c r="U284" s="41"/>
      <c r="V284" s="41"/>
      <c r="W284" s="13"/>
      <c r="X284" s="13"/>
      <c r="Y284" s="13"/>
      <c r="Z284" s="13"/>
    </row>
    <row r="285" spans="1:26" ht="15.75" customHeight="1">
      <c r="A285" s="85"/>
      <c r="B285" s="85"/>
      <c r="C285" s="293"/>
      <c r="D285" s="40"/>
      <c r="E285" s="40"/>
      <c r="F285" s="40"/>
      <c r="G285" s="40"/>
      <c r="H285" s="40"/>
      <c r="I285" s="40"/>
      <c r="J285" s="40"/>
      <c r="K285" s="40"/>
      <c r="L285" s="40"/>
      <c r="M285" s="40"/>
      <c r="N285" s="40"/>
      <c r="O285" s="40"/>
      <c r="P285" s="40"/>
      <c r="Q285" s="40"/>
      <c r="R285" s="41"/>
      <c r="S285" s="41"/>
      <c r="T285" s="41"/>
      <c r="U285" s="41"/>
      <c r="V285" s="41"/>
      <c r="W285" s="13"/>
      <c r="X285" s="13"/>
      <c r="Y285" s="13"/>
      <c r="Z285" s="13"/>
    </row>
    <row r="286" spans="1:26" ht="15.75" customHeight="1">
      <c r="A286" s="85"/>
      <c r="B286" s="85"/>
      <c r="C286" s="293"/>
      <c r="D286" s="40"/>
      <c r="E286" s="40"/>
      <c r="F286" s="40"/>
      <c r="G286" s="40"/>
      <c r="H286" s="40"/>
      <c r="I286" s="40"/>
      <c r="J286" s="40"/>
      <c r="K286" s="40"/>
      <c r="L286" s="40"/>
      <c r="M286" s="40"/>
      <c r="N286" s="40"/>
      <c r="O286" s="40"/>
      <c r="P286" s="40"/>
      <c r="Q286" s="40"/>
      <c r="R286" s="41"/>
      <c r="S286" s="41"/>
      <c r="T286" s="41"/>
      <c r="U286" s="41"/>
      <c r="V286" s="41"/>
      <c r="W286" s="13"/>
      <c r="X286" s="13"/>
      <c r="Y286" s="13"/>
      <c r="Z286" s="13"/>
    </row>
    <row r="287" spans="1:26" ht="15.75" customHeight="1">
      <c r="A287" s="85"/>
      <c r="B287" s="85"/>
      <c r="C287" s="293"/>
      <c r="D287" s="40"/>
      <c r="E287" s="40"/>
      <c r="F287" s="40"/>
      <c r="G287" s="40"/>
      <c r="H287" s="40"/>
      <c r="I287" s="40"/>
      <c r="J287" s="40"/>
      <c r="K287" s="40"/>
      <c r="L287" s="40"/>
      <c r="M287" s="40"/>
      <c r="N287" s="40"/>
      <c r="O287" s="40"/>
      <c r="P287" s="40"/>
      <c r="Q287" s="40"/>
      <c r="R287" s="41"/>
      <c r="S287" s="41"/>
      <c r="T287" s="41"/>
      <c r="U287" s="41"/>
      <c r="V287" s="41"/>
      <c r="W287" s="13"/>
      <c r="X287" s="13"/>
      <c r="Y287" s="13"/>
      <c r="Z287" s="13"/>
    </row>
    <row r="288" spans="1:26" ht="15.75" customHeight="1">
      <c r="A288" s="85"/>
      <c r="B288" s="85"/>
      <c r="C288" s="293"/>
      <c r="D288" s="40"/>
      <c r="E288" s="40"/>
      <c r="F288" s="40"/>
      <c r="G288" s="40"/>
      <c r="H288" s="40"/>
      <c r="I288" s="40"/>
      <c r="J288" s="40"/>
      <c r="K288" s="40"/>
      <c r="L288" s="40"/>
      <c r="M288" s="40"/>
      <c r="N288" s="40"/>
      <c r="O288" s="40"/>
      <c r="P288" s="40"/>
      <c r="Q288" s="40"/>
      <c r="R288" s="41"/>
      <c r="S288" s="41"/>
      <c r="T288" s="41"/>
      <c r="U288" s="41"/>
      <c r="V288" s="41"/>
      <c r="W288" s="13"/>
      <c r="X288" s="13"/>
      <c r="Y288" s="13"/>
      <c r="Z288" s="13"/>
    </row>
    <row r="289" spans="1:26" ht="15.75" customHeight="1">
      <c r="A289" s="85"/>
      <c r="B289" s="85"/>
      <c r="C289" s="293"/>
      <c r="D289" s="40"/>
      <c r="E289" s="40"/>
      <c r="F289" s="40"/>
      <c r="G289" s="40"/>
      <c r="H289" s="40"/>
      <c r="I289" s="40"/>
      <c r="J289" s="40"/>
      <c r="K289" s="40"/>
      <c r="L289" s="40"/>
      <c r="M289" s="40"/>
      <c r="N289" s="40"/>
      <c r="O289" s="40"/>
      <c r="P289" s="40"/>
      <c r="Q289" s="40"/>
      <c r="R289" s="41"/>
      <c r="S289" s="41"/>
      <c r="T289" s="41"/>
      <c r="U289" s="41"/>
      <c r="V289" s="41"/>
      <c r="W289" s="13"/>
      <c r="X289" s="13"/>
      <c r="Y289" s="13"/>
      <c r="Z289" s="13"/>
    </row>
    <row r="290" spans="1:26" ht="15.75" customHeight="1">
      <c r="A290" s="85"/>
      <c r="B290" s="85"/>
      <c r="C290" s="293"/>
      <c r="D290" s="40"/>
      <c r="E290" s="40"/>
      <c r="F290" s="40"/>
      <c r="G290" s="40"/>
      <c r="H290" s="40"/>
      <c r="I290" s="40"/>
      <c r="J290" s="40"/>
      <c r="K290" s="40"/>
      <c r="L290" s="40"/>
      <c r="M290" s="40"/>
      <c r="N290" s="40"/>
      <c r="O290" s="40"/>
      <c r="P290" s="40"/>
      <c r="Q290" s="40"/>
      <c r="R290" s="41"/>
      <c r="S290" s="41"/>
      <c r="T290" s="41"/>
      <c r="U290" s="41"/>
      <c r="V290" s="41"/>
      <c r="W290" s="13"/>
      <c r="X290" s="13"/>
      <c r="Y290" s="13"/>
      <c r="Z290" s="13"/>
    </row>
    <row r="291" spans="1:26" ht="15.75" customHeight="1">
      <c r="A291" s="85"/>
      <c r="B291" s="85"/>
      <c r="C291" s="293"/>
      <c r="D291" s="40"/>
      <c r="E291" s="40"/>
      <c r="F291" s="40"/>
      <c r="G291" s="40"/>
      <c r="H291" s="40"/>
      <c r="I291" s="40"/>
      <c r="J291" s="40"/>
      <c r="K291" s="40"/>
      <c r="L291" s="40"/>
      <c r="M291" s="40"/>
      <c r="N291" s="40"/>
      <c r="O291" s="40"/>
      <c r="P291" s="40"/>
      <c r="Q291" s="40"/>
      <c r="R291" s="41"/>
      <c r="S291" s="41"/>
      <c r="T291" s="41"/>
      <c r="U291" s="41"/>
      <c r="V291" s="41"/>
      <c r="W291" s="13"/>
      <c r="X291" s="13"/>
      <c r="Y291" s="13"/>
      <c r="Z291" s="13"/>
    </row>
    <row r="292" spans="1:26" ht="15.75" customHeight="1">
      <c r="A292" s="85"/>
      <c r="B292" s="85"/>
      <c r="C292" s="293"/>
      <c r="D292" s="40"/>
      <c r="E292" s="40"/>
      <c r="F292" s="40"/>
      <c r="G292" s="40"/>
      <c r="H292" s="40"/>
      <c r="I292" s="40"/>
      <c r="J292" s="40"/>
      <c r="K292" s="40"/>
      <c r="L292" s="40"/>
      <c r="M292" s="40"/>
      <c r="N292" s="40"/>
      <c r="O292" s="40"/>
      <c r="P292" s="40"/>
      <c r="Q292" s="40"/>
      <c r="R292" s="41"/>
      <c r="S292" s="41"/>
      <c r="T292" s="41"/>
      <c r="U292" s="41"/>
      <c r="V292" s="41"/>
      <c r="W292" s="13"/>
      <c r="X292" s="13"/>
      <c r="Y292" s="13"/>
      <c r="Z292" s="13"/>
    </row>
    <row r="293" spans="1:26" ht="15.75" customHeight="1">
      <c r="A293" s="85"/>
      <c r="B293" s="85"/>
      <c r="C293" s="293"/>
      <c r="D293" s="40"/>
      <c r="E293" s="40"/>
      <c r="F293" s="40"/>
      <c r="G293" s="40"/>
      <c r="H293" s="40"/>
      <c r="I293" s="40"/>
      <c r="J293" s="40"/>
      <c r="K293" s="40"/>
      <c r="L293" s="40"/>
      <c r="M293" s="40"/>
      <c r="N293" s="40"/>
      <c r="O293" s="40"/>
      <c r="P293" s="40"/>
      <c r="Q293" s="40"/>
      <c r="R293" s="41"/>
      <c r="S293" s="41"/>
      <c r="T293" s="41"/>
      <c r="U293" s="41"/>
      <c r="V293" s="41"/>
      <c r="W293" s="13"/>
      <c r="X293" s="13"/>
      <c r="Y293" s="13"/>
      <c r="Z293" s="13"/>
    </row>
    <row r="294" spans="1:26" ht="15.75" customHeight="1">
      <c r="A294" s="85"/>
      <c r="B294" s="85"/>
      <c r="C294" s="293"/>
      <c r="D294" s="40"/>
      <c r="E294" s="40"/>
      <c r="F294" s="40"/>
      <c r="G294" s="40"/>
      <c r="H294" s="40"/>
      <c r="I294" s="40"/>
      <c r="J294" s="40"/>
      <c r="K294" s="40"/>
      <c r="L294" s="40"/>
      <c r="M294" s="40"/>
      <c r="N294" s="40"/>
      <c r="O294" s="40"/>
      <c r="P294" s="40"/>
      <c r="Q294" s="40"/>
      <c r="R294" s="41"/>
      <c r="S294" s="41"/>
      <c r="T294" s="41"/>
      <c r="U294" s="41"/>
      <c r="V294" s="41"/>
      <c r="W294" s="13"/>
      <c r="X294" s="13"/>
      <c r="Y294" s="13"/>
      <c r="Z294" s="13"/>
    </row>
    <row r="295" spans="1:26" ht="15.75" customHeight="1">
      <c r="A295" s="85"/>
      <c r="B295" s="85"/>
      <c r="C295" s="293"/>
      <c r="D295" s="40"/>
      <c r="E295" s="40"/>
      <c r="F295" s="40"/>
      <c r="G295" s="40"/>
      <c r="H295" s="40"/>
      <c r="I295" s="40"/>
      <c r="J295" s="40"/>
      <c r="K295" s="40"/>
      <c r="L295" s="40"/>
      <c r="M295" s="40"/>
      <c r="N295" s="40"/>
      <c r="O295" s="40"/>
      <c r="P295" s="40"/>
      <c r="Q295" s="40"/>
      <c r="R295" s="41"/>
      <c r="S295" s="41"/>
      <c r="T295" s="41"/>
      <c r="U295" s="41"/>
      <c r="V295" s="41"/>
      <c r="W295" s="13"/>
      <c r="X295" s="13"/>
      <c r="Y295" s="13"/>
      <c r="Z295" s="13"/>
    </row>
    <row r="296" spans="1:26" ht="15.75" customHeight="1">
      <c r="A296" s="85"/>
      <c r="B296" s="85"/>
      <c r="C296" s="293"/>
      <c r="D296" s="40"/>
      <c r="E296" s="40"/>
      <c r="F296" s="40"/>
      <c r="G296" s="40"/>
      <c r="H296" s="40"/>
      <c r="I296" s="40"/>
      <c r="J296" s="40"/>
      <c r="K296" s="40"/>
      <c r="L296" s="40"/>
      <c r="M296" s="40"/>
      <c r="N296" s="40"/>
      <c r="O296" s="40"/>
      <c r="P296" s="40"/>
      <c r="Q296" s="40"/>
      <c r="R296" s="41"/>
      <c r="S296" s="41"/>
      <c r="T296" s="41"/>
      <c r="U296" s="41"/>
      <c r="V296" s="41"/>
      <c r="W296" s="13"/>
      <c r="X296" s="13"/>
      <c r="Y296" s="13"/>
      <c r="Z296" s="13"/>
    </row>
    <row r="297" spans="1:26" ht="15.75" customHeight="1">
      <c r="A297" s="85"/>
      <c r="B297" s="85"/>
      <c r="C297" s="293"/>
      <c r="D297" s="40"/>
      <c r="E297" s="40"/>
      <c r="F297" s="40"/>
      <c r="G297" s="40"/>
      <c r="H297" s="40"/>
      <c r="I297" s="40"/>
      <c r="J297" s="40"/>
      <c r="K297" s="40"/>
      <c r="L297" s="40"/>
      <c r="M297" s="40"/>
      <c r="N297" s="40"/>
      <c r="O297" s="40"/>
      <c r="P297" s="40"/>
      <c r="Q297" s="40"/>
      <c r="R297" s="41"/>
      <c r="S297" s="41"/>
      <c r="T297" s="41"/>
      <c r="U297" s="41"/>
      <c r="V297" s="41"/>
      <c r="W297" s="13"/>
      <c r="X297" s="13"/>
      <c r="Y297" s="13"/>
      <c r="Z297" s="13"/>
    </row>
    <row r="298" spans="1:26" ht="15.75" customHeight="1">
      <c r="A298" s="85"/>
      <c r="B298" s="85"/>
      <c r="C298" s="293"/>
      <c r="D298" s="40"/>
      <c r="E298" s="40"/>
      <c r="F298" s="40"/>
      <c r="G298" s="40"/>
      <c r="H298" s="40"/>
      <c r="I298" s="40"/>
      <c r="J298" s="40"/>
      <c r="K298" s="40"/>
      <c r="L298" s="40"/>
      <c r="M298" s="40"/>
      <c r="N298" s="40"/>
      <c r="O298" s="40"/>
      <c r="P298" s="40"/>
      <c r="Q298" s="40"/>
      <c r="R298" s="41"/>
      <c r="S298" s="41"/>
      <c r="T298" s="41"/>
      <c r="U298" s="41"/>
      <c r="V298" s="41"/>
      <c r="W298" s="13"/>
      <c r="X298" s="13"/>
      <c r="Y298" s="13"/>
      <c r="Z298" s="13"/>
    </row>
    <row r="299" spans="1:26" ht="15.75" customHeight="1">
      <c r="A299" s="85"/>
      <c r="B299" s="85"/>
      <c r="C299" s="293"/>
      <c r="D299" s="40"/>
      <c r="E299" s="40"/>
      <c r="F299" s="40"/>
      <c r="G299" s="40"/>
      <c r="H299" s="40"/>
      <c r="I299" s="40"/>
      <c r="J299" s="40"/>
      <c r="K299" s="40"/>
      <c r="L299" s="40"/>
      <c r="M299" s="40"/>
      <c r="N299" s="40"/>
      <c r="O299" s="40"/>
      <c r="P299" s="40"/>
      <c r="Q299" s="40"/>
      <c r="R299" s="41"/>
      <c r="S299" s="41"/>
      <c r="T299" s="41"/>
      <c r="U299" s="41"/>
      <c r="V299" s="41"/>
      <c r="W299" s="13"/>
      <c r="X299" s="13"/>
      <c r="Y299" s="13"/>
      <c r="Z299" s="13"/>
    </row>
    <row r="300" spans="1:26" ht="15.75" customHeight="1">
      <c r="A300" s="85"/>
      <c r="B300" s="85"/>
      <c r="C300" s="293"/>
      <c r="D300" s="40"/>
      <c r="E300" s="40"/>
      <c r="F300" s="40"/>
      <c r="G300" s="40"/>
      <c r="H300" s="40"/>
      <c r="I300" s="40"/>
      <c r="J300" s="40"/>
      <c r="K300" s="40"/>
      <c r="L300" s="40"/>
      <c r="M300" s="40"/>
      <c r="N300" s="40"/>
      <c r="O300" s="40"/>
      <c r="P300" s="40"/>
      <c r="Q300" s="40"/>
      <c r="R300" s="41"/>
      <c r="S300" s="41"/>
      <c r="T300" s="41"/>
      <c r="U300" s="41"/>
      <c r="V300" s="41"/>
      <c r="W300" s="13"/>
      <c r="X300" s="13"/>
      <c r="Y300" s="13"/>
      <c r="Z300" s="13"/>
    </row>
    <row r="301" spans="1:26" ht="15.75" customHeight="1">
      <c r="A301" s="85"/>
      <c r="B301" s="85"/>
      <c r="C301" s="293"/>
      <c r="D301" s="40"/>
      <c r="E301" s="40"/>
      <c r="F301" s="40"/>
      <c r="G301" s="40"/>
      <c r="H301" s="40"/>
      <c r="I301" s="40"/>
      <c r="J301" s="40"/>
      <c r="K301" s="40"/>
      <c r="L301" s="40"/>
      <c r="M301" s="40"/>
      <c r="N301" s="40"/>
      <c r="O301" s="40"/>
      <c r="P301" s="40"/>
      <c r="Q301" s="40"/>
      <c r="R301" s="41"/>
      <c r="S301" s="41"/>
      <c r="T301" s="41"/>
      <c r="U301" s="41"/>
      <c r="V301" s="41"/>
      <c r="W301" s="13"/>
      <c r="X301" s="13"/>
      <c r="Y301" s="13"/>
      <c r="Z301" s="13"/>
    </row>
    <row r="302" spans="1:26" ht="15.75" customHeight="1">
      <c r="A302" s="85"/>
      <c r="B302" s="85"/>
      <c r="C302" s="293"/>
      <c r="D302" s="40"/>
      <c r="E302" s="40"/>
      <c r="F302" s="40"/>
      <c r="G302" s="40"/>
      <c r="H302" s="40"/>
      <c r="I302" s="40"/>
      <c r="J302" s="40"/>
      <c r="K302" s="40"/>
      <c r="L302" s="40"/>
      <c r="M302" s="40"/>
      <c r="N302" s="40"/>
      <c r="O302" s="40"/>
      <c r="P302" s="40"/>
      <c r="Q302" s="40"/>
      <c r="R302" s="41"/>
      <c r="S302" s="41"/>
      <c r="T302" s="41"/>
      <c r="U302" s="41"/>
      <c r="V302" s="41"/>
      <c r="W302" s="13"/>
      <c r="X302" s="13"/>
      <c r="Y302" s="13"/>
      <c r="Z302" s="13"/>
    </row>
    <row r="303" spans="1:26" ht="15.75" customHeight="1">
      <c r="A303" s="85"/>
      <c r="B303" s="85"/>
      <c r="C303" s="293"/>
      <c r="D303" s="40"/>
      <c r="E303" s="40"/>
      <c r="F303" s="40"/>
      <c r="G303" s="40"/>
      <c r="H303" s="40"/>
      <c r="I303" s="40"/>
      <c r="J303" s="40"/>
      <c r="K303" s="40"/>
      <c r="L303" s="40"/>
      <c r="M303" s="40"/>
      <c r="N303" s="40"/>
      <c r="O303" s="40"/>
      <c r="P303" s="40"/>
      <c r="Q303" s="40"/>
      <c r="R303" s="41"/>
      <c r="S303" s="41"/>
      <c r="T303" s="41"/>
      <c r="U303" s="41"/>
      <c r="V303" s="41"/>
      <c r="W303" s="13"/>
      <c r="X303" s="13"/>
      <c r="Y303" s="13"/>
      <c r="Z303" s="13"/>
    </row>
    <row r="304" spans="1:26" ht="15.75" customHeight="1">
      <c r="A304" s="85"/>
      <c r="B304" s="85"/>
      <c r="C304" s="293"/>
      <c r="D304" s="40"/>
      <c r="E304" s="40"/>
      <c r="F304" s="40"/>
      <c r="G304" s="40"/>
      <c r="H304" s="40"/>
      <c r="I304" s="40"/>
      <c r="J304" s="40"/>
      <c r="K304" s="40"/>
      <c r="L304" s="40"/>
      <c r="M304" s="40"/>
      <c r="N304" s="40"/>
      <c r="O304" s="40"/>
      <c r="P304" s="40"/>
      <c r="Q304" s="40"/>
      <c r="R304" s="41"/>
      <c r="S304" s="41"/>
      <c r="T304" s="41"/>
      <c r="U304" s="41"/>
      <c r="V304" s="41"/>
      <c r="W304" s="13"/>
      <c r="X304" s="13"/>
      <c r="Y304" s="13"/>
      <c r="Z304" s="13"/>
    </row>
    <row r="305" spans="1:26" ht="15.75" customHeight="1">
      <c r="A305" s="85"/>
      <c r="B305" s="85"/>
      <c r="C305" s="293"/>
      <c r="D305" s="40"/>
      <c r="E305" s="40"/>
      <c r="F305" s="40"/>
      <c r="G305" s="40"/>
      <c r="H305" s="40"/>
      <c r="I305" s="40"/>
      <c r="J305" s="40"/>
      <c r="K305" s="40"/>
      <c r="L305" s="40"/>
      <c r="M305" s="40"/>
      <c r="N305" s="40"/>
      <c r="O305" s="40"/>
      <c r="P305" s="40"/>
      <c r="Q305" s="40"/>
      <c r="R305" s="41"/>
      <c r="S305" s="41"/>
      <c r="T305" s="41"/>
      <c r="U305" s="41"/>
      <c r="V305" s="41"/>
      <c r="W305" s="13"/>
      <c r="X305" s="13"/>
      <c r="Y305" s="13"/>
      <c r="Z305" s="13"/>
    </row>
    <row r="306" spans="1:26" ht="15.75" customHeight="1">
      <c r="A306" s="39"/>
      <c r="B306" s="39"/>
      <c r="C306" s="306"/>
      <c r="D306" s="87"/>
      <c r="E306" s="87"/>
      <c r="F306" s="87"/>
      <c r="G306" s="87"/>
      <c r="H306" s="87"/>
      <c r="I306" s="87"/>
      <c r="J306" s="87"/>
      <c r="K306" s="87"/>
      <c r="L306" s="87"/>
      <c r="M306" s="87"/>
      <c r="N306" s="87"/>
      <c r="O306" s="87"/>
      <c r="P306" s="87"/>
      <c r="Q306" s="87"/>
      <c r="R306" s="13"/>
      <c r="S306" s="13"/>
      <c r="T306" s="13"/>
      <c r="U306" s="13"/>
      <c r="V306" s="13"/>
      <c r="W306" s="13"/>
      <c r="X306" s="13"/>
      <c r="Y306" s="13"/>
      <c r="Z306" s="13"/>
    </row>
    <row r="307" spans="1:26" ht="15.75" customHeight="1">
      <c r="A307" s="39"/>
      <c r="B307" s="39"/>
      <c r="C307" s="306"/>
      <c r="D307" s="87"/>
      <c r="E307" s="87"/>
      <c r="F307" s="87"/>
      <c r="G307" s="87"/>
      <c r="H307" s="87"/>
      <c r="I307" s="87"/>
      <c r="J307" s="87"/>
      <c r="K307" s="87"/>
      <c r="L307" s="87"/>
      <c r="M307" s="87"/>
      <c r="N307" s="87"/>
      <c r="O307" s="87"/>
      <c r="P307" s="87"/>
      <c r="Q307" s="87"/>
      <c r="R307" s="13"/>
      <c r="S307" s="13"/>
      <c r="T307" s="13"/>
      <c r="U307" s="13"/>
      <c r="V307" s="13"/>
      <c r="W307" s="13"/>
      <c r="X307" s="13"/>
      <c r="Y307" s="13"/>
      <c r="Z307" s="13"/>
    </row>
    <row r="308" spans="1:26" ht="15.75" customHeight="1">
      <c r="A308" s="39"/>
      <c r="B308" s="39"/>
      <c r="C308" s="306"/>
      <c r="D308" s="87"/>
      <c r="E308" s="87"/>
      <c r="F308" s="87"/>
      <c r="G308" s="87"/>
      <c r="H308" s="87"/>
      <c r="I308" s="87"/>
      <c r="J308" s="87"/>
      <c r="K308" s="87"/>
      <c r="L308" s="87"/>
      <c r="M308" s="87"/>
      <c r="N308" s="87"/>
      <c r="O308" s="87"/>
      <c r="P308" s="87"/>
      <c r="Q308" s="87"/>
      <c r="R308" s="13"/>
      <c r="S308" s="13"/>
      <c r="T308" s="13"/>
      <c r="U308" s="13"/>
      <c r="V308" s="13"/>
      <c r="W308" s="13"/>
      <c r="X308" s="13"/>
      <c r="Y308" s="13"/>
      <c r="Z308" s="13"/>
    </row>
    <row r="309" spans="1:26" ht="15.75" customHeight="1">
      <c r="A309" s="39"/>
      <c r="B309" s="39"/>
      <c r="C309" s="306"/>
      <c r="D309" s="87"/>
      <c r="E309" s="87"/>
      <c r="F309" s="87"/>
      <c r="G309" s="87"/>
      <c r="H309" s="87"/>
      <c r="I309" s="87"/>
      <c r="J309" s="87"/>
      <c r="K309" s="87"/>
      <c r="L309" s="87"/>
      <c r="M309" s="87"/>
      <c r="N309" s="87"/>
      <c r="O309" s="87"/>
      <c r="P309" s="87"/>
      <c r="Q309" s="87"/>
      <c r="R309" s="13"/>
      <c r="S309" s="13"/>
      <c r="T309" s="13"/>
      <c r="U309" s="13"/>
      <c r="V309" s="13"/>
      <c r="W309" s="13"/>
      <c r="X309" s="13"/>
      <c r="Y309" s="13"/>
      <c r="Z309" s="13"/>
    </row>
    <row r="310" spans="1:26" ht="15.75" customHeight="1">
      <c r="A310" s="39"/>
      <c r="B310" s="39"/>
      <c r="C310" s="306"/>
      <c r="D310" s="87"/>
      <c r="E310" s="87"/>
      <c r="F310" s="87"/>
      <c r="G310" s="87"/>
      <c r="H310" s="87"/>
      <c r="I310" s="87"/>
      <c r="J310" s="87"/>
      <c r="K310" s="87"/>
      <c r="L310" s="87"/>
      <c r="M310" s="87"/>
      <c r="N310" s="87"/>
      <c r="O310" s="87"/>
      <c r="P310" s="87"/>
      <c r="Q310" s="87"/>
      <c r="R310" s="13"/>
      <c r="S310" s="13"/>
      <c r="T310" s="13"/>
      <c r="U310" s="13"/>
      <c r="V310" s="13"/>
      <c r="W310" s="13"/>
      <c r="X310" s="13"/>
      <c r="Y310" s="13"/>
      <c r="Z310" s="13"/>
    </row>
    <row r="311" spans="1:26" ht="15.75" customHeight="1">
      <c r="A311" s="39"/>
      <c r="B311" s="39"/>
      <c r="C311" s="306"/>
      <c r="D311" s="87"/>
      <c r="E311" s="87"/>
      <c r="F311" s="87"/>
      <c r="G311" s="87"/>
      <c r="H311" s="87"/>
      <c r="I311" s="87"/>
      <c r="J311" s="87"/>
      <c r="K311" s="87"/>
      <c r="L311" s="87"/>
      <c r="M311" s="87"/>
      <c r="N311" s="87"/>
      <c r="O311" s="87"/>
      <c r="P311" s="87"/>
      <c r="Q311" s="87"/>
      <c r="R311" s="13"/>
      <c r="S311" s="13"/>
      <c r="T311" s="13"/>
      <c r="U311" s="13"/>
      <c r="V311" s="13"/>
      <c r="W311" s="13"/>
      <c r="X311" s="13"/>
      <c r="Y311" s="13"/>
      <c r="Z311" s="13"/>
    </row>
    <row r="312" spans="1:26" ht="15.75" customHeight="1">
      <c r="A312" s="39"/>
      <c r="B312" s="39"/>
      <c r="C312" s="306"/>
      <c r="D312" s="87"/>
      <c r="E312" s="87"/>
      <c r="F312" s="87"/>
      <c r="G312" s="87"/>
      <c r="H312" s="87"/>
      <c r="I312" s="87"/>
      <c r="J312" s="87"/>
      <c r="K312" s="87"/>
      <c r="L312" s="87"/>
      <c r="M312" s="87"/>
      <c r="N312" s="87"/>
      <c r="O312" s="87"/>
      <c r="P312" s="87"/>
      <c r="Q312" s="87"/>
      <c r="R312" s="13"/>
      <c r="S312" s="13"/>
      <c r="T312" s="13"/>
      <c r="U312" s="13"/>
      <c r="V312" s="13"/>
      <c r="W312" s="13"/>
      <c r="X312" s="13"/>
      <c r="Y312" s="13"/>
      <c r="Z312" s="13"/>
    </row>
    <row r="313" spans="1:26" ht="15.75" customHeight="1">
      <c r="A313" s="39"/>
      <c r="B313" s="39"/>
      <c r="C313" s="306"/>
      <c r="D313" s="87"/>
      <c r="E313" s="87"/>
      <c r="F313" s="87"/>
      <c r="G313" s="87"/>
      <c r="H313" s="87"/>
      <c r="I313" s="87"/>
      <c r="J313" s="87"/>
      <c r="K313" s="87"/>
      <c r="L313" s="87"/>
      <c r="M313" s="87"/>
      <c r="N313" s="87"/>
      <c r="O313" s="87"/>
      <c r="P313" s="87"/>
      <c r="Q313" s="87"/>
      <c r="R313" s="13"/>
      <c r="S313" s="13"/>
      <c r="T313" s="13"/>
      <c r="U313" s="13"/>
      <c r="V313" s="13"/>
      <c r="W313" s="13"/>
      <c r="X313" s="13"/>
      <c r="Y313" s="13"/>
      <c r="Z313" s="13"/>
    </row>
    <row r="314" spans="1:26" ht="15.75" customHeight="1">
      <c r="A314" s="39"/>
      <c r="B314" s="39"/>
      <c r="C314" s="306"/>
      <c r="D314" s="87"/>
      <c r="E314" s="87"/>
      <c r="F314" s="87"/>
      <c r="G314" s="87"/>
      <c r="H314" s="87"/>
      <c r="I314" s="87"/>
      <c r="J314" s="87"/>
      <c r="K314" s="87"/>
      <c r="L314" s="87"/>
      <c r="M314" s="87"/>
      <c r="N314" s="87"/>
      <c r="O314" s="87"/>
      <c r="P314" s="87"/>
      <c r="Q314" s="87"/>
      <c r="R314" s="13"/>
      <c r="S314" s="13"/>
      <c r="T314" s="13"/>
      <c r="U314" s="13"/>
      <c r="V314" s="13"/>
      <c r="W314" s="13"/>
      <c r="X314" s="13"/>
      <c r="Y314" s="13"/>
      <c r="Z314" s="13"/>
    </row>
    <row r="315" spans="1:26" ht="15.75" customHeight="1">
      <c r="A315" s="39"/>
      <c r="B315" s="39"/>
      <c r="C315" s="306"/>
      <c r="D315" s="87"/>
      <c r="E315" s="87"/>
      <c r="F315" s="87"/>
      <c r="G315" s="87"/>
      <c r="H315" s="87"/>
      <c r="I315" s="87"/>
      <c r="J315" s="87"/>
      <c r="K315" s="87"/>
      <c r="L315" s="87"/>
      <c r="M315" s="87"/>
      <c r="N315" s="87"/>
      <c r="O315" s="87"/>
      <c r="P315" s="87"/>
      <c r="Q315" s="87"/>
      <c r="R315" s="13"/>
      <c r="S315" s="13"/>
      <c r="T315" s="13"/>
      <c r="U315" s="13"/>
      <c r="V315" s="13"/>
      <c r="W315" s="13"/>
      <c r="X315" s="13"/>
      <c r="Y315" s="13"/>
      <c r="Z315" s="13"/>
    </row>
    <row r="316" spans="1:26" ht="15.75" customHeight="1">
      <c r="A316" s="39"/>
      <c r="B316" s="39"/>
      <c r="C316" s="306"/>
      <c r="D316" s="87"/>
      <c r="E316" s="87"/>
      <c r="F316" s="87"/>
      <c r="G316" s="87"/>
      <c r="H316" s="87"/>
      <c r="I316" s="87"/>
      <c r="J316" s="87"/>
      <c r="K316" s="87"/>
      <c r="L316" s="87"/>
      <c r="M316" s="87"/>
      <c r="N316" s="87"/>
      <c r="O316" s="87"/>
      <c r="P316" s="87"/>
      <c r="Q316" s="87"/>
      <c r="R316" s="13"/>
      <c r="S316" s="13"/>
      <c r="T316" s="13"/>
      <c r="U316" s="13"/>
      <c r="V316" s="13"/>
      <c r="W316" s="13"/>
      <c r="X316" s="13"/>
      <c r="Y316" s="13"/>
      <c r="Z316" s="13"/>
    </row>
    <row r="317" spans="1:26" ht="15.75" customHeight="1">
      <c r="A317" s="39"/>
      <c r="B317" s="39"/>
      <c r="C317" s="306"/>
      <c r="D317" s="87"/>
      <c r="E317" s="87"/>
      <c r="F317" s="87"/>
      <c r="G317" s="87"/>
      <c r="H317" s="87"/>
      <c r="I317" s="87"/>
      <c r="J317" s="87"/>
      <c r="K317" s="87"/>
      <c r="L317" s="87"/>
      <c r="M317" s="87"/>
      <c r="N317" s="87"/>
      <c r="O317" s="87"/>
      <c r="P317" s="87"/>
      <c r="Q317" s="87"/>
      <c r="R317" s="13"/>
      <c r="S317" s="13"/>
      <c r="T317" s="13"/>
      <c r="U317" s="13"/>
      <c r="V317" s="13"/>
      <c r="W317" s="13"/>
      <c r="X317" s="13"/>
      <c r="Y317" s="13"/>
      <c r="Z317" s="13"/>
    </row>
    <row r="318" spans="1:26" ht="15.75" customHeight="1">
      <c r="A318" s="39"/>
      <c r="B318" s="39"/>
      <c r="C318" s="306"/>
      <c r="D318" s="87"/>
      <c r="E318" s="87"/>
      <c r="F318" s="87"/>
      <c r="G318" s="87"/>
      <c r="H318" s="87"/>
      <c r="I318" s="87"/>
      <c r="J318" s="87"/>
      <c r="K318" s="87"/>
      <c r="L318" s="87"/>
      <c r="M318" s="87"/>
      <c r="N318" s="87"/>
      <c r="O318" s="87"/>
      <c r="P318" s="87"/>
      <c r="Q318" s="87"/>
      <c r="R318" s="13"/>
      <c r="S318" s="13"/>
      <c r="T318" s="13"/>
      <c r="U318" s="13"/>
      <c r="V318" s="13"/>
      <c r="W318" s="13"/>
      <c r="X318" s="13"/>
      <c r="Y318" s="13"/>
      <c r="Z318" s="13"/>
    </row>
    <row r="319" spans="1:26" ht="15.75" customHeight="1">
      <c r="A319" s="39"/>
      <c r="B319" s="39"/>
      <c r="C319" s="306"/>
      <c r="D319" s="87"/>
      <c r="E319" s="87"/>
      <c r="F319" s="87"/>
      <c r="G319" s="87"/>
      <c r="H319" s="87"/>
      <c r="I319" s="87"/>
      <c r="J319" s="87"/>
      <c r="K319" s="87"/>
      <c r="L319" s="87"/>
      <c r="M319" s="87"/>
      <c r="N319" s="87"/>
      <c r="O319" s="87"/>
      <c r="P319" s="87"/>
      <c r="Q319" s="87"/>
      <c r="R319" s="13"/>
      <c r="S319" s="13"/>
      <c r="T319" s="13"/>
      <c r="U319" s="13"/>
      <c r="V319" s="13"/>
      <c r="W319" s="13"/>
      <c r="X319" s="13"/>
      <c r="Y319" s="13"/>
      <c r="Z319" s="13"/>
    </row>
    <row r="320" spans="1:26" ht="15.75" customHeight="1">
      <c r="A320" s="39"/>
      <c r="B320" s="39"/>
      <c r="C320" s="306"/>
      <c r="D320" s="87"/>
      <c r="E320" s="87"/>
      <c r="F320" s="87"/>
      <c r="G320" s="87"/>
      <c r="H320" s="87"/>
      <c r="I320" s="87"/>
      <c r="J320" s="87"/>
      <c r="K320" s="87"/>
      <c r="L320" s="87"/>
      <c r="M320" s="87"/>
      <c r="N320" s="87"/>
      <c r="O320" s="87"/>
      <c r="P320" s="87"/>
      <c r="Q320" s="87"/>
      <c r="R320" s="13"/>
      <c r="S320" s="13"/>
      <c r="T320" s="13"/>
      <c r="U320" s="13"/>
      <c r="V320" s="13"/>
      <c r="W320" s="13"/>
      <c r="X320" s="13"/>
      <c r="Y320" s="13"/>
      <c r="Z320" s="13"/>
    </row>
    <row r="321" spans="1:26" ht="15.75" customHeight="1">
      <c r="A321" s="39"/>
      <c r="B321" s="39"/>
      <c r="C321" s="306"/>
      <c r="D321" s="87"/>
      <c r="E321" s="87"/>
      <c r="F321" s="87"/>
      <c r="G321" s="87"/>
      <c r="H321" s="87"/>
      <c r="I321" s="87"/>
      <c r="J321" s="87"/>
      <c r="K321" s="87"/>
      <c r="L321" s="87"/>
      <c r="M321" s="87"/>
      <c r="N321" s="87"/>
      <c r="O321" s="87"/>
      <c r="P321" s="87"/>
      <c r="Q321" s="87"/>
      <c r="R321" s="13"/>
      <c r="S321" s="13"/>
      <c r="T321" s="13"/>
      <c r="U321" s="13"/>
      <c r="V321" s="13"/>
      <c r="W321" s="13"/>
      <c r="X321" s="13"/>
      <c r="Y321" s="13"/>
      <c r="Z321" s="13"/>
    </row>
    <row r="322" spans="1:26" ht="15.75" customHeight="1">
      <c r="A322" s="39"/>
      <c r="B322" s="39"/>
      <c r="C322" s="306"/>
      <c r="D322" s="87"/>
      <c r="E322" s="87"/>
      <c r="F322" s="87"/>
      <c r="G322" s="87"/>
      <c r="H322" s="87"/>
      <c r="I322" s="87"/>
      <c r="J322" s="87"/>
      <c r="K322" s="87"/>
      <c r="L322" s="87"/>
      <c r="M322" s="87"/>
      <c r="N322" s="87"/>
      <c r="O322" s="87"/>
      <c r="P322" s="87"/>
      <c r="Q322" s="87"/>
      <c r="R322" s="13"/>
      <c r="S322" s="13"/>
      <c r="T322" s="13"/>
      <c r="U322" s="13"/>
      <c r="V322" s="13"/>
      <c r="W322" s="13"/>
      <c r="X322" s="13"/>
      <c r="Y322" s="13"/>
      <c r="Z322" s="13"/>
    </row>
    <row r="323" spans="1:26" ht="15.75" customHeight="1">
      <c r="A323" s="39"/>
      <c r="B323" s="39"/>
      <c r="C323" s="306"/>
      <c r="D323" s="87"/>
      <c r="E323" s="87"/>
      <c r="F323" s="87"/>
      <c r="G323" s="87"/>
      <c r="H323" s="87"/>
      <c r="I323" s="87"/>
      <c r="J323" s="87"/>
      <c r="K323" s="87"/>
      <c r="L323" s="87"/>
      <c r="M323" s="87"/>
      <c r="N323" s="87"/>
      <c r="O323" s="87"/>
      <c r="P323" s="87"/>
      <c r="Q323" s="87"/>
      <c r="R323" s="13"/>
      <c r="S323" s="13"/>
      <c r="T323" s="13"/>
      <c r="U323" s="13"/>
      <c r="V323" s="13"/>
      <c r="W323" s="13"/>
      <c r="X323" s="13"/>
      <c r="Y323" s="13"/>
      <c r="Z323" s="13"/>
    </row>
    <row r="324" spans="1:26" ht="15.75" customHeight="1">
      <c r="A324" s="39"/>
      <c r="B324" s="39"/>
      <c r="C324" s="306"/>
      <c r="D324" s="87"/>
      <c r="E324" s="87"/>
      <c r="F324" s="87"/>
      <c r="G324" s="87"/>
      <c r="H324" s="87"/>
      <c r="I324" s="87"/>
      <c r="J324" s="87"/>
      <c r="K324" s="87"/>
      <c r="L324" s="87"/>
      <c r="M324" s="87"/>
      <c r="N324" s="87"/>
      <c r="O324" s="87"/>
      <c r="P324" s="87"/>
      <c r="Q324" s="87"/>
      <c r="R324" s="13"/>
      <c r="S324" s="13"/>
      <c r="T324" s="13"/>
      <c r="U324" s="13"/>
      <c r="V324" s="13"/>
      <c r="W324" s="13"/>
      <c r="X324" s="13"/>
      <c r="Y324" s="13"/>
      <c r="Z324" s="13"/>
    </row>
    <row r="325" spans="1:26" ht="15.75" customHeight="1">
      <c r="A325" s="39"/>
      <c r="B325" s="39"/>
      <c r="C325" s="306"/>
      <c r="D325" s="87"/>
      <c r="E325" s="87"/>
      <c r="F325" s="87"/>
      <c r="G325" s="87"/>
      <c r="H325" s="87"/>
      <c r="I325" s="87"/>
      <c r="J325" s="87"/>
      <c r="K325" s="87"/>
      <c r="L325" s="87"/>
      <c r="M325" s="87"/>
      <c r="N325" s="87"/>
      <c r="O325" s="87"/>
      <c r="P325" s="87"/>
      <c r="Q325" s="87"/>
      <c r="R325" s="13"/>
      <c r="S325" s="13"/>
      <c r="T325" s="13"/>
      <c r="U325" s="13"/>
      <c r="V325" s="13"/>
      <c r="W325" s="13"/>
      <c r="X325" s="13"/>
      <c r="Y325" s="13"/>
      <c r="Z325" s="13"/>
    </row>
    <row r="326" spans="1:26" ht="15.75" customHeight="1">
      <c r="A326" s="39"/>
      <c r="B326" s="39"/>
      <c r="C326" s="306"/>
      <c r="D326" s="87"/>
      <c r="E326" s="87"/>
      <c r="F326" s="87"/>
      <c r="G326" s="87"/>
      <c r="H326" s="87"/>
      <c r="I326" s="87"/>
      <c r="J326" s="87"/>
      <c r="K326" s="87"/>
      <c r="L326" s="87"/>
      <c r="M326" s="87"/>
      <c r="N326" s="87"/>
      <c r="O326" s="87"/>
      <c r="P326" s="87"/>
      <c r="Q326" s="87"/>
      <c r="R326" s="13"/>
      <c r="S326" s="13"/>
      <c r="T326" s="13"/>
      <c r="U326" s="13"/>
      <c r="V326" s="13"/>
      <c r="W326" s="13"/>
      <c r="X326" s="13"/>
      <c r="Y326" s="13"/>
      <c r="Z326" s="13"/>
    </row>
    <row r="327" spans="1:26" ht="15.75" customHeight="1">
      <c r="A327" s="39"/>
      <c r="B327" s="39"/>
      <c r="C327" s="306"/>
      <c r="D327" s="87"/>
      <c r="E327" s="87"/>
      <c r="F327" s="87"/>
      <c r="G327" s="87"/>
      <c r="H327" s="87"/>
      <c r="I327" s="87"/>
      <c r="J327" s="87"/>
      <c r="K327" s="87"/>
      <c r="L327" s="87"/>
      <c r="M327" s="87"/>
      <c r="N327" s="87"/>
      <c r="O327" s="87"/>
      <c r="P327" s="87"/>
      <c r="Q327" s="87"/>
      <c r="R327" s="13"/>
      <c r="S327" s="13"/>
      <c r="T327" s="13"/>
      <c r="U327" s="13"/>
      <c r="V327" s="13"/>
      <c r="W327" s="13"/>
      <c r="X327" s="13"/>
      <c r="Y327" s="13"/>
      <c r="Z327" s="13"/>
    </row>
    <row r="328" spans="1:26" ht="15.75" customHeight="1">
      <c r="A328" s="39"/>
      <c r="B328" s="39"/>
      <c r="C328" s="306"/>
      <c r="D328" s="87"/>
      <c r="E328" s="87"/>
      <c r="F328" s="87"/>
      <c r="G328" s="87"/>
      <c r="H328" s="87"/>
      <c r="I328" s="87"/>
      <c r="J328" s="87"/>
      <c r="K328" s="87"/>
      <c r="L328" s="87"/>
      <c r="M328" s="87"/>
      <c r="N328" s="87"/>
      <c r="O328" s="87"/>
      <c r="P328" s="87"/>
      <c r="Q328" s="87"/>
      <c r="R328" s="13"/>
      <c r="S328" s="13"/>
      <c r="T328" s="13"/>
      <c r="U328" s="13"/>
      <c r="V328" s="13"/>
      <c r="W328" s="13"/>
      <c r="X328" s="13"/>
      <c r="Y328" s="13"/>
      <c r="Z328" s="13"/>
    </row>
    <row r="329" spans="1:26" ht="15.75" customHeight="1">
      <c r="A329" s="39"/>
      <c r="B329" s="39"/>
      <c r="C329" s="306"/>
      <c r="D329" s="87"/>
      <c r="E329" s="87"/>
      <c r="F329" s="87"/>
      <c r="G329" s="87"/>
      <c r="H329" s="87"/>
      <c r="I329" s="87"/>
      <c r="J329" s="87"/>
      <c r="K329" s="87"/>
      <c r="L329" s="87"/>
      <c r="M329" s="87"/>
      <c r="N329" s="87"/>
      <c r="O329" s="87"/>
      <c r="P329" s="87"/>
      <c r="Q329" s="87"/>
      <c r="R329" s="13"/>
      <c r="S329" s="13"/>
      <c r="T329" s="13"/>
      <c r="U329" s="13"/>
      <c r="V329" s="13"/>
      <c r="W329" s="13"/>
      <c r="X329" s="13"/>
      <c r="Y329" s="13"/>
      <c r="Z329" s="13"/>
    </row>
    <row r="330" spans="1:26" ht="15.75" customHeight="1">
      <c r="A330" s="39"/>
      <c r="B330" s="39"/>
      <c r="C330" s="306"/>
      <c r="D330" s="87"/>
      <c r="E330" s="87"/>
      <c r="F330" s="87"/>
      <c r="G330" s="87"/>
      <c r="H330" s="87"/>
      <c r="I330" s="87"/>
      <c r="J330" s="87"/>
      <c r="K330" s="87"/>
      <c r="L330" s="87"/>
      <c r="M330" s="87"/>
      <c r="N330" s="87"/>
      <c r="O330" s="87"/>
      <c r="P330" s="87"/>
      <c r="Q330" s="87"/>
      <c r="R330" s="13"/>
      <c r="S330" s="13"/>
      <c r="T330" s="13"/>
      <c r="U330" s="13"/>
      <c r="V330" s="13"/>
      <c r="W330" s="13"/>
      <c r="X330" s="13"/>
      <c r="Y330" s="13"/>
      <c r="Z330" s="13"/>
    </row>
    <row r="331" spans="1:26" ht="15.75" customHeight="1">
      <c r="A331" s="39"/>
      <c r="B331" s="39"/>
      <c r="C331" s="306"/>
      <c r="D331" s="87"/>
      <c r="E331" s="87"/>
      <c r="F331" s="87"/>
      <c r="G331" s="87"/>
      <c r="H331" s="87"/>
      <c r="I331" s="87"/>
      <c r="J331" s="87"/>
      <c r="K331" s="87"/>
      <c r="L331" s="87"/>
      <c r="M331" s="87"/>
      <c r="N331" s="87"/>
      <c r="O331" s="87"/>
      <c r="P331" s="87"/>
      <c r="Q331" s="87"/>
      <c r="R331" s="13"/>
      <c r="S331" s="13"/>
      <c r="T331" s="13"/>
      <c r="U331" s="13"/>
      <c r="V331" s="13"/>
      <c r="W331" s="13"/>
      <c r="X331" s="13"/>
      <c r="Y331" s="13"/>
      <c r="Z331" s="13"/>
    </row>
    <row r="332" spans="1:26" ht="15.75" customHeight="1">
      <c r="A332" s="39"/>
      <c r="B332" s="39"/>
      <c r="C332" s="306"/>
      <c r="D332" s="87"/>
      <c r="E332" s="87"/>
      <c r="F332" s="87"/>
      <c r="G332" s="87"/>
      <c r="H332" s="87"/>
      <c r="I332" s="87"/>
      <c r="J332" s="87"/>
      <c r="K332" s="87"/>
      <c r="L332" s="87"/>
      <c r="M332" s="87"/>
      <c r="N332" s="87"/>
      <c r="O332" s="87"/>
      <c r="P332" s="87"/>
      <c r="Q332" s="87"/>
      <c r="R332" s="13"/>
      <c r="S332" s="13"/>
      <c r="T332" s="13"/>
      <c r="U332" s="13"/>
      <c r="V332" s="13"/>
      <c r="W332" s="13"/>
      <c r="X332" s="13"/>
      <c r="Y332" s="13"/>
      <c r="Z332" s="13"/>
    </row>
    <row r="333" spans="1:26" ht="15.75" customHeight="1">
      <c r="A333" s="39"/>
      <c r="B333" s="39"/>
      <c r="C333" s="306"/>
      <c r="D333" s="87"/>
      <c r="E333" s="87"/>
      <c r="F333" s="87"/>
      <c r="G333" s="87"/>
      <c r="H333" s="87"/>
      <c r="I333" s="87"/>
      <c r="J333" s="87"/>
      <c r="K333" s="87"/>
      <c r="L333" s="87"/>
      <c r="M333" s="87"/>
      <c r="N333" s="87"/>
      <c r="O333" s="87"/>
      <c r="P333" s="87"/>
      <c r="Q333" s="87"/>
      <c r="R333" s="13"/>
      <c r="S333" s="13"/>
      <c r="T333" s="13"/>
      <c r="U333" s="13"/>
      <c r="V333" s="13"/>
      <c r="W333" s="13"/>
      <c r="X333" s="13"/>
      <c r="Y333" s="13"/>
      <c r="Z333" s="13"/>
    </row>
    <row r="334" spans="1:26" ht="15.75" customHeight="1">
      <c r="A334" s="39"/>
      <c r="B334" s="39"/>
      <c r="C334" s="306"/>
      <c r="D334" s="87"/>
      <c r="E334" s="87"/>
      <c r="F334" s="87"/>
      <c r="G334" s="87"/>
      <c r="H334" s="87"/>
      <c r="I334" s="87"/>
      <c r="J334" s="87"/>
      <c r="K334" s="87"/>
      <c r="L334" s="87"/>
      <c r="M334" s="87"/>
      <c r="N334" s="87"/>
      <c r="O334" s="87"/>
      <c r="P334" s="87"/>
      <c r="Q334" s="87"/>
      <c r="R334" s="13"/>
      <c r="S334" s="13"/>
      <c r="T334" s="13"/>
      <c r="U334" s="13"/>
      <c r="V334" s="13"/>
      <c r="W334" s="13"/>
      <c r="X334" s="13"/>
      <c r="Y334" s="13"/>
      <c r="Z334" s="13"/>
    </row>
    <row r="335" spans="1:26" ht="15.75" customHeight="1">
      <c r="A335" s="39"/>
      <c r="B335" s="39"/>
      <c r="C335" s="306"/>
      <c r="D335" s="87"/>
      <c r="E335" s="87"/>
      <c r="F335" s="87"/>
      <c r="G335" s="87"/>
      <c r="H335" s="87"/>
      <c r="I335" s="87"/>
      <c r="J335" s="87"/>
      <c r="K335" s="87"/>
      <c r="L335" s="87"/>
      <c r="M335" s="87"/>
      <c r="N335" s="87"/>
      <c r="O335" s="87"/>
      <c r="P335" s="87"/>
      <c r="Q335" s="87"/>
      <c r="R335" s="13"/>
      <c r="S335" s="13"/>
      <c r="T335" s="13"/>
      <c r="U335" s="13"/>
      <c r="V335" s="13"/>
      <c r="W335" s="13"/>
      <c r="X335" s="13"/>
      <c r="Y335" s="13"/>
      <c r="Z335" s="13"/>
    </row>
    <row r="336" spans="1:26" ht="15.75" customHeight="1">
      <c r="A336" s="39"/>
      <c r="B336" s="39"/>
      <c r="C336" s="306"/>
      <c r="D336" s="87"/>
      <c r="E336" s="87"/>
      <c r="F336" s="87"/>
      <c r="G336" s="87"/>
      <c r="H336" s="87"/>
      <c r="I336" s="87"/>
      <c r="J336" s="87"/>
      <c r="K336" s="87"/>
      <c r="L336" s="87"/>
      <c r="M336" s="87"/>
      <c r="N336" s="87"/>
      <c r="O336" s="87"/>
      <c r="P336" s="87"/>
      <c r="Q336" s="87"/>
      <c r="R336" s="13"/>
      <c r="S336" s="13"/>
      <c r="T336" s="13"/>
      <c r="U336" s="13"/>
      <c r="V336" s="13"/>
      <c r="W336" s="13"/>
      <c r="X336" s="13"/>
      <c r="Y336" s="13"/>
      <c r="Z336" s="13"/>
    </row>
    <row r="337" spans="1:26" ht="15.75" customHeight="1">
      <c r="A337" s="39"/>
      <c r="B337" s="39"/>
      <c r="C337" s="306"/>
      <c r="D337" s="87"/>
      <c r="E337" s="87"/>
      <c r="F337" s="87"/>
      <c r="G337" s="87"/>
      <c r="H337" s="87"/>
      <c r="I337" s="87"/>
      <c r="J337" s="87"/>
      <c r="K337" s="87"/>
      <c r="L337" s="87"/>
      <c r="M337" s="87"/>
      <c r="N337" s="87"/>
      <c r="O337" s="87"/>
      <c r="P337" s="87"/>
      <c r="Q337" s="87"/>
      <c r="R337" s="13"/>
      <c r="S337" s="13"/>
      <c r="T337" s="13"/>
      <c r="U337" s="13"/>
      <c r="V337" s="13"/>
      <c r="W337" s="13"/>
      <c r="X337" s="13"/>
      <c r="Y337" s="13"/>
      <c r="Z337" s="13"/>
    </row>
    <row r="338" spans="1:26" ht="15.75" customHeight="1">
      <c r="A338" s="39"/>
      <c r="B338" s="39"/>
      <c r="C338" s="306"/>
      <c r="D338" s="87"/>
      <c r="E338" s="87"/>
      <c r="F338" s="87"/>
      <c r="G338" s="87"/>
      <c r="H338" s="87"/>
      <c r="I338" s="87"/>
      <c r="J338" s="87"/>
      <c r="K338" s="87"/>
      <c r="L338" s="87"/>
      <c r="M338" s="87"/>
      <c r="N338" s="87"/>
      <c r="O338" s="87"/>
      <c r="P338" s="87"/>
      <c r="Q338" s="87"/>
      <c r="R338" s="13"/>
      <c r="S338" s="13"/>
      <c r="T338" s="13"/>
      <c r="U338" s="13"/>
      <c r="V338" s="13"/>
      <c r="W338" s="13"/>
      <c r="X338" s="13"/>
      <c r="Y338" s="13"/>
      <c r="Z338" s="13"/>
    </row>
    <row r="339" spans="1:26" ht="15.75" customHeight="1">
      <c r="A339" s="39"/>
      <c r="B339" s="39"/>
      <c r="C339" s="306"/>
      <c r="D339" s="87"/>
      <c r="E339" s="87"/>
      <c r="F339" s="87"/>
      <c r="G339" s="87"/>
      <c r="H339" s="87"/>
      <c r="I339" s="87"/>
      <c r="J339" s="87"/>
      <c r="K339" s="87"/>
      <c r="L339" s="87"/>
      <c r="M339" s="87"/>
      <c r="N339" s="87"/>
      <c r="O339" s="87"/>
      <c r="P339" s="87"/>
      <c r="Q339" s="87"/>
      <c r="R339" s="13"/>
      <c r="S339" s="13"/>
      <c r="T339" s="13"/>
      <c r="U339" s="13"/>
      <c r="V339" s="13"/>
      <c r="W339" s="13"/>
      <c r="X339" s="13"/>
      <c r="Y339" s="13"/>
      <c r="Z339" s="13"/>
    </row>
    <row r="340" spans="1:26" ht="15.75" customHeight="1">
      <c r="A340" s="39"/>
      <c r="B340" s="39"/>
      <c r="C340" s="306"/>
      <c r="D340" s="87"/>
      <c r="E340" s="87"/>
      <c r="F340" s="87"/>
      <c r="G340" s="87"/>
      <c r="H340" s="87"/>
      <c r="I340" s="87"/>
      <c r="J340" s="87"/>
      <c r="K340" s="87"/>
      <c r="L340" s="87"/>
      <c r="M340" s="87"/>
      <c r="N340" s="87"/>
      <c r="O340" s="87"/>
      <c r="P340" s="87"/>
      <c r="Q340" s="87"/>
      <c r="R340" s="13"/>
      <c r="S340" s="13"/>
      <c r="T340" s="13"/>
      <c r="U340" s="13"/>
      <c r="V340" s="13"/>
      <c r="W340" s="13"/>
      <c r="X340" s="13"/>
      <c r="Y340" s="13"/>
      <c r="Z340" s="13"/>
    </row>
    <row r="341" spans="1:26" ht="15.75" customHeight="1">
      <c r="A341" s="39"/>
      <c r="B341" s="39"/>
      <c r="C341" s="306"/>
      <c r="D341" s="87"/>
      <c r="E341" s="87"/>
      <c r="F341" s="87"/>
      <c r="G341" s="87"/>
      <c r="H341" s="87"/>
      <c r="I341" s="87"/>
      <c r="J341" s="87"/>
      <c r="K341" s="87"/>
      <c r="L341" s="87"/>
      <c r="M341" s="87"/>
      <c r="N341" s="87"/>
      <c r="O341" s="87"/>
      <c r="P341" s="87"/>
      <c r="Q341" s="87"/>
      <c r="R341" s="13"/>
      <c r="S341" s="13"/>
      <c r="T341" s="13"/>
      <c r="U341" s="13"/>
      <c r="V341" s="13"/>
      <c r="W341" s="13"/>
      <c r="X341" s="13"/>
      <c r="Y341" s="13"/>
      <c r="Z341" s="13"/>
    </row>
    <row r="342" spans="1:26" ht="15.75" customHeight="1">
      <c r="A342" s="39"/>
      <c r="B342" s="39"/>
      <c r="C342" s="306"/>
      <c r="D342" s="87"/>
      <c r="E342" s="87"/>
      <c r="F342" s="87"/>
      <c r="G342" s="87"/>
      <c r="H342" s="87"/>
      <c r="I342" s="87"/>
      <c r="J342" s="87"/>
      <c r="K342" s="87"/>
      <c r="L342" s="87"/>
      <c r="M342" s="87"/>
      <c r="N342" s="87"/>
      <c r="O342" s="87"/>
      <c r="P342" s="87"/>
      <c r="Q342" s="87"/>
      <c r="R342" s="13"/>
      <c r="S342" s="13"/>
      <c r="T342" s="13"/>
      <c r="U342" s="13"/>
      <c r="V342" s="13"/>
      <c r="W342" s="13"/>
      <c r="X342" s="13"/>
      <c r="Y342" s="13"/>
      <c r="Z342" s="13"/>
    </row>
    <row r="343" spans="1:26" ht="15.75" customHeight="1">
      <c r="A343" s="39"/>
      <c r="B343" s="39"/>
      <c r="C343" s="306"/>
      <c r="D343" s="87"/>
      <c r="E343" s="87"/>
      <c r="F343" s="87"/>
      <c r="G343" s="87"/>
      <c r="H343" s="87"/>
      <c r="I343" s="87"/>
      <c r="J343" s="87"/>
      <c r="K343" s="87"/>
      <c r="L343" s="87"/>
      <c r="M343" s="87"/>
      <c r="N343" s="87"/>
      <c r="O343" s="87"/>
      <c r="P343" s="87"/>
      <c r="Q343" s="87"/>
      <c r="R343" s="13"/>
      <c r="S343" s="13"/>
      <c r="T343" s="13"/>
      <c r="U343" s="13"/>
      <c r="V343" s="13"/>
      <c r="W343" s="13"/>
      <c r="X343" s="13"/>
      <c r="Y343" s="13"/>
      <c r="Z343" s="13"/>
    </row>
    <row r="344" spans="1:26" ht="15.75" customHeight="1">
      <c r="A344" s="39"/>
      <c r="B344" s="39"/>
      <c r="C344" s="306"/>
      <c r="D344" s="87"/>
      <c r="E344" s="87"/>
      <c r="F344" s="87"/>
      <c r="G344" s="87"/>
      <c r="H344" s="87"/>
      <c r="I344" s="87"/>
      <c r="J344" s="87"/>
      <c r="K344" s="87"/>
      <c r="L344" s="87"/>
      <c r="M344" s="87"/>
      <c r="N344" s="87"/>
      <c r="O344" s="87"/>
      <c r="P344" s="87"/>
      <c r="Q344" s="87"/>
      <c r="R344" s="13"/>
      <c r="S344" s="13"/>
      <c r="T344" s="13"/>
      <c r="U344" s="13"/>
      <c r="V344" s="13"/>
      <c r="W344" s="13"/>
      <c r="X344" s="13"/>
      <c r="Y344" s="13"/>
      <c r="Z344" s="13"/>
    </row>
    <row r="345" spans="1:26" ht="15.75" customHeight="1">
      <c r="A345" s="39"/>
      <c r="B345" s="39"/>
      <c r="C345" s="306"/>
      <c r="D345" s="87"/>
      <c r="E345" s="87"/>
      <c r="F345" s="87"/>
      <c r="G345" s="87"/>
      <c r="H345" s="87"/>
      <c r="I345" s="87"/>
      <c r="J345" s="87"/>
      <c r="K345" s="87"/>
      <c r="L345" s="87"/>
      <c r="M345" s="87"/>
      <c r="N345" s="87"/>
      <c r="O345" s="87"/>
      <c r="P345" s="87"/>
      <c r="Q345" s="87"/>
      <c r="R345" s="13"/>
      <c r="S345" s="13"/>
      <c r="T345" s="13"/>
      <c r="U345" s="13"/>
      <c r="V345" s="13"/>
      <c r="W345" s="13"/>
      <c r="X345" s="13"/>
      <c r="Y345" s="13"/>
      <c r="Z345" s="13"/>
    </row>
    <row r="346" spans="1:26" ht="15.75" customHeight="1">
      <c r="A346" s="39"/>
      <c r="B346" s="39"/>
      <c r="C346" s="306"/>
      <c r="D346" s="87"/>
      <c r="E346" s="87"/>
      <c r="F346" s="87"/>
      <c r="G346" s="87"/>
      <c r="H346" s="87"/>
      <c r="I346" s="87"/>
      <c r="J346" s="87"/>
      <c r="K346" s="87"/>
      <c r="L346" s="87"/>
      <c r="M346" s="87"/>
      <c r="N346" s="87"/>
      <c r="O346" s="87"/>
      <c r="P346" s="87"/>
      <c r="Q346" s="87"/>
      <c r="R346" s="13"/>
      <c r="S346" s="13"/>
      <c r="T346" s="13"/>
      <c r="U346" s="13"/>
      <c r="V346" s="13"/>
      <c r="W346" s="13"/>
      <c r="X346" s="13"/>
      <c r="Y346" s="13"/>
      <c r="Z346" s="13"/>
    </row>
    <row r="347" spans="1:26" ht="15.75" customHeight="1">
      <c r="A347" s="39"/>
      <c r="B347" s="39"/>
      <c r="C347" s="306"/>
      <c r="D347" s="87"/>
      <c r="E347" s="87"/>
      <c r="F347" s="87"/>
      <c r="G347" s="87"/>
      <c r="H347" s="87"/>
      <c r="I347" s="87"/>
      <c r="J347" s="87"/>
      <c r="K347" s="87"/>
      <c r="L347" s="87"/>
      <c r="M347" s="87"/>
      <c r="N347" s="87"/>
      <c r="O347" s="87"/>
      <c r="P347" s="87"/>
      <c r="Q347" s="87"/>
      <c r="R347" s="13"/>
      <c r="S347" s="13"/>
      <c r="T347" s="13"/>
      <c r="U347" s="13"/>
      <c r="V347" s="13"/>
      <c r="W347" s="13"/>
      <c r="X347" s="13"/>
      <c r="Y347" s="13"/>
      <c r="Z347" s="13"/>
    </row>
    <row r="348" spans="1:26" ht="15.75" customHeight="1">
      <c r="A348" s="39"/>
      <c r="B348" s="39"/>
      <c r="C348" s="306"/>
      <c r="D348" s="87"/>
      <c r="E348" s="87"/>
      <c r="F348" s="87"/>
      <c r="G348" s="87"/>
      <c r="H348" s="87"/>
      <c r="I348" s="87"/>
      <c r="J348" s="87"/>
      <c r="K348" s="87"/>
      <c r="L348" s="87"/>
      <c r="M348" s="87"/>
      <c r="N348" s="87"/>
      <c r="O348" s="87"/>
      <c r="P348" s="87"/>
      <c r="Q348" s="87"/>
      <c r="R348" s="13"/>
      <c r="S348" s="13"/>
      <c r="T348" s="13"/>
      <c r="U348" s="13"/>
      <c r="V348" s="13"/>
      <c r="W348" s="13"/>
      <c r="X348" s="13"/>
      <c r="Y348" s="13"/>
      <c r="Z348" s="13"/>
    </row>
    <row r="349" spans="1:26" ht="15.75" customHeight="1">
      <c r="A349" s="39"/>
      <c r="B349" s="39"/>
      <c r="C349" s="306"/>
      <c r="D349" s="87"/>
      <c r="E349" s="87"/>
      <c r="F349" s="87"/>
      <c r="G349" s="87"/>
      <c r="H349" s="87"/>
      <c r="I349" s="87"/>
      <c r="J349" s="87"/>
      <c r="K349" s="87"/>
      <c r="L349" s="87"/>
      <c r="M349" s="87"/>
      <c r="N349" s="87"/>
      <c r="O349" s="87"/>
      <c r="P349" s="87"/>
      <c r="Q349" s="87"/>
      <c r="R349" s="13"/>
      <c r="S349" s="13"/>
      <c r="T349" s="13"/>
      <c r="U349" s="13"/>
      <c r="V349" s="13"/>
      <c r="W349" s="13"/>
      <c r="X349" s="13"/>
      <c r="Y349" s="13"/>
      <c r="Z349" s="13"/>
    </row>
    <row r="350" spans="1:26" ht="15.75" customHeight="1">
      <c r="A350" s="39"/>
      <c r="B350" s="39"/>
      <c r="C350" s="306"/>
      <c r="D350" s="87"/>
      <c r="E350" s="87"/>
      <c r="F350" s="87"/>
      <c r="G350" s="87"/>
      <c r="H350" s="87"/>
      <c r="I350" s="87"/>
      <c r="J350" s="87"/>
      <c r="K350" s="87"/>
      <c r="L350" s="87"/>
      <c r="M350" s="87"/>
      <c r="N350" s="87"/>
      <c r="O350" s="87"/>
      <c r="P350" s="87"/>
      <c r="Q350" s="87"/>
      <c r="R350" s="13"/>
      <c r="S350" s="13"/>
      <c r="T350" s="13"/>
      <c r="U350" s="13"/>
      <c r="V350" s="13"/>
      <c r="W350" s="13"/>
      <c r="X350" s="13"/>
      <c r="Y350" s="13"/>
      <c r="Z350" s="13"/>
    </row>
    <row r="351" spans="1:26" ht="15.75" customHeight="1">
      <c r="A351" s="39"/>
      <c r="B351" s="39"/>
      <c r="C351" s="306"/>
      <c r="D351" s="87"/>
      <c r="E351" s="87"/>
      <c r="F351" s="87"/>
      <c r="G351" s="87"/>
      <c r="H351" s="87"/>
      <c r="I351" s="87"/>
      <c r="J351" s="87"/>
      <c r="K351" s="87"/>
      <c r="L351" s="87"/>
      <c r="M351" s="87"/>
      <c r="N351" s="87"/>
      <c r="O351" s="87"/>
      <c r="P351" s="87"/>
      <c r="Q351" s="87"/>
      <c r="R351" s="13"/>
      <c r="S351" s="13"/>
      <c r="T351" s="13"/>
      <c r="U351" s="13"/>
      <c r="V351" s="13"/>
      <c r="W351" s="13"/>
      <c r="X351" s="13"/>
      <c r="Y351" s="13"/>
      <c r="Z351" s="13"/>
    </row>
    <row r="352" spans="1:26" ht="15.75" customHeight="1">
      <c r="A352" s="39"/>
      <c r="B352" s="39"/>
      <c r="C352" s="306"/>
      <c r="D352" s="87"/>
      <c r="E352" s="87"/>
      <c r="F352" s="87"/>
      <c r="G352" s="87"/>
      <c r="H352" s="87"/>
      <c r="I352" s="87"/>
      <c r="J352" s="87"/>
      <c r="K352" s="87"/>
      <c r="L352" s="87"/>
      <c r="M352" s="87"/>
      <c r="N352" s="87"/>
      <c r="O352" s="87"/>
      <c r="P352" s="87"/>
      <c r="Q352" s="87"/>
      <c r="R352" s="13"/>
      <c r="S352" s="13"/>
      <c r="T352" s="13"/>
      <c r="U352" s="13"/>
      <c r="V352" s="13"/>
      <c r="W352" s="13"/>
      <c r="X352" s="13"/>
      <c r="Y352" s="13"/>
      <c r="Z352" s="13"/>
    </row>
    <row r="353" spans="1:26" ht="15.75" customHeight="1">
      <c r="A353" s="39"/>
      <c r="B353" s="39"/>
      <c r="C353" s="306"/>
      <c r="D353" s="87"/>
      <c r="E353" s="87"/>
      <c r="F353" s="87"/>
      <c r="G353" s="87"/>
      <c r="H353" s="87"/>
      <c r="I353" s="87"/>
      <c r="J353" s="87"/>
      <c r="K353" s="87"/>
      <c r="L353" s="87"/>
      <c r="M353" s="87"/>
      <c r="N353" s="87"/>
      <c r="O353" s="87"/>
      <c r="P353" s="87"/>
      <c r="Q353" s="87"/>
      <c r="R353" s="13"/>
      <c r="S353" s="13"/>
      <c r="T353" s="13"/>
      <c r="U353" s="13"/>
      <c r="V353" s="13"/>
      <c r="W353" s="13"/>
      <c r="X353" s="13"/>
      <c r="Y353" s="13"/>
      <c r="Z353" s="13"/>
    </row>
    <row r="354" spans="1:26" ht="15.75" customHeight="1">
      <c r="A354" s="39"/>
      <c r="B354" s="39"/>
      <c r="C354" s="306"/>
      <c r="D354" s="87"/>
      <c r="E354" s="87"/>
      <c r="F354" s="87"/>
      <c r="G354" s="87"/>
      <c r="H354" s="87"/>
      <c r="I354" s="87"/>
      <c r="J354" s="87"/>
      <c r="K354" s="87"/>
      <c r="L354" s="87"/>
      <c r="M354" s="87"/>
      <c r="N354" s="87"/>
      <c r="O354" s="87"/>
      <c r="P354" s="87"/>
      <c r="Q354" s="87"/>
      <c r="R354" s="13"/>
      <c r="S354" s="13"/>
      <c r="T354" s="13"/>
      <c r="U354" s="13"/>
      <c r="V354" s="13"/>
      <c r="W354" s="13"/>
      <c r="X354" s="13"/>
      <c r="Y354" s="13"/>
      <c r="Z354" s="13"/>
    </row>
    <row r="355" spans="1:26" ht="15.75" customHeight="1">
      <c r="A355" s="39"/>
      <c r="B355" s="39"/>
      <c r="C355" s="306"/>
      <c r="D355" s="87"/>
      <c r="E355" s="87"/>
      <c r="F355" s="87"/>
      <c r="G355" s="87"/>
      <c r="H355" s="87"/>
      <c r="I355" s="87"/>
      <c r="J355" s="87"/>
      <c r="K355" s="87"/>
      <c r="L355" s="87"/>
      <c r="M355" s="87"/>
      <c r="N355" s="87"/>
      <c r="O355" s="87"/>
      <c r="P355" s="87"/>
      <c r="Q355" s="87"/>
      <c r="R355" s="13"/>
      <c r="S355" s="13"/>
      <c r="T355" s="13"/>
      <c r="U355" s="13"/>
      <c r="V355" s="13"/>
      <c r="W355" s="13"/>
      <c r="X355" s="13"/>
      <c r="Y355" s="13"/>
      <c r="Z355" s="13"/>
    </row>
    <row r="356" spans="1:26" ht="15.75" customHeight="1">
      <c r="A356" s="39"/>
      <c r="B356" s="39"/>
      <c r="C356" s="306"/>
      <c r="D356" s="87"/>
      <c r="E356" s="87"/>
      <c r="F356" s="87"/>
      <c r="G356" s="87"/>
      <c r="H356" s="87"/>
      <c r="I356" s="87"/>
      <c r="J356" s="87"/>
      <c r="K356" s="87"/>
      <c r="L356" s="87"/>
      <c r="M356" s="87"/>
      <c r="N356" s="87"/>
      <c r="O356" s="87"/>
      <c r="P356" s="87"/>
      <c r="Q356" s="87"/>
      <c r="R356" s="13"/>
      <c r="S356" s="13"/>
      <c r="T356" s="13"/>
      <c r="U356" s="13"/>
      <c r="V356" s="13"/>
      <c r="W356" s="13"/>
      <c r="X356" s="13"/>
      <c r="Y356" s="13"/>
      <c r="Z356" s="13"/>
    </row>
    <row r="357" spans="1:26" ht="15.75" customHeight="1">
      <c r="A357" s="39"/>
      <c r="B357" s="39"/>
      <c r="C357" s="306"/>
      <c r="D357" s="87"/>
      <c r="E357" s="87"/>
      <c r="F357" s="87"/>
      <c r="G357" s="87"/>
      <c r="H357" s="87"/>
      <c r="I357" s="87"/>
      <c r="J357" s="87"/>
      <c r="K357" s="87"/>
      <c r="L357" s="87"/>
      <c r="M357" s="87"/>
      <c r="N357" s="87"/>
      <c r="O357" s="87"/>
      <c r="P357" s="87"/>
      <c r="Q357" s="87"/>
      <c r="R357" s="13"/>
      <c r="S357" s="13"/>
      <c r="T357" s="13"/>
      <c r="U357" s="13"/>
      <c r="V357" s="13"/>
      <c r="W357" s="13"/>
      <c r="X357" s="13"/>
      <c r="Y357" s="13"/>
      <c r="Z357" s="13"/>
    </row>
    <row r="358" spans="1:26" ht="15.75" customHeight="1">
      <c r="A358" s="39"/>
      <c r="B358" s="39"/>
      <c r="C358" s="306"/>
      <c r="D358" s="87"/>
      <c r="E358" s="87"/>
      <c r="F358" s="87"/>
      <c r="G358" s="87"/>
      <c r="H358" s="87"/>
      <c r="I358" s="87"/>
      <c r="J358" s="87"/>
      <c r="K358" s="87"/>
      <c r="L358" s="87"/>
      <c r="M358" s="87"/>
      <c r="N358" s="87"/>
      <c r="O358" s="87"/>
      <c r="P358" s="87"/>
      <c r="Q358" s="87"/>
      <c r="R358" s="13"/>
      <c r="S358" s="13"/>
      <c r="T358" s="13"/>
      <c r="U358" s="13"/>
      <c r="V358" s="13"/>
      <c r="W358" s="13"/>
      <c r="X358" s="13"/>
      <c r="Y358" s="13"/>
      <c r="Z358" s="13"/>
    </row>
    <row r="359" spans="1:26" ht="15.75" customHeight="1">
      <c r="A359" s="39"/>
      <c r="B359" s="39"/>
      <c r="C359" s="306"/>
      <c r="D359" s="87"/>
      <c r="E359" s="87"/>
      <c r="F359" s="87"/>
      <c r="G359" s="87"/>
      <c r="H359" s="87"/>
      <c r="I359" s="87"/>
      <c r="J359" s="87"/>
      <c r="K359" s="87"/>
      <c r="L359" s="87"/>
      <c r="M359" s="87"/>
      <c r="N359" s="87"/>
      <c r="O359" s="87"/>
      <c r="P359" s="87"/>
      <c r="Q359" s="87"/>
      <c r="R359" s="13"/>
      <c r="S359" s="13"/>
      <c r="T359" s="13"/>
      <c r="U359" s="13"/>
      <c r="V359" s="13"/>
      <c r="W359" s="13"/>
      <c r="X359" s="13"/>
      <c r="Y359" s="13"/>
      <c r="Z359" s="13"/>
    </row>
    <row r="360" spans="1:26" ht="15.75" customHeight="1">
      <c r="A360" s="39"/>
      <c r="B360" s="39"/>
      <c r="C360" s="306"/>
      <c r="D360" s="87"/>
      <c r="E360" s="87"/>
      <c r="F360" s="87"/>
      <c r="G360" s="87"/>
      <c r="H360" s="87"/>
      <c r="I360" s="87"/>
      <c r="J360" s="87"/>
      <c r="K360" s="87"/>
      <c r="L360" s="87"/>
      <c r="M360" s="87"/>
      <c r="N360" s="87"/>
      <c r="O360" s="87"/>
      <c r="P360" s="87"/>
      <c r="Q360" s="87"/>
      <c r="R360" s="13"/>
      <c r="S360" s="13"/>
      <c r="T360" s="13"/>
      <c r="U360" s="13"/>
      <c r="V360" s="13"/>
      <c r="W360" s="13"/>
      <c r="X360" s="13"/>
      <c r="Y360" s="13"/>
      <c r="Z360" s="13"/>
    </row>
    <row r="361" spans="1:26" ht="15.75" customHeight="1">
      <c r="A361" s="39"/>
      <c r="B361" s="39"/>
      <c r="C361" s="306"/>
      <c r="D361" s="87"/>
      <c r="E361" s="87"/>
      <c r="F361" s="87"/>
      <c r="G361" s="87"/>
      <c r="H361" s="87"/>
      <c r="I361" s="87"/>
      <c r="J361" s="87"/>
      <c r="K361" s="87"/>
      <c r="L361" s="87"/>
      <c r="M361" s="87"/>
      <c r="N361" s="87"/>
      <c r="O361" s="87"/>
      <c r="P361" s="87"/>
      <c r="Q361" s="87"/>
      <c r="R361" s="13"/>
      <c r="S361" s="13"/>
      <c r="T361" s="13"/>
      <c r="U361" s="13"/>
      <c r="V361" s="13"/>
      <c r="W361" s="13"/>
      <c r="X361" s="13"/>
      <c r="Y361" s="13"/>
      <c r="Z361" s="13"/>
    </row>
    <row r="362" spans="1:26" ht="15.75" customHeight="1">
      <c r="A362" s="39"/>
      <c r="B362" s="39"/>
      <c r="C362" s="306"/>
      <c r="D362" s="87"/>
      <c r="E362" s="87"/>
      <c r="F362" s="87"/>
      <c r="G362" s="87"/>
      <c r="H362" s="87"/>
      <c r="I362" s="87"/>
      <c r="J362" s="87"/>
      <c r="K362" s="87"/>
      <c r="L362" s="87"/>
      <c r="M362" s="87"/>
      <c r="N362" s="87"/>
      <c r="O362" s="87"/>
      <c r="P362" s="87"/>
      <c r="Q362" s="87"/>
      <c r="R362" s="13"/>
      <c r="S362" s="13"/>
      <c r="T362" s="13"/>
      <c r="U362" s="13"/>
      <c r="V362" s="13"/>
      <c r="W362" s="13"/>
      <c r="X362" s="13"/>
      <c r="Y362" s="13"/>
      <c r="Z362" s="13"/>
    </row>
    <row r="363" spans="1:26" ht="15.75" customHeight="1">
      <c r="A363" s="39"/>
      <c r="B363" s="39"/>
      <c r="C363" s="306"/>
      <c r="D363" s="87"/>
      <c r="E363" s="87"/>
      <c r="F363" s="87"/>
      <c r="G363" s="87"/>
      <c r="H363" s="87"/>
      <c r="I363" s="87"/>
      <c r="J363" s="87"/>
      <c r="K363" s="87"/>
      <c r="L363" s="87"/>
      <c r="M363" s="87"/>
      <c r="N363" s="87"/>
      <c r="O363" s="87"/>
      <c r="P363" s="87"/>
      <c r="Q363" s="87"/>
      <c r="R363" s="13"/>
      <c r="S363" s="13"/>
      <c r="T363" s="13"/>
      <c r="U363" s="13"/>
      <c r="V363" s="13"/>
      <c r="W363" s="13"/>
      <c r="X363" s="13"/>
      <c r="Y363" s="13"/>
      <c r="Z363" s="13"/>
    </row>
    <row r="364" spans="1:26" ht="15.75" customHeight="1">
      <c r="A364" s="39"/>
      <c r="B364" s="39"/>
      <c r="C364" s="306"/>
      <c r="D364" s="87"/>
      <c r="E364" s="87"/>
      <c r="F364" s="87"/>
      <c r="G364" s="87"/>
      <c r="H364" s="87"/>
      <c r="I364" s="87"/>
      <c r="J364" s="87"/>
      <c r="K364" s="87"/>
      <c r="L364" s="87"/>
      <c r="M364" s="87"/>
      <c r="N364" s="87"/>
      <c r="O364" s="87"/>
      <c r="P364" s="87"/>
      <c r="Q364" s="87"/>
      <c r="R364" s="13"/>
      <c r="S364" s="13"/>
      <c r="T364" s="13"/>
      <c r="U364" s="13"/>
      <c r="V364" s="13"/>
      <c r="W364" s="13"/>
      <c r="X364" s="13"/>
      <c r="Y364" s="13"/>
      <c r="Z364" s="13"/>
    </row>
    <row r="365" spans="1:26" ht="15.75" customHeight="1">
      <c r="A365" s="39"/>
      <c r="B365" s="39"/>
      <c r="C365" s="306"/>
      <c r="D365" s="87"/>
      <c r="E365" s="87"/>
      <c r="F365" s="87"/>
      <c r="G365" s="87"/>
      <c r="H365" s="87"/>
      <c r="I365" s="87"/>
      <c r="J365" s="87"/>
      <c r="K365" s="87"/>
      <c r="L365" s="87"/>
      <c r="M365" s="87"/>
      <c r="N365" s="87"/>
      <c r="O365" s="87"/>
      <c r="P365" s="87"/>
      <c r="Q365" s="87"/>
      <c r="R365" s="13"/>
      <c r="S365" s="13"/>
      <c r="T365" s="13"/>
      <c r="U365" s="13"/>
      <c r="V365" s="13"/>
      <c r="W365" s="13"/>
      <c r="X365" s="13"/>
      <c r="Y365" s="13"/>
      <c r="Z365" s="13"/>
    </row>
    <row r="366" spans="1:26" ht="15.75" customHeight="1">
      <c r="A366" s="39"/>
      <c r="B366" s="39"/>
      <c r="C366" s="306"/>
      <c r="D366" s="87"/>
      <c r="E366" s="87"/>
      <c r="F366" s="87"/>
      <c r="G366" s="87"/>
      <c r="H366" s="87"/>
      <c r="I366" s="87"/>
      <c r="J366" s="87"/>
      <c r="K366" s="87"/>
      <c r="L366" s="87"/>
      <c r="M366" s="87"/>
      <c r="N366" s="87"/>
      <c r="O366" s="87"/>
      <c r="P366" s="87"/>
      <c r="Q366" s="87"/>
      <c r="R366" s="13"/>
      <c r="S366" s="13"/>
      <c r="T366" s="13"/>
      <c r="U366" s="13"/>
      <c r="V366" s="13"/>
      <c r="W366" s="13"/>
      <c r="X366" s="13"/>
      <c r="Y366" s="13"/>
      <c r="Z366" s="13"/>
    </row>
    <row r="367" spans="1:26" ht="15.75" customHeight="1">
      <c r="A367" s="39"/>
      <c r="B367" s="39"/>
      <c r="C367" s="306"/>
      <c r="D367" s="87"/>
      <c r="E367" s="87"/>
      <c r="F367" s="87"/>
      <c r="G367" s="87"/>
      <c r="H367" s="87"/>
      <c r="I367" s="87"/>
      <c r="J367" s="87"/>
      <c r="K367" s="87"/>
      <c r="L367" s="87"/>
      <c r="M367" s="87"/>
      <c r="N367" s="87"/>
      <c r="O367" s="87"/>
      <c r="P367" s="87"/>
      <c r="Q367" s="87"/>
      <c r="R367" s="13"/>
      <c r="S367" s="13"/>
      <c r="T367" s="13"/>
      <c r="U367" s="13"/>
      <c r="V367" s="13"/>
      <c r="W367" s="13"/>
      <c r="X367" s="13"/>
      <c r="Y367" s="13"/>
      <c r="Z367" s="13"/>
    </row>
    <row r="368" spans="1:26" ht="15.75" customHeight="1">
      <c r="A368" s="39"/>
      <c r="B368" s="39"/>
      <c r="C368" s="306"/>
      <c r="D368" s="87"/>
      <c r="E368" s="87"/>
      <c r="F368" s="87"/>
      <c r="G368" s="87"/>
      <c r="H368" s="87"/>
      <c r="I368" s="87"/>
      <c r="J368" s="87"/>
      <c r="K368" s="87"/>
      <c r="L368" s="87"/>
      <c r="M368" s="87"/>
      <c r="N368" s="87"/>
      <c r="O368" s="87"/>
      <c r="P368" s="87"/>
      <c r="Q368" s="87"/>
      <c r="R368" s="13"/>
      <c r="S368" s="13"/>
      <c r="T368" s="13"/>
      <c r="U368" s="13"/>
      <c r="V368" s="13"/>
      <c r="W368" s="13"/>
      <c r="X368" s="13"/>
      <c r="Y368" s="13"/>
      <c r="Z368" s="13"/>
    </row>
    <row r="369" spans="1:26" ht="15.75" customHeight="1">
      <c r="A369" s="39"/>
      <c r="B369" s="39"/>
      <c r="C369" s="306"/>
      <c r="D369" s="87"/>
      <c r="E369" s="87"/>
      <c r="F369" s="87"/>
      <c r="G369" s="87"/>
      <c r="H369" s="87"/>
      <c r="I369" s="87"/>
      <c r="J369" s="87"/>
      <c r="K369" s="87"/>
      <c r="L369" s="87"/>
      <c r="M369" s="87"/>
      <c r="N369" s="87"/>
      <c r="O369" s="87"/>
      <c r="P369" s="87"/>
      <c r="Q369" s="87"/>
      <c r="R369" s="13"/>
      <c r="S369" s="13"/>
      <c r="T369" s="13"/>
      <c r="U369" s="13"/>
      <c r="V369" s="13"/>
      <c r="W369" s="13"/>
      <c r="X369" s="13"/>
      <c r="Y369" s="13"/>
      <c r="Z369" s="13"/>
    </row>
    <row r="370" spans="1:26" ht="15.75" customHeight="1">
      <c r="A370" s="39"/>
      <c r="B370" s="39"/>
      <c r="C370" s="306"/>
      <c r="D370" s="87"/>
      <c r="E370" s="87"/>
      <c r="F370" s="87"/>
      <c r="G370" s="87"/>
      <c r="H370" s="87"/>
      <c r="I370" s="87"/>
      <c r="J370" s="87"/>
      <c r="K370" s="87"/>
      <c r="L370" s="87"/>
      <c r="M370" s="87"/>
      <c r="N370" s="87"/>
      <c r="O370" s="87"/>
      <c r="P370" s="87"/>
      <c r="Q370" s="87"/>
      <c r="R370" s="13"/>
      <c r="S370" s="13"/>
      <c r="T370" s="13"/>
      <c r="U370" s="13"/>
      <c r="V370" s="13"/>
      <c r="W370" s="13"/>
      <c r="X370" s="13"/>
      <c r="Y370" s="13"/>
      <c r="Z370" s="13"/>
    </row>
    <row r="371" spans="1:26" ht="15.75" customHeight="1">
      <c r="A371" s="39"/>
      <c r="B371" s="39"/>
      <c r="C371" s="306"/>
      <c r="D371" s="87"/>
      <c r="E371" s="87"/>
      <c r="F371" s="87"/>
      <c r="G371" s="87"/>
      <c r="H371" s="87"/>
      <c r="I371" s="87"/>
      <c r="J371" s="87"/>
      <c r="K371" s="87"/>
      <c r="L371" s="87"/>
      <c r="M371" s="87"/>
      <c r="N371" s="87"/>
      <c r="O371" s="87"/>
      <c r="P371" s="87"/>
      <c r="Q371" s="87"/>
      <c r="R371" s="13"/>
      <c r="S371" s="13"/>
      <c r="T371" s="13"/>
      <c r="U371" s="13"/>
      <c r="V371" s="13"/>
      <c r="W371" s="13"/>
      <c r="X371" s="13"/>
      <c r="Y371" s="13"/>
      <c r="Z371" s="13"/>
    </row>
    <row r="372" spans="1:26" ht="15.75" customHeight="1">
      <c r="A372" s="39"/>
      <c r="B372" s="39"/>
      <c r="C372" s="306"/>
      <c r="D372" s="87"/>
      <c r="E372" s="87"/>
      <c r="F372" s="87"/>
      <c r="G372" s="87"/>
      <c r="H372" s="87"/>
      <c r="I372" s="87"/>
      <c r="J372" s="87"/>
      <c r="K372" s="87"/>
      <c r="L372" s="87"/>
      <c r="M372" s="87"/>
      <c r="N372" s="87"/>
      <c r="O372" s="87"/>
      <c r="P372" s="87"/>
      <c r="Q372" s="87"/>
      <c r="R372" s="13"/>
      <c r="S372" s="13"/>
      <c r="T372" s="13"/>
      <c r="U372" s="13"/>
      <c r="V372" s="13"/>
      <c r="W372" s="13"/>
      <c r="X372" s="13"/>
      <c r="Y372" s="13"/>
      <c r="Z372" s="13"/>
    </row>
    <row r="373" spans="1:26" ht="15.75" customHeight="1">
      <c r="A373" s="39"/>
      <c r="B373" s="39"/>
      <c r="C373" s="306"/>
      <c r="D373" s="87"/>
      <c r="E373" s="87"/>
      <c r="F373" s="87"/>
      <c r="G373" s="87"/>
      <c r="H373" s="87"/>
      <c r="I373" s="87"/>
      <c r="J373" s="87"/>
      <c r="K373" s="87"/>
      <c r="L373" s="87"/>
      <c r="M373" s="87"/>
      <c r="N373" s="87"/>
      <c r="O373" s="87"/>
      <c r="P373" s="87"/>
      <c r="Q373" s="87"/>
      <c r="R373" s="13"/>
      <c r="S373" s="13"/>
      <c r="T373" s="13"/>
      <c r="U373" s="13"/>
      <c r="V373" s="13"/>
      <c r="W373" s="13"/>
      <c r="X373" s="13"/>
      <c r="Y373" s="13"/>
      <c r="Z373" s="13"/>
    </row>
    <row r="374" spans="1:26" ht="15.75" customHeight="1">
      <c r="A374" s="39"/>
      <c r="B374" s="39"/>
      <c r="C374" s="306"/>
      <c r="D374" s="87"/>
      <c r="E374" s="87"/>
      <c r="F374" s="87"/>
      <c r="G374" s="87"/>
      <c r="H374" s="87"/>
      <c r="I374" s="87"/>
      <c r="J374" s="87"/>
      <c r="K374" s="87"/>
      <c r="L374" s="87"/>
      <c r="M374" s="87"/>
      <c r="N374" s="87"/>
      <c r="O374" s="87"/>
      <c r="P374" s="87"/>
      <c r="Q374" s="87"/>
      <c r="R374" s="13"/>
      <c r="S374" s="13"/>
      <c r="T374" s="13"/>
      <c r="U374" s="13"/>
      <c r="V374" s="13"/>
      <c r="W374" s="13"/>
      <c r="X374" s="13"/>
      <c r="Y374" s="13"/>
      <c r="Z374" s="13"/>
    </row>
    <row r="375" spans="1:26" ht="15.75" customHeight="1">
      <c r="A375" s="39"/>
      <c r="B375" s="39"/>
      <c r="C375" s="306"/>
      <c r="D375" s="87"/>
      <c r="E375" s="87"/>
      <c r="F375" s="87"/>
      <c r="G375" s="87"/>
      <c r="H375" s="87"/>
      <c r="I375" s="87"/>
      <c r="J375" s="87"/>
      <c r="K375" s="87"/>
      <c r="L375" s="87"/>
      <c r="M375" s="87"/>
      <c r="N375" s="87"/>
      <c r="O375" s="87"/>
      <c r="P375" s="87"/>
      <c r="Q375" s="87"/>
      <c r="R375" s="13"/>
      <c r="S375" s="13"/>
      <c r="T375" s="13"/>
      <c r="U375" s="13"/>
      <c r="V375" s="13"/>
      <c r="W375" s="13"/>
      <c r="X375" s="13"/>
      <c r="Y375" s="13"/>
      <c r="Z375" s="13"/>
    </row>
    <row r="376" spans="1:26" ht="15.75" customHeight="1">
      <c r="A376" s="39"/>
      <c r="B376" s="39"/>
      <c r="C376" s="306"/>
      <c r="D376" s="87"/>
      <c r="E376" s="87"/>
      <c r="F376" s="87"/>
      <c r="G376" s="87"/>
      <c r="H376" s="87"/>
      <c r="I376" s="87"/>
      <c r="J376" s="87"/>
      <c r="K376" s="87"/>
      <c r="L376" s="87"/>
      <c r="M376" s="87"/>
      <c r="N376" s="87"/>
      <c r="O376" s="87"/>
      <c r="P376" s="87"/>
      <c r="Q376" s="87"/>
      <c r="R376" s="13"/>
      <c r="S376" s="13"/>
      <c r="T376" s="13"/>
      <c r="U376" s="13"/>
      <c r="V376" s="13"/>
      <c r="W376" s="13"/>
      <c r="X376" s="13"/>
      <c r="Y376" s="13"/>
      <c r="Z376" s="13"/>
    </row>
    <row r="377" spans="1:26" ht="15.75" customHeight="1">
      <c r="A377" s="39"/>
      <c r="B377" s="39"/>
      <c r="C377" s="306"/>
      <c r="D377" s="87"/>
      <c r="E377" s="87"/>
      <c r="F377" s="87"/>
      <c r="G377" s="87"/>
      <c r="H377" s="87"/>
      <c r="I377" s="87"/>
      <c r="J377" s="87"/>
      <c r="K377" s="87"/>
      <c r="L377" s="87"/>
      <c r="M377" s="87"/>
      <c r="N377" s="87"/>
      <c r="O377" s="87"/>
      <c r="P377" s="87"/>
      <c r="Q377" s="87"/>
      <c r="R377" s="13"/>
      <c r="S377" s="13"/>
      <c r="T377" s="13"/>
      <c r="U377" s="13"/>
      <c r="V377" s="13"/>
      <c r="W377" s="13"/>
      <c r="X377" s="13"/>
      <c r="Y377" s="13"/>
      <c r="Z377" s="13"/>
    </row>
    <row r="378" spans="1:26" ht="15.75" customHeight="1">
      <c r="A378" s="39"/>
      <c r="B378" s="39"/>
      <c r="C378" s="306"/>
      <c r="D378" s="87"/>
      <c r="E378" s="87"/>
      <c r="F378" s="87"/>
      <c r="G378" s="87"/>
      <c r="H378" s="87"/>
      <c r="I378" s="87"/>
      <c r="J378" s="87"/>
      <c r="K378" s="87"/>
      <c r="L378" s="87"/>
      <c r="M378" s="87"/>
      <c r="N378" s="87"/>
      <c r="O378" s="87"/>
      <c r="P378" s="87"/>
      <c r="Q378" s="87"/>
      <c r="R378" s="13"/>
      <c r="S378" s="13"/>
      <c r="T378" s="13"/>
      <c r="U378" s="13"/>
      <c r="V378" s="13"/>
      <c r="W378" s="13"/>
      <c r="X378" s="13"/>
      <c r="Y378" s="13"/>
      <c r="Z378" s="13"/>
    </row>
    <row r="379" spans="1:26" ht="15.75" customHeight="1">
      <c r="A379" s="39"/>
      <c r="B379" s="39"/>
      <c r="C379" s="306"/>
      <c r="D379" s="87"/>
      <c r="E379" s="87"/>
      <c r="F379" s="87"/>
      <c r="G379" s="87"/>
      <c r="H379" s="87"/>
      <c r="I379" s="87"/>
      <c r="J379" s="87"/>
      <c r="K379" s="87"/>
      <c r="L379" s="87"/>
      <c r="M379" s="87"/>
      <c r="N379" s="87"/>
      <c r="O379" s="87"/>
      <c r="P379" s="87"/>
      <c r="Q379" s="87"/>
      <c r="R379" s="13"/>
      <c r="S379" s="13"/>
      <c r="T379" s="13"/>
      <c r="U379" s="13"/>
      <c r="V379" s="13"/>
      <c r="W379" s="13"/>
      <c r="X379" s="13"/>
      <c r="Y379" s="13"/>
      <c r="Z379" s="13"/>
    </row>
    <row r="380" spans="1:26" ht="15.75" customHeight="1">
      <c r="A380" s="39"/>
      <c r="B380" s="39"/>
      <c r="C380" s="306"/>
      <c r="D380" s="87"/>
      <c r="E380" s="87"/>
      <c r="F380" s="87"/>
      <c r="G380" s="87"/>
      <c r="H380" s="87"/>
      <c r="I380" s="87"/>
      <c r="J380" s="87"/>
      <c r="K380" s="87"/>
      <c r="L380" s="87"/>
      <c r="M380" s="87"/>
      <c r="N380" s="87"/>
      <c r="O380" s="87"/>
      <c r="P380" s="87"/>
      <c r="Q380" s="87"/>
      <c r="R380" s="13"/>
      <c r="S380" s="13"/>
      <c r="T380" s="13"/>
      <c r="U380" s="13"/>
      <c r="V380" s="13"/>
      <c r="W380" s="13"/>
      <c r="X380" s="13"/>
      <c r="Y380" s="13"/>
      <c r="Z380" s="13"/>
    </row>
    <row r="381" spans="1:26" ht="15.75" customHeight="1">
      <c r="A381" s="39"/>
      <c r="B381" s="39"/>
      <c r="C381" s="306"/>
      <c r="D381" s="87"/>
      <c r="E381" s="87"/>
      <c r="F381" s="87"/>
      <c r="G381" s="87"/>
      <c r="H381" s="87"/>
      <c r="I381" s="87"/>
      <c r="J381" s="87"/>
      <c r="K381" s="87"/>
      <c r="L381" s="87"/>
      <c r="M381" s="87"/>
      <c r="N381" s="87"/>
      <c r="O381" s="87"/>
      <c r="P381" s="87"/>
      <c r="Q381" s="87"/>
      <c r="R381" s="13"/>
      <c r="S381" s="13"/>
      <c r="T381" s="13"/>
      <c r="U381" s="13"/>
      <c r="V381" s="13"/>
      <c r="W381" s="13"/>
      <c r="X381" s="13"/>
      <c r="Y381" s="13"/>
      <c r="Z381" s="13"/>
    </row>
    <row r="382" spans="1:26" ht="15.75" customHeight="1">
      <c r="A382" s="39"/>
      <c r="B382" s="39"/>
      <c r="C382" s="306"/>
      <c r="D382" s="87"/>
      <c r="E382" s="87"/>
      <c r="F382" s="87"/>
      <c r="G382" s="87"/>
      <c r="H382" s="87"/>
      <c r="I382" s="87"/>
      <c r="J382" s="87"/>
      <c r="K382" s="87"/>
      <c r="L382" s="87"/>
      <c r="M382" s="87"/>
      <c r="N382" s="87"/>
      <c r="O382" s="87"/>
      <c r="P382" s="87"/>
      <c r="Q382" s="87"/>
      <c r="R382" s="13"/>
      <c r="S382" s="13"/>
      <c r="T382" s="13"/>
      <c r="U382" s="13"/>
      <c r="V382" s="13"/>
      <c r="W382" s="13"/>
      <c r="X382" s="13"/>
      <c r="Y382" s="13"/>
      <c r="Z382" s="13"/>
    </row>
    <row r="383" spans="1:26" ht="15.75" customHeight="1">
      <c r="A383" s="39"/>
      <c r="B383" s="39"/>
      <c r="C383" s="306"/>
      <c r="D383" s="87"/>
      <c r="E383" s="87"/>
      <c r="F383" s="87"/>
      <c r="G383" s="87"/>
      <c r="H383" s="87"/>
      <c r="I383" s="87"/>
      <c r="J383" s="87"/>
      <c r="K383" s="87"/>
      <c r="L383" s="87"/>
      <c r="M383" s="87"/>
      <c r="N383" s="87"/>
      <c r="O383" s="87"/>
      <c r="P383" s="87"/>
      <c r="Q383" s="87"/>
      <c r="R383" s="13"/>
      <c r="S383" s="13"/>
      <c r="T383" s="13"/>
      <c r="U383" s="13"/>
      <c r="V383" s="13"/>
      <c r="W383" s="13"/>
      <c r="X383" s="13"/>
      <c r="Y383" s="13"/>
      <c r="Z383" s="13"/>
    </row>
    <row r="384" spans="1:26" ht="15.75" customHeight="1">
      <c r="A384" s="39"/>
      <c r="B384" s="39"/>
      <c r="C384" s="306"/>
      <c r="D384" s="87"/>
      <c r="E384" s="87"/>
      <c r="F384" s="87"/>
      <c r="G384" s="87"/>
      <c r="H384" s="87"/>
      <c r="I384" s="87"/>
      <c r="J384" s="87"/>
      <c r="K384" s="87"/>
      <c r="L384" s="87"/>
      <c r="M384" s="87"/>
      <c r="N384" s="87"/>
      <c r="O384" s="87"/>
      <c r="P384" s="87"/>
      <c r="Q384" s="87"/>
      <c r="R384" s="13"/>
      <c r="S384" s="13"/>
      <c r="T384" s="13"/>
      <c r="U384" s="13"/>
      <c r="V384" s="13"/>
      <c r="W384" s="13"/>
      <c r="X384" s="13"/>
      <c r="Y384" s="13"/>
      <c r="Z384" s="13"/>
    </row>
    <row r="385" spans="1:26" ht="15.75" customHeight="1">
      <c r="A385" s="39"/>
      <c r="B385" s="39"/>
      <c r="C385" s="306"/>
      <c r="D385" s="87"/>
      <c r="E385" s="87"/>
      <c r="F385" s="87"/>
      <c r="G385" s="87"/>
      <c r="H385" s="87"/>
      <c r="I385" s="87"/>
      <c r="J385" s="87"/>
      <c r="K385" s="87"/>
      <c r="L385" s="87"/>
      <c r="M385" s="87"/>
      <c r="N385" s="87"/>
      <c r="O385" s="87"/>
      <c r="P385" s="87"/>
      <c r="Q385" s="87"/>
      <c r="R385" s="13"/>
      <c r="S385" s="13"/>
      <c r="T385" s="13"/>
      <c r="U385" s="13"/>
      <c r="V385" s="13"/>
      <c r="W385" s="13"/>
      <c r="X385" s="13"/>
      <c r="Y385" s="13"/>
      <c r="Z385" s="13"/>
    </row>
    <row r="386" spans="1:26" ht="15.75" customHeight="1">
      <c r="A386" s="39"/>
      <c r="B386" s="39"/>
      <c r="C386" s="306"/>
      <c r="D386" s="87"/>
      <c r="E386" s="87"/>
      <c r="F386" s="87"/>
      <c r="G386" s="87"/>
      <c r="H386" s="87"/>
      <c r="I386" s="87"/>
      <c r="J386" s="87"/>
      <c r="K386" s="87"/>
      <c r="L386" s="87"/>
      <c r="M386" s="87"/>
      <c r="N386" s="87"/>
      <c r="O386" s="87"/>
      <c r="P386" s="87"/>
      <c r="Q386" s="87"/>
      <c r="R386" s="13"/>
      <c r="S386" s="13"/>
      <c r="T386" s="13"/>
      <c r="U386" s="13"/>
      <c r="V386" s="13"/>
      <c r="W386" s="13"/>
      <c r="X386" s="13"/>
      <c r="Y386" s="13"/>
      <c r="Z386" s="13"/>
    </row>
    <row r="387" spans="1:26" ht="15.75" customHeight="1">
      <c r="A387" s="39"/>
      <c r="B387" s="39"/>
      <c r="C387" s="306"/>
      <c r="D387" s="87"/>
      <c r="E387" s="87"/>
      <c r="F387" s="87"/>
      <c r="G387" s="87"/>
      <c r="H387" s="87"/>
      <c r="I387" s="87"/>
      <c r="J387" s="87"/>
      <c r="K387" s="87"/>
      <c r="L387" s="87"/>
      <c r="M387" s="87"/>
      <c r="N387" s="87"/>
      <c r="O387" s="87"/>
      <c r="P387" s="87"/>
      <c r="Q387" s="87"/>
      <c r="R387" s="13"/>
      <c r="S387" s="13"/>
      <c r="T387" s="13"/>
      <c r="U387" s="13"/>
      <c r="V387" s="13"/>
      <c r="W387" s="13"/>
      <c r="X387" s="13"/>
      <c r="Y387" s="13"/>
      <c r="Z387" s="13"/>
    </row>
    <row r="388" spans="1:26" ht="15.75" customHeight="1">
      <c r="A388" s="39"/>
      <c r="B388" s="39"/>
      <c r="C388" s="306"/>
      <c r="D388" s="87"/>
      <c r="E388" s="87"/>
      <c r="F388" s="87"/>
      <c r="G388" s="87"/>
      <c r="H388" s="87"/>
      <c r="I388" s="87"/>
      <c r="J388" s="87"/>
      <c r="K388" s="87"/>
      <c r="L388" s="87"/>
      <c r="M388" s="87"/>
      <c r="N388" s="87"/>
      <c r="O388" s="87"/>
      <c r="P388" s="87"/>
      <c r="Q388" s="87"/>
      <c r="R388" s="13"/>
      <c r="S388" s="13"/>
      <c r="T388" s="13"/>
      <c r="U388" s="13"/>
      <c r="V388" s="13"/>
      <c r="W388" s="13"/>
      <c r="X388" s="13"/>
      <c r="Y388" s="13"/>
      <c r="Z388" s="13"/>
    </row>
    <row r="389" spans="1:26" ht="15.75" customHeight="1">
      <c r="A389" s="39"/>
      <c r="B389" s="39"/>
      <c r="C389" s="306"/>
      <c r="D389" s="87"/>
      <c r="E389" s="87"/>
      <c r="F389" s="87"/>
      <c r="G389" s="87"/>
      <c r="H389" s="87"/>
      <c r="I389" s="87"/>
      <c r="J389" s="87"/>
      <c r="K389" s="87"/>
      <c r="L389" s="87"/>
      <c r="M389" s="87"/>
      <c r="N389" s="87"/>
      <c r="O389" s="87"/>
      <c r="P389" s="87"/>
      <c r="Q389" s="87"/>
      <c r="R389" s="13"/>
      <c r="S389" s="13"/>
      <c r="T389" s="13"/>
      <c r="U389" s="13"/>
      <c r="V389" s="13"/>
      <c r="W389" s="13"/>
      <c r="X389" s="13"/>
      <c r="Y389" s="13"/>
      <c r="Z389" s="13"/>
    </row>
    <row r="390" spans="1:26" ht="15.75" customHeight="1">
      <c r="A390" s="39"/>
      <c r="B390" s="39"/>
      <c r="C390" s="306"/>
      <c r="D390" s="87"/>
      <c r="E390" s="87"/>
      <c r="F390" s="87"/>
      <c r="G390" s="87"/>
      <c r="H390" s="87"/>
      <c r="I390" s="87"/>
      <c r="J390" s="87"/>
      <c r="K390" s="87"/>
      <c r="L390" s="87"/>
      <c r="M390" s="87"/>
      <c r="N390" s="87"/>
      <c r="O390" s="87"/>
      <c r="P390" s="87"/>
      <c r="Q390" s="87"/>
      <c r="R390" s="13"/>
      <c r="S390" s="13"/>
      <c r="T390" s="13"/>
      <c r="U390" s="13"/>
      <c r="V390" s="13"/>
      <c r="W390" s="13"/>
      <c r="X390" s="13"/>
      <c r="Y390" s="13"/>
      <c r="Z390" s="13"/>
    </row>
    <row r="391" spans="1:26" ht="15.75" customHeight="1">
      <c r="A391" s="39"/>
      <c r="B391" s="39"/>
      <c r="C391" s="306"/>
      <c r="D391" s="87"/>
      <c r="E391" s="87"/>
      <c r="F391" s="87"/>
      <c r="G391" s="87"/>
      <c r="H391" s="87"/>
      <c r="I391" s="87"/>
      <c r="J391" s="87"/>
      <c r="K391" s="87"/>
      <c r="L391" s="87"/>
      <c r="M391" s="87"/>
      <c r="N391" s="87"/>
      <c r="O391" s="87"/>
      <c r="P391" s="87"/>
      <c r="Q391" s="87"/>
      <c r="R391" s="13"/>
      <c r="S391" s="13"/>
      <c r="T391" s="13"/>
      <c r="U391" s="13"/>
      <c r="V391" s="13"/>
      <c r="W391" s="13"/>
      <c r="X391" s="13"/>
      <c r="Y391" s="13"/>
      <c r="Z391" s="13"/>
    </row>
    <row r="392" spans="1:26" ht="15.75" customHeight="1">
      <c r="A392" s="39"/>
      <c r="B392" s="39"/>
      <c r="C392" s="306"/>
      <c r="D392" s="87"/>
      <c r="E392" s="87"/>
      <c r="F392" s="87"/>
      <c r="G392" s="87"/>
      <c r="H392" s="87"/>
      <c r="I392" s="87"/>
      <c r="J392" s="87"/>
      <c r="K392" s="87"/>
      <c r="L392" s="87"/>
      <c r="M392" s="87"/>
      <c r="N392" s="87"/>
      <c r="O392" s="87"/>
      <c r="P392" s="87"/>
      <c r="Q392" s="87"/>
      <c r="R392" s="13"/>
      <c r="S392" s="13"/>
      <c r="T392" s="13"/>
      <c r="U392" s="13"/>
      <c r="V392" s="13"/>
      <c r="W392" s="13"/>
      <c r="X392" s="13"/>
      <c r="Y392" s="13"/>
      <c r="Z392" s="13"/>
    </row>
    <row r="393" spans="1:26" ht="15.75" customHeight="1">
      <c r="A393" s="39"/>
      <c r="B393" s="39"/>
      <c r="C393" s="306"/>
      <c r="D393" s="87"/>
      <c r="E393" s="87"/>
      <c r="F393" s="87"/>
      <c r="G393" s="87"/>
      <c r="H393" s="87"/>
      <c r="I393" s="87"/>
      <c r="J393" s="87"/>
      <c r="K393" s="87"/>
      <c r="L393" s="87"/>
      <c r="M393" s="87"/>
      <c r="N393" s="87"/>
      <c r="O393" s="87"/>
      <c r="P393" s="87"/>
      <c r="Q393" s="87"/>
      <c r="R393" s="13"/>
      <c r="S393" s="13"/>
      <c r="T393" s="13"/>
      <c r="U393" s="13"/>
      <c r="V393" s="13"/>
      <c r="W393" s="13"/>
      <c r="X393" s="13"/>
      <c r="Y393" s="13"/>
      <c r="Z393" s="13"/>
    </row>
    <row r="394" spans="1:26" ht="15.75" customHeight="1">
      <c r="A394" s="39"/>
      <c r="B394" s="39"/>
      <c r="C394" s="306"/>
      <c r="D394" s="87"/>
      <c r="E394" s="87"/>
      <c r="F394" s="87"/>
      <c r="G394" s="87"/>
      <c r="H394" s="87"/>
      <c r="I394" s="87"/>
      <c r="J394" s="87"/>
      <c r="K394" s="87"/>
      <c r="L394" s="87"/>
      <c r="M394" s="87"/>
      <c r="N394" s="87"/>
      <c r="O394" s="87"/>
      <c r="P394" s="87"/>
      <c r="Q394" s="87"/>
      <c r="R394" s="13"/>
      <c r="S394" s="13"/>
      <c r="T394" s="13"/>
      <c r="U394" s="13"/>
      <c r="V394" s="13"/>
      <c r="W394" s="13"/>
      <c r="X394" s="13"/>
      <c r="Y394" s="13"/>
      <c r="Z394" s="13"/>
    </row>
    <row r="395" spans="1:26" ht="15.75" customHeight="1">
      <c r="A395" s="39"/>
      <c r="B395" s="39"/>
      <c r="C395" s="306"/>
      <c r="D395" s="87"/>
      <c r="E395" s="87"/>
      <c r="F395" s="87"/>
      <c r="G395" s="87"/>
      <c r="H395" s="87"/>
      <c r="I395" s="87"/>
      <c r="J395" s="87"/>
      <c r="K395" s="87"/>
      <c r="L395" s="87"/>
      <c r="M395" s="87"/>
      <c r="N395" s="87"/>
      <c r="O395" s="87"/>
      <c r="P395" s="87"/>
      <c r="Q395" s="87"/>
      <c r="R395" s="13"/>
      <c r="S395" s="13"/>
      <c r="T395" s="13"/>
      <c r="U395" s="13"/>
      <c r="V395" s="13"/>
      <c r="W395" s="13"/>
      <c r="X395" s="13"/>
      <c r="Y395" s="13"/>
      <c r="Z395" s="13"/>
    </row>
    <row r="396" spans="1:26" ht="15.75" customHeight="1">
      <c r="A396" s="39"/>
      <c r="B396" s="39"/>
      <c r="C396" s="306"/>
      <c r="D396" s="87"/>
      <c r="E396" s="87"/>
      <c r="F396" s="87"/>
      <c r="G396" s="87"/>
      <c r="H396" s="87"/>
      <c r="I396" s="87"/>
      <c r="J396" s="87"/>
      <c r="K396" s="87"/>
      <c r="L396" s="87"/>
      <c r="M396" s="87"/>
      <c r="N396" s="87"/>
      <c r="O396" s="87"/>
      <c r="P396" s="87"/>
      <c r="Q396" s="87"/>
      <c r="R396" s="13"/>
      <c r="S396" s="13"/>
      <c r="T396" s="13"/>
      <c r="U396" s="13"/>
      <c r="V396" s="13"/>
      <c r="W396" s="13"/>
      <c r="X396" s="13"/>
      <c r="Y396" s="13"/>
      <c r="Z396" s="13"/>
    </row>
    <row r="397" spans="1:26" ht="15.75" customHeight="1">
      <c r="A397" s="39"/>
      <c r="B397" s="39"/>
      <c r="C397" s="306"/>
      <c r="D397" s="87"/>
      <c r="E397" s="87"/>
      <c r="F397" s="87"/>
      <c r="G397" s="87"/>
      <c r="H397" s="87"/>
      <c r="I397" s="87"/>
      <c r="J397" s="87"/>
      <c r="K397" s="87"/>
      <c r="L397" s="87"/>
      <c r="M397" s="87"/>
      <c r="N397" s="87"/>
      <c r="O397" s="87"/>
      <c r="P397" s="87"/>
      <c r="Q397" s="87"/>
      <c r="R397" s="13"/>
      <c r="S397" s="13"/>
      <c r="T397" s="13"/>
      <c r="U397" s="13"/>
      <c r="V397" s="13"/>
      <c r="W397" s="13"/>
      <c r="X397" s="13"/>
      <c r="Y397" s="13"/>
      <c r="Z397" s="13"/>
    </row>
    <row r="398" spans="1:26" ht="15.75" customHeight="1">
      <c r="A398" s="39"/>
      <c r="B398" s="39"/>
      <c r="C398" s="306"/>
      <c r="D398" s="87"/>
      <c r="E398" s="87"/>
      <c r="F398" s="87"/>
      <c r="G398" s="87"/>
      <c r="H398" s="87"/>
      <c r="I398" s="87"/>
      <c r="J398" s="87"/>
      <c r="K398" s="87"/>
      <c r="L398" s="87"/>
      <c r="M398" s="87"/>
      <c r="N398" s="87"/>
      <c r="O398" s="87"/>
      <c r="P398" s="87"/>
      <c r="Q398" s="87"/>
      <c r="R398" s="13"/>
      <c r="S398" s="13"/>
      <c r="T398" s="13"/>
      <c r="U398" s="13"/>
      <c r="V398" s="13"/>
      <c r="W398" s="13"/>
      <c r="X398" s="13"/>
      <c r="Y398" s="13"/>
      <c r="Z398" s="13"/>
    </row>
    <row r="399" spans="1:26" ht="15.75" customHeight="1">
      <c r="A399" s="39"/>
      <c r="B399" s="39"/>
      <c r="C399" s="306"/>
      <c r="D399" s="87"/>
      <c r="E399" s="87"/>
      <c r="F399" s="87"/>
      <c r="G399" s="87"/>
      <c r="H399" s="87"/>
      <c r="I399" s="87"/>
      <c r="J399" s="87"/>
      <c r="K399" s="87"/>
      <c r="L399" s="87"/>
      <c r="M399" s="87"/>
      <c r="N399" s="87"/>
      <c r="O399" s="87"/>
      <c r="P399" s="87"/>
      <c r="Q399" s="87"/>
      <c r="R399" s="13"/>
      <c r="S399" s="13"/>
      <c r="T399" s="13"/>
      <c r="U399" s="13"/>
      <c r="V399" s="13"/>
      <c r="W399" s="13"/>
      <c r="X399" s="13"/>
      <c r="Y399" s="13"/>
      <c r="Z399" s="13"/>
    </row>
    <row r="400" spans="1:26" ht="15.75" customHeight="1">
      <c r="A400" s="39"/>
      <c r="B400" s="39"/>
      <c r="C400" s="306"/>
      <c r="D400" s="87"/>
      <c r="E400" s="87"/>
      <c r="F400" s="87"/>
      <c r="G400" s="87"/>
      <c r="H400" s="87"/>
      <c r="I400" s="87"/>
      <c r="J400" s="87"/>
      <c r="K400" s="87"/>
      <c r="L400" s="87"/>
      <c r="M400" s="87"/>
      <c r="N400" s="87"/>
      <c r="O400" s="87"/>
      <c r="P400" s="87"/>
      <c r="Q400" s="87"/>
      <c r="R400" s="13"/>
      <c r="S400" s="13"/>
      <c r="T400" s="13"/>
      <c r="U400" s="13"/>
      <c r="V400" s="13"/>
      <c r="W400" s="13"/>
      <c r="X400" s="13"/>
      <c r="Y400" s="13"/>
      <c r="Z400" s="13"/>
    </row>
    <row r="401" spans="1:26" ht="15.75" customHeight="1">
      <c r="A401" s="39"/>
      <c r="B401" s="39"/>
      <c r="C401" s="306"/>
      <c r="D401" s="87"/>
      <c r="E401" s="87"/>
      <c r="F401" s="87"/>
      <c r="G401" s="87"/>
      <c r="H401" s="87"/>
      <c r="I401" s="87"/>
      <c r="J401" s="87"/>
      <c r="K401" s="87"/>
      <c r="L401" s="87"/>
      <c r="M401" s="87"/>
      <c r="N401" s="87"/>
      <c r="O401" s="87"/>
      <c r="P401" s="87"/>
      <c r="Q401" s="87"/>
      <c r="R401" s="13"/>
      <c r="S401" s="13"/>
      <c r="T401" s="13"/>
      <c r="U401" s="13"/>
      <c r="V401" s="13"/>
      <c r="W401" s="13"/>
      <c r="X401" s="13"/>
      <c r="Y401" s="13"/>
      <c r="Z401" s="13"/>
    </row>
    <row r="402" spans="1:26" ht="15.75" customHeight="1">
      <c r="A402" s="39"/>
      <c r="B402" s="39"/>
      <c r="C402" s="306"/>
      <c r="D402" s="87"/>
      <c r="E402" s="87"/>
      <c r="F402" s="87"/>
      <c r="G402" s="87"/>
      <c r="H402" s="87"/>
      <c r="I402" s="87"/>
      <c r="J402" s="87"/>
      <c r="K402" s="87"/>
      <c r="L402" s="87"/>
      <c r="M402" s="87"/>
      <c r="N402" s="87"/>
      <c r="O402" s="87"/>
      <c r="P402" s="87"/>
      <c r="Q402" s="87"/>
      <c r="R402" s="13"/>
      <c r="S402" s="13"/>
      <c r="T402" s="13"/>
      <c r="U402" s="13"/>
      <c r="V402" s="13"/>
      <c r="W402" s="13"/>
      <c r="X402" s="13"/>
      <c r="Y402" s="13"/>
      <c r="Z402" s="13"/>
    </row>
    <row r="403" spans="1:26" ht="15.75" customHeight="1">
      <c r="A403" s="39"/>
      <c r="B403" s="39"/>
      <c r="C403" s="306"/>
      <c r="D403" s="87"/>
      <c r="E403" s="87"/>
      <c r="F403" s="87"/>
      <c r="G403" s="87"/>
      <c r="H403" s="87"/>
      <c r="I403" s="87"/>
      <c r="J403" s="87"/>
      <c r="K403" s="87"/>
      <c r="L403" s="87"/>
      <c r="M403" s="87"/>
      <c r="N403" s="87"/>
      <c r="O403" s="87"/>
      <c r="P403" s="87"/>
      <c r="Q403" s="87"/>
      <c r="R403" s="13"/>
      <c r="S403" s="13"/>
      <c r="T403" s="13"/>
      <c r="U403" s="13"/>
      <c r="V403" s="13"/>
      <c r="W403" s="13"/>
      <c r="X403" s="13"/>
      <c r="Y403" s="13"/>
      <c r="Z403" s="13"/>
    </row>
    <row r="404" spans="1:26" ht="15.75" customHeight="1">
      <c r="A404" s="39"/>
      <c r="B404" s="39"/>
      <c r="C404" s="306"/>
      <c r="D404" s="87"/>
      <c r="E404" s="87"/>
      <c r="F404" s="87"/>
      <c r="G404" s="87"/>
      <c r="H404" s="87"/>
      <c r="I404" s="87"/>
      <c r="J404" s="87"/>
      <c r="K404" s="87"/>
      <c r="L404" s="87"/>
      <c r="M404" s="87"/>
      <c r="N404" s="87"/>
      <c r="O404" s="87"/>
      <c r="P404" s="87"/>
      <c r="Q404" s="87"/>
      <c r="R404" s="13"/>
      <c r="S404" s="13"/>
      <c r="T404" s="13"/>
      <c r="U404" s="13"/>
      <c r="V404" s="13"/>
      <c r="W404" s="13"/>
      <c r="X404" s="13"/>
      <c r="Y404" s="13"/>
      <c r="Z404" s="13"/>
    </row>
    <row r="405" spans="1:26" ht="15.75" customHeight="1">
      <c r="A405" s="39"/>
      <c r="B405" s="39"/>
      <c r="C405" s="306"/>
      <c r="D405" s="87"/>
      <c r="E405" s="87"/>
      <c r="F405" s="87"/>
      <c r="G405" s="87"/>
      <c r="H405" s="87"/>
      <c r="I405" s="87"/>
      <c r="J405" s="87"/>
      <c r="K405" s="87"/>
      <c r="L405" s="87"/>
      <c r="M405" s="87"/>
      <c r="N405" s="87"/>
      <c r="O405" s="87"/>
      <c r="P405" s="87"/>
      <c r="Q405" s="87"/>
      <c r="R405" s="13"/>
      <c r="S405" s="13"/>
      <c r="T405" s="13"/>
      <c r="U405" s="13"/>
      <c r="V405" s="13"/>
      <c r="W405" s="13"/>
      <c r="X405" s="13"/>
      <c r="Y405" s="13"/>
      <c r="Z405" s="13"/>
    </row>
    <row r="406" spans="1:26" ht="15.75" customHeight="1">
      <c r="A406" s="39"/>
      <c r="B406" s="39"/>
      <c r="C406" s="306"/>
      <c r="D406" s="87"/>
      <c r="E406" s="87"/>
      <c r="F406" s="87"/>
      <c r="G406" s="87"/>
      <c r="H406" s="87"/>
      <c r="I406" s="87"/>
      <c r="J406" s="87"/>
      <c r="K406" s="87"/>
      <c r="L406" s="87"/>
      <c r="M406" s="87"/>
      <c r="N406" s="87"/>
      <c r="O406" s="87"/>
      <c r="P406" s="87"/>
      <c r="Q406" s="87"/>
      <c r="R406" s="13"/>
      <c r="S406" s="13"/>
      <c r="T406" s="13"/>
      <c r="U406" s="13"/>
      <c r="V406" s="13"/>
      <c r="W406" s="13"/>
      <c r="X406" s="13"/>
      <c r="Y406" s="13"/>
      <c r="Z406" s="13"/>
    </row>
    <row r="407" spans="1:26" ht="15.75" customHeight="1">
      <c r="A407" s="39"/>
      <c r="B407" s="39"/>
      <c r="C407" s="306"/>
      <c r="D407" s="87"/>
      <c r="E407" s="87"/>
      <c r="F407" s="87"/>
      <c r="G407" s="87"/>
      <c r="H407" s="87"/>
      <c r="I407" s="87"/>
      <c r="J407" s="87"/>
      <c r="K407" s="87"/>
      <c r="L407" s="87"/>
      <c r="M407" s="87"/>
      <c r="N407" s="87"/>
      <c r="O407" s="87"/>
      <c r="P407" s="87"/>
      <c r="Q407" s="87"/>
      <c r="R407" s="13"/>
      <c r="S407" s="13"/>
      <c r="T407" s="13"/>
      <c r="U407" s="13"/>
      <c r="V407" s="13"/>
      <c r="W407" s="13"/>
      <c r="X407" s="13"/>
      <c r="Y407" s="13"/>
      <c r="Z407" s="13"/>
    </row>
    <row r="408" spans="1:26" ht="15.75" customHeight="1">
      <c r="A408" s="39"/>
      <c r="B408" s="39"/>
      <c r="C408" s="306"/>
      <c r="D408" s="87"/>
      <c r="E408" s="87"/>
      <c r="F408" s="87"/>
      <c r="G408" s="87"/>
      <c r="H408" s="87"/>
      <c r="I408" s="87"/>
      <c r="J408" s="87"/>
      <c r="K408" s="87"/>
      <c r="L408" s="87"/>
      <c r="M408" s="87"/>
      <c r="N408" s="87"/>
      <c r="O408" s="87"/>
      <c r="P408" s="87"/>
      <c r="Q408" s="87"/>
      <c r="R408" s="13"/>
      <c r="S408" s="13"/>
      <c r="T408" s="13"/>
      <c r="U408" s="13"/>
      <c r="V408" s="13"/>
      <c r="W408" s="13"/>
      <c r="X408" s="13"/>
      <c r="Y408" s="13"/>
      <c r="Z408" s="13"/>
    </row>
    <row r="409" spans="1:26" ht="15.75" customHeight="1">
      <c r="A409" s="39"/>
      <c r="B409" s="39"/>
      <c r="C409" s="306"/>
      <c r="D409" s="87"/>
      <c r="E409" s="87"/>
      <c r="F409" s="87"/>
      <c r="G409" s="87"/>
      <c r="H409" s="87"/>
      <c r="I409" s="87"/>
      <c r="J409" s="87"/>
      <c r="K409" s="87"/>
      <c r="L409" s="87"/>
      <c r="M409" s="87"/>
      <c r="N409" s="87"/>
      <c r="O409" s="87"/>
      <c r="P409" s="87"/>
      <c r="Q409" s="87"/>
      <c r="R409" s="13"/>
      <c r="S409" s="13"/>
      <c r="T409" s="13"/>
      <c r="U409" s="13"/>
      <c r="V409" s="13"/>
      <c r="W409" s="13"/>
      <c r="X409" s="13"/>
      <c r="Y409" s="13"/>
      <c r="Z409" s="13"/>
    </row>
    <row r="410" spans="1:26" ht="15.75" customHeight="1">
      <c r="A410" s="39"/>
      <c r="B410" s="39"/>
      <c r="C410" s="306"/>
      <c r="D410" s="87"/>
      <c r="E410" s="87"/>
      <c r="F410" s="87"/>
      <c r="G410" s="87"/>
      <c r="H410" s="87"/>
      <c r="I410" s="87"/>
      <c r="J410" s="87"/>
      <c r="K410" s="87"/>
      <c r="L410" s="87"/>
      <c r="M410" s="87"/>
      <c r="N410" s="87"/>
      <c r="O410" s="87"/>
      <c r="P410" s="87"/>
      <c r="Q410" s="87"/>
      <c r="R410" s="13"/>
      <c r="S410" s="13"/>
      <c r="T410" s="13"/>
      <c r="U410" s="13"/>
      <c r="V410" s="13"/>
      <c r="W410" s="13"/>
      <c r="X410" s="13"/>
      <c r="Y410" s="13"/>
      <c r="Z410" s="13"/>
    </row>
    <row r="411" spans="1:26" ht="15.75" customHeight="1">
      <c r="A411" s="39"/>
      <c r="B411" s="39"/>
      <c r="C411" s="306"/>
      <c r="D411" s="87"/>
      <c r="E411" s="87"/>
      <c r="F411" s="87"/>
      <c r="G411" s="87"/>
      <c r="H411" s="87"/>
      <c r="I411" s="87"/>
      <c r="J411" s="87"/>
      <c r="K411" s="87"/>
      <c r="L411" s="87"/>
      <c r="M411" s="87"/>
      <c r="N411" s="87"/>
      <c r="O411" s="87"/>
      <c r="P411" s="87"/>
      <c r="Q411" s="87"/>
      <c r="R411" s="13"/>
      <c r="S411" s="13"/>
      <c r="T411" s="13"/>
      <c r="U411" s="13"/>
      <c r="V411" s="13"/>
      <c r="W411" s="13"/>
      <c r="X411" s="13"/>
      <c r="Y411" s="13"/>
      <c r="Z411" s="13"/>
    </row>
    <row r="412" spans="1:26" ht="15.75" customHeight="1">
      <c r="A412" s="39"/>
      <c r="B412" s="39"/>
      <c r="C412" s="306"/>
      <c r="D412" s="87"/>
      <c r="E412" s="87"/>
      <c r="F412" s="87"/>
      <c r="G412" s="87"/>
      <c r="H412" s="87"/>
      <c r="I412" s="87"/>
      <c r="J412" s="87"/>
      <c r="K412" s="87"/>
      <c r="L412" s="87"/>
      <c r="M412" s="87"/>
      <c r="N412" s="87"/>
      <c r="O412" s="87"/>
      <c r="P412" s="87"/>
      <c r="Q412" s="87"/>
      <c r="R412" s="13"/>
      <c r="S412" s="13"/>
      <c r="T412" s="13"/>
      <c r="U412" s="13"/>
      <c r="V412" s="13"/>
      <c r="W412" s="13"/>
      <c r="X412" s="13"/>
      <c r="Y412" s="13"/>
      <c r="Z412" s="13"/>
    </row>
    <row r="413" spans="1:26" ht="15.75" customHeight="1">
      <c r="A413" s="39"/>
      <c r="B413" s="39"/>
      <c r="C413" s="306"/>
      <c r="D413" s="87"/>
      <c r="E413" s="87"/>
      <c r="F413" s="87"/>
      <c r="G413" s="87"/>
      <c r="H413" s="87"/>
      <c r="I413" s="87"/>
      <c r="J413" s="87"/>
      <c r="K413" s="87"/>
      <c r="L413" s="87"/>
      <c r="M413" s="87"/>
      <c r="N413" s="87"/>
      <c r="O413" s="87"/>
      <c r="P413" s="87"/>
      <c r="Q413" s="87"/>
      <c r="R413" s="13"/>
      <c r="S413" s="13"/>
      <c r="T413" s="13"/>
      <c r="U413" s="13"/>
      <c r="V413" s="13"/>
      <c r="W413" s="13"/>
      <c r="X413" s="13"/>
      <c r="Y413" s="13"/>
      <c r="Z413" s="13"/>
    </row>
    <row r="414" spans="1:26" ht="15.75" customHeight="1">
      <c r="A414" s="39"/>
      <c r="B414" s="39"/>
      <c r="C414" s="306"/>
      <c r="D414" s="87"/>
      <c r="E414" s="87"/>
      <c r="F414" s="87"/>
      <c r="G414" s="87"/>
      <c r="H414" s="87"/>
      <c r="I414" s="87"/>
      <c r="J414" s="87"/>
      <c r="K414" s="87"/>
      <c r="L414" s="87"/>
      <c r="M414" s="87"/>
      <c r="N414" s="87"/>
      <c r="O414" s="87"/>
      <c r="P414" s="87"/>
      <c r="Q414" s="87"/>
      <c r="R414" s="13"/>
      <c r="S414" s="13"/>
      <c r="T414" s="13"/>
      <c r="U414" s="13"/>
      <c r="V414" s="13"/>
      <c r="W414" s="13"/>
      <c r="X414" s="13"/>
      <c r="Y414" s="13"/>
      <c r="Z414" s="13"/>
    </row>
    <row r="415" spans="1:26" ht="15.75" customHeight="1">
      <c r="A415" s="39"/>
      <c r="B415" s="39"/>
      <c r="C415" s="306"/>
      <c r="D415" s="87"/>
      <c r="E415" s="87"/>
      <c r="F415" s="87"/>
      <c r="G415" s="87"/>
      <c r="H415" s="87"/>
      <c r="I415" s="87"/>
      <c r="J415" s="87"/>
      <c r="K415" s="87"/>
      <c r="L415" s="87"/>
      <c r="M415" s="87"/>
      <c r="N415" s="87"/>
      <c r="O415" s="87"/>
      <c r="P415" s="87"/>
      <c r="Q415" s="87"/>
      <c r="R415" s="13"/>
      <c r="S415" s="13"/>
      <c r="T415" s="13"/>
      <c r="U415" s="13"/>
      <c r="V415" s="13"/>
      <c r="W415" s="13"/>
      <c r="X415" s="13"/>
      <c r="Y415" s="13"/>
      <c r="Z415" s="13"/>
    </row>
    <row r="416" spans="1:26" ht="15.75" customHeight="1">
      <c r="A416" s="39"/>
      <c r="B416" s="39"/>
      <c r="C416" s="306"/>
      <c r="D416" s="87"/>
      <c r="E416" s="87"/>
      <c r="F416" s="87"/>
      <c r="G416" s="87"/>
      <c r="H416" s="87"/>
      <c r="I416" s="87"/>
      <c r="J416" s="87"/>
      <c r="K416" s="87"/>
      <c r="L416" s="87"/>
      <c r="M416" s="87"/>
      <c r="N416" s="87"/>
      <c r="O416" s="87"/>
      <c r="P416" s="87"/>
      <c r="Q416" s="87"/>
      <c r="R416" s="13"/>
      <c r="S416" s="13"/>
      <c r="T416" s="13"/>
      <c r="U416" s="13"/>
      <c r="V416" s="13"/>
      <c r="W416" s="13"/>
      <c r="X416" s="13"/>
      <c r="Y416" s="13"/>
      <c r="Z416" s="13"/>
    </row>
    <row r="417" spans="1:26" ht="15.75" customHeight="1">
      <c r="A417" s="39"/>
      <c r="B417" s="39"/>
      <c r="C417" s="306"/>
      <c r="D417" s="87"/>
      <c r="E417" s="87"/>
      <c r="F417" s="87"/>
      <c r="G417" s="87"/>
      <c r="H417" s="87"/>
      <c r="I417" s="87"/>
      <c r="J417" s="87"/>
      <c r="K417" s="87"/>
      <c r="L417" s="87"/>
      <c r="M417" s="87"/>
      <c r="N417" s="87"/>
      <c r="O417" s="87"/>
      <c r="P417" s="87"/>
      <c r="Q417" s="87"/>
      <c r="R417" s="13"/>
      <c r="S417" s="13"/>
      <c r="T417" s="13"/>
      <c r="U417" s="13"/>
      <c r="V417" s="13"/>
      <c r="W417" s="13"/>
      <c r="X417" s="13"/>
      <c r="Y417" s="13"/>
      <c r="Z417" s="13"/>
    </row>
    <row r="418" spans="1:26" ht="15.75" customHeight="1">
      <c r="A418" s="39"/>
      <c r="B418" s="39"/>
      <c r="C418" s="306"/>
      <c r="D418" s="87"/>
      <c r="E418" s="87"/>
      <c r="F418" s="87"/>
      <c r="G418" s="87"/>
      <c r="H418" s="87"/>
      <c r="I418" s="87"/>
      <c r="J418" s="87"/>
      <c r="K418" s="87"/>
      <c r="L418" s="87"/>
      <c r="M418" s="87"/>
      <c r="N418" s="87"/>
      <c r="O418" s="87"/>
      <c r="P418" s="87"/>
      <c r="Q418" s="87"/>
      <c r="R418" s="13"/>
      <c r="S418" s="13"/>
      <c r="T418" s="13"/>
      <c r="U418" s="13"/>
      <c r="V418" s="13"/>
      <c r="W418" s="13"/>
      <c r="X418" s="13"/>
      <c r="Y418" s="13"/>
      <c r="Z418" s="13"/>
    </row>
    <row r="419" spans="1:26" ht="15.75" customHeight="1">
      <c r="A419" s="39"/>
      <c r="B419" s="39"/>
      <c r="C419" s="306"/>
      <c r="D419" s="87"/>
      <c r="E419" s="87"/>
      <c r="F419" s="87"/>
      <c r="G419" s="87"/>
      <c r="H419" s="87"/>
      <c r="I419" s="87"/>
      <c r="J419" s="87"/>
      <c r="K419" s="87"/>
      <c r="L419" s="87"/>
      <c r="M419" s="87"/>
      <c r="N419" s="87"/>
      <c r="O419" s="87"/>
      <c r="P419" s="87"/>
      <c r="Q419" s="87"/>
      <c r="R419" s="13"/>
      <c r="S419" s="13"/>
      <c r="T419" s="13"/>
      <c r="U419" s="13"/>
      <c r="V419" s="13"/>
      <c r="W419" s="13"/>
      <c r="X419" s="13"/>
      <c r="Y419" s="13"/>
      <c r="Z419" s="13"/>
    </row>
    <row r="420" spans="1:26" ht="15.75" customHeight="1">
      <c r="A420" s="39"/>
      <c r="B420" s="39"/>
      <c r="C420" s="306"/>
      <c r="D420" s="87"/>
      <c r="E420" s="87"/>
      <c r="F420" s="87"/>
      <c r="G420" s="87"/>
      <c r="H420" s="87"/>
      <c r="I420" s="87"/>
      <c r="J420" s="87"/>
      <c r="K420" s="87"/>
      <c r="L420" s="87"/>
      <c r="M420" s="87"/>
      <c r="N420" s="87"/>
      <c r="O420" s="87"/>
      <c r="P420" s="87"/>
      <c r="Q420" s="87"/>
      <c r="R420" s="13"/>
      <c r="S420" s="13"/>
      <c r="T420" s="13"/>
      <c r="U420" s="13"/>
      <c r="V420" s="13"/>
      <c r="W420" s="13"/>
      <c r="X420" s="13"/>
      <c r="Y420" s="13"/>
      <c r="Z420" s="13"/>
    </row>
    <row r="421" spans="1:26" ht="15.75" customHeight="1">
      <c r="A421" s="39"/>
      <c r="B421" s="39"/>
      <c r="C421" s="306"/>
      <c r="D421" s="87"/>
      <c r="E421" s="87"/>
      <c r="F421" s="87"/>
      <c r="G421" s="87"/>
      <c r="H421" s="87"/>
      <c r="I421" s="87"/>
      <c r="J421" s="87"/>
      <c r="K421" s="87"/>
      <c r="L421" s="87"/>
      <c r="M421" s="87"/>
      <c r="N421" s="87"/>
      <c r="O421" s="87"/>
      <c r="P421" s="87"/>
      <c r="Q421" s="87"/>
      <c r="R421" s="13"/>
      <c r="S421" s="13"/>
      <c r="T421" s="13"/>
      <c r="U421" s="13"/>
      <c r="V421" s="13"/>
      <c r="W421" s="13"/>
      <c r="X421" s="13"/>
      <c r="Y421" s="13"/>
      <c r="Z421" s="13"/>
    </row>
    <row r="422" spans="1:26" ht="15.75" customHeight="1">
      <c r="A422" s="39"/>
      <c r="B422" s="39"/>
      <c r="C422" s="306"/>
      <c r="D422" s="87"/>
      <c r="E422" s="87"/>
      <c r="F422" s="87"/>
      <c r="G422" s="87"/>
      <c r="H422" s="87"/>
      <c r="I422" s="87"/>
      <c r="J422" s="87"/>
      <c r="K422" s="87"/>
      <c r="L422" s="87"/>
      <c r="M422" s="87"/>
      <c r="N422" s="87"/>
      <c r="O422" s="87"/>
      <c r="P422" s="87"/>
      <c r="Q422" s="87"/>
      <c r="R422" s="13"/>
      <c r="S422" s="13"/>
      <c r="T422" s="13"/>
      <c r="U422" s="13"/>
      <c r="V422" s="13"/>
      <c r="W422" s="13"/>
      <c r="X422" s="13"/>
      <c r="Y422" s="13"/>
      <c r="Z422" s="13"/>
    </row>
    <row r="423" spans="1:26" ht="15.75" customHeight="1">
      <c r="A423" s="39"/>
      <c r="B423" s="39"/>
      <c r="C423" s="306"/>
      <c r="D423" s="87"/>
      <c r="E423" s="87"/>
      <c r="F423" s="87"/>
      <c r="G423" s="87"/>
      <c r="H423" s="87"/>
      <c r="I423" s="87"/>
      <c r="J423" s="87"/>
      <c r="K423" s="87"/>
      <c r="L423" s="87"/>
      <c r="M423" s="87"/>
      <c r="N423" s="87"/>
      <c r="O423" s="87"/>
      <c r="P423" s="87"/>
      <c r="Q423" s="87"/>
      <c r="R423" s="13"/>
      <c r="S423" s="13"/>
      <c r="T423" s="13"/>
      <c r="U423" s="13"/>
      <c r="V423" s="13"/>
      <c r="W423" s="13"/>
      <c r="X423" s="13"/>
      <c r="Y423" s="13"/>
      <c r="Z423" s="13"/>
    </row>
    <row r="424" spans="1:26" ht="15.75" customHeight="1">
      <c r="A424" s="39"/>
      <c r="B424" s="39"/>
      <c r="C424" s="306"/>
      <c r="D424" s="87"/>
      <c r="E424" s="87"/>
      <c r="F424" s="87"/>
      <c r="G424" s="87"/>
      <c r="H424" s="87"/>
      <c r="I424" s="87"/>
      <c r="J424" s="87"/>
      <c r="K424" s="87"/>
      <c r="L424" s="87"/>
      <c r="M424" s="87"/>
      <c r="N424" s="87"/>
      <c r="O424" s="87"/>
      <c r="P424" s="87"/>
      <c r="Q424" s="87"/>
      <c r="R424" s="13"/>
      <c r="S424" s="13"/>
      <c r="T424" s="13"/>
      <c r="U424" s="13"/>
      <c r="V424" s="13"/>
      <c r="W424" s="13"/>
      <c r="X424" s="13"/>
      <c r="Y424" s="13"/>
      <c r="Z424" s="13"/>
    </row>
    <row r="425" spans="1:26" ht="15.75" customHeight="1">
      <c r="A425" s="39"/>
      <c r="B425" s="39"/>
      <c r="C425" s="306"/>
      <c r="D425" s="87"/>
      <c r="E425" s="87"/>
      <c r="F425" s="87"/>
      <c r="G425" s="87"/>
      <c r="H425" s="87"/>
      <c r="I425" s="87"/>
      <c r="J425" s="87"/>
      <c r="K425" s="87"/>
      <c r="L425" s="87"/>
      <c r="M425" s="87"/>
      <c r="N425" s="87"/>
      <c r="O425" s="87"/>
      <c r="P425" s="87"/>
      <c r="Q425" s="87"/>
      <c r="R425" s="13"/>
      <c r="S425" s="13"/>
      <c r="T425" s="13"/>
      <c r="U425" s="13"/>
      <c r="V425" s="13"/>
      <c r="W425" s="13"/>
      <c r="X425" s="13"/>
      <c r="Y425" s="13"/>
      <c r="Z425" s="13"/>
    </row>
    <row r="426" spans="1:26" ht="15.75" customHeight="1">
      <c r="A426" s="39"/>
      <c r="B426" s="39"/>
      <c r="C426" s="306"/>
      <c r="D426" s="87"/>
      <c r="E426" s="87"/>
      <c r="F426" s="87"/>
      <c r="G426" s="87"/>
      <c r="H426" s="87"/>
      <c r="I426" s="87"/>
      <c r="J426" s="87"/>
      <c r="K426" s="87"/>
      <c r="L426" s="87"/>
      <c r="M426" s="87"/>
      <c r="N426" s="87"/>
      <c r="O426" s="87"/>
      <c r="P426" s="87"/>
      <c r="Q426" s="87"/>
      <c r="R426" s="13"/>
      <c r="S426" s="13"/>
      <c r="T426" s="13"/>
      <c r="U426" s="13"/>
      <c r="V426" s="13"/>
      <c r="W426" s="13"/>
      <c r="X426" s="13"/>
      <c r="Y426" s="13"/>
      <c r="Z426" s="13"/>
    </row>
    <row r="427" spans="1:26" ht="15.75" customHeight="1">
      <c r="A427" s="39"/>
      <c r="B427" s="39"/>
      <c r="C427" s="306"/>
      <c r="D427" s="87"/>
      <c r="E427" s="87"/>
      <c r="F427" s="87"/>
      <c r="G427" s="87"/>
      <c r="H427" s="87"/>
      <c r="I427" s="87"/>
      <c r="J427" s="87"/>
      <c r="K427" s="87"/>
      <c r="L427" s="87"/>
      <c r="M427" s="87"/>
      <c r="N427" s="87"/>
      <c r="O427" s="87"/>
      <c r="P427" s="87"/>
      <c r="Q427" s="87"/>
      <c r="R427" s="13"/>
      <c r="S427" s="13"/>
      <c r="T427" s="13"/>
      <c r="U427" s="13"/>
      <c r="V427" s="13"/>
      <c r="W427" s="13"/>
      <c r="X427" s="13"/>
      <c r="Y427" s="13"/>
      <c r="Z427" s="13"/>
    </row>
    <row r="428" spans="1:26" ht="15.75" customHeight="1">
      <c r="A428" s="39"/>
      <c r="B428" s="39"/>
      <c r="C428" s="306"/>
      <c r="D428" s="87"/>
      <c r="E428" s="87"/>
      <c r="F428" s="87"/>
      <c r="G428" s="87"/>
      <c r="H428" s="87"/>
      <c r="I428" s="87"/>
      <c r="J428" s="87"/>
      <c r="K428" s="87"/>
      <c r="L428" s="87"/>
      <c r="M428" s="87"/>
      <c r="N428" s="87"/>
      <c r="O428" s="87"/>
      <c r="P428" s="87"/>
      <c r="Q428" s="87"/>
      <c r="R428" s="13"/>
      <c r="S428" s="13"/>
      <c r="T428" s="13"/>
      <c r="U428" s="13"/>
      <c r="V428" s="13"/>
      <c r="W428" s="13"/>
      <c r="X428" s="13"/>
      <c r="Y428" s="13"/>
      <c r="Z428" s="13"/>
    </row>
    <row r="429" spans="1:26" ht="15.75" customHeight="1">
      <c r="A429" s="39"/>
      <c r="B429" s="39"/>
      <c r="C429" s="306"/>
      <c r="D429" s="87"/>
      <c r="E429" s="87"/>
      <c r="F429" s="87"/>
      <c r="G429" s="87"/>
      <c r="H429" s="87"/>
      <c r="I429" s="87"/>
      <c r="J429" s="87"/>
      <c r="K429" s="87"/>
      <c r="L429" s="87"/>
      <c r="M429" s="87"/>
      <c r="N429" s="87"/>
      <c r="O429" s="87"/>
      <c r="P429" s="87"/>
      <c r="Q429" s="87"/>
      <c r="R429" s="13"/>
      <c r="S429" s="13"/>
      <c r="T429" s="13"/>
      <c r="U429" s="13"/>
      <c r="V429" s="13"/>
      <c r="W429" s="13"/>
      <c r="X429" s="13"/>
      <c r="Y429" s="13"/>
      <c r="Z429" s="13"/>
    </row>
    <row r="430" spans="1:26" ht="15.75" customHeight="1">
      <c r="A430" s="39"/>
      <c r="B430" s="39"/>
      <c r="C430" s="306"/>
      <c r="D430" s="87"/>
      <c r="E430" s="87"/>
      <c r="F430" s="87"/>
      <c r="G430" s="87"/>
      <c r="H430" s="87"/>
      <c r="I430" s="87"/>
      <c r="J430" s="87"/>
      <c r="K430" s="87"/>
      <c r="L430" s="87"/>
      <c r="M430" s="87"/>
      <c r="N430" s="87"/>
      <c r="O430" s="87"/>
      <c r="P430" s="87"/>
      <c r="Q430" s="87"/>
      <c r="R430" s="13"/>
      <c r="S430" s="13"/>
      <c r="T430" s="13"/>
      <c r="U430" s="13"/>
      <c r="V430" s="13"/>
      <c r="W430" s="13"/>
      <c r="X430" s="13"/>
      <c r="Y430" s="13"/>
      <c r="Z430" s="13"/>
    </row>
    <row r="431" spans="1:26" ht="15.75" customHeight="1">
      <c r="A431" s="39"/>
      <c r="B431" s="39"/>
      <c r="C431" s="306"/>
      <c r="D431" s="87"/>
      <c r="E431" s="87"/>
      <c r="F431" s="87"/>
      <c r="G431" s="87"/>
      <c r="H431" s="87"/>
      <c r="I431" s="87"/>
      <c r="J431" s="87"/>
      <c r="K431" s="87"/>
      <c r="L431" s="87"/>
      <c r="M431" s="87"/>
      <c r="N431" s="87"/>
      <c r="O431" s="87"/>
      <c r="P431" s="87"/>
      <c r="Q431" s="87"/>
      <c r="R431" s="13"/>
      <c r="S431" s="13"/>
      <c r="T431" s="13"/>
      <c r="U431" s="13"/>
      <c r="V431" s="13"/>
      <c r="W431" s="13"/>
      <c r="X431" s="13"/>
      <c r="Y431" s="13"/>
      <c r="Z431" s="13"/>
    </row>
    <row r="432" spans="1:26" ht="15.75" customHeight="1">
      <c r="A432" s="39"/>
      <c r="B432" s="39"/>
      <c r="C432" s="306"/>
      <c r="D432" s="87"/>
      <c r="E432" s="87"/>
      <c r="F432" s="87"/>
      <c r="G432" s="87"/>
      <c r="H432" s="87"/>
      <c r="I432" s="87"/>
      <c r="J432" s="87"/>
      <c r="K432" s="87"/>
      <c r="L432" s="87"/>
      <c r="M432" s="87"/>
      <c r="N432" s="87"/>
      <c r="O432" s="87"/>
      <c r="P432" s="87"/>
      <c r="Q432" s="87"/>
      <c r="R432" s="13"/>
      <c r="S432" s="13"/>
      <c r="T432" s="13"/>
      <c r="U432" s="13"/>
      <c r="V432" s="13"/>
      <c r="W432" s="13"/>
      <c r="X432" s="13"/>
      <c r="Y432" s="13"/>
      <c r="Z432" s="13"/>
    </row>
    <row r="433" spans="1:26" ht="15.75" customHeight="1">
      <c r="A433" s="39"/>
      <c r="B433" s="39"/>
      <c r="C433" s="306"/>
      <c r="D433" s="87"/>
      <c r="E433" s="87"/>
      <c r="F433" s="87"/>
      <c r="G433" s="87"/>
      <c r="H433" s="87"/>
      <c r="I433" s="87"/>
      <c r="J433" s="87"/>
      <c r="K433" s="87"/>
      <c r="L433" s="87"/>
      <c r="M433" s="87"/>
      <c r="N433" s="87"/>
      <c r="O433" s="87"/>
      <c r="P433" s="87"/>
      <c r="Q433" s="87"/>
      <c r="R433" s="13"/>
      <c r="S433" s="13"/>
      <c r="T433" s="13"/>
      <c r="U433" s="13"/>
      <c r="V433" s="13"/>
      <c r="W433" s="13"/>
      <c r="X433" s="13"/>
      <c r="Y433" s="13"/>
      <c r="Z433" s="13"/>
    </row>
    <row r="434" spans="1:26" ht="15.75" customHeight="1">
      <c r="A434" s="39"/>
      <c r="B434" s="39"/>
      <c r="C434" s="306"/>
      <c r="D434" s="87"/>
      <c r="E434" s="87"/>
      <c r="F434" s="87"/>
      <c r="G434" s="87"/>
      <c r="H434" s="87"/>
      <c r="I434" s="87"/>
      <c r="J434" s="87"/>
      <c r="K434" s="87"/>
      <c r="L434" s="87"/>
      <c r="M434" s="87"/>
      <c r="N434" s="87"/>
      <c r="O434" s="87"/>
      <c r="P434" s="87"/>
      <c r="Q434" s="87"/>
      <c r="R434" s="13"/>
      <c r="S434" s="13"/>
      <c r="T434" s="13"/>
      <c r="U434" s="13"/>
      <c r="V434" s="13"/>
      <c r="W434" s="13"/>
      <c r="X434" s="13"/>
      <c r="Y434" s="13"/>
      <c r="Z434" s="13"/>
    </row>
    <row r="435" spans="1:26" ht="15.75" customHeight="1">
      <c r="A435" s="39"/>
      <c r="B435" s="39"/>
      <c r="C435" s="306"/>
      <c r="D435" s="87"/>
      <c r="E435" s="87"/>
      <c r="F435" s="87"/>
      <c r="G435" s="87"/>
      <c r="H435" s="87"/>
      <c r="I435" s="87"/>
      <c r="J435" s="87"/>
      <c r="K435" s="87"/>
      <c r="L435" s="87"/>
      <c r="M435" s="87"/>
      <c r="N435" s="87"/>
      <c r="O435" s="87"/>
      <c r="P435" s="87"/>
      <c r="Q435" s="87"/>
      <c r="R435" s="13"/>
      <c r="S435" s="13"/>
      <c r="T435" s="13"/>
      <c r="U435" s="13"/>
      <c r="V435" s="13"/>
      <c r="W435" s="13"/>
      <c r="X435" s="13"/>
      <c r="Y435" s="13"/>
      <c r="Z435" s="13"/>
    </row>
    <row r="436" spans="1:26" ht="15.75" customHeight="1">
      <c r="A436" s="39"/>
      <c r="B436" s="39"/>
      <c r="C436" s="306"/>
      <c r="D436" s="87"/>
      <c r="E436" s="87"/>
      <c r="F436" s="87"/>
      <c r="G436" s="87"/>
      <c r="H436" s="87"/>
      <c r="I436" s="87"/>
      <c r="J436" s="87"/>
      <c r="K436" s="87"/>
      <c r="L436" s="87"/>
      <c r="M436" s="87"/>
      <c r="N436" s="87"/>
      <c r="O436" s="87"/>
      <c r="P436" s="87"/>
      <c r="Q436" s="87"/>
      <c r="R436" s="13"/>
      <c r="S436" s="13"/>
      <c r="T436" s="13"/>
      <c r="U436" s="13"/>
      <c r="V436" s="13"/>
      <c r="W436" s="13"/>
      <c r="X436" s="13"/>
      <c r="Y436" s="13"/>
      <c r="Z436" s="13"/>
    </row>
    <row r="437" spans="1:26" ht="15.75" customHeight="1">
      <c r="A437" s="39"/>
      <c r="B437" s="39"/>
      <c r="C437" s="306"/>
      <c r="D437" s="87"/>
      <c r="E437" s="87"/>
      <c r="F437" s="87"/>
      <c r="G437" s="87"/>
      <c r="H437" s="87"/>
      <c r="I437" s="87"/>
      <c r="J437" s="87"/>
      <c r="K437" s="87"/>
      <c r="L437" s="87"/>
      <c r="M437" s="87"/>
      <c r="N437" s="87"/>
      <c r="O437" s="87"/>
      <c r="P437" s="87"/>
      <c r="Q437" s="87"/>
      <c r="R437" s="13"/>
      <c r="S437" s="13"/>
      <c r="T437" s="13"/>
      <c r="U437" s="13"/>
      <c r="V437" s="13"/>
      <c r="W437" s="13"/>
      <c r="X437" s="13"/>
      <c r="Y437" s="13"/>
      <c r="Z437" s="13"/>
    </row>
    <row r="438" spans="1:26" ht="15.75" customHeight="1">
      <c r="A438" s="39"/>
      <c r="B438" s="39"/>
      <c r="C438" s="306"/>
      <c r="D438" s="87"/>
      <c r="E438" s="87"/>
      <c r="F438" s="87"/>
      <c r="G438" s="87"/>
      <c r="H438" s="87"/>
      <c r="I438" s="87"/>
      <c r="J438" s="87"/>
      <c r="K438" s="87"/>
      <c r="L438" s="87"/>
      <c r="M438" s="87"/>
      <c r="N438" s="87"/>
      <c r="O438" s="87"/>
      <c r="P438" s="87"/>
      <c r="Q438" s="87"/>
      <c r="R438" s="13"/>
      <c r="S438" s="13"/>
      <c r="T438" s="13"/>
      <c r="U438" s="13"/>
      <c r="V438" s="13"/>
      <c r="W438" s="13"/>
      <c r="X438" s="13"/>
      <c r="Y438" s="13"/>
      <c r="Z438" s="13"/>
    </row>
    <row r="439" spans="1:26" ht="15.75" customHeight="1">
      <c r="A439" s="39"/>
      <c r="B439" s="39"/>
      <c r="C439" s="306"/>
      <c r="D439" s="87"/>
      <c r="E439" s="87"/>
      <c r="F439" s="87"/>
      <c r="G439" s="87"/>
      <c r="H439" s="87"/>
      <c r="I439" s="87"/>
      <c r="J439" s="87"/>
      <c r="K439" s="87"/>
      <c r="L439" s="87"/>
      <c r="M439" s="87"/>
      <c r="N439" s="87"/>
      <c r="O439" s="87"/>
      <c r="P439" s="87"/>
      <c r="Q439" s="87"/>
      <c r="R439" s="13"/>
      <c r="S439" s="13"/>
      <c r="T439" s="13"/>
      <c r="U439" s="13"/>
      <c r="V439" s="13"/>
      <c r="W439" s="13"/>
      <c r="X439" s="13"/>
      <c r="Y439" s="13"/>
      <c r="Z439" s="13"/>
    </row>
    <row r="440" spans="1:26" ht="15.75" customHeight="1">
      <c r="A440" s="39"/>
      <c r="B440" s="39"/>
      <c r="C440" s="306"/>
      <c r="D440" s="87"/>
      <c r="E440" s="87"/>
      <c r="F440" s="87"/>
      <c r="G440" s="87"/>
      <c r="H440" s="87"/>
      <c r="I440" s="87"/>
      <c r="J440" s="87"/>
      <c r="K440" s="87"/>
      <c r="L440" s="87"/>
      <c r="M440" s="87"/>
      <c r="N440" s="87"/>
      <c r="O440" s="87"/>
      <c r="P440" s="87"/>
      <c r="Q440" s="87"/>
      <c r="R440" s="13"/>
      <c r="S440" s="13"/>
      <c r="T440" s="13"/>
      <c r="U440" s="13"/>
      <c r="V440" s="13"/>
      <c r="W440" s="13"/>
      <c r="X440" s="13"/>
      <c r="Y440" s="13"/>
      <c r="Z440" s="13"/>
    </row>
    <row r="441" spans="1:26" ht="15.75" customHeight="1">
      <c r="A441" s="39"/>
      <c r="B441" s="39"/>
      <c r="C441" s="306"/>
      <c r="D441" s="87"/>
      <c r="E441" s="87"/>
      <c r="F441" s="87"/>
      <c r="G441" s="87"/>
      <c r="H441" s="87"/>
      <c r="I441" s="87"/>
      <c r="J441" s="87"/>
      <c r="K441" s="87"/>
      <c r="L441" s="87"/>
      <c r="M441" s="87"/>
      <c r="N441" s="87"/>
      <c r="O441" s="87"/>
      <c r="P441" s="87"/>
      <c r="Q441" s="87"/>
      <c r="R441" s="13"/>
      <c r="S441" s="13"/>
      <c r="T441" s="13"/>
      <c r="U441" s="13"/>
      <c r="V441" s="13"/>
      <c r="W441" s="13"/>
      <c r="X441" s="13"/>
      <c r="Y441" s="13"/>
      <c r="Z441" s="13"/>
    </row>
    <row r="442" spans="1:26" ht="15.75" customHeight="1">
      <c r="A442" s="39"/>
      <c r="B442" s="39"/>
      <c r="C442" s="306"/>
      <c r="D442" s="87"/>
      <c r="E442" s="87"/>
      <c r="F442" s="87"/>
      <c r="G442" s="87"/>
      <c r="H442" s="87"/>
      <c r="I442" s="87"/>
      <c r="J442" s="87"/>
      <c r="K442" s="87"/>
      <c r="L442" s="87"/>
      <c r="M442" s="87"/>
      <c r="N442" s="87"/>
      <c r="O442" s="87"/>
      <c r="P442" s="87"/>
      <c r="Q442" s="87"/>
      <c r="R442" s="13"/>
      <c r="S442" s="13"/>
      <c r="T442" s="13"/>
      <c r="U442" s="13"/>
      <c r="V442" s="13"/>
      <c r="W442" s="13"/>
      <c r="X442" s="13"/>
      <c r="Y442" s="13"/>
      <c r="Z442" s="13"/>
    </row>
    <row r="443" spans="1:26" ht="15.75" customHeight="1">
      <c r="A443" s="39"/>
      <c r="B443" s="39"/>
      <c r="C443" s="306"/>
      <c r="D443" s="87"/>
      <c r="E443" s="87"/>
      <c r="F443" s="87"/>
      <c r="G443" s="87"/>
      <c r="H443" s="87"/>
      <c r="I443" s="87"/>
      <c r="J443" s="87"/>
      <c r="K443" s="87"/>
      <c r="L443" s="87"/>
      <c r="M443" s="87"/>
      <c r="N443" s="87"/>
      <c r="O443" s="87"/>
      <c r="P443" s="87"/>
      <c r="Q443" s="87"/>
      <c r="R443" s="13"/>
      <c r="S443" s="13"/>
      <c r="T443" s="13"/>
      <c r="U443" s="13"/>
      <c r="V443" s="13"/>
      <c r="W443" s="13"/>
      <c r="X443" s="13"/>
      <c r="Y443" s="13"/>
      <c r="Z443" s="13"/>
    </row>
    <row r="444" spans="1:26" ht="15.75" customHeight="1">
      <c r="A444" s="39"/>
      <c r="B444" s="39"/>
      <c r="C444" s="306"/>
      <c r="D444" s="87"/>
      <c r="E444" s="87"/>
      <c r="F444" s="87"/>
      <c r="G444" s="87"/>
      <c r="H444" s="87"/>
      <c r="I444" s="87"/>
      <c r="J444" s="87"/>
      <c r="K444" s="87"/>
      <c r="L444" s="87"/>
      <c r="M444" s="87"/>
      <c r="N444" s="87"/>
      <c r="O444" s="87"/>
      <c r="P444" s="87"/>
      <c r="Q444" s="87"/>
      <c r="R444" s="13"/>
      <c r="S444" s="13"/>
      <c r="T444" s="13"/>
      <c r="U444" s="13"/>
      <c r="V444" s="13"/>
      <c r="W444" s="13"/>
      <c r="X444" s="13"/>
      <c r="Y444" s="13"/>
      <c r="Z444" s="13"/>
    </row>
    <row r="445" spans="1:26" ht="15.75" customHeight="1">
      <c r="A445" s="39"/>
      <c r="B445" s="39"/>
      <c r="C445" s="306"/>
      <c r="D445" s="87"/>
      <c r="E445" s="87"/>
      <c r="F445" s="87"/>
      <c r="G445" s="87"/>
      <c r="H445" s="87"/>
      <c r="I445" s="87"/>
      <c r="J445" s="87"/>
      <c r="K445" s="87"/>
      <c r="L445" s="87"/>
      <c r="M445" s="87"/>
      <c r="N445" s="87"/>
      <c r="O445" s="87"/>
      <c r="P445" s="87"/>
      <c r="Q445" s="87"/>
      <c r="R445" s="13"/>
      <c r="S445" s="13"/>
      <c r="T445" s="13"/>
      <c r="U445" s="13"/>
      <c r="V445" s="13"/>
      <c r="W445" s="13"/>
      <c r="X445" s="13"/>
      <c r="Y445" s="13"/>
      <c r="Z445" s="13"/>
    </row>
    <row r="446" spans="1:26" ht="15.75" customHeight="1">
      <c r="A446" s="39"/>
      <c r="B446" s="39"/>
      <c r="C446" s="306"/>
      <c r="D446" s="87"/>
      <c r="E446" s="87"/>
      <c r="F446" s="87"/>
      <c r="G446" s="87"/>
      <c r="H446" s="87"/>
      <c r="I446" s="87"/>
      <c r="J446" s="87"/>
      <c r="K446" s="87"/>
      <c r="L446" s="87"/>
      <c r="M446" s="87"/>
      <c r="N446" s="87"/>
      <c r="O446" s="87"/>
      <c r="P446" s="87"/>
      <c r="Q446" s="87"/>
      <c r="R446" s="13"/>
      <c r="S446" s="13"/>
      <c r="T446" s="13"/>
      <c r="U446" s="13"/>
      <c r="V446" s="13"/>
      <c r="W446" s="13"/>
      <c r="X446" s="13"/>
      <c r="Y446" s="13"/>
      <c r="Z446" s="13"/>
    </row>
    <row r="447" spans="1:26" ht="15.75" customHeight="1">
      <c r="A447" s="39"/>
      <c r="B447" s="39"/>
      <c r="C447" s="306"/>
      <c r="D447" s="87"/>
      <c r="E447" s="87"/>
      <c r="F447" s="87"/>
      <c r="G447" s="87"/>
      <c r="H447" s="87"/>
      <c r="I447" s="87"/>
      <c r="J447" s="87"/>
      <c r="K447" s="87"/>
      <c r="L447" s="87"/>
      <c r="M447" s="87"/>
      <c r="N447" s="87"/>
      <c r="O447" s="87"/>
      <c r="P447" s="87"/>
      <c r="Q447" s="87"/>
      <c r="R447" s="13"/>
      <c r="S447" s="13"/>
      <c r="T447" s="13"/>
      <c r="U447" s="13"/>
      <c r="V447" s="13"/>
      <c r="W447" s="13"/>
      <c r="X447" s="13"/>
      <c r="Y447" s="13"/>
      <c r="Z447" s="13"/>
    </row>
    <row r="448" spans="1:26" ht="15.75" customHeight="1">
      <c r="A448" s="39"/>
      <c r="B448" s="39"/>
      <c r="C448" s="306"/>
      <c r="D448" s="87"/>
      <c r="E448" s="87"/>
      <c r="F448" s="87"/>
      <c r="G448" s="87"/>
      <c r="H448" s="87"/>
      <c r="I448" s="87"/>
      <c r="J448" s="87"/>
      <c r="K448" s="87"/>
      <c r="L448" s="87"/>
      <c r="M448" s="87"/>
      <c r="N448" s="87"/>
      <c r="O448" s="87"/>
      <c r="P448" s="87"/>
      <c r="Q448" s="87"/>
      <c r="R448" s="13"/>
      <c r="S448" s="13"/>
      <c r="T448" s="13"/>
      <c r="U448" s="13"/>
      <c r="V448" s="13"/>
      <c r="W448" s="13"/>
      <c r="X448" s="13"/>
      <c r="Y448" s="13"/>
      <c r="Z448" s="13"/>
    </row>
    <row r="449" spans="1:26" ht="15.75" customHeight="1">
      <c r="A449" s="39"/>
      <c r="B449" s="39"/>
      <c r="C449" s="306"/>
      <c r="D449" s="87"/>
      <c r="E449" s="87"/>
      <c r="F449" s="87"/>
      <c r="G449" s="87"/>
      <c r="H449" s="87"/>
      <c r="I449" s="87"/>
      <c r="J449" s="87"/>
      <c r="K449" s="87"/>
      <c r="L449" s="87"/>
      <c r="M449" s="87"/>
      <c r="N449" s="87"/>
      <c r="O449" s="87"/>
      <c r="P449" s="87"/>
      <c r="Q449" s="87"/>
      <c r="R449" s="13"/>
      <c r="S449" s="13"/>
      <c r="T449" s="13"/>
      <c r="U449" s="13"/>
      <c r="V449" s="13"/>
      <c r="W449" s="13"/>
      <c r="X449" s="13"/>
      <c r="Y449" s="13"/>
      <c r="Z449" s="13"/>
    </row>
    <row r="450" spans="1:26" ht="15.75" customHeight="1">
      <c r="A450" s="39"/>
      <c r="B450" s="39"/>
      <c r="C450" s="306"/>
      <c r="D450" s="87"/>
      <c r="E450" s="87"/>
      <c r="F450" s="87"/>
      <c r="G450" s="87"/>
      <c r="H450" s="87"/>
      <c r="I450" s="87"/>
      <c r="J450" s="87"/>
      <c r="K450" s="87"/>
      <c r="L450" s="87"/>
      <c r="M450" s="87"/>
      <c r="N450" s="87"/>
      <c r="O450" s="87"/>
      <c r="P450" s="87"/>
      <c r="Q450" s="87"/>
      <c r="R450" s="13"/>
      <c r="S450" s="13"/>
      <c r="T450" s="13"/>
      <c r="U450" s="13"/>
      <c r="V450" s="13"/>
      <c r="W450" s="13"/>
      <c r="X450" s="13"/>
      <c r="Y450" s="13"/>
      <c r="Z450" s="13"/>
    </row>
    <row r="451" spans="1:26" ht="15.75" customHeight="1">
      <c r="A451" s="39"/>
      <c r="B451" s="39"/>
      <c r="C451" s="306"/>
      <c r="D451" s="87"/>
      <c r="E451" s="87"/>
      <c r="F451" s="87"/>
      <c r="G451" s="87"/>
      <c r="H451" s="87"/>
      <c r="I451" s="87"/>
      <c r="J451" s="87"/>
      <c r="K451" s="87"/>
      <c r="L451" s="87"/>
      <c r="M451" s="87"/>
      <c r="N451" s="87"/>
      <c r="O451" s="87"/>
      <c r="P451" s="87"/>
      <c r="Q451" s="87"/>
      <c r="R451" s="13"/>
      <c r="S451" s="13"/>
      <c r="T451" s="13"/>
      <c r="U451" s="13"/>
      <c r="V451" s="13"/>
      <c r="W451" s="13"/>
      <c r="X451" s="13"/>
      <c r="Y451" s="13"/>
      <c r="Z451" s="13"/>
    </row>
    <row r="452" spans="1:26" ht="15.75" customHeight="1">
      <c r="A452" s="39"/>
      <c r="B452" s="39"/>
      <c r="C452" s="306"/>
      <c r="D452" s="87"/>
      <c r="E452" s="87"/>
      <c r="F452" s="87"/>
      <c r="G452" s="87"/>
      <c r="H452" s="87"/>
      <c r="I452" s="87"/>
      <c r="J452" s="87"/>
      <c r="K452" s="87"/>
      <c r="L452" s="87"/>
      <c r="M452" s="87"/>
      <c r="N452" s="87"/>
      <c r="O452" s="87"/>
      <c r="P452" s="87"/>
      <c r="Q452" s="87"/>
      <c r="R452" s="13"/>
      <c r="S452" s="13"/>
      <c r="T452" s="13"/>
      <c r="U452" s="13"/>
      <c r="V452" s="13"/>
      <c r="W452" s="13"/>
      <c r="X452" s="13"/>
      <c r="Y452" s="13"/>
      <c r="Z452" s="13"/>
    </row>
    <row r="453" spans="1:26" ht="15.75" customHeight="1">
      <c r="A453" s="39"/>
      <c r="B453" s="39"/>
      <c r="C453" s="306"/>
      <c r="D453" s="87"/>
      <c r="E453" s="87"/>
      <c r="F453" s="87"/>
      <c r="G453" s="87"/>
      <c r="H453" s="87"/>
      <c r="I453" s="87"/>
      <c r="J453" s="87"/>
      <c r="K453" s="87"/>
      <c r="L453" s="87"/>
      <c r="M453" s="87"/>
      <c r="N453" s="87"/>
      <c r="O453" s="87"/>
      <c r="P453" s="87"/>
      <c r="Q453" s="87"/>
      <c r="R453" s="13"/>
      <c r="S453" s="13"/>
      <c r="T453" s="13"/>
      <c r="U453" s="13"/>
      <c r="V453" s="13"/>
      <c r="W453" s="13"/>
      <c r="X453" s="13"/>
      <c r="Y453" s="13"/>
      <c r="Z453" s="13"/>
    </row>
    <row r="454" spans="1:26" ht="15.75" customHeight="1">
      <c r="A454" s="39"/>
      <c r="B454" s="39"/>
      <c r="C454" s="306"/>
      <c r="D454" s="87"/>
      <c r="E454" s="87"/>
      <c r="F454" s="87"/>
      <c r="G454" s="87"/>
      <c r="H454" s="87"/>
      <c r="I454" s="87"/>
      <c r="J454" s="87"/>
      <c r="K454" s="87"/>
      <c r="L454" s="87"/>
      <c r="M454" s="87"/>
      <c r="N454" s="87"/>
      <c r="O454" s="87"/>
      <c r="P454" s="87"/>
      <c r="Q454" s="87"/>
      <c r="R454" s="13"/>
      <c r="S454" s="13"/>
      <c r="T454" s="13"/>
      <c r="U454" s="13"/>
      <c r="V454" s="13"/>
      <c r="W454" s="13"/>
      <c r="X454" s="13"/>
      <c r="Y454" s="13"/>
      <c r="Z454" s="13"/>
    </row>
    <row r="455" spans="1:26" ht="15.75" customHeight="1">
      <c r="A455" s="39"/>
      <c r="B455" s="39"/>
      <c r="C455" s="306"/>
      <c r="D455" s="87"/>
      <c r="E455" s="87"/>
      <c r="F455" s="87"/>
      <c r="G455" s="87"/>
      <c r="H455" s="87"/>
      <c r="I455" s="87"/>
      <c r="J455" s="87"/>
      <c r="K455" s="87"/>
      <c r="L455" s="87"/>
      <c r="M455" s="87"/>
      <c r="N455" s="87"/>
      <c r="O455" s="87"/>
      <c r="P455" s="87"/>
      <c r="Q455" s="87"/>
      <c r="R455" s="13"/>
      <c r="S455" s="13"/>
      <c r="T455" s="13"/>
      <c r="U455" s="13"/>
      <c r="V455" s="13"/>
      <c r="W455" s="13"/>
      <c r="X455" s="13"/>
      <c r="Y455" s="13"/>
      <c r="Z455" s="13"/>
    </row>
    <row r="456" spans="1:26" ht="15.75" customHeight="1">
      <c r="A456" s="39"/>
      <c r="B456" s="39"/>
      <c r="C456" s="306"/>
      <c r="D456" s="87"/>
      <c r="E456" s="87"/>
      <c r="F456" s="87"/>
      <c r="G456" s="87"/>
      <c r="H456" s="87"/>
      <c r="I456" s="87"/>
      <c r="J456" s="87"/>
      <c r="K456" s="87"/>
      <c r="L456" s="87"/>
      <c r="M456" s="87"/>
      <c r="N456" s="87"/>
      <c r="O456" s="87"/>
      <c r="P456" s="87"/>
      <c r="Q456" s="87"/>
      <c r="R456" s="13"/>
      <c r="S456" s="13"/>
      <c r="T456" s="13"/>
      <c r="U456" s="13"/>
      <c r="V456" s="13"/>
      <c r="W456" s="13"/>
      <c r="X456" s="13"/>
      <c r="Y456" s="13"/>
      <c r="Z456" s="13"/>
    </row>
    <row r="457" spans="1:26" ht="15.75" customHeight="1">
      <c r="A457" s="39"/>
      <c r="B457" s="39"/>
      <c r="C457" s="306"/>
      <c r="D457" s="87"/>
      <c r="E457" s="87"/>
      <c r="F457" s="87"/>
      <c r="G457" s="87"/>
      <c r="H457" s="87"/>
      <c r="I457" s="87"/>
      <c r="J457" s="87"/>
      <c r="K457" s="87"/>
      <c r="L457" s="87"/>
      <c r="M457" s="87"/>
      <c r="N457" s="87"/>
      <c r="O457" s="87"/>
      <c r="P457" s="87"/>
      <c r="Q457" s="87"/>
      <c r="R457" s="13"/>
      <c r="S457" s="13"/>
      <c r="T457" s="13"/>
      <c r="U457" s="13"/>
      <c r="V457" s="13"/>
      <c r="W457" s="13"/>
      <c r="X457" s="13"/>
      <c r="Y457" s="13"/>
      <c r="Z457" s="13"/>
    </row>
    <row r="458" spans="1:26" ht="15.75" customHeight="1">
      <c r="A458" s="39"/>
      <c r="B458" s="39"/>
      <c r="C458" s="306"/>
      <c r="D458" s="87"/>
      <c r="E458" s="87"/>
      <c r="F458" s="87"/>
      <c r="G458" s="87"/>
      <c r="H458" s="87"/>
      <c r="I458" s="87"/>
      <c r="J458" s="87"/>
      <c r="K458" s="87"/>
      <c r="L458" s="87"/>
      <c r="M458" s="87"/>
      <c r="N458" s="87"/>
      <c r="O458" s="87"/>
      <c r="P458" s="87"/>
      <c r="Q458" s="87"/>
      <c r="R458" s="13"/>
      <c r="S458" s="13"/>
      <c r="T458" s="13"/>
      <c r="U458" s="13"/>
      <c r="V458" s="13"/>
      <c r="W458" s="13"/>
      <c r="X458" s="13"/>
      <c r="Y458" s="13"/>
      <c r="Z458" s="13"/>
    </row>
    <row r="459" spans="1:26" ht="15.75" customHeight="1">
      <c r="A459" s="39"/>
      <c r="B459" s="39"/>
      <c r="C459" s="306"/>
      <c r="D459" s="87"/>
      <c r="E459" s="87"/>
      <c r="F459" s="87"/>
      <c r="G459" s="87"/>
      <c r="H459" s="87"/>
      <c r="I459" s="87"/>
      <c r="J459" s="87"/>
      <c r="K459" s="87"/>
      <c r="L459" s="87"/>
      <c r="M459" s="87"/>
      <c r="N459" s="87"/>
      <c r="O459" s="87"/>
      <c r="P459" s="87"/>
      <c r="Q459" s="87"/>
      <c r="R459" s="13"/>
      <c r="S459" s="13"/>
      <c r="T459" s="13"/>
      <c r="U459" s="13"/>
      <c r="V459" s="13"/>
      <c r="W459" s="13"/>
      <c r="X459" s="13"/>
      <c r="Y459" s="13"/>
      <c r="Z459" s="13"/>
    </row>
    <row r="460" spans="1:26" ht="15.75" customHeight="1">
      <c r="A460" s="39"/>
      <c r="B460" s="39"/>
      <c r="C460" s="306"/>
      <c r="D460" s="87"/>
      <c r="E460" s="87"/>
      <c r="F460" s="87"/>
      <c r="G460" s="87"/>
      <c r="H460" s="87"/>
      <c r="I460" s="87"/>
      <c r="J460" s="87"/>
      <c r="K460" s="87"/>
      <c r="L460" s="87"/>
      <c r="M460" s="87"/>
      <c r="N460" s="87"/>
      <c r="O460" s="87"/>
      <c r="P460" s="87"/>
      <c r="Q460" s="87"/>
      <c r="R460" s="13"/>
      <c r="S460" s="13"/>
      <c r="T460" s="13"/>
      <c r="U460" s="13"/>
      <c r="V460" s="13"/>
      <c r="W460" s="13"/>
      <c r="X460" s="13"/>
      <c r="Y460" s="13"/>
      <c r="Z460" s="13"/>
    </row>
    <row r="461" spans="1:26" ht="15.75" customHeight="1">
      <c r="A461" s="39"/>
      <c r="B461" s="39"/>
      <c r="C461" s="306"/>
      <c r="D461" s="87"/>
      <c r="E461" s="87"/>
      <c r="F461" s="87"/>
      <c r="G461" s="87"/>
      <c r="H461" s="87"/>
      <c r="I461" s="87"/>
      <c r="J461" s="87"/>
      <c r="K461" s="87"/>
      <c r="L461" s="87"/>
      <c r="M461" s="87"/>
      <c r="N461" s="87"/>
      <c r="O461" s="87"/>
      <c r="P461" s="87"/>
      <c r="Q461" s="87"/>
      <c r="R461" s="13"/>
      <c r="S461" s="13"/>
      <c r="T461" s="13"/>
      <c r="U461" s="13"/>
      <c r="V461" s="13"/>
      <c r="W461" s="13"/>
      <c r="X461" s="13"/>
      <c r="Y461" s="13"/>
      <c r="Z461" s="13"/>
    </row>
    <row r="462" spans="1:26" ht="15.75" customHeight="1">
      <c r="A462" s="39"/>
      <c r="B462" s="39"/>
      <c r="C462" s="306"/>
      <c r="D462" s="87"/>
      <c r="E462" s="87"/>
      <c r="F462" s="87"/>
      <c r="G462" s="87"/>
      <c r="H462" s="87"/>
      <c r="I462" s="87"/>
      <c r="J462" s="87"/>
      <c r="K462" s="87"/>
      <c r="L462" s="87"/>
      <c r="M462" s="87"/>
      <c r="N462" s="87"/>
      <c r="O462" s="87"/>
      <c r="P462" s="87"/>
      <c r="Q462" s="87"/>
      <c r="R462" s="13"/>
      <c r="S462" s="13"/>
      <c r="T462" s="13"/>
      <c r="U462" s="13"/>
      <c r="V462" s="13"/>
      <c r="W462" s="13"/>
      <c r="X462" s="13"/>
      <c r="Y462" s="13"/>
      <c r="Z462" s="13"/>
    </row>
    <row r="463" spans="1:26" ht="15.75" customHeight="1">
      <c r="A463" s="39"/>
      <c r="B463" s="39"/>
      <c r="C463" s="306"/>
      <c r="D463" s="87"/>
      <c r="E463" s="87"/>
      <c r="F463" s="87"/>
      <c r="G463" s="87"/>
      <c r="H463" s="87"/>
      <c r="I463" s="87"/>
      <c r="J463" s="87"/>
      <c r="K463" s="87"/>
      <c r="L463" s="87"/>
      <c r="M463" s="87"/>
      <c r="N463" s="87"/>
      <c r="O463" s="87"/>
      <c r="P463" s="87"/>
      <c r="Q463" s="87"/>
      <c r="R463" s="13"/>
      <c r="S463" s="13"/>
      <c r="T463" s="13"/>
      <c r="U463" s="13"/>
      <c r="V463" s="13"/>
      <c r="W463" s="13"/>
      <c r="X463" s="13"/>
      <c r="Y463" s="13"/>
      <c r="Z463" s="13"/>
    </row>
    <row r="464" spans="1:26" ht="15.75" customHeight="1">
      <c r="A464" s="39"/>
      <c r="B464" s="39"/>
      <c r="C464" s="306"/>
      <c r="D464" s="87"/>
      <c r="E464" s="87"/>
      <c r="F464" s="87"/>
      <c r="G464" s="87"/>
      <c r="H464" s="87"/>
      <c r="I464" s="87"/>
      <c r="J464" s="87"/>
      <c r="K464" s="87"/>
      <c r="L464" s="87"/>
      <c r="M464" s="87"/>
      <c r="N464" s="87"/>
      <c r="O464" s="87"/>
      <c r="P464" s="87"/>
      <c r="Q464" s="87"/>
      <c r="R464" s="13"/>
      <c r="S464" s="13"/>
      <c r="T464" s="13"/>
      <c r="U464" s="13"/>
      <c r="V464" s="13"/>
      <c r="W464" s="13"/>
      <c r="X464" s="13"/>
      <c r="Y464" s="13"/>
      <c r="Z464" s="13"/>
    </row>
    <row r="465" spans="1:26" ht="15.75" customHeight="1">
      <c r="A465" s="39"/>
      <c r="B465" s="39"/>
      <c r="C465" s="306"/>
      <c r="D465" s="87"/>
      <c r="E465" s="87"/>
      <c r="F465" s="87"/>
      <c r="G465" s="87"/>
      <c r="H465" s="87"/>
      <c r="I465" s="87"/>
      <c r="J465" s="87"/>
      <c r="K465" s="87"/>
      <c r="L465" s="87"/>
      <c r="M465" s="87"/>
      <c r="N465" s="87"/>
      <c r="O465" s="87"/>
      <c r="P465" s="87"/>
      <c r="Q465" s="87"/>
      <c r="R465" s="13"/>
      <c r="S465" s="13"/>
      <c r="T465" s="13"/>
      <c r="U465" s="13"/>
      <c r="V465" s="13"/>
      <c r="W465" s="13"/>
      <c r="X465" s="13"/>
      <c r="Y465" s="13"/>
      <c r="Z465" s="13"/>
    </row>
    <row r="466" spans="1:26" ht="15.75" customHeight="1">
      <c r="A466" s="39"/>
      <c r="B466" s="39"/>
      <c r="C466" s="306"/>
      <c r="D466" s="87"/>
      <c r="E466" s="87"/>
      <c r="F466" s="87"/>
      <c r="G466" s="87"/>
      <c r="H466" s="87"/>
      <c r="I466" s="87"/>
      <c r="J466" s="87"/>
      <c r="K466" s="87"/>
      <c r="L466" s="87"/>
      <c r="M466" s="87"/>
      <c r="N466" s="87"/>
      <c r="O466" s="87"/>
      <c r="P466" s="87"/>
      <c r="Q466" s="87"/>
      <c r="R466" s="13"/>
      <c r="S466" s="13"/>
      <c r="T466" s="13"/>
      <c r="U466" s="13"/>
      <c r="V466" s="13"/>
      <c r="W466" s="13"/>
      <c r="X466" s="13"/>
      <c r="Y466" s="13"/>
      <c r="Z466" s="13"/>
    </row>
    <row r="467" spans="1:26" ht="15.75" customHeight="1">
      <c r="A467" s="39"/>
      <c r="B467" s="39"/>
      <c r="C467" s="306"/>
      <c r="D467" s="87"/>
      <c r="E467" s="87"/>
      <c r="F467" s="87"/>
      <c r="G467" s="87"/>
      <c r="H467" s="87"/>
      <c r="I467" s="87"/>
      <c r="J467" s="87"/>
      <c r="K467" s="87"/>
      <c r="L467" s="87"/>
      <c r="M467" s="87"/>
      <c r="N467" s="87"/>
      <c r="O467" s="87"/>
      <c r="P467" s="87"/>
      <c r="Q467" s="87"/>
      <c r="R467" s="13"/>
      <c r="S467" s="13"/>
      <c r="T467" s="13"/>
      <c r="U467" s="13"/>
      <c r="V467" s="13"/>
      <c r="W467" s="13"/>
      <c r="X467" s="13"/>
      <c r="Y467" s="13"/>
      <c r="Z467" s="13"/>
    </row>
    <row r="468" spans="1:26" ht="15.75" customHeight="1">
      <c r="A468" s="39"/>
      <c r="B468" s="39"/>
      <c r="C468" s="306"/>
      <c r="D468" s="87"/>
      <c r="E468" s="87"/>
      <c r="F468" s="87"/>
      <c r="G468" s="87"/>
      <c r="H468" s="87"/>
      <c r="I468" s="87"/>
      <c r="J468" s="87"/>
      <c r="K468" s="87"/>
      <c r="L468" s="87"/>
      <c r="M468" s="87"/>
      <c r="N468" s="87"/>
      <c r="O468" s="87"/>
      <c r="P468" s="87"/>
      <c r="Q468" s="87"/>
      <c r="R468" s="13"/>
      <c r="S468" s="13"/>
      <c r="T468" s="13"/>
      <c r="U468" s="13"/>
      <c r="V468" s="13"/>
      <c r="W468" s="13"/>
      <c r="X468" s="13"/>
      <c r="Y468" s="13"/>
      <c r="Z468" s="13"/>
    </row>
    <row r="469" spans="1:26" ht="15.75" customHeight="1">
      <c r="A469" s="39"/>
      <c r="B469" s="39"/>
      <c r="C469" s="306"/>
      <c r="D469" s="87"/>
      <c r="E469" s="87"/>
      <c r="F469" s="87"/>
      <c r="G469" s="87"/>
      <c r="H469" s="87"/>
      <c r="I469" s="87"/>
      <c r="J469" s="87"/>
      <c r="K469" s="87"/>
      <c r="L469" s="87"/>
      <c r="M469" s="87"/>
      <c r="N469" s="87"/>
      <c r="O469" s="87"/>
      <c r="P469" s="87"/>
      <c r="Q469" s="87"/>
      <c r="R469" s="13"/>
      <c r="S469" s="13"/>
      <c r="T469" s="13"/>
      <c r="U469" s="13"/>
      <c r="V469" s="13"/>
      <c r="W469" s="13"/>
      <c r="X469" s="13"/>
      <c r="Y469" s="13"/>
      <c r="Z469" s="13"/>
    </row>
    <row r="470" spans="1:26" ht="15.75" customHeight="1">
      <c r="A470" s="39"/>
      <c r="B470" s="39"/>
      <c r="C470" s="306"/>
      <c r="D470" s="87"/>
      <c r="E470" s="87"/>
      <c r="F470" s="87"/>
      <c r="G470" s="87"/>
      <c r="H470" s="87"/>
      <c r="I470" s="87"/>
      <c r="J470" s="87"/>
      <c r="K470" s="87"/>
      <c r="L470" s="87"/>
      <c r="M470" s="87"/>
      <c r="N470" s="87"/>
      <c r="O470" s="87"/>
      <c r="P470" s="87"/>
      <c r="Q470" s="87"/>
      <c r="R470" s="13"/>
      <c r="S470" s="13"/>
      <c r="T470" s="13"/>
      <c r="U470" s="13"/>
      <c r="V470" s="13"/>
      <c r="W470" s="13"/>
      <c r="X470" s="13"/>
      <c r="Y470" s="13"/>
      <c r="Z470" s="13"/>
    </row>
    <row r="471" spans="1:26" ht="15.75" customHeight="1">
      <c r="A471" s="39"/>
      <c r="B471" s="39"/>
      <c r="C471" s="306"/>
      <c r="D471" s="87"/>
      <c r="E471" s="87"/>
      <c r="F471" s="87"/>
      <c r="G471" s="87"/>
      <c r="H471" s="87"/>
      <c r="I471" s="87"/>
      <c r="J471" s="87"/>
      <c r="K471" s="87"/>
      <c r="L471" s="87"/>
      <c r="M471" s="87"/>
      <c r="N471" s="87"/>
      <c r="O471" s="87"/>
      <c r="P471" s="87"/>
      <c r="Q471" s="87"/>
      <c r="R471" s="13"/>
      <c r="S471" s="13"/>
      <c r="T471" s="13"/>
      <c r="U471" s="13"/>
      <c r="V471" s="13"/>
      <c r="W471" s="13"/>
      <c r="X471" s="13"/>
      <c r="Y471" s="13"/>
      <c r="Z471" s="13"/>
    </row>
    <row r="472" spans="1:26" ht="15.75" customHeight="1">
      <c r="A472" s="39"/>
      <c r="B472" s="39"/>
      <c r="C472" s="306"/>
      <c r="D472" s="87"/>
      <c r="E472" s="87"/>
      <c r="F472" s="87"/>
      <c r="G472" s="87"/>
      <c r="H472" s="87"/>
      <c r="I472" s="87"/>
      <c r="J472" s="87"/>
      <c r="K472" s="87"/>
      <c r="L472" s="87"/>
      <c r="M472" s="87"/>
      <c r="N472" s="87"/>
      <c r="O472" s="87"/>
      <c r="P472" s="87"/>
      <c r="Q472" s="87"/>
      <c r="R472" s="13"/>
      <c r="S472" s="13"/>
      <c r="T472" s="13"/>
      <c r="U472" s="13"/>
      <c r="V472" s="13"/>
      <c r="W472" s="13"/>
      <c r="X472" s="13"/>
      <c r="Y472" s="13"/>
      <c r="Z472" s="13"/>
    </row>
    <row r="473" spans="1:26" ht="15.75" customHeight="1">
      <c r="A473" s="39"/>
      <c r="B473" s="39"/>
      <c r="C473" s="306"/>
      <c r="D473" s="87"/>
      <c r="E473" s="87"/>
      <c r="F473" s="87"/>
      <c r="G473" s="87"/>
      <c r="H473" s="87"/>
      <c r="I473" s="87"/>
      <c r="J473" s="87"/>
      <c r="K473" s="87"/>
      <c r="L473" s="87"/>
      <c r="M473" s="87"/>
      <c r="N473" s="87"/>
      <c r="O473" s="87"/>
      <c r="P473" s="87"/>
      <c r="Q473" s="87"/>
      <c r="R473" s="13"/>
      <c r="S473" s="13"/>
      <c r="T473" s="13"/>
      <c r="U473" s="13"/>
      <c r="V473" s="13"/>
      <c r="W473" s="13"/>
      <c r="X473" s="13"/>
      <c r="Y473" s="13"/>
      <c r="Z473" s="13"/>
    </row>
    <row r="474" spans="1:26" ht="15.75" customHeight="1">
      <c r="A474" s="39"/>
      <c r="B474" s="39"/>
      <c r="C474" s="306"/>
      <c r="D474" s="87"/>
      <c r="E474" s="87"/>
      <c r="F474" s="87"/>
      <c r="G474" s="87"/>
      <c r="H474" s="87"/>
      <c r="I474" s="87"/>
      <c r="J474" s="87"/>
      <c r="K474" s="87"/>
      <c r="L474" s="87"/>
      <c r="M474" s="87"/>
      <c r="N474" s="87"/>
      <c r="O474" s="87"/>
      <c r="P474" s="87"/>
      <c r="Q474" s="87"/>
      <c r="R474" s="13"/>
      <c r="S474" s="13"/>
      <c r="T474" s="13"/>
      <c r="U474" s="13"/>
      <c r="V474" s="13"/>
      <c r="W474" s="13"/>
      <c r="X474" s="13"/>
      <c r="Y474" s="13"/>
      <c r="Z474" s="13"/>
    </row>
    <row r="475" spans="1:26" ht="15.75" customHeight="1">
      <c r="A475" s="39"/>
      <c r="B475" s="39"/>
      <c r="C475" s="306"/>
      <c r="D475" s="87"/>
      <c r="E475" s="87"/>
      <c r="F475" s="87"/>
      <c r="G475" s="87"/>
      <c r="H475" s="87"/>
      <c r="I475" s="87"/>
      <c r="J475" s="87"/>
      <c r="K475" s="87"/>
      <c r="L475" s="87"/>
      <c r="M475" s="87"/>
      <c r="N475" s="87"/>
      <c r="O475" s="87"/>
      <c r="P475" s="87"/>
      <c r="Q475" s="87"/>
      <c r="R475" s="13"/>
      <c r="S475" s="13"/>
      <c r="T475" s="13"/>
      <c r="U475" s="13"/>
      <c r="V475" s="13"/>
      <c r="W475" s="13"/>
      <c r="X475" s="13"/>
      <c r="Y475" s="13"/>
      <c r="Z475" s="13"/>
    </row>
    <row r="476" spans="1:26" ht="15.75" customHeight="1">
      <c r="A476" s="39"/>
      <c r="B476" s="39"/>
      <c r="C476" s="306"/>
      <c r="D476" s="87"/>
      <c r="E476" s="87"/>
      <c r="F476" s="87"/>
      <c r="G476" s="87"/>
      <c r="H476" s="87"/>
      <c r="I476" s="87"/>
      <c r="J476" s="87"/>
      <c r="K476" s="87"/>
      <c r="L476" s="87"/>
      <c r="M476" s="87"/>
      <c r="N476" s="87"/>
      <c r="O476" s="87"/>
      <c r="P476" s="87"/>
      <c r="Q476" s="87"/>
      <c r="R476" s="13"/>
      <c r="S476" s="13"/>
      <c r="T476" s="13"/>
      <c r="U476" s="13"/>
      <c r="V476" s="13"/>
      <c r="W476" s="13"/>
      <c r="X476" s="13"/>
      <c r="Y476" s="13"/>
      <c r="Z476" s="13"/>
    </row>
    <row r="477" spans="1:26" ht="15.75" customHeight="1">
      <c r="A477" s="39"/>
      <c r="B477" s="39"/>
      <c r="C477" s="306"/>
      <c r="D477" s="87"/>
      <c r="E477" s="87"/>
      <c r="F477" s="87"/>
      <c r="G477" s="87"/>
      <c r="H477" s="87"/>
      <c r="I477" s="87"/>
      <c r="J477" s="87"/>
      <c r="K477" s="87"/>
      <c r="L477" s="87"/>
      <c r="M477" s="87"/>
      <c r="N477" s="87"/>
      <c r="O477" s="87"/>
      <c r="P477" s="87"/>
      <c r="Q477" s="87"/>
      <c r="R477" s="13"/>
      <c r="S477" s="13"/>
      <c r="T477" s="13"/>
      <c r="U477" s="13"/>
      <c r="V477" s="13"/>
      <c r="W477" s="13"/>
      <c r="X477" s="13"/>
      <c r="Y477" s="13"/>
      <c r="Z477" s="13"/>
    </row>
    <row r="478" spans="1:26" ht="15.75" customHeight="1">
      <c r="A478" s="39"/>
      <c r="B478" s="39"/>
      <c r="C478" s="306"/>
      <c r="D478" s="87"/>
      <c r="E478" s="87"/>
      <c r="F478" s="87"/>
      <c r="G478" s="87"/>
      <c r="H478" s="87"/>
      <c r="I478" s="87"/>
      <c r="J478" s="87"/>
      <c r="K478" s="87"/>
      <c r="L478" s="87"/>
      <c r="M478" s="87"/>
      <c r="N478" s="87"/>
      <c r="O478" s="87"/>
      <c r="P478" s="87"/>
      <c r="Q478" s="87"/>
      <c r="R478" s="13"/>
      <c r="S478" s="13"/>
      <c r="T478" s="13"/>
      <c r="U478" s="13"/>
      <c r="V478" s="13"/>
      <c r="W478" s="13"/>
      <c r="X478" s="13"/>
      <c r="Y478" s="13"/>
      <c r="Z478" s="13"/>
    </row>
    <row r="479" spans="1:26" ht="15.75" customHeight="1">
      <c r="A479" s="39"/>
      <c r="B479" s="39"/>
      <c r="C479" s="306"/>
      <c r="D479" s="87"/>
      <c r="E479" s="87"/>
      <c r="F479" s="87"/>
      <c r="G479" s="87"/>
      <c r="H479" s="87"/>
      <c r="I479" s="87"/>
      <c r="J479" s="87"/>
      <c r="K479" s="87"/>
      <c r="L479" s="87"/>
      <c r="M479" s="87"/>
      <c r="N479" s="87"/>
      <c r="O479" s="87"/>
      <c r="P479" s="87"/>
      <c r="Q479" s="87"/>
      <c r="R479" s="13"/>
      <c r="S479" s="13"/>
      <c r="T479" s="13"/>
      <c r="U479" s="13"/>
      <c r="V479" s="13"/>
      <c r="W479" s="13"/>
      <c r="X479" s="13"/>
      <c r="Y479" s="13"/>
      <c r="Z479" s="13"/>
    </row>
    <row r="480" spans="1:26" ht="15.75" customHeight="1">
      <c r="A480" s="39"/>
      <c r="B480" s="39"/>
      <c r="C480" s="306"/>
      <c r="D480" s="87"/>
      <c r="E480" s="87"/>
      <c r="F480" s="87"/>
      <c r="G480" s="87"/>
      <c r="H480" s="87"/>
      <c r="I480" s="87"/>
      <c r="J480" s="87"/>
      <c r="K480" s="87"/>
      <c r="L480" s="87"/>
      <c r="M480" s="87"/>
      <c r="N480" s="87"/>
      <c r="O480" s="87"/>
      <c r="P480" s="87"/>
      <c r="Q480" s="87"/>
      <c r="R480" s="13"/>
      <c r="S480" s="13"/>
      <c r="T480" s="13"/>
      <c r="U480" s="13"/>
      <c r="V480" s="13"/>
      <c r="W480" s="13"/>
      <c r="X480" s="13"/>
      <c r="Y480" s="13"/>
      <c r="Z480" s="13"/>
    </row>
    <row r="481" spans="1:26" ht="15.75" customHeight="1">
      <c r="A481" s="39"/>
      <c r="B481" s="39"/>
      <c r="C481" s="306"/>
      <c r="D481" s="87"/>
      <c r="E481" s="87"/>
      <c r="F481" s="87"/>
      <c r="G481" s="87"/>
      <c r="H481" s="87"/>
      <c r="I481" s="87"/>
      <c r="J481" s="87"/>
      <c r="K481" s="87"/>
      <c r="L481" s="87"/>
      <c r="M481" s="87"/>
      <c r="N481" s="87"/>
      <c r="O481" s="87"/>
      <c r="P481" s="87"/>
      <c r="Q481" s="87"/>
      <c r="R481" s="13"/>
      <c r="S481" s="13"/>
      <c r="T481" s="13"/>
      <c r="U481" s="13"/>
      <c r="V481" s="13"/>
      <c r="W481" s="13"/>
      <c r="X481" s="13"/>
      <c r="Y481" s="13"/>
      <c r="Z481" s="13"/>
    </row>
    <row r="482" spans="1:26" ht="15.75" customHeight="1">
      <c r="A482" s="39"/>
      <c r="B482" s="39"/>
      <c r="C482" s="306"/>
      <c r="D482" s="87"/>
      <c r="E482" s="87"/>
      <c r="F482" s="87"/>
      <c r="G482" s="87"/>
      <c r="H482" s="87"/>
      <c r="I482" s="87"/>
      <c r="J482" s="87"/>
      <c r="K482" s="87"/>
      <c r="L482" s="87"/>
      <c r="M482" s="87"/>
      <c r="N482" s="87"/>
      <c r="O482" s="87"/>
      <c r="P482" s="87"/>
      <c r="Q482" s="87"/>
      <c r="R482" s="13"/>
      <c r="S482" s="13"/>
      <c r="T482" s="13"/>
      <c r="U482" s="13"/>
      <c r="V482" s="13"/>
      <c r="W482" s="13"/>
      <c r="X482" s="13"/>
      <c r="Y482" s="13"/>
      <c r="Z482" s="13"/>
    </row>
    <row r="483" spans="1:26" ht="15.75" customHeight="1">
      <c r="A483" s="39"/>
      <c r="B483" s="39"/>
      <c r="C483" s="306"/>
      <c r="D483" s="87"/>
      <c r="E483" s="87"/>
      <c r="F483" s="87"/>
      <c r="G483" s="87"/>
      <c r="H483" s="87"/>
      <c r="I483" s="87"/>
      <c r="J483" s="87"/>
      <c r="K483" s="87"/>
      <c r="L483" s="87"/>
      <c r="M483" s="87"/>
      <c r="N483" s="87"/>
      <c r="O483" s="87"/>
      <c r="P483" s="87"/>
      <c r="Q483" s="87"/>
      <c r="R483" s="13"/>
      <c r="S483" s="13"/>
      <c r="T483" s="13"/>
      <c r="U483" s="13"/>
      <c r="V483" s="13"/>
      <c r="W483" s="13"/>
      <c r="X483" s="13"/>
      <c r="Y483" s="13"/>
      <c r="Z483" s="13"/>
    </row>
    <row r="484" spans="1:26" ht="15.75" customHeight="1">
      <c r="A484" s="39"/>
      <c r="B484" s="39"/>
      <c r="C484" s="306"/>
      <c r="D484" s="87"/>
      <c r="E484" s="87"/>
      <c r="F484" s="87"/>
      <c r="G484" s="87"/>
      <c r="H484" s="87"/>
      <c r="I484" s="87"/>
      <c r="J484" s="87"/>
      <c r="K484" s="87"/>
      <c r="L484" s="87"/>
      <c r="M484" s="87"/>
      <c r="N484" s="87"/>
      <c r="O484" s="87"/>
      <c r="P484" s="87"/>
      <c r="Q484" s="87"/>
      <c r="R484" s="13"/>
      <c r="S484" s="13"/>
      <c r="T484" s="13"/>
      <c r="U484" s="13"/>
      <c r="V484" s="13"/>
      <c r="W484" s="13"/>
      <c r="X484" s="13"/>
      <c r="Y484" s="13"/>
      <c r="Z484" s="13"/>
    </row>
    <row r="485" spans="1:26" ht="15.75" customHeight="1">
      <c r="A485" s="39"/>
      <c r="B485" s="39"/>
      <c r="C485" s="306"/>
      <c r="D485" s="87"/>
      <c r="E485" s="87"/>
      <c r="F485" s="87"/>
      <c r="G485" s="87"/>
      <c r="H485" s="87"/>
      <c r="I485" s="87"/>
      <c r="J485" s="87"/>
      <c r="K485" s="87"/>
      <c r="L485" s="87"/>
      <c r="M485" s="87"/>
      <c r="N485" s="87"/>
      <c r="O485" s="87"/>
      <c r="P485" s="87"/>
      <c r="Q485" s="87"/>
      <c r="R485" s="13"/>
      <c r="S485" s="13"/>
      <c r="T485" s="13"/>
      <c r="U485" s="13"/>
      <c r="V485" s="13"/>
      <c r="W485" s="13"/>
      <c r="X485" s="13"/>
      <c r="Y485" s="13"/>
      <c r="Z485" s="13"/>
    </row>
    <row r="486" spans="1:26" ht="15.75" customHeight="1">
      <c r="A486" s="39"/>
      <c r="B486" s="39"/>
      <c r="C486" s="306"/>
      <c r="D486" s="87"/>
      <c r="E486" s="87"/>
      <c r="F486" s="87"/>
      <c r="G486" s="87"/>
      <c r="H486" s="87"/>
      <c r="I486" s="87"/>
      <c r="J486" s="87"/>
      <c r="K486" s="87"/>
      <c r="L486" s="87"/>
      <c r="M486" s="87"/>
      <c r="N486" s="87"/>
      <c r="O486" s="87"/>
      <c r="P486" s="87"/>
      <c r="Q486" s="87"/>
      <c r="R486" s="13"/>
      <c r="S486" s="13"/>
      <c r="T486" s="13"/>
      <c r="U486" s="13"/>
      <c r="V486" s="13"/>
      <c r="W486" s="13"/>
      <c r="X486" s="13"/>
      <c r="Y486" s="13"/>
      <c r="Z486" s="13"/>
    </row>
    <row r="487" spans="1:26" ht="15.75" customHeight="1">
      <c r="A487" s="39"/>
      <c r="B487" s="39"/>
      <c r="C487" s="306"/>
      <c r="D487" s="87"/>
      <c r="E487" s="87"/>
      <c r="F487" s="87"/>
      <c r="G487" s="87"/>
      <c r="H487" s="87"/>
      <c r="I487" s="87"/>
      <c r="J487" s="87"/>
      <c r="K487" s="87"/>
      <c r="L487" s="87"/>
      <c r="M487" s="87"/>
      <c r="N487" s="87"/>
      <c r="O487" s="87"/>
      <c r="P487" s="87"/>
      <c r="Q487" s="87"/>
      <c r="R487" s="13"/>
      <c r="S487" s="13"/>
      <c r="T487" s="13"/>
      <c r="U487" s="13"/>
      <c r="V487" s="13"/>
      <c r="W487" s="13"/>
      <c r="X487" s="13"/>
      <c r="Y487" s="13"/>
      <c r="Z487" s="13"/>
    </row>
    <row r="488" spans="1:26" ht="15.75" customHeight="1">
      <c r="A488" s="39"/>
      <c r="B488" s="39"/>
      <c r="C488" s="306"/>
      <c r="D488" s="87"/>
      <c r="E488" s="87"/>
      <c r="F488" s="87"/>
      <c r="G488" s="87"/>
      <c r="H488" s="87"/>
      <c r="I488" s="87"/>
      <c r="J488" s="87"/>
      <c r="K488" s="87"/>
      <c r="L488" s="87"/>
      <c r="M488" s="87"/>
      <c r="N488" s="87"/>
      <c r="O488" s="87"/>
      <c r="P488" s="87"/>
      <c r="Q488" s="87"/>
      <c r="R488" s="13"/>
      <c r="S488" s="13"/>
      <c r="T488" s="13"/>
      <c r="U488" s="13"/>
      <c r="V488" s="13"/>
      <c r="W488" s="13"/>
      <c r="X488" s="13"/>
      <c r="Y488" s="13"/>
      <c r="Z488" s="13"/>
    </row>
    <row r="489" spans="1:26" ht="15.75" customHeight="1">
      <c r="A489" s="39"/>
      <c r="B489" s="39"/>
      <c r="C489" s="306"/>
      <c r="D489" s="87"/>
      <c r="E489" s="87"/>
      <c r="F489" s="87"/>
      <c r="G489" s="87"/>
      <c r="H489" s="87"/>
      <c r="I489" s="87"/>
      <c r="J489" s="87"/>
      <c r="K489" s="87"/>
      <c r="L489" s="87"/>
      <c r="M489" s="87"/>
      <c r="N489" s="87"/>
      <c r="O489" s="87"/>
      <c r="P489" s="87"/>
      <c r="Q489" s="87"/>
      <c r="R489" s="13"/>
      <c r="S489" s="13"/>
      <c r="T489" s="13"/>
      <c r="U489" s="13"/>
      <c r="V489" s="13"/>
      <c r="W489" s="13"/>
      <c r="X489" s="13"/>
      <c r="Y489" s="13"/>
      <c r="Z489" s="13"/>
    </row>
    <row r="490" spans="1:26" ht="15.75" customHeight="1">
      <c r="A490" s="39"/>
      <c r="B490" s="39"/>
      <c r="C490" s="306"/>
      <c r="D490" s="87"/>
      <c r="E490" s="87"/>
      <c r="F490" s="87"/>
      <c r="G490" s="87"/>
      <c r="H490" s="87"/>
      <c r="I490" s="87"/>
      <c r="J490" s="87"/>
      <c r="K490" s="87"/>
      <c r="L490" s="87"/>
      <c r="M490" s="87"/>
      <c r="N490" s="87"/>
      <c r="O490" s="87"/>
      <c r="P490" s="87"/>
      <c r="Q490" s="87"/>
      <c r="R490" s="13"/>
      <c r="S490" s="13"/>
      <c r="T490" s="13"/>
      <c r="U490" s="13"/>
      <c r="V490" s="13"/>
      <c r="W490" s="13"/>
      <c r="X490" s="13"/>
      <c r="Y490" s="13"/>
      <c r="Z490" s="13"/>
    </row>
    <row r="491" spans="1:26" ht="15.75" customHeight="1">
      <c r="A491" s="39"/>
      <c r="B491" s="39"/>
      <c r="C491" s="306"/>
      <c r="D491" s="87"/>
      <c r="E491" s="87"/>
      <c r="F491" s="87"/>
      <c r="G491" s="87"/>
      <c r="H491" s="87"/>
      <c r="I491" s="87"/>
      <c r="J491" s="87"/>
      <c r="K491" s="87"/>
      <c r="L491" s="87"/>
      <c r="M491" s="87"/>
      <c r="N491" s="87"/>
      <c r="O491" s="87"/>
      <c r="P491" s="87"/>
      <c r="Q491" s="87"/>
      <c r="R491" s="13"/>
      <c r="S491" s="13"/>
      <c r="T491" s="13"/>
      <c r="U491" s="13"/>
      <c r="V491" s="13"/>
      <c r="W491" s="13"/>
      <c r="X491" s="13"/>
      <c r="Y491" s="13"/>
      <c r="Z491" s="13"/>
    </row>
    <row r="492" spans="1:26" ht="15.75" customHeight="1">
      <c r="A492" s="39"/>
      <c r="B492" s="39"/>
      <c r="C492" s="306"/>
      <c r="D492" s="87"/>
      <c r="E492" s="87"/>
      <c r="F492" s="87"/>
      <c r="G492" s="87"/>
      <c r="H492" s="87"/>
      <c r="I492" s="87"/>
      <c r="J492" s="87"/>
      <c r="K492" s="87"/>
      <c r="L492" s="87"/>
      <c r="M492" s="87"/>
      <c r="N492" s="87"/>
      <c r="O492" s="87"/>
      <c r="P492" s="87"/>
      <c r="Q492" s="87"/>
      <c r="R492" s="13"/>
      <c r="S492" s="13"/>
      <c r="T492" s="13"/>
      <c r="U492" s="13"/>
      <c r="V492" s="13"/>
      <c r="W492" s="13"/>
      <c r="X492" s="13"/>
      <c r="Y492" s="13"/>
      <c r="Z492" s="13"/>
    </row>
    <row r="493" spans="1:26" ht="15.75" customHeight="1">
      <c r="A493" s="39"/>
      <c r="B493" s="39"/>
      <c r="C493" s="306"/>
      <c r="D493" s="87"/>
      <c r="E493" s="87"/>
      <c r="F493" s="87"/>
      <c r="G493" s="87"/>
      <c r="H493" s="87"/>
      <c r="I493" s="87"/>
      <c r="J493" s="87"/>
      <c r="K493" s="87"/>
      <c r="L493" s="87"/>
      <c r="M493" s="87"/>
      <c r="N493" s="87"/>
      <c r="O493" s="87"/>
      <c r="P493" s="87"/>
      <c r="Q493" s="87"/>
      <c r="R493" s="13"/>
      <c r="S493" s="13"/>
      <c r="T493" s="13"/>
      <c r="U493" s="13"/>
      <c r="V493" s="13"/>
      <c r="W493" s="13"/>
      <c r="X493" s="13"/>
      <c r="Y493" s="13"/>
      <c r="Z493" s="13"/>
    </row>
    <row r="494" spans="1:26" ht="15.75" customHeight="1">
      <c r="A494" s="39"/>
      <c r="B494" s="39"/>
      <c r="C494" s="306"/>
      <c r="D494" s="87"/>
      <c r="E494" s="87"/>
      <c r="F494" s="87"/>
      <c r="G494" s="87"/>
      <c r="H494" s="87"/>
      <c r="I494" s="87"/>
      <c r="J494" s="87"/>
      <c r="K494" s="87"/>
      <c r="L494" s="87"/>
      <c r="M494" s="87"/>
      <c r="N494" s="87"/>
      <c r="O494" s="87"/>
      <c r="P494" s="87"/>
      <c r="Q494" s="87"/>
      <c r="R494" s="13"/>
      <c r="S494" s="13"/>
      <c r="T494" s="13"/>
      <c r="U494" s="13"/>
      <c r="V494" s="13"/>
      <c r="W494" s="13"/>
      <c r="X494" s="13"/>
      <c r="Y494" s="13"/>
      <c r="Z494" s="13"/>
    </row>
    <row r="495" spans="1:26" ht="15.75" customHeight="1">
      <c r="A495" s="39"/>
      <c r="B495" s="39"/>
      <c r="C495" s="306"/>
      <c r="D495" s="87"/>
      <c r="E495" s="87"/>
      <c r="F495" s="87"/>
      <c r="G495" s="87"/>
      <c r="H495" s="87"/>
      <c r="I495" s="87"/>
      <c r="J495" s="87"/>
      <c r="K495" s="87"/>
      <c r="L495" s="87"/>
      <c r="M495" s="87"/>
      <c r="N495" s="87"/>
      <c r="O495" s="87"/>
      <c r="P495" s="87"/>
      <c r="Q495" s="87"/>
      <c r="R495" s="13"/>
      <c r="S495" s="13"/>
      <c r="T495" s="13"/>
      <c r="U495" s="13"/>
      <c r="V495" s="13"/>
      <c r="W495" s="13"/>
      <c r="X495" s="13"/>
      <c r="Y495" s="13"/>
      <c r="Z495" s="13"/>
    </row>
    <row r="496" spans="1:26" ht="15.75" customHeight="1">
      <c r="A496" s="39"/>
      <c r="B496" s="39"/>
      <c r="C496" s="306"/>
      <c r="D496" s="87"/>
      <c r="E496" s="87"/>
      <c r="F496" s="87"/>
      <c r="G496" s="87"/>
      <c r="H496" s="87"/>
      <c r="I496" s="87"/>
      <c r="J496" s="87"/>
      <c r="K496" s="87"/>
      <c r="L496" s="87"/>
      <c r="M496" s="87"/>
      <c r="N496" s="87"/>
      <c r="O496" s="87"/>
      <c r="P496" s="87"/>
      <c r="Q496" s="87"/>
      <c r="R496" s="13"/>
      <c r="S496" s="13"/>
      <c r="T496" s="13"/>
      <c r="U496" s="13"/>
      <c r="V496" s="13"/>
      <c r="W496" s="13"/>
      <c r="X496" s="13"/>
      <c r="Y496" s="13"/>
      <c r="Z496" s="13"/>
    </row>
    <row r="497" spans="1:26" ht="15.75" customHeight="1">
      <c r="A497" s="39"/>
      <c r="B497" s="39"/>
      <c r="C497" s="306"/>
      <c r="D497" s="87"/>
      <c r="E497" s="87"/>
      <c r="F497" s="87"/>
      <c r="G497" s="87"/>
      <c r="H497" s="87"/>
      <c r="I497" s="87"/>
      <c r="J497" s="87"/>
      <c r="K497" s="87"/>
      <c r="L497" s="87"/>
      <c r="M497" s="87"/>
      <c r="N497" s="87"/>
      <c r="O497" s="87"/>
      <c r="P497" s="87"/>
      <c r="Q497" s="87"/>
      <c r="R497" s="13"/>
      <c r="S497" s="13"/>
      <c r="T497" s="13"/>
      <c r="U497" s="13"/>
      <c r="V497" s="13"/>
      <c r="W497" s="13"/>
      <c r="X497" s="13"/>
      <c r="Y497" s="13"/>
      <c r="Z497" s="13"/>
    </row>
    <row r="498" spans="1:26" ht="15.75" customHeight="1">
      <c r="A498" s="39"/>
      <c r="B498" s="39"/>
      <c r="C498" s="306"/>
      <c r="D498" s="87"/>
      <c r="E498" s="87"/>
      <c r="F498" s="87"/>
      <c r="G498" s="87"/>
      <c r="H498" s="87"/>
      <c r="I498" s="87"/>
      <c r="J498" s="87"/>
      <c r="K498" s="87"/>
      <c r="L498" s="87"/>
      <c r="M498" s="87"/>
      <c r="N498" s="87"/>
      <c r="O498" s="87"/>
      <c r="P498" s="87"/>
      <c r="Q498" s="87"/>
      <c r="R498" s="13"/>
      <c r="S498" s="13"/>
      <c r="T498" s="13"/>
      <c r="U498" s="13"/>
      <c r="V498" s="13"/>
      <c r="W498" s="13"/>
      <c r="X498" s="13"/>
      <c r="Y498" s="13"/>
      <c r="Z498" s="13"/>
    </row>
    <row r="499" spans="1:26" ht="15.75" customHeight="1">
      <c r="A499" s="39"/>
      <c r="B499" s="39"/>
      <c r="C499" s="306"/>
      <c r="D499" s="87"/>
      <c r="E499" s="87"/>
      <c r="F499" s="87"/>
      <c r="G499" s="87"/>
      <c r="H499" s="87"/>
      <c r="I499" s="87"/>
      <c r="J499" s="87"/>
      <c r="K499" s="87"/>
      <c r="L499" s="87"/>
      <c r="M499" s="87"/>
      <c r="N499" s="87"/>
      <c r="O499" s="87"/>
      <c r="P499" s="87"/>
      <c r="Q499" s="87"/>
      <c r="R499" s="13"/>
      <c r="S499" s="13"/>
      <c r="T499" s="13"/>
      <c r="U499" s="13"/>
      <c r="V499" s="13"/>
      <c r="W499" s="13"/>
      <c r="X499" s="13"/>
      <c r="Y499" s="13"/>
      <c r="Z499" s="13"/>
    </row>
    <row r="500" spans="1:26" ht="15.75" customHeight="1">
      <c r="A500" s="39"/>
      <c r="B500" s="39"/>
      <c r="C500" s="306"/>
      <c r="D500" s="87"/>
      <c r="E500" s="87"/>
      <c r="F500" s="87"/>
      <c r="G500" s="87"/>
      <c r="H500" s="87"/>
      <c r="I500" s="87"/>
      <c r="J500" s="87"/>
      <c r="K500" s="87"/>
      <c r="L500" s="87"/>
      <c r="M500" s="87"/>
      <c r="N500" s="87"/>
      <c r="O500" s="87"/>
      <c r="P500" s="87"/>
      <c r="Q500" s="87"/>
      <c r="R500" s="13"/>
      <c r="S500" s="13"/>
      <c r="T500" s="13"/>
      <c r="U500" s="13"/>
      <c r="V500" s="13"/>
      <c r="W500" s="13"/>
      <c r="X500" s="13"/>
      <c r="Y500" s="13"/>
      <c r="Z500" s="13"/>
    </row>
    <row r="501" spans="1:26" ht="15.75" customHeight="1">
      <c r="A501" s="39"/>
      <c r="B501" s="39"/>
      <c r="C501" s="306"/>
      <c r="D501" s="87"/>
      <c r="E501" s="87"/>
      <c r="F501" s="87"/>
      <c r="G501" s="87"/>
      <c r="H501" s="87"/>
      <c r="I501" s="87"/>
      <c r="J501" s="87"/>
      <c r="K501" s="87"/>
      <c r="L501" s="87"/>
      <c r="M501" s="87"/>
      <c r="N501" s="87"/>
      <c r="O501" s="87"/>
      <c r="P501" s="87"/>
      <c r="Q501" s="87"/>
      <c r="R501" s="13"/>
      <c r="S501" s="13"/>
      <c r="T501" s="13"/>
      <c r="U501" s="13"/>
      <c r="V501" s="13"/>
      <c r="W501" s="13"/>
      <c r="X501" s="13"/>
      <c r="Y501" s="13"/>
      <c r="Z501" s="13"/>
    </row>
    <row r="502" spans="1:26" ht="15.75" customHeight="1">
      <c r="A502" s="39"/>
      <c r="B502" s="39"/>
      <c r="C502" s="306"/>
      <c r="D502" s="87"/>
      <c r="E502" s="87"/>
      <c r="F502" s="87"/>
      <c r="G502" s="87"/>
      <c r="H502" s="87"/>
      <c r="I502" s="87"/>
      <c r="J502" s="87"/>
      <c r="K502" s="87"/>
      <c r="L502" s="87"/>
      <c r="M502" s="87"/>
      <c r="N502" s="87"/>
      <c r="O502" s="87"/>
      <c r="P502" s="87"/>
      <c r="Q502" s="87"/>
      <c r="R502" s="13"/>
      <c r="S502" s="13"/>
      <c r="T502" s="13"/>
      <c r="U502" s="13"/>
      <c r="V502" s="13"/>
      <c r="W502" s="13"/>
      <c r="X502" s="13"/>
      <c r="Y502" s="13"/>
      <c r="Z502" s="13"/>
    </row>
    <row r="503" spans="1:26" ht="15.75" customHeight="1">
      <c r="A503" s="39"/>
      <c r="B503" s="39"/>
      <c r="C503" s="306"/>
      <c r="D503" s="87"/>
      <c r="E503" s="87"/>
      <c r="F503" s="87"/>
      <c r="G503" s="87"/>
      <c r="H503" s="87"/>
      <c r="I503" s="87"/>
      <c r="J503" s="87"/>
      <c r="K503" s="87"/>
      <c r="L503" s="87"/>
      <c r="M503" s="87"/>
      <c r="N503" s="87"/>
      <c r="O503" s="87"/>
      <c r="P503" s="87"/>
      <c r="Q503" s="87"/>
      <c r="R503" s="13"/>
      <c r="S503" s="13"/>
      <c r="T503" s="13"/>
      <c r="U503" s="13"/>
      <c r="V503" s="13"/>
      <c r="W503" s="13"/>
      <c r="X503" s="13"/>
      <c r="Y503" s="13"/>
      <c r="Z503" s="13"/>
    </row>
    <row r="504" spans="1:26" ht="15.75" customHeight="1">
      <c r="A504" s="39"/>
      <c r="B504" s="39"/>
      <c r="C504" s="306"/>
      <c r="D504" s="87"/>
      <c r="E504" s="87"/>
      <c r="F504" s="87"/>
      <c r="G504" s="87"/>
      <c r="H504" s="87"/>
      <c r="I504" s="87"/>
      <c r="J504" s="87"/>
      <c r="K504" s="87"/>
      <c r="L504" s="87"/>
      <c r="M504" s="87"/>
      <c r="N504" s="87"/>
      <c r="O504" s="87"/>
      <c r="P504" s="87"/>
      <c r="Q504" s="87"/>
      <c r="R504" s="13"/>
      <c r="S504" s="13"/>
      <c r="T504" s="13"/>
      <c r="U504" s="13"/>
      <c r="V504" s="13"/>
      <c r="W504" s="13"/>
      <c r="X504" s="13"/>
      <c r="Y504" s="13"/>
      <c r="Z504" s="13"/>
    </row>
    <row r="505" spans="1:26" ht="15.75" customHeight="1">
      <c r="A505" s="39"/>
      <c r="B505" s="39"/>
      <c r="C505" s="306"/>
      <c r="D505" s="87"/>
      <c r="E505" s="87"/>
      <c r="F505" s="87"/>
      <c r="G505" s="87"/>
      <c r="H505" s="87"/>
      <c r="I505" s="87"/>
      <c r="J505" s="87"/>
      <c r="K505" s="87"/>
      <c r="L505" s="87"/>
      <c r="M505" s="87"/>
      <c r="N505" s="87"/>
      <c r="O505" s="87"/>
      <c r="P505" s="87"/>
      <c r="Q505" s="87"/>
      <c r="R505" s="13"/>
      <c r="S505" s="13"/>
      <c r="T505" s="13"/>
      <c r="U505" s="13"/>
      <c r="V505" s="13"/>
      <c r="W505" s="13"/>
      <c r="X505" s="13"/>
      <c r="Y505" s="13"/>
      <c r="Z505" s="13"/>
    </row>
    <row r="506" spans="1:26" ht="15.75" customHeight="1">
      <c r="A506" s="39"/>
      <c r="B506" s="39"/>
      <c r="C506" s="306"/>
      <c r="D506" s="87"/>
      <c r="E506" s="87"/>
      <c r="F506" s="87"/>
      <c r="G506" s="87"/>
      <c r="H506" s="87"/>
      <c r="I506" s="87"/>
      <c r="J506" s="87"/>
      <c r="K506" s="87"/>
      <c r="L506" s="87"/>
      <c r="M506" s="87"/>
      <c r="N506" s="87"/>
      <c r="O506" s="87"/>
      <c r="P506" s="87"/>
      <c r="Q506" s="87"/>
      <c r="R506" s="13"/>
      <c r="S506" s="13"/>
      <c r="T506" s="13"/>
      <c r="U506" s="13"/>
      <c r="V506" s="13"/>
      <c r="W506" s="13"/>
      <c r="X506" s="13"/>
      <c r="Y506" s="13"/>
      <c r="Z506" s="13"/>
    </row>
    <row r="507" spans="1:26" ht="15.75" customHeight="1">
      <c r="A507" s="39"/>
      <c r="B507" s="39"/>
      <c r="C507" s="306"/>
      <c r="D507" s="87"/>
      <c r="E507" s="87"/>
      <c r="F507" s="87"/>
      <c r="G507" s="87"/>
      <c r="H507" s="87"/>
      <c r="I507" s="87"/>
      <c r="J507" s="87"/>
      <c r="K507" s="87"/>
      <c r="L507" s="87"/>
      <c r="M507" s="87"/>
      <c r="N507" s="87"/>
      <c r="O507" s="87"/>
      <c r="P507" s="87"/>
      <c r="Q507" s="87"/>
      <c r="R507" s="13"/>
      <c r="S507" s="13"/>
      <c r="T507" s="13"/>
      <c r="U507" s="13"/>
      <c r="V507" s="13"/>
      <c r="W507" s="13"/>
      <c r="X507" s="13"/>
      <c r="Y507" s="13"/>
      <c r="Z507" s="13"/>
    </row>
    <row r="508" spans="1:26" ht="15.75" customHeight="1">
      <c r="A508" s="39"/>
      <c r="B508" s="39"/>
      <c r="C508" s="306"/>
      <c r="D508" s="87"/>
      <c r="E508" s="87"/>
      <c r="F508" s="87"/>
      <c r="G508" s="87"/>
      <c r="H508" s="87"/>
      <c r="I508" s="87"/>
      <c r="J508" s="87"/>
      <c r="K508" s="87"/>
      <c r="L508" s="87"/>
      <c r="M508" s="87"/>
      <c r="N508" s="87"/>
      <c r="O508" s="87"/>
      <c r="P508" s="87"/>
      <c r="Q508" s="87"/>
      <c r="R508" s="13"/>
      <c r="S508" s="13"/>
      <c r="T508" s="13"/>
      <c r="U508" s="13"/>
      <c r="V508" s="13"/>
      <c r="W508" s="13"/>
      <c r="X508" s="13"/>
      <c r="Y508" s="13"/>
      <c r="Z508" s="13"/>
    </row>
    <row r="509" spans="1:26" ht="15.75" customHeight="1">
      <c r="A509" s="39"/>
      <c r="B509" s="39"/>
      <c r="C509" s="306"/>
      <c r="D509" s="87"/>
      <c r="E509" s="87"/>
      <c r="F509" s="87"/>
      <c r="G509" s="87"/>
      <c r="H509" s="87"/>
      <c r="I509" s="87"/>
      <c r="J509" s="87"/>
      <c r="K509" s="87"/>
      <c r="L509" s="87"/>
      <c r="M509" s="87"/>
      <c r="N509" s="87"/>
      <c r="O509" s="87"/>
      <c r="P509" s="87"/>
      <c r="Q509" s="87"/>
      <c r="R509" s="13"/>
      <c r="S509" s="13"/>
      <c r="T509" s="13"/>
      <c r="U509" s="13"/>
      <c r="V509" s="13"/>
      <c r="W509" s="13"/>
      <c r="X509" s="13"/>
      <c r="Y509" s="13"/>
      <c r="Z509" s="13"/>
    </row>
    <row r="510" spans="1:26" ht="15.75" customHeight="1">
      <c r="A510" s="39"/>
      <c r="B510" s="39"/>
      <c r="C510" s="306"/>
      <c r="D510" s="87"/>
      <c r="E510" s="87"/>
      <c r="F510" s="87"/>
      <c r="G510" s="87"/>
      <c r="H510" s="87"/>
      <c r="I510" s="87"/>
      <c r="J510" s="87"/>
      <c r="K510" s="87"/>
      <c r="L510" s="87"/>
      <c r="M510" s="87"/>
      <c r="N510" s="87"/>
      <c r="O510" s="87"/>
      <c r="P510" s="87"/>
      <c r="Q510" s="87"/>
      <c r="R510" s="13"/>
      <c r="S510" s="13"/>
      <c r="T510" s="13"/>
      <c r="U510" s="13"/>
      <c r="V510" s="13"/>
      <c r="W510" s="13"/>
      <c r="X510" s="13"/>
      <c r="Y510" s="13"/>
      <c r="Z510" s="13"/>
    </row>
    <row r="511" spans="1:26" ht="15.75" customHeight="1">
      <c r="A511" s="39"/>
      <c r="B511" s="39"/>
      <c r="C511" s="306"/>
      <c r="D511" s="87"/>
      <c r="E511" s="87"/>
      <c r="F511" s="87"/>
      <c r="G511" s="87"/>
      <c r="H511" s="87"/>
      <c r="I511" s="87"/>
      <c r="J511" s="87"/>
      <c r="K511" s="87"/>
      <c r="L511" s="87"/>
      <c r="M511" s="87"/>
      <c r="N511" s="87"/>
      <c r="O511" s="87"/>
      <c r="P511" s="87"/>
      <c r="Q511" s="87"/>
      <c r="R511" s="13"/>
      <c r="S511" s="13"/>
      <c r="T511" s="13"/>
      <c r="U511" s="13"/>
      <c r="V511" s="13"/>
      <c r="W511" s="13"/>
      <c r="X511" s="13"/>
      <c r="Y511" s="13"/>
      <c r="Z511" s="13"/>
    </row>
    <row r="512" spans="1:26" ht="15.75" customHeight="1">
      <c r="A512" s="39"/>
      <c r="B512" s="39"/>
      <c r="C512" s="306"/>
      <c r="D512" s="87"/>
      <c r="E512" s="87"/>
      <c r="F512" s="87"/>
      <c r="G512" s="87"/>
      <c r="H512" s="87"/>
      <c r="I512" s="87"/>
      <c r="J512" s="87"/>
      <c r="K512" s="87"/>
      <c r="L512" s="87"/>
      <c r="M512" s="87"/>
      <c r="N512" s="87"/>
      <c r="O512" s="87"/>
      <c r="P512" s="87"/>
      <c r="Q512" s="87"/>
      <c r="R512" s="13"/>
      <c r="S512" s="13"/>
      <c r="T512" s="13"/>
      <c r="U512" s="13"/>
      <c r="V512" s="13"/>
      <c r="W512" s="13"/>
      <c r="X512" s="13"/>
      <c r="Y512" s="13"/>
      <c r="Z512" s="13"/>
    </row>
    <row r="513" spans="1:26" ht="15.75" customHeight="1">
      <c r="A513" s="39"/>
      <c r="B513" s="39"/>
      <c r="C513" s="306"/>
      <c r="D513" s="87"/>
      <c r="E513" s="87"/>
      <c r="F513" s="87"/>
      <c r="G513" s="87"/>
      <c r="H513" s="87"/>
      <c r="I513" s="87"/>
      <c r="J513" s="87"/>
      <c r="K513" s="87"/>
      <c r="L513" s="87"/>
      <c r="M513" s="87"/>
      <c r="N513" s="87"/>
      <c r="O513" s="87"/>
      <c r="P513" s="87"/>
      <c r="Q513" s="87"/>
      <c r="R513" s="13"/>
      <c r="S513" s="13"/>
      <c r="T513" s="13"/>
      <c r="U513" s="13"/>
      <c r="V513" s="13"/>
      <c r="W513" s="13"/>
      <c r="X513" s="13"/>
      <c r="Y513" s="13"/>
      <c r="Z513" s="13"/>
    </row>
    <row r="514" spans="1:26" ht="15.75" customHeight="1">
      <c r="A514" s="39"/>
      <c r="B514" s="39"/>
      <c r="C514" s="306"/>
      <c r="D514" s="87"/>
      <c r="E514" s="87"/>
      <c r="F514" s="87"/>
      <c r="G514" s="87"/>
      <c r="H514" s="87"/>
      <c r="I514" s="87"/>
      <c r="J514" s="87"/>
      <c r="K514" s="87"/>
      <c r="L514" s="87"/>
      <c r="M514" s="87"/>
      <c r="N514" s="87"/>
      <c r="O514" s="87"/>
      <c r="P514" s="87"/>
      <c r="Q514" s="87"/>
      <c r="R514" s="13"/>
      <c r="S514" s="13"/>
      <c r="T514" s="13"/>
      <c r="U514" s="13"/>
      <c r="V514" s="13"/>
      <c r="W514" s="13"/>
      <c r="X514" s="13"/>
      <c r="Y514" s="13"/>
      <c r="Z514" s="13"/>
    </row>
    <row r="515" spans="1:26" ht="15.75" customHeight="1">
      <c r="A515" s="39"/>
      <c r="B515" s="39"/>
      <c r="C515" s="306"/>
      <c r="D515" s="87"/>
      <c r="E515" s="87"/>
      <c r="F515" s="87"/>
      <c r="G515" s="87"/>
      <c r="H515" s="87"/>
      <c r="I515" s="87"/>
      <c r="J515" s="87"/>
      <c r="K515" s="87"/>
      <c r="L515" s="87"/>
      <c r="M515" s="87"/>
      <c r="N515" s="87"/>
      <c r="O515" s="87"/>
      <c r="P515" s="87"/>
      <c r="Q515" s="87"/>
      <c r="R515" s="13"/>
      <c r="S515" s="13"/>
      <c r="T515" s="13"/>
      <c r="U515" s="13"/>
      <c r="V515" s="13"/>
      <c r="W515" s="13"/>
      <c r="X515" s="13"/>
      <c r="Y515" s="13"/>
      <c r="Z515" s="13"/>
    </row>
    <row r="516" spans="1:26" ht="15.75" customHeight="1">
      <c r="A516" s="39"/>
      <c r="B516" s="39"/>
      <c r="C516" s="306"/>
      <c r="D516" s="87"/>
      <c r="E516" s="87"/>
      <c r="F516" s="87"/>
      <c r="G516" s="87"/>
      <c r="H516" s="87"/>
      <c r="I516" s="87"/>
      <c r="J516" s="87"/>
      <c r="K516" s="87"/>
      <c r="L516" s="87"/>
      <c r="M516" s="87"/>
      <c r="N516" s="87"/>
      <c r="O516" s="87"/>
      <c r="P516" s="87"/>
      <c r="Q516" s="87"/>
      <c r="R516" s="13"/>
      <c r="S516" s="13"/>
      <c r="T516" s="13"/>
      <c r="U516" s="13"/>
      <c r="V516" s="13"/>
      <c r="W516" s="13"/>
      <c r="X516" s="13"/>
      <c r="Y516" s="13"/>
      <c r="Z516" s="13"/>
    </row>
    <row r="517" spans="1:26" ht="15.75" customHeight="1">
      <c r="A517" s="39"/>
      <c r="B517" s="39"/>
      <c r="C517" s="306"/>
      <c r="D517" s="87"/>
      <c r="E517" s="87"/>
      <c r="F517" s="87"/>
      <c r="G517" s="87"/>
      <c r="H517" s="87"/>
      <c r="I517" s="87"/>
      <c r="J517" s="87"/>
      <c r="K517" s="87"/>
      <c r="L517" s="87"/>
      <c r="M517" s="87"/>
      <c r="N517" s="87"/>
      <c r="O517" s="87"/>
      <c r="P517" s="87"/>
      <c r="Q517" s="87"/>
      <c r="R517" s="13"/>
      <c r="S517" s="13"/>
      <c r="T517" s="13"/>
      <c r="U517" s="13"/>
      <c r="V517" s="13"/>
      <c r="W517" s="13"/>
      <c r="X517" s="13"/>
      <c r="Y517" s="13"/>
      <c r="Z517" s="13"/>
    </row>
    <row r="518" spans="1:26" ht="15.75" customHeight="1">
      <c r="A518" s="39"/>
      <c r="B518" s="39"/>
      <c r="C518" s="306"/>
      <c r="D518" s="87"/>
      <c r="E518" s="87"/>
      <c r="F518" s="87"/>
      <c r="G518" s="87"/>
      <c r="H518" s="87"/>
      <c r="I518" s="87"/>
      <c r="J518" s="87"/>
      <c r="K518" s="87"/>
      <c r="L518" s="87"/>
      <c r="M518" s="87"/>
      <c r="N518" s="87"/>
      <c r="O518" s="87"/>
      <c r="P518" s="87"/>
      <c r="Q518" s="87"/>
      <c r="R518" s="13"/>
      <c r="S518" s="13"/>
      <c r="T518" s="13"/>
      <c r="U518" s="13"/>
      <c r="V518" s="13"/>
      <c r="W518" s="13"/>
      <c r="X518" s="13"/>
      <c r="Y518" s="13"/>
      <c r="Z518" s="13"/>
    </row>
    <row r="519" spans="1:26" ht="15.75" customHeight="1">
      <c r="A519" s="39"/>
      <c r="B519" s="39"/>
      <c r="C519" s="306"/>
      <c r="D519" s="87"/>
      <c r="E519" s="87"/>
      <c r="F519" s="87"/>
      <c r="G519" s="87"/>
      <c r="H519" s="87"/>
      <c r="I519" s="87"/>
      <c r="J519" s="87"/>
      <c r="K519" s="87"/>
      <c r="L519" s="87"/>
      <c r="M519" s="87"/>
      <c r="N519" s="87"/>
      <c r="O519" s="87"/>
      <c r="P519" s="87"/>
      <c r="Q519" s="87"/>
      <c r="R519" s="13"/>
      <c r="S519" s="13"/>
      <c r="T519" s="13"/>
      <c r="U519" s="13"/>
      <c r="V519" s="13"/>
      <c r="W519" s="13"/>
      <c r="X519" s="13"/>
      <c r="Y519" s="13"/>
      <c r="Z519" s="13"/>
    </row>
    <row r="520" spans="1:26" ht="15.75" customHeight="1">
      <c r="A520" s="39"/>
      <c r="B520" s="39"/>
      <c r="C520" s="306"/>
      <c r="D520" s="87"/>
      <c r="E520" s="87"/>
      <c r="F520" s="87"/>
      <c r="G520" s="87"/>
      <c r="H520" s="87"/>
      <c r="I520" s="87"/>
      <c r="J520" s="87"/>
      <c r="K520" s="87"/>
      <c r="L520" s="87"/>
      <c r="M520" s="87"/>
      <c r="N520" s="87"/>
      <c r="O520" s="87"/>
      <c r="P520" s="87"/>
      <c r="Q520" s="87"/>
      <c r="R520" s="13"/>
      <c r="S520" s="13"/>
      <c r="T520" s="13"/>
      <c r="U520" s="13"/>
      <c r="V520" s="13"/>
      <c r="W520" s="13"/>
      <c r="X520" s="13"/>
      <c r="Y520" s="13"/>
      <c r="Z520" s="13"/>
    </row>
    <row r="521" spans="1:26" ht="15.75" customHeight="1">
      <c r="A521" s="39"/>
      <c r="B521" s="39"/>
      <c r="C521" s="306"/>
      <c r="D521" s="87"/>
      <c r="E521" s="87"/>
      <c r="F521" s="87"/>
      <c r="G521" s="87"/>
      <c r="H521" s="87"/>
      <c r="I521" s="87"/>
      <c r="J521" s="87"/>
      <c r="K521" s="87"/>
      <c r="L521" s="87"/>
      <c r="M521" s="87"/>
      <c r="N521" s="87"/>
      <c r="O521" s="87"/>
      <c r="P521" s="87"/>
      <c r="Q521" s="87"/>
      <c r="R521" s="13"/>
      <c r="S521" s="13"/>
      <c r="T521" s="13"/>
      <c r="U521" s="13"/>
      <c r="V521" s="13"/>
      <c r="W521" s="13"/>
      <c r="X521" s="13"/>
      <c r="Y521" s="13"/>
      <c r="Z521" s="13"/>
    </row>
    <row r="522" spans="1:26" ht="15.75" customHeight="1">
      <c r="A522" s="39"/>
      <c r="B522" s="39"/>
      <c r="C522" s="306"/>
      <c r="D522" s="87"/>
      <c r="E522" s="87"/>
      <c r="F522" s="87"/>
      <c r="G522" s="87"/>
      <c r="H522" s="87"/>
      <c r="I522" s="87"/>
      <c r="J522" s="87"/>
      <c r="K522" s="87"/>
      <c r="L522" s="87"/>
      <c r="M522" s="87"/>
      <c r="N522" s="87"/>
      <c r="O522" s="87"/>
      <c r="P522" s="87"/>
      <c r="Q522" s="87"/>
      <c r="R522" s="13"/>
      <c r="S522" s="13"/>
      <c r="T522" s="13"/>
      <c r="U522" s="13"/>
      <c r="V522" s="13"/>
      <c r="W522" s="13"/>
      <c r="X522" s="13"/>
      <c r="Y522" s="13"/>
      <c r="Z522" s="13"/>
    </row>
    <row r="523" spans="1:26" ht="15.75" customHeight="1">
      <c r="A523" s="39"/>
      <c r="B523" s="39"/>
      <c r="C523" s="306"/>
      <c r="D523" s="87"/>
      <c r="E523" s="87"/>
      <c r="F523" s="87"/>
      <c r="G523" s="87"/>
      <c r="H523" s="87"/>
      <c r="I523" s="87"/>
      <c r="J523" s="87"/>
      <c r="K523" s="87"/>
      <c r="L523" s="87"/>
      <c r="M523" s="87"/>
      <c r="N523" s="87"/>
      <c r="O523" s="87"/>
      <c r="P523" s="87"/>
      <c r="Q523" s="87"/>
      <c r="R523" s="13"/>
      <c r="S523" s="13"/>
      <c r="T523" s="13"/>
      <c r="U523" s="13"/>
      <c r="V523" s="13"/>
      <c r="W523" s="13"/>
      <c r="X523" s="13"/>
      <c r="Y523" s="13"/>
      <c r="Z523" s="13"/>
    </row>
    <row r="524" spans="1:26" ht="15.75" customHeight="1">
      <c r="A524" s="39"/>
      <c r="B524" s="39"/>
      <c r="C524" s="306"/>
      <c r="D524" s="87"/>
      <c r="E524" s="87"/>
      <c r="F524" s="87"/>
      <c r="G524" s="87"/>
      <c r="H524" s="87"/>
      <c r="I524" s="87"/>
      <c r="J524" s="87"/>
      <c r="K524" s="87"/>
      <c r="L524" s="87"/>
      <c r="M524" s="87"/>
      <c r="N524" s="87"/>
      <c r="O524" s="87"/>
      <c r="P524" s="87"/>
      <c r="Q524" s="87"/>
      <c r="R524" s="13"/>
      <c r="S524" s="13"/>
      <c r="T524" s="13"/>
      <c r="U524" s="13"/>
      <c r="V524" s="13"/>
      <c r="W524" s="13"/>
      <c r="X524" s="13"/>
      <c r="Y524" s="13"/>
      <c r="Z524" s="13"/>
    </row>
    <row r="525" spans="1:26" ht="15.75" customHeight="1">
      <c r="A525" s="39"/>
      <c r="B525" s="39"/>
      <c r="C525" s="306"/>
      <c r="D525" s="87"/>
      <c r="E525" s="87"/>
      <c r="F525" s="87"/>
      <c r="G525" s="87"/>
      <c r="H525" s="87"/>
      <c r="I525" s="87"/>
      <c r="J525" s="87"/>
      <c r="K525" s="87"/>
      <c r="L525" s="87"/>
      <c r="M525" s="87"/>
      <c r="N525" s="87"/>
      <c r="O525" s="87"/>
      <c r="P525" s="87"/>
      <c r="Q525" s="87"/>
      <c r="R525" s="13"/>
      <c r="S525" s="13"/>
      <c r="T525" s="13"/>
      <c r="U525" s="13"/>
      <c r="V525" s="13"/>
      <c r="W525" s="13"/>
      <c r="X525" s="13"/>
      <c r="Y525" s="13"/>
      <c r="Z525" s="13"/>
    </row>
    <row r="526" spans="1:26" ht="15.75" customHeight="1">
      <c r="A526" s="39"/>
      <c r="B526" s="39"/>
      <c r="C526" s="306"/>
      <c r="D526" s="87"/>
      <c r="E526" s="87"/>
      <c r="F526" s="87"/>
      <c r="G526" s="87"/>
      <c r="H526" s="87"/>
      <c r="I526" s="87"/>
      <c r="J526" s="87"/>
      <c r="K526" s="87"/>
      <c r="L526" s="87"/>
      <c r="M526" s="87"/>
      <c r="N526" s="87"/>
      <c r="O526" s="87"/>
      <c r="P526" s="87"/>
      <c r="Q526" s="87"/>
      <c r="R526" s="13"/>
      <c r="S526" s="13"/>
      <c r="T526" s="13"/>
      <c r="U526" s="13"/>
      <c r="V526" s="13"/>
      <c r="W526" s="13"/>
      <c r="X526" s="13"/>
      <c r="Y526" s="13"/>
      <c r="Z526" s="13"/>
    </row>
    <row r="527" spans="1:26" ht="15.75" customHeight="1">
      <c r="A527" s="39"/>
      <c r="B527" s="39"/>
      <c r="C527" s="306"/>
      <c r="D527" s="87"/>
      <c r="E527" s="87"/>
      <c r="F527" s="87"/>
      <c r="G527" s="87"/>
      <c r="H527" s="87"/>
      <c r="I527" s="87"/>
      <c r="J527" s="87"/>
      <c r="K527" s="87"/>
      <c r="L527" s="87"/>
      <c r="M527" s="87"/>
      <c r="N527" s="87"/>
      <c r="O527" s="87"/>
      <c r="P527" s="87"/>
      <c r="Q527" s="87"/>
      <c r="R527" s="13"/>
      <c r="S527" s="13"/>
      <c r="T527" s="13"/>
      <c r="U527" s="13"/>
      <c r="V527" s="13"/>
      <c r="W527" s="13"/>
      <c r="X527" s="13"/>
      <c r="Y527" s="13"/>
      <c r="Z527" s="13"/>
    </row>
    <row r="528" spans="1:26" ht="15.75" customHeight="1">
      <c r="A528" s="39"/>
      <c r="B528" s="39"/>
      <c r="C528" s="306"/>
      <c r="D528" s="87"/>
      <c r="E528" s="87"/>
      <c r="F528" s="87"/>
      <c r="G528" s="87"/>
      <c r="H528" s="87"/>
      <c r="I528" s="87"/>
      <c r="J528" s="87"/>
      <c r="K528" s="87"/>
      <c r="L528" s="87"/>
      <c r="M528" s="87"/>
      <c r="N528" s="87"/>
      <c r="O528" s="87"/>
      <c r="P528" s="87"/>
      <c r="Q528" s="87"/>
      <c r="R528" s="13"/>
      <c r="S528" s="13"/>
      <c r="T528" s="13"/>
      <c r="U528" s="13"/>
      <c r="V528" s="13"/>
      <c r="W528" s="13"/>
      <c r="X528" s="13"/>
      <c r="Y528" s="13"/>
      <c r="Z528" s="13"/>
    </row>
    <row r="529" spans="1:26" ht="15.75" customHeight="1">
      <c r="A529" s="39"/>
      <c r="B529" s="39"/>
      <c r="C529" s="306"/>
      <c r="D529" s="87"/>
      <c r="E529" s="87"/>
      <c r="F529" s="87"/>
      <c r="G529" s="87"/>
      <c r="H529" s="87"/>
      <c r="I529" s="87"/>
      <c r="J529" s="87"/>
      <c r="K529" s="87"/>
      <c r="L529" s="87"/>
      <c r="M529" s="87"/>
      <c r="N529" s="87"/>
      <c r="O529" s="87"/>
      <c r="P529" s="87"/>
      <c r="Q529" s="87"/>
      <c r="R529" s="13"/>
      <c r="S529" s="13"/>
      <c r="T529" s="13"/>
      <c r="U529" s="13"/>
      <c r="V529" s="13"/>
      <c r="W529" s="13"/>
      <c r="X529" s="13"/>
      <c r="Y529" s="13"/>
      <c r="Z529" s="13"/>
    </row>
    <row r="530" spans="1:26" ht="15.75" customHeight="1">
      <c r="A530" s="39"/>
      <c r="B530" s="39"/>
      <c r="C530" s="306"/>
      <c r="D530" s="87"/>
      <c r="E530" s="87"/>
      <c r="F530" s="87"/>
      <c r="G530" s="87"/>
      <c r="H530" s="87"/>
      <c r="I530" s="87"/>
      <c r="J530" s="87"/>
      <c r="K530" s="87"/>
      <c r="L530" s="87"/>
      <c r="M530" s="87"/>
      <c r="N530" s="87"/>
      <c r="O530" s="87"/>
      <c r="P530" s="87"/>
      <c r="Q530" s="87"/>
      <c r="R530" s="13"/>
      <c r="S530" s="13"/>
      <c r="T530" s="13"/>
      <c r="U530" s="13"/>
      <c r="V530" s="13"/>
      <c r="W530" s="13"/>
      <c r="X530" s="13"/>
      <c r="Y530" s="13"/>
      <c r="Z530" s="13"/>
    </row>
    <row r="531" spans="1:26" ht="15.75" customHeight="1">
      <c r="A531" s="39"/>
      <c r="B531" s="39"/>
      <c r="C531" s="306"/>
      <c r="D531" s="87"/>
      <c r="E531" s="87"/>
      <c r="F531" s="87"/>
      <c r="G531" s="87"/>
      <c r="H531" s="87"/>
      <c r="I531" s="87"/>
      <c r="J531" s="87"/>
      <c r="K531" s="87"/>
      <c r="L531" s="87"/>
      <c r="M531" s="87"/>
      <c r="N531" s="87"/>
      <c r="O531" s="87"/>
      <c r="P531" s="87"/>
      <c r="Q531" s="87"/>
      <c r="R531" s="13"/>
      <c r="S531" s="13"/>
      <c r="T531" s="13"/>
      <c r="U531" s="13"/>
      <c r="V531" s="13"/>
      <c r="W531" s="13"/>
      <c r="X531" s="13"/>
      <c r="Y531" s="13"/>
      <c r="Z531" s="13"/>
    </row>
    <row r="532" spans="1:26" ht="15.75" customHeight="1">
      <c r="A532" s="39"/>
      <c r="B532" s="39"/>
      <c r="C532" s="306"/>
      <c r="D532" s="87"/>
      <c r="E532" s="87"/>
      <c r="F532" s="87"/>
      <c r="G532" s="87"/>
      <c r="H532" s="87"/>
      <c r="I532" s="87"/>
      <c r="J532" s="87"/>
      <c r="K532" s="87"/>
      <c r="L532" s="87"/>
      <c r="M532" s="87"/>
      <c r="N532" s="87"/>
      <c r="O532" s="87"/>
      <c r="P532" s="87"/>
      <c r="Q532" s="87"/>
      <c r="R532" s="13"/>
      <c r="S532" s="13"/>
      <c r="T532" s="13"/>
      <c r="U532" s="13"/>
      <c r="V532" s="13"/>
      <c r="W532" s="13"/>
      <c r="X532" s="13"/>
      <c r="Y532" s="13"/>
      <c r="Z532" s="13"/>
    </row>
    <row r="533" spans="1:26" ht="15.75" customHeight="1">
      <c r="A533" s="39"/>
      <c r="B533" s="39"/>
      <c r="C533" s="306"/>
      <c r="D533" s="87"/>
      <c r="E533" s="87"/>
      <c r="F533" s="87"/>
      <c r="G533" s="87"/>
      <c r="H533" s="87"/>
      <c r="I533" s="87"/>
      <c r="J533" s="87"/>
      <c r="K533" s="87"/>
      <c r="L533" s="87"/>
      <c r="M533" s="87"/>
      <c r="N533" s="87"/>
      <c r="O533" s="87"/>
      <c r="P533" s="87"/>
      <c r="Q533" s="87"/>
      <c r="R533" s="13"/>
      <c r="S533" s="13"/>
      <c r="T533" s="13"/>
      <c r="U533" s="13"/>
      <c r="V533" s="13"/>
      <c r="W533" s="13"/>
      <c r="X533" s="13"/>
      <c r="Y533" s="13"/>
      <c r="Z533" s="13"/>
    </row>
    <row r="534" spans="1:26" ht="15.75" customHeight="1">
      <c r="A534" s="39"/>
      <c r="B534" s="39"/>
      <c r="C534" s="306"/>
      <c r="D534" s="87"/>
      <c r="E534" s="87"/>
      <c r="F534" s="87"/>
      <c r="G534" s="87"/>
      <c r="H534" s="87"/>
      <c r="I534" s="87"/>
      <c r="J534" s="87"/>
      <c r="K534" s="87"/>
      <c r="L534" s="87"/>
      <c r="M534" s="87"/>
      <c r="N534" s="87"/>
      <c r="O534" s="87"/>
      <c r="P534" s="87"/>
      <c r="Q534" s="87"/>
      <c r="R534" s="13"/>
      <c r="S534" s="13"/>
      <c r="T534" s="13"/>
      <c r="U534" s="13"/>
      <c r="V534" s="13"/>
      <c r="W534" s="13"/>
      <c r="X534" s="13"/>
      <c r="Y534" s="13"/>
      <c r="Z534" s="13"/>
    </row>
    <row r="535" spans="1:26" ht="15.75" customHeight="1">
      <c r="A535" s="39"/>
      <c r="B535" s="39"/>
      <c r="C535" s="306"/>
      <c r="D535" s="87"/>
      <c r="E535" s="87"/>
      <c r="F535" s="87"/>
      <c r="G535" s="87"/>
      <c r="H535" s="87"/>
      <c r="I535" s="87"/>
      <c r="J535" s="87"/>
      <c r="K535" s="87"/>
      <c r="L535" s="87"/>
      <c r="M535" s="87"/>
      <c r="N535" s="87"/>
      <c r="O535" s="87"/>
      <c r="P535" s="87"/>
      <c r="Q535" s="87"/>
      <c r="R535" s="13"/>
      <c r="S535" s="13"/>
      <c r="T535" s="13"/>
      <c r="U535" s="13"/>
      <c r="V535" s="13"/>
      <c r="W535" s="13"/>
      <c r="X535" s="13"/>
      <c r="Y535" s="13"/>
      <c r="Z535" s="13"/>
    </row>
    <row r="536" spans="1:26" ht="15.75" customHeight="1">
      <c r="A536" s="39"/>
      <c r="B536" s="39"/>
      <c r="C536" s="306"/>
      <c r="D536" s="87"/>
      <c r="E536" s="87"/>
      <c r="F536" s="87"/>
      <c r="G536" s="87"/>
      <c r="H536" s="87"/>
      <c r="I536" s="87"/>
      <c r="J536" s="87"/>
      <c r="K536" s="87"/>
      <c r="L536" s="87"/>
      <c r="M536" s="87"/>
      <c r="N536" s="87"/>
      <c r="O536" s="87"/>
      <c r="P536" s="87"/>
      <c r="Q536" s="87"/>
      <c r="R536" s="13"/>
      <c r="S536" s="13"/>
      <c r="T536" s="13"/>
      <c r="U536" s="13"/>
      <c r="V536" s="13"/>
      <c r="W536" s="13"/>
      <c r="X536" s="13"/>
      <c r="Y536" s="13"/>
      <c r="Z536" s="13"/>
    </row>
    <row r="537" spans="1:26" ht="15.75" customHeight="1">
      <c r="A537" s="39"/>
      <c r="B537" s="39"/>
      <c r="C537" s="306"/>
      <c r="D537" s="87"/>
      <c r="E537" s="87"/>
      <c r="F537" s="87"/>
      <c r="G537" s="87"/>
      <c r="H537" s="87"/>
      <c r="I537" s="87"/>
      <c r="J537" s="87"/>
      <c r="K537" s="87"/>
      <c r="L537" s="87"/>
      <c r="M537" s="87"/>
      <c r="N537" s="87"/>
      <c r="O537" s="87"/>
      <c r="P537" s="87"/>
      <c r="Q537" s="87"/>
      <c r="R537" s="13"/>
      <c r="S537" s="13"/>
      <c r="T537" s="13"/>
      <c r="U537" s="13"/>
      <c r="V537" s="13"/>
      <c r="W537" s="13"/>
      <c r="X537" s="13"/>
      <c r="Y537" s="13"/>
      <c r="Z537" s="13"/>
    </row>
    <row r="538" spans="1:26" ht="15.75" customHeight="1">
      <c r="A538" s="39"/>
      <c r="B538" s="39"/>
      <c r="C538" s="306"/>
      <c r="D538" s="87"/>
      <c r="E538" s="87"/>
      <c r="F538" s="87"/>
      <c r="G538" s="87"/>
      <c r="H538" s="87"/>
      <c r="I538" s="87"/>
      <c r="J538" s="87"/>
      <c r="K538" s="87"/>
      <c r="L538" s="87"/>
      <c r="M538" s="87"/>
      <c r="N538" s="87"/>
      <c r="O538" s="87"/>
      <c r="P538" s="87"/>
      <c r="Q538" s="87"/>
      <c r="R538" s="13"/>
      <c r="S538" s="13"/>
      <c r="T538" s="13"/>
      <c r="U538" s="13"/>
      <c r="V538" s="13"/>
      <c r="W538" s="13"/>
      <c r="X538" s="13"/>
      <c r="Y538" s="13"/>
      <c r="Z538" s="13"/>
    </row>
    <row r="539" spans="1:26" ht="15.75" customHeight="1">
      <c r="A539" s="39"/>
      <c r="B539" s="39"/>
      <c r="C539" s="306"/>
      <c r="D539" s="87"/>
      <c r="E539" s="87"/>
      <c r="F539" s="87"/>
      <c r="G539" s="87"/>
      <c r="H539" s="87"/>
      <c r="I539" s="87"/>
      <c r="J539" s="87"/>
      <c r="K539" s="87"/>
      <c r="L539" s="87"/>
      <c r="M539" s="87"/>
      <c r="N539" s="87"/>
      <c r="O539" s="87"/>
      <c r="P539" s="87"/>
      <c r="Q539" s="87"/>
      <c r="R539" s="13"/>
      <c r="S539" s="13"/>
      <c r="T539" s="13"/>
      <c r="U539" s="13"/>
      <c r="V539" s="13"/>
      <c r="W539" s="13"/>
      <c r="X539" s="13"/>
      <c r="Y539" s="13"/>
      <c r="Z539" s="13"/>
    </row>
    <row r="540" spans="1:26" ht="15.75" customHeight="1">
      <c r="A540" s="39"/>
      <c r="B540" s="39"/>
      <c r="C540" s="306"/>
      <c r="D540" s="87"/>
      <c r="E540" s="87"/>
      <c r="F540" s="87"/>
      <c r="G540" s="87"/>
      <c r="H540" s="87"/>
      <c r="I540" s="87"/>
      <c r="J540" s="87"/>
      <c r="K540" s="87"/>
      <c r="L540" s="87"/>
      <c r="M540" s="87"/>
      <c r="N540" s="87"/>
      <c r="O540" s="87"/>
      <c r="P540" s="87"/>
      <c r="Q540" s="87"/>
      <c r="R540" s="13"/>
      <c r="S540" s="13"/>
      <c r="T540" s="13"/>
      <c r="U540" s="13"/>
      <c r="V540" s="13"/>
      <c r="W540" s="13"/>
      <c r="X540" s="13"/>
      <c r="Y540" s="13"/>
      <c r="Z540" s="13"/>
    </row>
    <row r="541" spans="1:26" ht="15.75" customHeight="1">
      <c r="A541" s="39"/>
      <c r="B541" s="39"/>
      <c r="C541" s="306"/>
      <c r="D541" s="87"/>
      <c r="E541" s="87"/>
      <c r="F541" s="87"/>
      <c r="G541" s="87"/>
      <c r="H541" s="87"/>
      <c r="I541" s="87"/>
      <c r="J541" s="87"/>
      <c r="K541" s="87"/>
      <c r="L541" s="87"/>
      <c r="M541" s="87"/>
      <c r="N541" s="87"/>
      <c r="O541" s="87"/>
      <c r="P541" s="87"/>
      <c r="Q541" s="87"/>
      <c r="R541" s="13"/>
      <c r="S541" s="13"/>
      <c r="T541" s="13"/>
      <c r="U541" s="13"/>
      <c r="V541" s="13"/>
      <c r="W541" s="13"/>
      <c r="X541" s="13"/>
      <c r="Y541" s="13"/>
      <c r="Z541" s="13"/>
    </row>
    <row r="542" spans="1:26" ht="15.75" customHeight="1">
      <c r="A542" s="39"/>
      <c r="B542" s="39"/>
      <c r="C542" s="306"/>
      <c r="D542" s="87"/>
      <c r="E542" s="87"/>
      <c r="F542" s="87"/>
      <c r="G542" s="87"/>
      <c r="H542" s="87"/>
      <c r="I542" s="87"/>
      <c r="J542" s="87"/>
      <c r="K542" s="87"/>
      <c r="L542" s="87"/>
      <c r="M542" s="87"/>
      <c r="N542" s="87"/>
      <c r="O542" s="87"/>
      <c r="P542" s="87"/>
      <c r="Q542" s="87"/>
      <c r="R542" s="13"/>
      <c r="S542" s="13"/>
      <c r="T542" s="13"/>
      <c r="U542" s="13"/>
      <c r="V542" s="13"/>
      <c r="W542" s="13"/>
      <c r="X542" s="13"/>
      <c r="Y542" s="13"/>
      <c r="Z542" s="13"/>
    </row>
    <row r="543" spans="1:26" ht="15.75" customHeight="1">
      <c r="A543" s="39"/>
      <c r="B543" s="39"/>
      <c r="C543" s="306"/>
      <c r="D543" s="87"/>
      <c r="E543" s="87"/>
      <c r="F543" s="87"/>
      <c r="G543" s="87"/>
      <c r="H543" s="87"/>
      <c r="I543" s="87"/>
      <c r="J543" s="87"/>
      <c r="K543" s="87"/>
      <c r="L543" s="87"/>
      <c r="M543" s="87"/>
      <c r="N543" s="87"/>
      <c r="O543" s="87"/>
      <c r="P543" s="87"/>
      <c r="Q543" s="87"/>
      <c r="R543" s="13"/>
      <c r="S543" s="13"/>
      <c r="T543" s="13"/>
      <c r="U543" s="13"/>
      <c r="V543" s="13"/>
      <c r="W543" s="13"/>
      <c r="X543" s="13"/>
      <c r="Y543" s="13"/>
      <c r="Z543" s="13"/>
    </row>
    <row r="544" spans="1:26" ht="15.75" customHeight="1">
      <c r="A544" s="39"/>
      <c r="B544" s="39"/>
      <c r="C544" s="306"/>
      <c r="D544" s="87"/>
      <c r="E544" s="87"/>
      <c r="F544" s="87"/>
      <c r="G544" s="87"/>
      <c r="H544" s="87"/>
      <c r="I544" s="87"/>
      <c r="J544" s="87"/>
      <c r="K544" s="87"/>
      <c r="L544" s="87"/>
      <c r="M544" s="87"/>
      <c r="N544" s="87"/>
      <c r="O544" s="87"/>
      <c r="P544" s="87"/>
      <c r="Q544" s="87"/>
      <c r="R544" s="13"/>
      <c r="S544" s="13"/>
      <c r="T544" s="13"/>
      <c r="U544" s="13"/>
      <c r="V544" s="13"/>
      <c r="W544" s="13"/>
      <c r="X544" s="13"/>
      <c r="Y544" s="13"/>
      <c r="Z544" s="13"/>
    </row>
    <row r="545" spans="1:26" ht="15.75" customHeight="1">
      <c r="A545" s="39"/>
      <c r="B545" s="39"/>
      <c r="C545" s="306"/>
      <c r="D545" s="87"/>
      <c r="E545" s="87"/>
      <c r="F545" s="87"/>
      <c r="G545" s="87"/>
      <c r="H545" s="87"/>
      <c r="I545" s="87"/>
      <c r="J545" s="87"/>
      <c r="K545" s="87"/>
      <c r="L545" s="87"/>
      <c r="M545" s="87"/>
      <c r="N545" s="87"/>
      <c r="O545" s="87"/>
      <c r="P545" s="87"/>
      <c r="Q545" s="87"/>
      <c r="R545" s="13"/>
      <c r="S545" s="13"/>
      <c r="T545" s="13"/>
      <c r="U545" s="13"/>
      <c r="V545" s="13"/>
      <c r="W545" s="13"/>
      <c r="X545" s="13"/>
      <c r="Y545" s="13"/>
      <c r="Z545" s="13"/>
    </row>
    <row r="546" spans="1:26" ht="15.75" customHeight="1">
      <c r="A546" s="39"/>
      <c r="B546" s="39"/>
      <c r="C546" s="306"/>
      <c r="D546" s="87"/>
      <c r="E546" s="87"/>
      <c r="F546" s="87"/>
      <c r="G546" s="87"/>
      <c r="H546" s="87"/>
      <c r="I546" s="87"/>
      <c r="J546" s="87"/>
      <c r="K546" s="87"/>
      <c r="L546" s="87"/>
      <c r="M546" s="87"/>
      <c r="N546" s="87"/>
      <c r="O546" s="87"/>
      <c r="P546" s="87"/>
      <c r="Q546" s="87"/>
      <c r="R546" s="13"/>
      <c r="S546" s="13"/>
      <c r="T546" s="13"/>
      <c r="U546" s="13"/>
      <c r="V546" s="13"/>
      <c r="W546" s="13"/>
      <c r="X546" s="13"/>
      <c r="Y546" s="13"/>
      <c r="Z546" s="13"/>
    </row>
    <row r="547" spans="1:26" ht="15.75" customHeight="1">
      <c r="A547" s="39"/>
      <c r="B547" s="39"/>
      <c r="C547" s="306"/>
      <c r="D547" s="87"/>
      <c r="E547" s="87"/>
      <c r="F547" s="87"/>
      <c r="G547" s="87"/>
      <c r="H547" s="87"/>
      <c r="I547" s="87"/>
      <c r="J547" s="87"/>
      <c r="K547" s="87"/>
      <c r="L547" s="87"/>
      <c r="M547" s="87"/>
      <c r="N547" s="87"/>
      <c r="O547" s="87"/>
      <c r="P547" s="87"/>
      <c r="Q547" s="87"/>
      <c r="R547" s="13"/>
      <c r="S547" s="13"/>
      <c r="T547" s="13"/>
      <c r="U547" s="13"/>
      <c r="V547" s="13"/>
      <c r="W547" s="13"/>
      <c r="X547" s="13"/>
      <c r="Y547" s="13"/>
      <c r="Z547" s="13"/>
    </row>
    <row r="548" spans="1:26" ht="15.75" customHeight="1">
      <c r="A548" s="39"/>
      <c r="B548" s="39"/>
      <c r="C548" s="306"/>
      <c r="D548" s="87"/>
      <c r="E548" s="87"/>
      <c r="F548" s="87"/>
      <c r="G548" s="87"/>
      <c r="H548" s="87"/>
      <c r="I548" s="87"/>
      <c r="J548" s="87"/>
      <c r="K548" s="87"/>
      <c r="L548" s="87"/>
      <c r="M548" s="87"/>
      <c r="N548" s="87"/>
      <c r="O548" s="87"/>
      <c r="P548" s="87"/>
      <c r="Q548" s="87"/>
      <c r="R548" s="13"/>
      <c r="S548" s="13"/>
      <c r="T548" s="13"/>
      <c r="U548" s="13"/>
      <c r="V548" s="13"/>
      <c r="W548" s="13"/>
      <c r="X548" s="13"/>
      <c r="Y548" s="13"/>
      <c r="Z548" s="13"/>
    </row>
    <row r="549" spans="1:26" ht="15.75" customHeight="1">
      <c r="A549" s="39"/>
      <c r="B549" s="39"/>
      <c r="C549" s="306"/>
      <c r="D549" s="87"/>
      <c r="E549" s="87"/>
      <c r="F549" s="87"/>
      <c r="G549" s="87"/>
      <c r="H549" s="87"/>
      <c r="I549" s="87"/>
      <c r="J549" s="87"/>
      <c r="K549" s="87"/>
      <c r="L549" s="87"/>
      <c r="M549" s="87"/>
      <c r="N549" s="87"/>
      <c r="O549" s="87"/>
      <c r="P549" s="87"/>
      <c r="Q549" s="87"/>
      <c r="R549" s="13"/>
      <c r="S549" s="13"/>
      <c r="T549" s="13"/>
      <c r="U549" s="13"/>
      <c r="V549" s="13"/>
      <c r="W549" s="13"/>
      <c r="X549" s="13"/>
      <c r="Y549" s="13"/>
      <c r="Z549" s="13"/>
    </row>
    <row r="550" spans="1:26" ht="15.75" customHeight="1">
      <c r="A550" s="39"/>
      <c r="B550" s="39"/>
      <c r="C550" s="306"/>
      <c r="D550" s="87"/>
      <c r="E550" s="87"/>
      <c r="F550" s="87"/>
      <c r="G550" s="87"/>
      <c r="H550" s="87"/>
      <c r="I550" s="87"/>
      <c r="J550" s="87"/>
      <c r="K550" s="87"/>
      <c r="L550" s="87"/>
      <c r="M550" s="87"/>
      <c r="N550" s="87"/>
      <c r="O550" s="87"/>
      <c r="P550" s="87"/>
      <c r="Q550" s="87"/>
      <c r="R550" s="13"/>
      <c r="S550" s="13"/>
      <c r="T550" s="13"/>
      <c r="U550" s="13"/>
      <c r="V550" s="13"/>
      <c r="W550" s="13"/>
      <c r="X550" s="13"/>
      <c r="Y550" s="13"/>
      <c r="Z550" s="13"/>
    </row>
    <row r="551" spans="1:26" ht="15.75" customHeight="1">
      <c r="A551" s="39"/>
      <c r="B551" s="39"/>
      <c r="C551" s="306"/>
      <c r="D551" s="87"/>
      <c r="E551" s="87"/>
      <c r="F551" s="87"/>
      <c r="G551" s="87"/>
      <c r="H551" s="87"/>
      <c r="I551" s="87"/>
      <c r="J551" s="87"/>
      <c r="K551" s="87"/>
      <c r="L551" s="87"/>
      <c r="M551" s="87"/>
      <c r="N551" s="87"/>
      <c r="O551" s="87"/>
      <c r="P551" s="87"/>
      <c r="Q551" s="87"/>
      <c r="R551" s="13"/>
      <c r="S551" s="13"/>
      <c r="T551" s="13"/>
      <c r="U551" s="13"/>
      <c r="V551" s="13"/>
      <c r="W551" s="13"/>
      <c r="X551" s="13"/>
      <c r="Y551" s="13"/>
      <c r="Z551" s="13"/>
    </row>
    <row r="552" spans="1:26" ht="15.75" customHeight="1">
      <c r="A552" s="39"/>
      <c r="B552" s="39"/>
      <c r="C552" s="306"/>
      <c r="D552" s="87"/>
      <c r="E552" s="87"/>
      <c r="F552" s="87"/>
      <c r="G552" s="87"/>
      <c r="H552" s="87"/>
      <c r="I552" s="87"/>
      <c r="J552" s="87"/>
      <c r="K552" s="87"/>
      <c r="L552" s="87"/>
      <c r="M552" s="87"/>
      <c r="N552" s="87"/>
      <c r="O552" s="87"/>
      <c r="P552" s="87"/>
      <c r="Q552" s="87"/>
      <c r="R552" s="13"/>
      <c r="S552" s="13"/>
      <c r="T552" s="13"/>
      <c r="U552" s="13"/>
      <c r="V552" s="13"/>
      <c r="W552" s="13"/>
      <c r="X552" s="13"/>
      <c r="Y552" s="13"/>
      <c r="Z552" s="13"/>
    </row>
    <row r="553" spans="1:26" ht="15.75" customHeight="1">
      <c r="A553" s="39"/>
      <c r="B553" s="39"/>
      <c r="C553" s="306"/>
      <c r="D553" s="87"/>
      <c r="E553" s="87"/>
      <c r="F553" s="87"/>
      <c r="G553" s="87"/>
      <c r="H553" s="87"/>
      <c r="I553" s="87"/>
      <c r="J553" s="87"/>
      <c r="K553" s="87"/>
      <c r="L553" s="87"/>
      <c r="M553" s="87"/>
      <c r="N553" s="87"/>
      <c r="O553" s="87"/>
      <c r="P553" s="87"/>
      <c r="Q553" s="87"/>
      <c r="R553" s="13"/>
      <c r="S553" s="13"/>
      <c r="T553" s="13"/>
      <c r="U553" s="13"/>
      <c r="V553" s="13"/>
      <c r="W553" s="13"/>
      <c r="X553" s="13"/>
      <c r="Y553" s="13"/>
      <c r="Z553" s="13"/>
    </row>
    <row r="554" spans="1:26" ht="15.75" customHeight="1">
      <c r="A554" s="39"/>
      <c r="B554" s="39"/>
      <c r="C554" s="306"/>
      <c r="D554" s="87"/>
      <c r="E554" s="87"/>
      <c r="F554" s="87"/>
      <c r="G554" s="87"/>
      <c r="H554" s="87"/>
      <c r="I554" s="87"/>
      <c r="J554" s="87"/>
      <c r="K554" s="87"/>
      <c r="L554" s="87"/>
      <c r="M554" s="87"/>
      <c r="N554" s="87"/>
      <c r="O554" s="87"/>
      <c r="P554" s="87"/>
      <c r="Q554" s="87"/>
      <c r="R554" s="13"/>
      <c r="S554" s="13"/>
      <c r="T554" s="13"/>
      <c r="U554" s="13"/>
      <c r="V554" s="13"/>
      <c r="W554" s="13"/>
      <c r="X554" s="13"/>
      <c r="Y554" s="13"/>
      <c r="Z554" s="13"/>
    </row>
    <row r="555" spans="1:26" ht="15.75" customHeight="1">
      <c r="A555" s="39"/>
      <c r="B555" s="39"/>
      <c r="C555" s="306"/>
      <c r="D555" s="87"/>
      <c r="E555" s="87"/>
      <c r="F555" s="87"/>
      <c r="G555" s="87"/>
      <c r="H555" s="87"/>
      <c r="I555" s="87"/>
      <c r="J555" s="87"/>
      <c r="K555" s="87"/>
      <c r="L555" s="87"/>
      <c r="M555" s="87"/>
      <c r="N555" s="87"/>
      <c r="O555" s="87"/>
      <c r="P555" s="87"/>
      <c r="Q555" s="87"/>
      <c r="R555" s="13"/>
      <c r="S555" s="13"/>
      <c r="T555" s="13"/>
      <c r="U555" s="13"/>
      <c r="V555" s="13"/>
      <c r="W555" s="13"/>
      <c r="X555" s="13"/>
      <c r="Y555" s="13"/>
      <c r="Z555" s="13"/>
    </row>
    <row r="556" spans="1:26" ht="15.75" customHeight="1">
      <c r="A556" s="39"/>
      <c r="B556" s="39"/>
      <c r="C556" s="306"/>
      <c r="D556" s="87"/>
      <c r="E556" s="87"/>
      <c r="F556" s="87"/>
      <c r="G556" s="87"/>
      <c r="H556" s="87"/>
      <c r="I556" s="87"/>
      <c r="J556" s="87"/>
      <c r="K556" s="87"/>
      <c r="L556" s="87"/>
      <c r="M556" s="87"/>
      <c r="N556" s="87"/>
      <c r="O556" s="87"/>
      <c r="P556" s="87"/>
      <c r="Q556" s="87"/>
      <c r="R556" s="13"/>
      <c r="S556" s="13"/>
      <c r="T556" s="13"/>
      <c r="U556" s="13"/>
      <c r="V556" s="13"/>
      <c r="W556" s="13"/>
      <c r="X556" s="13"/>
      <c r="Y556" s="13"/>
      <c r="Z556" s="13"/>
    </row>
    <row r="557" spans="1:26" ht="15.75" customHeight="1">
      <c r="A557" s="39"/>
      <c r="B557" s="39"/>
      <c r="C557" s="306"/>
      <c r="D557" s="87"/>
      <c r="E557" s="87"/>
      <c r="F557" s="87"/>
      <c r="G557" s="87"/>
      <c r="H557" s="87"/>
      <c r="I557" s="87"/>
      <c r="J557" s="87"/>
      <c r="K557" s="87"/>
      <c r="L557" s="87"/>
      <c r="M557" s="87"/>
      <c r="N557" s="87"/>
      <c r="O557" s="87"/>
      <c r="P557" s="87"/>
      <c r="Q557" s="87"/>
      <c r="R557" s="13"/>
      <c r="S557" s="13"/>
      <c r="T557" s="13"/>
      <c r="U557" s="13"/>
      <c r="V557" s="13"/>
      <c r="W557" s="13"/>
      <c r="X557" s="13"/>
      <c r="Y557" s="13"/>
      <c r="Z557" s="13"/>
    </row>
    <row r="558" spans="1:26" ht="15.75" customHeight="1">
      <c r="A558" s="39"/>
      <c r="B558" s="39"/>
      <c r="C558" s="306"/>
      <c r="D558" s="87"/>
      <c r="E558" s="87"/>
      <c r="F558" s="87"/>
      <c r="G558" s="87"/>
      <c r="H558" s="87"/>
      <c r="I558" s="87"/>
      <c r="J558" s="87"/>
      <c r="K558" s="87"/>
      <c r="L558" s="87"/>
      <c r="M558" s="87"/>
      <c r="N558" s="87"/>
      <c r="O558" s="87"/>
      <c r="P558" s="87"/>
      <c r="Q558" s="87"/>
      <c r="R558" s="13"/>
      <c r="S558" s="13"/>
      <c r="T558" s="13"/>
      <c r="U558" s="13"/>
      <c r="V558" s="13"/>
      <c r="W558" s="13"/>
      <c r="X558" s="13"/>
      <c r="Y558" s="13"/>
      <c r="Z558" s="13"/>
    </row>
    <row r="559" spans="1:26" ht="15.75" customHeight="1">
      <c r="A559" s="39"/>
      <c r="B559" s="39"/>
      <c r="C559" s="306"/>
      <c r="D559" s="87"/>
      <c r="E559" s="87"/>
      <c r="F559" s="87"/>
      <c r="G559" s="87"/>
      <c r="H559" s="87"/>
      <c r="I559" s="87"/>
      <c r="J559" s="87"/>
      <c r="K559" s="87"/>
      <c r="L559" s="87"/>
      <c r="M559" s="87"/>
      <c r="N559" s="87"/>
      <c r="O559" s="87"/>
      <c r="P559" s="87"/>
      <c r="Q559" s="87"/>
      <c r="R559" s="13"/>
      <c r="S559" s="13"/>
      <c r="T559" s="13"/>
      <c r="U559" s="13"/>
      <c r="V559" s="13"/>
      <c r="W559" s="13"/>
      <c r="X559" s="13"/>
      <c r="Y559" s="13"/>
      <c r="Z559" s="13"/>
    </row>
    <row r="560" spans="1:26" ht="15.75" customHeight="1">
      <c r="A560" s="39"/>
      <c r="B560" s="39"/>
      <c r="C560" s="306"/>
      <c r="D560" s="87"/>
      <c r="E560" s="87"/>
      <c r="F560" s="87"/>
      <c r="G560" s="87"/>
      <c r="H560" s="87"/>
      <c r="I560" s="87"/>
      <c r="J560" s="87"/>
      <c r="K560" s="87"/>
      <c r="L560" s="87"/>
      <c r="M560" s="87"/>
      <c r="N560" s="87"/>
      <c r="O560" s="87"/>
      <c r="P560" s="87"/>
      <c r="Q560" s="87"/>
      <c r="R560" s="13"/>
      <c r="S560" s="13"/>
      <c r="T560" s="13"/>
      <c r="U560" s="13"/>
      <c r="V560" s="13"/>
      <c r="W560" s="13"/>
      <c r="X560" s="13"/>
      <c r="Y560" s="13"/>
      <c r="Z560" s="13"/>
    </row>
    <row r="561" spans="1:26" ht="15.75" customHeight="1">
      <c r="A561" s="39"/>
      <c r="B561" s="39"/>
      <c r="C561" s="306"/>
      <c r="D561" s="87"/>
      <c r="E561" s="87"/>
      <c r="F561" s="87"/>
      <c r="G561" s="87"/>
      <c r="H561" s="87"/>
      <c r="I561" s="87"/>
      <c r="J561" s="87"/>
      <c r="K561" s="87"/>
      <c r="L561" s="87"/>
      <c r="M561" s="87"/>
      <c r="N561" s="87"/>
      <c r="O561" s="87"/>
      <c r="P561" s="87"/>
      <c r="Q561" s="87"/>
      <c r="R561" s="13"/>
      <c r="S561" s="13"/>
      <c r="T561" s="13"/>
      <c r="U561" s="13"/>
      <c r="V561" s="13"/>
      <c r="W561" s="13"/>
      <c r="X561" s="13"/>
      <c r="Y561" s="13"/>
      <c r="Z561" s="13"/>
    </row>
    <row r="562" spans="1:26" ht="15.75" customHeight="1">
      <c r="A562" s="39"/>
      <c r="B562" s="39"/>
      <c r="C562" s="306"/>
      <c r="D562" s="87"/>
      <c r="E562" s="87"/>
      <c r="F562" s="87"/>
      <c r="G562" s="87"/>
      <c r="H562" s="87"/>
      <c r="I562" s="87"/>
      <c r="J562" s="87"/>
      <c r="K562" s="87"/>
      <c r="L562" s="87"/>
      <c r="M562" s="87"/>
      <c r="N562" s="87"/>
      <c r="O562" s="87"/>
      <c r="P562" s="87"/>
      <c r="Q562" s="87"/>
      <c r="R562" s="13"/>
      <c r="S562" s="13"/>
      <c r="T562" s="13"/>
      <c r="U562" s="13"/>
      <c r="V562" s="13"/>
      <c r="W562" s="13"/>
      <c r="X562" s="13"/>
      <c r="Y562" s="13"/>
      <c r="Z562" s="13"/>
    </row>
    <row r="563" spans="1:26" ht="15.75" customHeight="1">
      <c r="A563" s="39"/>
      <c r="B563" s="39"/>
      <c r="C563" s="306"/>
      <c r="D563" s="87"/>
      <c r="E563" s="87"/>
      <c r="F563" s="87"/>
      <c r="G563" s="87"/>
      <c r="H563" s="87"/>
      <c r="I563" s="87"/>
      <c r="J563" s="87"/>
      <c r="K563" s="87"/>
      <c r="L563" s="87"/>
      <c r="M563" s="87"/>
      <c r="N563" s="87"/>
      <c r="O563" s="87"/>
      <c r="P563" s="87"/>
      <c r="Q563" s="87"/>
      <c r="R563" s="13"/>
      <c r="S563" s="13"/>
      <c r="T563" s="13"/>
      <c r="U563" s="13"/>
      <c r="V563" s="13"/>
      <c r="W563" s="13"/>
      <c r="X563" s="13"/>
      <c r="Y563" s="13"/>
      <c r="Z563" s="13"/>
    </row>
    <row r="564" spans="1:26" ht="15.75" customHeight="1">
      <c r="A564" s="39"/>
      <c r="B564" s="39"/>
      <c r="C564" s="306"/>
      <c r="D564" s="87"/>
      <c r="E564" s="87"/>
      <c r="F564" s="87"/>
      <c r="G564" s="87"/>
      <c r="H564" s="87"/>
      <c r="I564" s="87"/>
      <c r="J564" s="87"/>
      <c r="K564" s="87"/>
      <c r="L564" s="87"/>
      <c r="M564" s="87"/>
      <c r="N564" s="87"/>
      <c r="O564" s="87"/>
      <c r="P564" s="87"/>
      <c r="Q564" s="87"/>
      <c r="R564" s="13"/>
      <c r="S564" s="13"/>
      <c r="T564" s="13"/>
      <c r="U564" s="13"/>
      <c r="V564" s="13"/>
      <c r="W564" s="13"/>
      <c r="X564" s="13"/>
      <c r="Y564" s="13"/>
      <c r="Z564" s="13"/>
    </row>
    <row r="565" spans="1:26" ht="15.75" customHeight="1">
      <c r="A565" s="39"/>
      <c r="B565" s="39"/>
      <c r="C565" s="306"/>
      <c r="D565" s="87"/>
      <c r="E565" s="87"/>
      <c r="F565" s="87"/>
      <c r="G565" s="87"/>
      <c r="H565" s="87"/>
      <c r="I565" s="87"/>
      <c r="J565" s="87"/>
      <c r="K565" s="87"/>
      <c r="L565" s="87"/>
      <c r="M565" s="87"/>
      <c r="N565" s="87"/>
      <c r="O565" s="87"/>
      <c r="P565" s="87"/>
      <c r="Q565" s="87"/>
      <c r="R565" s="13"/>
      <c r="S565" s="13"/>
      <c r="T565" s="13"/>
      <c r="U565" s="13"/>
      <c r="V565" s="13"/>
      <c r="W565" s="13"/>
      <c r="X565" s="13"/>
      <c r="Y565" s="13"/>
      <c r="Z565" s="13"/>
    </row>
    <row r="566" spans="1:26" ht="15.75" customHeight="1">
      <c r="A566" s="39"/>
      <c r="B566" s="39"/>
      <c r="C566" s="306"/>
      <c r="D566" s="87"/>
      <c r="E566" s="87"/>
      <c r="F566" s="87"/>
      <c r="G566" s="87"/>
      <c r="H566" s="87"/>
      <c r="I566" s="87"/>
      <c r="J566" s="87"/>
      <c r="K566" s="87"/>
      <c r="L566" s="87"/>
      <c r="M566" s="87"/>
      <c r="N566" s="87"/>
      <c r="O566" s="87"/>
      <c r="P566" s="87"/>
      <c r="Q566" s="87"/>
      <c r="R566" s="13"/>
      <c r="S566" s="13"/>
      <c r="T566" s="13"/>
      <c r="U566" s="13"/>
      <c r="V566" s="13"/>
      <c r="W566" s="13"/>
      <c r="X566" s="13"/>
      <c r="Y566" s="13"/>
      <c r="Z566" s="13"/>
    </row>
    <row r="567" spans="1:26" ht="15.75" customHeight="1">
      <c r="A567" s="39"/>
      <c r="B567" s="39"/>
      <c r="C567" s="306"/>
      <c r="D567" s="87"/>
      <c r="E567" s="87"/>
      <c r="F567" s="87"/>
      <c r="G567" s="87"/>
      <c r="H567" s="87"/>
      <c r="I567" s="87"/>
      <c r="J567" s="87"/>
      <c r="K567" s="87"/>
      <c r="L567" s="87"/>
      <c r="M567" s="87"/>
      <c r="N567" s="87"/>
      <c r="O567" s="87"/>
      <c r="P567" s="87"/>
      <c r="Q567" s="87"/>
      <c r="R567" s="13"/>
      <c r="S567" s="13"/>
      <c r="T567" s="13"/>
      <c r="U567" s="13"/>
      <c r="V567" s="13"/>
      <c r="W567" s="13"/>
      <c r="X567" s="13"/>
      <c r="Y567" s="13"/>
      <c r="Z567" s="13"/>
    </row>
    <row r="568" spans="1:26" ht="15.75" customHeight="1">
      <c r="A568" s="39"/>
      <c r="B568" s="39"/>
      <c r="C568" s="306"/>
      <c r="D568" s="87"/>
      <c r="E568" s="87"/>
      <c r="F568" s="87"/>
      <c r="G568" s="87"/>
      <c r="H568" s="87"/>
      <c r="I568" s="87"/>
      <c r="J568" s="87"/>
      <c r="K568" s="87"/>
      <c r="L568" s="87"/>
      <c r="M568" s="87"/>
      <c r="N568" s="87"/>
      <c r="O568" s="87"/>
      <c r="P568" s="87"/>
      <c r="Q568" s="87"/>
      <c r="R568" s="13"/>
      <c r="S568" s="13"/>
      <c r="T568" s="13"/>
      <c r="U568" s="13"/>
      <c r="V568" s="13"/>
      <c r="W568" s="13"/>
      <c r="X568" s="13"/>
      <c r="Y568" s="13"/>
      <c r="Z568" s="13"/>
    </row>
    <row r="569" spans="1:26" ht="15.75" customHeight="1">
      <c r="A569" s="39"/>
      <c r="B569" s="39"/>
      <c r="C569" s="306"/>
      <c r="D569" s="87"/>
      <c r="E569" s="87"/>
      <c r="F569" s="87"/>
      <c r="G569" s="87"/>
      <c r="H569" s="87"/>
      <c r="I569" s="87"/>
      <c r="J569" s="87"/>
      <c r="K569" s="87"/>
      <c r="L569" s="87"/>
      <c r="M569" s="87"/>
      <c r="N569" s="87"/>
      <c r="O569" s="87"/>
      <c r="P569" s="87"/>
      <c r="Q569" s="87"/>
      <c r="R569" s="13"/>
      <c r="S569" s="13"/>
      <c r="T569" s="13"/>
      <c r="U569" s="13"/>
      <c r="V569" s="13"/>
      <c r="W569" s="13"/>
      <c r="X569" s="13"/>
      <c r="Y569" s="13"/>
      <c r="Z569" s="13"/>
    </row>
    <row r="570" spans="1:26" ht="15.75" customHeight="1">
      <c r="A570" s="39"/>
      <c r="B570" s="39"/>
      <c r="C570" s="306"/>
      <c r="D570" s="87"/>
      <c r="E570" s="87"/>
      <c r="F570" s="87"/>
      <c r="G570" s="87"/>
      <c r="H570" s="87"/>
      <c r="I570" s="87"/>
      <c r="J570" s="87"/>
      <c r="K570" s="87"/>
      <c r="L570" s="87"/>
      <c r="M570" s="87"/>
      <c r="N570" s="87"/>
      <c r="O570" s="87"/>
      <c r="P570" s="87"/>
      <c r="Q570" s="87"/>
      <c r="R570" s="13"/>
      <c r="S570" s="13"/>
      <c r="T570" s="13"/>
      <c r="U570" s="13"/>
      <c r="V570" s="13"/>
      <c r="W570" s="13"/>
      <c r="X570" s="13"/>
      <c r="Y570" s="13"/>
      <c r="Z570" s="13"/>
    </row>
    <row r="571" spans="1:26" ht="15.75" customHeight="1">
      <c r="A571" s="39"/>
      <c r="B571" s="39"/>
      <c r="C571" s="306"/>
      <c r="D571" s="87"/>
      <c r="E571" s="87"/>
      <c r="F571" s="87"/>
      <c r="G571" s="87"/>
      <c r="H571" s="87"/>
      <c r="I571" s="87"/>
      <c r="J571" s="87"/>
      <c r="K571" s="87"/>
      <c r="L571" s="87"/>
      <c r="M571" s="87"/>
      <c r="N571" s="87"/>
      <c r="O571" s="87"/>
      <c r="P571" s="87"/>
      <c r="Q571" s="87"/>
      <c r="R571" s="13"/>
      <c r="S571" s="13"/>
      <c r="T571" s="13"/>
      <c r="U571" s="13"/>
      <c r="V571" s="13"/>
      <c r="W571" s="13"/>
      <c r="X571" s="13"/>
      <c r="Y571" s="13"/>
      <c r="Z571" s="13"/>
    </row>
    <row r="572" spans="1:26" ht="15.75" customHeight="1">
      <c r="A572" s="39"/>
      <c r="B572" s="39"/>
      <c r="C572" s="306"/>
      <c r="D572" s="87"/>
      <c r="E572" s="87"/>
      <c r="F572" s="87"/>
      <c r="G572" s="87"/>
      <c r="H572" s="87"/>
      <c r="I572" s="87"/>
      <c r="J572" s="87"/>
      <c r="K572" s="87"/>
      <c r="L572" s="87"/>
      <c r="M572" s="87"/>
      <c r="N572" s="87"/>
      <c r="O572" s="87"/>
      <c r="P572" s="87"/>
      <c r="Q572" s="87"/>
      <c r="R572" s="13"/>
      <c r="S572" s="13"/>
      <c r="T572" s="13"/>
      <c r="U572" s="13"/>
      <c r="V572" s="13"/>
      <c r="W572" s="13"/>
      <c r="X572" s="13"/>
      <c r="Y572" s="13"/>
      <c r="Z572" s="13"/>
    </row>
    <row r="573" spans="1:26" ht="15.75" customHeight="1">
      <c r="A573" s="39"/>
      <c r="B573" s="39"/>
      <c r="C573" s="306"/>
      <c r="D573" s="87"/>
      <c r="E573" s="87"/>
      <c r="F573" s="87"/>
      <c r="G573" s="87"/>
      <c r="H573" s="87"/>
      <c r="I573" s="87"/>
      <c r="J573" s="87"/>
      <c r="K573" s="87"/>
      <c r="L573" s="87"/>
      <c r="M573" s="87"/>
      <c r="N573" s="87"/>
      <c r="O573" s="87"/>
      <c r="P573" s="87"/>
      <c r="Q573" s="87"/>
      <c r="R573" s="13"/>
      <c r="S573" s="13"/>
      <c r="T573" s="13"/>
      <c r="U573" s="13"/>
      <c r="V573" s="13"/>
      <c r="W573" s="13"/>
      <c r="X573" s="13"/>
      <c r="Y573" s="13"/>
      <c r="Z573" s="13"/>
    </row>
    <row r="574" spans="1:26" ht="15.75" customHeight="1">
      <c r="A574" s="39"/>
      <c r="B574" s="39"/>
      <c r="C574" s="306"/>
      <c r="D574" s="87"/>
      <c r="E574" s="87"/>
      <c r="F574" s="87"/>
      <c r="G574" s="87"/>
      <c r="H574" s="87"/>
      <c r="I574" s="87"/>
      <c r="J574" s="87"/>
      <c r="K574" s="87"/>
      <c r="L574" s="87"/>
      <c r="M574" s="87"/>
      <c r="N574" s="87"/>
      <c r="O574" s="87"/>
      <c r="P574" s="87"/>
      <c r="Q574" s="87"/>
      <c r="R574" s="13"/>
      <c r="S574" s="13"/>
      <c r="T574" s="13"/>
      <c r="U574" s="13"/>
      <c r="V574" s="13"/>
      <c r="W574" s="13"/>
      <c r="X574" s="13"/>
      <c r="Y574" s="13"/>
      <c r="Z574" s="13"/>
    </row>
    <row r="575" spans="1:26" ht="15.75" customHeight="1">
      <c r="A575" s="39"/>
      <c r="B575" s="39"/>
      <c r="C575" s="306"/>
      <c r="D575" s="87"/>
      <c r="E575" s="87"/>
      <c r="F575" s="87"/>
      <c r="G575" s="87"/>
      <c r="H575" s="87"/>
      <c r="I575" s="87"/>
      <c r="J575" s="87"/>
      <c r="K575" s="87"/>
      <c r="L575" s="87"/>
      <c r="M575" s="87"/>
      <c r="N575" s="87"/>
      <c r="O575" s="87"/>
      <c r="P575" s="87"/>
      <c r="Q575" s="87"/>
      <c r="R575" s="13"/>
      <c r="S575" s="13"/>
      <c r="T575" s="13"/>
      <c r="U575" s="13"/>
      <c r="V575" s="13"/>
      <c r="W575" s="13"/>
      <c r="X575" s="13"/>
      <c r="Y575" s="13"/>
      <c r="Z575" s="13"/>
    </row>
    <row r="576" spans="1:26" ht="15.75" customHeight="1">
      <c r="A576" s="39"/>
      <c r="B576" s="39"/>
      <c r="C576" s="306"/>
      <c r="D576" s="87"/>
      <c r="E576" s="87"/>
      <c r="F576" s="87"/>
      <c r="G576" s="87"/>
      <c r="H576" s="87"/>
      <c r="I576" s="87"/>
      <c r="J576" s="87"/>
      <c r="K576" s="87"/>
      <c r="L576" s="87"/>
      <c r="M576" s="87"/>
      <c r="N576" s="87"/>
      <c r="O576" s="87"/>
      <c r="P576" s="87"/>
      <c r="Q576" s="87"/>
      <c r="R576" s="13"/>
      <c r="S576" s="13"/>
      <c r="T576" s="13"/>
      <c r="U576" s="13"/>
      <c r="V576" s="13"/>
      <c r="W576" s="13"/>
      <c r="X576" s="13"/>
      <c r="Y576" s="13"/>
      <c r="Z576" s="13"/>
    </row>
    <row r="577" spans="1:26" ht="15.75" customHeight="1">
      <c r="A577" s="39"/>
      <c r="B577" s="39"/>
      <c r="C577" s="306"/>
      <c r="D577" s="87"/>
      <c r="E577" s="87"/>
      <c r="F577" s="87"/>
      <c r="G577" s="87"/>
      <c r="H577" s="87"/>
      <c r="I577" s="87"/>
      <c r="J577" s="87"/>
      <c r="K577" s="87"/>
      <c r="L577" s="87"/>
      <c r="M577" s="87"/>
      <c r="N577" s="87"/>
      <c r="O577" s="87"/>
      <c r="P577" s="87"/>
      <c r="Q577" s="87"/>
      <c r="R577" s="13"/>
      <c r="S577" s="13"/>
      <c r="T577" s="13"/>
      <c r="U577" s="13"/>
      <c r="V577" s="13"/>
      <c r="W577" s="13"/>
      <c r="X577" s="13"/>
      <c r="Y577" s="13"/>
      <c r="Z577" s="13"/>
    </row>
    <row r="578" spans="1:26" ht="15.75" customHeight="1">
      <c r="A578" s="39"/>
      <c r="B578" s="39"/>
      <c r="C578" s="306"/>
      <c r="D578" s="87"/>
      <c r="E578" s="87"/>
      <c r="F578" s="87"/>
      <c r="G578" s="87"/>
      <c r="H578" s="87"/>
      <c r="I578" s="87"/>
      <c r="J578" s="87"/>
      <c r="K578" s="87"/>
      <c r="L578" s="87"/>
      <c r="M578" s="87"/>
      <c r="N578" s="87"/>
      <c r="O578" s="87"/>
      <c r="P578" s="87"/>
      <c r="Q578" s="87"/>
      <c r="R578" s="13"/>
      <c r="S578" s="13"/>
      <c r="T578" s="13"/>
      <c r="U578" s="13"/>
      <c r="V578" s="13"/>
      <c r="W578" s="13"/>
      <c r="X578" s="13"/>
      <c r="Y578" s="13"/>
      <c r="Z578" s="13"/>
    </row>
    <row r="579" spans="1:26" ht="15.75" customHeight="1">
      <c r="A579" s="39"/>
      <c r="B579" s="39"/>
      <c r="C579" s="306"/>
      <c r="D579" s="87"/>
      <c r="E579" s="87"/>
      <c r="F579" s="87"/>
      <c r="G579" s="87"/>
      <c r="H579" s="87"/>
      <c r="I579" s="87"/>
      <c r="J579" s="87"/>
      <c r="K579" s="87"/>
      <c r="L579" s="87"/>
      <c r="M579" s="87"/>
      <c r="N579" s="87"/>
      <c r="O579" s="87"/>
      <c r="P579" s="87"/>
      <c r="Q579" s="87"/>
      <c r="R579" s="13"/>
      <c r="S579" s="13"/>
      <c r="T579" s="13"/>
      <c r="U579" s="13"/>
      <c r="V579" s="13"/>
      <c r="W579" s="13"/>
      <c r="X579" s="13"/>
      <c r="Y579" s="13"/>
      <c r="Z579" s="13"/>
    </row>
    <row r="580" spans="1:26" ht="15.75" customHeight="1">
      <c r="A580" s="39"/>
      <c r="B580" s="39"/>
      <c r="C580" s="306"/>
      <c r="D580" s="87"/>
      <c r="E580" s="87"/>
      <c r="F580" s="87"/>
      <c r="G580" s="87"/>
      <c r="H580" s="87"/>
      <c r="I580" s="87"/>
      <c r="J580" s="87"/>
      <c r="K580" s="87"/>
      <c r="L580" s="87"/>
      <c r="M580" s="87"/>
      <c r="N580" s="87"/>
      <c r="O580" s="87"/>
      <c r="P580" s="87"/>
      <c r="Q580" s="87"/>
      <c r="R580" s="13"/>
      <c r="S580" s="13"/>
      <c r="T580" s="13"/>
      <c r="U580" s="13"/>
      <c r="V580" s="13"/>
      <c r="W580" s="13"/>
      <c r="X580" s="13"/>
      <c r="Y580" s="13"/>
      <c r="Z580" s="13"/>
    </row>
    <row r="581" spans="1:26" ht="15.75" customHeight="1">
      <c r="A581" s="39"/>
      <c r="B581" s="39"/>
      <c r="C581" s="306"/>
      <c r="D581" s="87"/>
      <c r="E581" s="87"/>
      <c r="F581" s="87"/>
      <c r="G581" s="87"/>
      <c r="H581" s="87"/>
      <c r="I581" s="87"/>
      <c r="J581" s="87"/>
      <c r="K581" s="87"/>
      <c r="L581" s="87"/>
      <c r="M581" s="87"/>
      <c r="N581" s="87"/>
      <c r="O581" s="87"/>
      <c r="P581" s="87"/>
      <c r="Q581" s="87"/>
      <c r="R581" s="13"/>
      <c r="S581" s="13"/>
      <c r="T581" s="13"/>
      <c r="U581" s="13"/>
      <c r="V581" s="13"/>
      <c r="W581" s="13"/>
      <c r="X581" s="13"/>
      <c r="Y581" s="13"/>
      <c r="Z581" s="13"/>
    </row>
    <row r="582" spans="1:26" ht="15.75" customHeight="1">
      <c r="A582" s="39"/>
      <c r="B582" s="39"/>
      <c r="C582" s="306"/>
      <c r="D582" s="87"/>
      <c r="E582" s="87"/>
      <c r="F582" s="87"/>
      <c r="G582" s="87"/>
      <c r="H582" s="87"/>
      <c r="I582" s="87"/>
      <c r="J582" s="87"/>
      <c r="K582" s="87"/>
      <c r="L582" s="87"/>
      <c r="M582" s="87"/>
      <c r="N582" s="87"/>
      <c r="O582" s="87"/>
      <c r="P582" s="87"/>
      <c r="Q582" s="87"/>
      <c r="R582" s="13"/>
      <c r="S582" s="13"/>
      <c r="T582" s="13"/>
      <c r="U582" s="13"/>
      <c r="V582" s="13"/>
      <c r="W582" s="13"/>
      <c r="X582" s="13"/>
      <c r="Y582" s="13"/>
      <c r="Z582" s="13"/>
    </row>
    <row r="583" spans="1:26" ht="15.75" customHeight="1">
      <c r="A583" s="39"/>
      <c r="B583" s="39"/>
      <c r="C583" s="306"/>
      <c r="D583" s="87"/>
      <c r="E583" s="87"/>
      <c r="F583" s="87"/>
      <c r="G583" s="87"/>
      <c r="H583" s="87"/>
      <c r="I583" s="87"/>
      <c r="J583" s="87"/>
      <c r="K583" s="87"/>
      <c r="L583" s="87"/>
      <c r="M583" s="87"/>
      <c r="N583" s="87"/>
      <c r="O583" s="87"/>
      <c r="P583" s="87"/>
      <c r="Q583" s="87"/>
      <c r="R583" s="13"/>
      <c r="S583" s="13"/>
      <c r="T583" s="13"/>
      <c r="U583" s="13"/>
      <c r="V583" s="13"/>
      <c r="W583" s="13"/>
      <c r="X583" s="13"/>
      <c r="Y583" s="13"/>
      <c r="Z583" s="13"/>
    </row>
    <row r="584" spans="1:26" ht="15.75" customHeight="1">
      <c r="A584" s="39"/>
      <c r="B584" s="39"/>
      <c r="C584" s="306"/>
      <c r="D584" s="87"/>
      <c r="E584" s="87"/>
      <c r="F584" s="87"/>
      <c r="G584" s="87"/>
      <c r="H584" s="87"/>
      <c r="I584" s="87"/>
      <c r="J584" s="87"/>
      <c r="K584" s="87"/>
      <c r="L584" s="87"/>
      <c r="M584" s="87"/>
      <c r="N584" s="87"/>
      <c r="O584" s="87"/>
      <c r="P584" s="87"/>
      <c r="Q584" s="87"/>
      <c r="R584" s="13"/>
      <c r="S584" s="13"/>
      <c r="T584" s="13"/>
      <c r="U584" s="13"/>
      <c r="V584" s="13"/>
      <c r="W584" s="13"/>
      <c r="X584" s="13"/>
      <c r="Y584" s="13"/>
      <c r="Z584" s="13"/>
    </row>
    <row r="585" spans="1:26" ht="15.75" customHeight="1">
      <c r="A585" s="39"/>
      <c r="B585" s="39"/>
      <c r="C585" s="306"/>
      <c r="D585" s="87"/>
      <c r="E585" s="87"/>
      <c r="F585" s="87"/>
      <c r="G585" s="87"/>
      <c r="H585" s="87"/>
      <c r="I585" s="87"/>
      <c r="J585" s="87"/>
      <c r="K585" s="87"/>
      <c r="L585" s="87"/>
      <c r="M585" s="87"/>
      <c r="N585" s="87"/>
      <c r="O585" s="87"/>
      <c r="P585" s="87"/>
      <c r="Q585" s="87"/>
      <c r="R585" s="13"/>
      <c r="S585" s="13"/>
      <c r="T585" s="13"/>
      <c r="U585" s="13"/>
      <c r="V585" s="13"/>
      <c r="W585" s="13"/>
      <c r="X585" s="13"/>
      <c r="Y585" s="13"/>
      <c r="Z585" s="13"/>
    </row>
    <row r="586" spans="1:26" ht="15.75" customHeight="1">
      <c r="A586" s="39"/>
      <c r="B586" s="39"/>
      <c r="C586" s="306"/>
      <c r="D586" s="87"/>
      <c r="E586" s="87"/>
      <c r="F586" s="87"/>
      <c r="G586" s="87"/>
      <c r="H586" s="87"/>
      <c r="I586" s="87"/>
      <c r="J586" s="87"/>
      <c r="K586" s="87"/>
      <c r="L586" s="87"/>
      <c r="M586" s="87"/>
      <c r="N586" s="87"/>
      <c r="O586" s="87"/>
      <c r="P586" s="87"/>
      <c r="Q586" s="87"/>
      <c r="R586" s="13"/>
      <c r="S586" s="13"/>
      <c r="T586" s="13"/>
      <c r="U586" s="13"/>
      <c r="V586" s="13"/>
      <c r="W586" s="13"/>
      <c r="X586" s="13"/>
      <c r="Y586" s="13"/>
      <c r="Z586" s="13"/>
    </row>
    <row r="587" spans="1:26" ht="15.75" customHeight="1">
      <c r="A587" s="39"/>
      <c r="B587" s="39"/>
      <c r="C587" s="306"/>
      <c r="D587" s="87"/>
      <c r="E587" s="87"/>
      <c r="F587" s="87"/>
      <c r="G587" s="87"/>
      <c r="H587" s="87"/>
      <c r="I587" s="87"/>
      <c r="J587" s="87"/>
      <c r="K587" s="87"/>
      <c r="L587" s="87"/>
      <c r="M587" s="87"/>
      <c r="N587" s="87"/>
      <c r="O587" s="87"/>
      <c r="P587" s="87"/>
      <c r="Q587" s="87"/>
      <c r="R587" s="13"/>
      <c r="S587" s="13"/>
      <c r="T587" s="13"/>
      <c r="U587" s="13"/>
      <c r="V587" s="13"/>
      <c r="W587" s="13"/>
      <c r="X587" s="13"/>
      <c r="Y587" s="13"/>
      <c r="Z587" s="13"/>
    </row>
    <row r="588" spans="1:26" ht="15.75" customHeight="1">
      <c r="A588" s="39"/>
      <c r="B588" s="39"/>
      <c r="C588" s="306"/>
      <c r="D588" s="87"/>
      <c r="E588" s="87"/>
      <c r="F588" s="87"/>
      <c r="G588" s="87"/>
      <c r="H588" s="87"/>
      <c r="I588" s="87"/>
      <c r="J588" s="87"/>
      <c r="K588" s="87"/>
      <c r="L588" s="87"/>
      <c r="M588" s="87"/>
      <c r="N588" s="87"/>
      <c r="O588" s="87"/>
      <c r="P588" s="87"/>
      <c r="Q588" s="87"/>
      <c r="R588" s="13"/>
      <c r="S588" s="13"/>
      <c r="T588" s="13"/>
      <c r="U588" s="13"/>
      <c r="V588" s="13"/>
      <c r="W588" s="13"/>
      <c r="X588" s="13"/>
      <c r="Y588" s="13"/>
      <c r="Z588" s="13"/>
    </row>
    <row r="589" spans="1:26" ht="15.75" customHeight="1">
      <c r="A589" s="39"/>
      <c r="B589" s="39"/>
      <c r="C589" s="306"/>
      <c r="D589" s="87"/>
      <c r="E589" s="87"/>
      <c r="F589" s="87"/>
      <c r="G589" s="87"/>
      <c r="H589" s="87"/>
      <c r="I589" s="87"/>
      <c r="J589" s="87"/>
      <c r="K589" s="87"/>
      <c r="L589" s="87"/>
      <c r="M589" s="87"/>
      <c r="N589" s="87"/>
      <c r="O589" s="87"/>
      <c r="P589" s="87"/>
      <c r="Q589" s="87"/>
      <c r="R589" s="13"/>
      <c r="S589" s="13"/>
      <c r="T589" s="13"/>
      <c r="U589" s="13"/>
      <c r="V589" s="13"/>
      <c r="W589" s="13"/>
      <c r="X589" s="13"/>
      <c r="Y589" s="13"/>
      <c r="Z589" s="13"/>
    </row>
    <row r="590" spans="1:26" ht="15.75" customHeight="1">
      <c r="A590" s="39"/>
      <c r="B590" s="39"/>
      <c r="C590" s="306"/>
      <c r="D590" s="87"/>
      <c r="E590" s="87"/>
      <c r="F590" s="87"/>
      <c r="G590" s="87"/>
      <c r="H590" s="87"/>
      <c r="I590" s="87"/>
      <c r="J590" s="87"/>
      <c r="K590" s="87"/>
      <c r="L590" s="87"/>
      <c r="M590" s="87"/>
      <c r="N590" s="87"/>
      <c r="O590" s="87"/>
      <c r="P590" s="87"/>
      <c r="Q590" s="87"/>
      <c r="R590" s="13"/>
      <c r="S590" s="13"/>
      <c r="T590" s="13"/>
      <c r="U590" s="13"/>
      <c r="V590" s="13"/>
      <c r="W590" s="13"/>
      <c r="X590" s="13"/>
      <c r="Y590" s="13"/>
      <c r="Z590" s="13"/>
    </row>
    <row r="591" spans="1:26" ht="15.75" customHeight="1">
      <c r="A591" s="39"/>
      <c r="B591" s="39"/>
      <c r="C591" s="306"/>
      <c r="D591" s="87"/>
      <c r="E591" s="87"/>
      <c r="F591" s="87"/>
      <c r="G591" s="87"/>
      <c r="H591" s="87"/>
      <c r="I591" s="87"/>
      <c r="J591" s="87"/>
      <c r="K591" s="87"/>
      <c r="L591" s="87"/>
      <c r="M591" s="87"/>
      <c r="N591" s="87"/>
      <c r="O591" s="87"/>
      <c r="P591" s="87"/>
      <c r="Q591" s="87"/>
      <c r="R591" s="13"/>
      <c r="S591" s="13"/>
      <c r="T591" s="13"/>
      <c r="U591" s="13"/>
      <c r="V591" s="13"/>
      <c r="W591" s="13"/>
      <c r="X591" s="13"/>
      <c r="Y591" s="13"/>
      <c r="Z591" s="13"/>
    </row>
    <row r="592" spans="1:26" ht="15.75" customHeight="1">
      <c r="A592" s="39"/>
      <c r="B592" s="39"/>
      <c r="C592" s="306"/>
      <c r="D592" s="87"/>
      <c r="E592" s="87"/>
      <c r="F592" s="87"/>
      <c r="G592" s="87"/>
      <c r="H592" s="87"/>
      <c r="I592" s="87"/>
      <c r="J592" s="87"/>
      <c r="K592" s="87"/>
      <c r="L592" s="87"/>
      <c r="M592" s="87"/>
      <c r="N592" s="87"/>
      <c r="O592" s="87"/>
      <c r="P592" s="87"/>
      <c r="Q592" s="87"/>
      <c r="R592" s="13"/>
      <c r="S592" s="13"/>
      <c r="T592" s="13"/>
      <c r="U592" s="13"/>
      <c r="V592" s="13"/>
      <c r="W592" s="13"/>
      <c r="X592" s="13"/>
      <c r="Y592" s="13"/>
      <c r="Z592" s="13"/>
    </row>
    <row r="593" spans="1:26" ht="15.75" customHeight="1">
      <c r="A593" s="39"/>
      <c r="B593" s="39"/>
      <c r="C593" s="306"/>
      <c r="D593" s="87"/>
      <c r="E593" s="87"/>
      <c r="F593" s="87"/>
      <c r="G593" s="87"/>
      <c r="H593" s="87"/>
      <c r="I593" s="87"/>
      <c r="J593" s="87"/>
      <c r="K593" s="87"/>
      <c r="L593" s="87"/>
      <c r="M593" s="87"/>
      <c r="N593" s="87"/>
      <c r="O593" s="87"/>
      <c r="P593" s="87"/>
      <c r="Q593" s="87"/>
      <c r="R593" s="13"/>
      <c r="S593" s="13"/>
      <c r="T593" s="13"/>
      <c r="U593" s="13"/>
      <c r="V593" s="13"/>
      <c r="W593" s="13"/>
      <c r="X593" s="13"/>
      <c r="Y593" s="13"/>
      <c r="Z593" s="13"/>
    </row>
    <row r="594" spans="1:26" ht="15.75" customHeight="1">
      <c r="A594" s="39"/>
      <c r="B594" s="39"/>
      <c r="C594" s="306"/>
      <c r="D594" s="87"/>
      <c r="E594" s="87"/>
      <c r="F594" s="87"/>
      <c r="G594" s="87"/>
      <c r="H594" s="87"/>
      <c r="I594" s="87"/>
      <c r="J594" s="87"/>
      <c r="K594" s="87"/>
      <c r="L594" s="87"/>
      <c r="M594" s="87"/>
      <c r="N594" s="87"/>
      <c r="O594" s="87"/>
      <c r="P594" s="87"/>
      <c r="Q594" s="87"/>
      <c r="R594" s="13"/>
      <c r="S594" s="13"/>
      <c r="T594" s="13"/>
      <c r="U594" s="13"/>
      <c r="V594" s="13"/>
      <c r="W594" s="13"/>
      <c r="X594" s="13"/>
      <c r="Y594" s="13"/>
      <c r="Z594" s="13"/>
    </row>
    <row r="595" spans="1:26" ht="15.75" customHeight="1">
      <c r="A595" s="39"/>
      <c r="B595" s="39"/>
      <c r="C595" s="306"/>
      <c r="D595" s="87"/>
      <c r="E595" s="87"/>
      <c r="F595" s="87"/>
      <c r="G595" s="87"/>
      <c r="H595" s="87"/>
      <c r="I595" s="87"/>
      <c r="J595" s="87"/>
      <c r="K595" s="87"/>
      <c r="L595" s="87"/>
      <c r="M595" s="87"/>
      <c r="N595" s="87"/>
      <c r="O595" s="87"/>
      <c r="P595" s="87"/>
      <c r="Q595" s="87"/>
      <c r="R595" s="13"/>
      <c r="S595" s="13"/>
      <c r="T595" s="13"/>
      <c r="U595" s="13"/>
      <c r="V595" s="13"/>
      <c r="W595" s="13"/>
      <c r="X595" s="13"/>
      <c r="Y595" s="13"/>
      <c r="Z595" s="13"/>
    </row>
    <row r="596" spans="1:26" ht="15.75" customHeight="1">
      <c r="A596" s="39"/>
      <c r="B596" s="39"/>
      <c r="C596" s="306"/>
      <c r="D596" s="87"/>
      <c r="E596" s="87"/>
      <c r="F596" s="87"/>
      <c r="G596" s="87"/>
      <c r="H596" s="87"/>
      <c r="I596" s="87"/>
      <c r="J596" s="87"/>
      <c r="K596" s="87"/>
      <c r="L596" s="87"/>
      <c r="M596" s="87"/>
      <c r="N596" s="87"/>
      <c r="O596" s="87"/>
      <c r="P596" s="87"/>
      <c r="Q596" s="87"/>
      <c r="R596" s="13"/>
      <c r="S596" s="13"/>
      <c r="T596" s="13"/>
      <c r="U596" s="13"/>
      <c r="V596" s="13"/>
      <c r="W596" s="13"/>
      <c r="X596" s="13"/>
      <c r="Y596" s="13"/>
      <c r="Z596" s="13"/>
    </row>
    <row r="597" spans="1:26" ht="15.75" customHeight="1">
      <c r="A597" s="39"/>
      <c r="B597" s="39"/>
      <c r="C597" s="306"/>
      <c r="D597" s="87"/>
      <c r="E597" s="87"/>
      <c r="F597" s="87"/>
      <c r="G597" s="87"/>
      <c r="H597" s="87"/>
      <c r="I597" s="87"/>
      <c r="J597" s="87"/>
      <c r="K597" s="87"/>
      <c r="L597" s="87"/>
      <c r="M597" s="87"/>
      <c r="N597" s="87"/>
      <c r="O597" s="87"/>
      <c r="P597" s="87"/>
      <c r="Q597" s="87"/>
      <c r="R597" s="13"/>
      <c r="S597" s="13"/>
      <c r="T597" s="13"/>
      <c r="U597" s="13"/>
      <c r="V597" s="13"/>
      <c r="W597" s="13"/>
      <c r="X597" s="13"/>
      <c r="Y597" s="13"/>
      <c r="Z597" s="13"/>
    </row>
    <row r="598" spans="1:26" ht="15.75" customHeight="1">
      <c r="A598" s="39"/>
      <c r="B598" s="39"/>
      <c r="C598" s="306"/>
      <c r="D598" s="87"/>
      <c r="E598" s="87"/>
      <c r="F598" s="87"/>
      <c r="G598" s="87"/>
      <c r="H598" s="87"/>
      <c r="I598" s="87"/>
      <c r="J598" s="87"/>
      <c r="K598" s="87"/>
      <c r="L598" s="87"/>
      <c r="M598" s="87"/>
      <c r="N598" s="87"/>
      <c r="O598" s="87"/>
      <c r="P598" s="87"/>
      <c r="Q598" s="87"/>
      <c r="R598" s="13"/>
      <c r="S598" s="13"/>
      <c r="T598" s="13"/>
      <c r="U598" s="13"/>
      <c r="V598" s="13"/>
      <c r="W598" s="13"/>
      <c r="X598" s="13"/>
      <c r="Y598" s="13"/>
      <c r="Z598" s="13"/>
    </row>
    <row r="599" spans="1:26" ht="15.75" customHeight="1">
      <c r="A599" s="39"/>
      <c r="B599" s="39"/>
      <c r="C599" s="306"/>
      <c r="D599" s="87"/>
      <c r="E599" s="87"/>
      <c r="F599" s="87"/>
      <c r="G599" s="87"/>
      <c r="H599" s="87"/>
      <c r="I599" s="87"/>
      <c r="J599" s="87"/>
      <c r="K599" s="87"/>
      <c r="L599" s="87"/>
      <c r="M599" s="87"/>
      <c r="N599" s="87"/>
      <c r="O599" s="87"/>
      <c r="P599" s="87"/>
      <c r="Q599" s="87"/>
      <c r="R599" s="13"/>
      <c r="S599" s="13"/>
      <c r="T599" s="13"/>
      <c r="U599" s="13"/>
      <c r="V599" s="13"/>
      <c r="W599" s="13"/>
      <c r="X599" s="13"/>
      <c r="Y599" s="13"/>
      <c r="Z599" s="13"/>
    </row>
    <row r="600" spans="1:26" ht="15.75" customHeight="1">
      <c r="A600" s="39"/>
      <c r="B600" s="39"/>
      <c r="C600" s="306"/>
      <c r="D600" s="87"/>
      <c r="E600" s="87"/>
      <c r="F600" s="87"/>
      <c r="G600" s="87"/>
      <c r="H600" s="87"/>
      <c r="I600" s="87"/>
      <c r="J600" s="87"/>
      <c r="K600" s="87"/>
      <c r="L600" s="87"/>
      <c r="M600" s="87"/>
      <c r="N600" s="87"/>
      <c r="O600" s="87"/>
      <c r="P600" s="87"/>
      <c r="Q600" s="87"/>
      <c r="R600" s="13"/>
      <c r="S600" s="13"/>
      <c r="T600" s="13"/>
      <c r="U600" s="13"/>
      <c r="V600" s="13"/>
      <c r="W600" s="13"/>
      <c r="X600" s="13"/>
      <c r="Y600" s="13"/>
      <c r="Z600" s="13"/>
    </row>
    <row r="601" spans="1:26" ht="15.75" customHeight="1">
      <c r="A601" s="39"/>
      <c r="B601" s="39"/>
      <c r="C601" s="306"/>
      <c r="D601" s="87"/>
      <c r="E601" s="87"/>
      <c r="F601" s="87"/>
      <c r="G601" s="87"/>
      <c r="H601" s="87"/>
      <c r="I601" s="87"/>
      <c r="J601" s="87"/>
      <c r="K601" s="87"/>
      <c r="L601" s="87"/>
      <c r="M601" s="87"/>
      <c r="N601" s="87"/>
      <c r="O601" s="87"/>
      <c r="P601" s="87"/>
      <c r="Q601" s="87"/>
      <c r="R601" s="13"/>
      <c r="S601" s="13"/>
      <c r="T601" s="13"/>
      <c r="U601" s="13"/>
      <c r="V601" s="13"/>
      <c r="W601" s="13"/>
      <c r="X601" s="13"/>
      <c r="Y601" s="13"/>
      <c r="Z601" s="13"/>
    </row>
    <row r="602" spans="1:26" ht="15.75" customHeight="1">
      <c r="A602" s="39"/>
      <c r="B602" s="39"/>
      <c r="C602" s="306"/>
      <c r="D602" s="87"/>
      <c r="E602" s="87"/>
      <c r="F602" s="87"/>
      <c r="G602" s="87"/>
      <c r="H602" s="87"/>
      <c r="I602" s="87"/>
      <c r="J602" s="87"/>
      <c r="K602" s="87"/>
      <c r="L602" s="87"/>
      <c r="M602" s="87"/>
      <c r="N602" s="87"/>
      <c r="O602" s="87"/>
      <c r="P602" s="87"/>
      <c r="Q602" s="87"/>
      <c r="R602" s="13"/>
      <c r="S602" s="13"/>
      <c r="T602" s="13"/>
      <c r="U602" s="13"/>
      <c r="V602" s="13"/>
      <c r="W602" s="13"/>
      <c r="X602" s="13"/>
      <c r="Y602" s="13"/>
      <c r="Z602" s="13"/>
    </row>
    <row r="603" spans="1:26" ht="15.75" customHeight="1">
      <c r="A603" s="39"/>
      <c r="B603" s="39"/>
      <c r="C603" s="306"/>
      <c r="D603" s="87"/>
      <c r="E603" s="87"/>
      <c r="F603" s="87"/>
      <c r="G603" s="87"/>
      <c r="H603" s="87"/>
      <c r="I603" s="87"/>
      <c r="J603" s="87"/>
      <c r="K603" s="87"/>
      <c r="L603" s="87"/>
      <c r="M603" s="87"/>
      <c r="N603" s="87"/>
      <c r="O603" s="87"/>
      <c r="P603" s="87"/>
      <c r="Q603" s="87"/>
      <c r="R603" s="13"/>
      <c r="S603" s="13"/>
      <c r="T603" s="13"/>
      <c r="U603" s="13"/>
      <c r="V603" s="13"/>
      <c r="W603" s="13"/>
      <c r="X603" s="13"/>
      <c r="Y603" s="13"/>
      <c r="Z603" s="13"/>
    </row>
    <row r="604" spans="1:26" ht="15.75" customHeight="1">
      <c r="A604" s="39"/>
      <c r="B604" s="39"/>
      <c r="C604" s="306"/>
      <c r="D604" s="87"/>
      <c r="E604" s="87"/>
      <c r="F604" s="87"/>
      <c r="G604" s="87"/>
      <c r="H604" s="87"/>
      <c r="I604" s="87"/>
      <c r="J604" s="87"/>
      <c r="K604" s="87"/>
      <c r="L604" s="87"/>
      <c r="M604" s="87"/>
      <c r="N604" s="87"/>
      <c r="O604" s="87"/>
      <c r="P604" s="87"/>
      <c r="Q604" s="87"/>
      <c r="R604" s="13"/>
      <c r="S604" s="13"/>
      <c r="T604" s="13"/>
      <c r="U604" s="13"/>
      <c r="V604" s="13"/>
      <c r="W604" s="13"/>
      <c r="X604" s="13"/>
      <c r="Y604" s="13"/>
      <c r="Z604" s="13"/>
    </row>
    <row r="605" spans="1:26" ht="15.75" customHeight="1">
      <c r="A605" s="39"/>
      <c r="B605" s="39"/>
      <c r="C605" s="306"/>
      <c r="D605" s="87"/>
      <c r="E605" s="87"/>
      <c r="F605" s="87"/>
      <c r="G605" s="87"/>
      <c r="H605" s="87"/>
      <c r="I605" s="87"/>
      <c r="J605" s="87"/>
      <c r="K605" s="87"/>
      <c r="L605" s="87"/>
      <c r="M605" s="87"/>
      <c r="N605" s="87"/>
      <c r="O605" s="87"/>
      <c r="P605" s="87"/>
      <c r="Q605" s="87"/>
      <c r="R605" s="13"/>
      <c r="S605" s="13"/>
      <c r="T605" s="13"/>
      <c r="U605" s="13"/>
      <c r="V605" s="13"/>
      <c r="W605" s="13"/>
      <c r="X605" s="13"/>
      <c r="Y605" s="13"/>
      <c r="Z605" s="13"/>
    </row>
    <row r="606" spans="1:26" ht="15.75" customHeight="1">
      <c r="A606" s="39"/>
      <c r="B606" s="39"/>
      <c r="C606" s="306"/>
      <c r="D606" s="87"/>
      <c r="E606" s="87"/>
      <c r="F606" s="87"/>
      <c r="G606" s="87"/>
      <c r="H606" s="87"/>
      <c r="I606" s="87"/>
      <c r="J606" s="87"/>
      <c r="K606" s="87"/>
      <c r="L606" s="87"/>
      <c r="M606" s="87"/>
      <c r="N606" s="87"/>
      <c r="O606" s="87"/>
      <c r="P606" s="87"/>
      <c r="Q606" s="87"/>
      <c r="R606" s="13"/>
      <c r="S606" s="13"/>
      <c r="T606" s="13"/>
      <c r="U606" s="13"/>
      <c r="V606" s="13"/>
      <c r="W606" s="13"/>
      <c r="X606" s="13"/>
      <c r="Y606" s="13"/>
      <c r="Z606" s="13"/>
    </row>
    <row r="607" spans="1:26" ht="15.75" customHeight="1">
      <c r="A607" s="39"/>
      <c r="B607" s="39"/>
      <c r="C607" s="306"/>
      <c r="D607" s="87"/>
      <c r="E607" s="87"/>
      <c r="F607" s="87"/>
      <c r="G607" s="87"/>
      <c r="H607" s="87"/>
      <c r="I607" s="87"/>
      <c r="J607" s="87"/>
      <c r="K607" s="87"/>
      <c r="L607" s="87"/>
      <c r="M607" s="87"/>
      <c r="N607" s="87"/>
      <c r="O607" s="87"/>
      <c r="P607" s="87"/>
      <c r="Q607" s="87"/>
      <c r="R607" s="13"/>
      <c r="S607" s="13"/>
      <c r="T607" s="13"/>
      <c r="U607" s="13"/>
      <c r="V607" s="13"/>
      <c r="W607" s="13"/>
      <c r="X607" s="13"/>
      <c r="Y607" s="13"/>
      <c r="Z607" s="13"/>
    </row>
    <row r="608" spans="1:26" ht="15.75" customHeight="1">
      <c r="A608" s="39"/>
      <c r="B608" s="39"/>
      <c r="C608" s="306"/>
      <c r="D608" s="87"/>
      <c r="E608" s="87"/>
      <c r="F608" s="87"/>
      <c r="G608" s="87"/>
      <c r="H608" s="87"/>
      <c r="I608" s="87"/>
      <c r="J608" s="87"/>
      <c r="K608" s="87"/>
      <c r="L608" s="87"/>
      <c r="M608" s="87"/>
      <c r="N608" s="87"/>
      <c r="O608" s="87"/>
      <c r="P608" s="87"/>
      <c r="Q608" s="87"/>
      <c r="R608" s="13"/>
      <c r="S608" s="13"/>
      <c r="T608" s="13"/>
      <c r="U608" s="13"/>
      <c r="V608" s="13"/>
      <c r="W608" s="13"/>
      <c r="X608" s="13"/>
      <c r="Y608" s="13"/>
      <c r="Z608" s="13"/>
    </row>
    <row r="609" spans="1:26" ht="15.75" customHeight="1">
      <c r="A609" s="39"/>
      <c r="B609" s="39"/>
      <c r="C609" s="306"/>
      <c r="D609" s="87"/>
      <c r="E609" s="87"/>
      <c r="F609" s="87"/>
      <c r="G609" s="87"/>
      <c r="H609" s="87"/>
      <c r="I609" s="87"/>
      <c r="J609" s="87"/>
      <c r="K609" s="87"/>
      <c r="L609" s="87"/>
      <c r="M609" s="87"/>
      <c r="N609" s="87"/>
      <c r="O609" s="87"/>
      <c r="P609" s="87"/>
      <c r="Q609" s="87"/>
      <c r="R609" s="13"/>
      <c r="S609" s="13"/>
      <c r="T609" s="13"/>
      <c r="U609" s="13"/>
      <c r="V609" s="13"/>
      <c r="W609" s="13"/>
      <c r="X609" s="13"/>
      <c r="Y609" s="13"/>
      <c r="Z609" s="13"/>
    </row>
    <row r="610" spans="1:26" ht="15.75" customHeight="1">
      <c r="A610" s="39"/>
      <c r="B610" s="39"/>
      <c r="C610" s="306"/>
      <c r="D610" s="87"/>
      <c r="E610" s="87"/>
      <c r="F610" s="87"/>
      <c r="G610" s="87"/>
      <c r="H610" s="87"/>
      <c r="I610" s="87"/>
      <c r="J610" s="87"/>
      <c r="K610" s="87"/>
      <c r="L610" s="87"/>
      <c r="M610" s="87"/>
      <c r="N610" s="87"/>
      <c r="O610" s="87"/>
      <c r="P610" s="87"/>
      <c r="Q610" s="87"/>
      <c r="R610" s="13"/>
      <c r="S610" s="13"/>
      <c r="T610" s="13"/>
      <c r="U610" s="13"/>
      <c r="V610" s="13"/>
      <c r="W610" s="13"/>
      <c r="X610" s="13"/>
      <c r="Y610" s="13"/>
      <c r="Z610" s="13"/>
    </row>
    <row r="611" spans="1:26" ht="15.75" customHeight="1">
      <c r="A611" s="39"/>
      <c r="B611" s="39"/>
      <c r="C611" s="306"/>
      <c r="D611" s="87"/>
      <c r="E611" s="87"/>
      <c r="F611" s="87"/>
      <c r="G611" s="87"/>
      <c r="H611" s="87"/>
      <c r="I611" s="87"/>
      <c r="J611" s="87"/>
      <c r="K611" s="87"/>
      <c r="L611" s="87"/>
      <c r="M611" s="87"/>
      <c r="N611" s="87"/>
      <c r="O611" s="87"/>
      <c r="P611" s="87"/>
      <c r="Q611" s="87"/>
      <c r="R611" s="13"/>
      <c r="S611" s="13"/>
      <c r="T611" s="13"/>
      <c r="U611" s="13"/>
      <c r="V611" s="13"/>
      <c r="W611" s="13"/>
      <c r="X611" s="13"/>
      <c r="Y611" s="13"/>
      <c r="Z611" s="13"/>
    </row>
    <row r="612" spans="1:26" ht="15.75" customHeight="1">
      <c r="A612" s="39"/>
      <c r="B612" s="39"/>
      <c r="C612" s="306"/>
      <c r="D612" s="87"/>
      <c r="E612" s="87"/>
      <c r="F612" s="87"/>
      <c r="G612" s="87"/>
      <c r="H612" s="87"/>
      <c r="I612" s="87"/>
      <c r="J612" s="87"/>
      <c r="K612" s="87"/>
      <c r="L612" s="87"/>
      <c r="M612" s="87"/>
      <c r="N612" s="87"/>
      <c r="O612" s="87"/>
      <c r="P612" s="87"/>
      <c r="Q612" s="87"/>
      <c r="R612" s="13"/>
      <c r="S612" s="13"/>
      <c r="T612" s="13"/>
      <c r="U612" s="13"/>
      <c r="V612" s="13"/>
      <c r="W612" s="13"/>
      <c r="X612" s="13"/>
      <c r="Y612" s="13"/>
      <c r="Z612" s="13"/>
    </row>
    <row r="613" spans="1:26" ht="15.75" customHeight="1">
      <c r="A613" s="39"/>
      <c r="B613" s="39"/>
      <c r="C613" s="306"/>
      <c r="D613" s="87"/>
      <c r="E613" s="87"/>
      <c r="F613" s="87"/>
      <c r="G613" s="87"/>
      <c r="H613" s="87"/>
      <c r="I613" s="87"/>
      <c r="J613" s="87"/>
      <c r="K613" s="87"/>
      <c r="L613" s="87"/>
      <c r="M613" s="87"/>
      <c r="N613" s="87"/>
      <c r="O613" s="87"/>
      <c r="P613" s="87"/>
      <c r="Q613" s="87"/>
      <c r="R613" s="13"/>
      <c r="S613" s="13"/>
      <c r="T613" s="13"/>
      <c r="U613" s="13"/>
      <c r="V613" s="13"/>
      <c r="W613" s="13"/>
      <c r="X613" s="13"/>
      <c r="Y613" s="13"/>
      <c r="Z613" s="13"/>
    </row>
    <row r="614" spans="1:26" ht="15.75" customHeight="1">
      <c r="A614" s="39"/>
      <c r="B614" s="39"/>
      <c r="C614" s="306"/>
      <c r="D614" s="87"/>
      <c r="E614" s="87"/>
      <c r="F614" s="87"/>
      <c r="G614" s="87"/>
      <c r="H614" s="87"/>
      <c r="I614" s="87"/>
      <c r="J614" s="87"/>
      <c r="K614" s="87"/>
      <c r="L614" s="87"/>
      <c r="M614" s="87"/>
      <c r="N614" s="87"/>
      <c r="O614" s="87"/>
      <c r="P614" s="87"/>
      <c r="Q614" s="87"/>
      <c r="R614" s="13"/>
      <c r="S614" s="13"/>
      <c r="T614" s="13"/>
      <c r="U614" s="13"/>
      <c r="V614" s="13"/>
      <c r="W614" s="13"/>
      <c r="X614" s="13"/>
      <c r="Y614" s="13"/>
      <c r="Z614" s="13"/>
    </row>
    <row r="615" spans="1:26" ht="15.75" customHeight="1">
      <c r="A615" s="39"/>
      <c r="B615" s="39"/>
      <c r="C615" s="306"/>
      <c r="D615" s="87"/>
      <c r="E615" s="87"/>
      <c r="F615" s="87"/>
      <c r="G615" s="87"/>
      <c r="H615" s="87"/>
      <c r="I615" s="87"/>
      <c r="J615" s="87"/>
      <c r="K615" s="87"/>
      <c r="L615" s="87"/>
      <c r="M615" s="87"/>
      <c r="N615" s="87"/>
      <c r="O615" s="87"/>
      <c r="P615" s="87"/>
      <c r="Q615" s="87"/>
      <c r="R615" s="13"/>
      <c r="S615" s="13"/>
      <c r="T615" s="13"/>
      <c r="U615" s="13"/>
      <c r="V615" s="13"/>
      <c r="W615" s="13"/>
      <c r="X615" s="13"/>
      <c r="Y615" s="13"/>
      <c r="Z615" s="13"/>
    </row>
    <row r="616" spans="1:26" ht="15.75" customHeight="1">
      <c r="A616" s="39"/>
      <c r="B616" s="39"/>
      <c r="C616" s="306"/>
      <c r="D616" s="87"/>
      <c r="E616" s="87"/>
      <c r="F616" s="87"/>
      <c r="G616" s="87"/>
      <c r="H616" s="87"/>
      <c r="I616" s="87"/>
      <c r="J616" s="87"/>
      <c r="K616" s="87"/>
      <c r="L616" s="87"/>
      <c r="M616" s="87"/>
      <c r="N616" s="87"/>
      <c r="O616" s="87"/>
      <c r="P616" s="87"/>
      <c r="Q616" s="87"/>
      <c r="R616" s="13"/>
      <c r="S616" s="13"/>
      <c r="T616" s="13"/>
      <c r="U616" s="13"/>
      <c r="V616" s="13"/>
      <c r="W616" s="13"/>
      <c r="X616" s="13"/>
      <c r="Y616" s="13"/>
      <c r="Z616" s="13"/>
    </row>
    <row r="617" spans="1:26" ht="15.75" customHeight="1">
      <c r="A617" s="39"/>
      <c r="B617" s="39"/>
      <c r="C617" s="306"/>
      <c r="D617" s="87"/>
      <c r="E617" s="87"/>
      <c r="F617" s="87"/>
      <c r="G617" s="87"/>
      <c r="H617" s="87"/>
      <c r="I617" s="87"/>
      <c r="J617" s="87"/>
      <c r="K617" s="87"/>
      <c r="L617" s="87"/>
      <c r="M617" s="87"/>
      <c r="N617" s="87"/>
      <c r="O617" s="87"/>
      <c r="P617" s="87"/>
      <c r="Q617" s="87"/>
      <c r="R617" s="13"/>
      <c r="S617" s="13"/>
      <c r="T617" s="13"/>
      <c r="U617" s="13"/>
      <c r="V617" s="13"/>
      <c r="W617" s="13"/>
      <c r="X617" s="13"/>
      <c r="Y617" s="13"/>
      <c r="Z617" s="13"/>
    </row>
    <row r="618" spans="1:26" ht="15.75" customHeight="1">
      <c r="A618" s="39"/>
      <c r="B618" s="39"/>
      <c r="C618" s="306"/>
      <c r="D618" s="87"/>
      <c r="E618" s="87"/>
      <c r="F618" s="87"/>
      <c r="G618" s="87"/>
      <c r="H618" s="87"/>
      <c r="I618" s="87"/>
      <c r="J618" s="87"/>
      <c r="K618" s="87"/>
      <c r="L618" s="87"/>
      <c r="M618" s="87"/>
      <c r="N618" s="87"/>
      <c r="O618" s="87"/>
      <c r="P618" s="87"/>
      <c r="Q618" s="87"/>
      <c r="R618" s="13"/>
      <c r="S618" s="13"/>
      <c r="T618" s="13"/>
      <c r="U618" s="13"/>
      <c r="V618" s="13"/>
      <c r="W618" s="13"/>
      <c r="X618" s="13"/>
      <c r="Y618" s="13"/>
      <c r="Z618" s="13"/>
    </row>
    <row r="619" spans="1:26" ht="15.75" customHeight="1">
      <c r="A619" s="39"/>
      <c r="B619" s="39"/>
      <c r="C619" s="306"/>
      <c r="D619" s="87"/>
      <c r="E619" s="87"/>
      <c r="F619" s="87"/>
      <c r="G619" s="87"/>
      <c r="H619" s="87"/>
      <c r="I619" s="87"/>
      <c r="J619" s="87"/>
      <c r="K619" s="87"/>
      <c r="L619" s="87"/>
      <c r="M619" s="87"/>
      <c r="N619" s="87"/>
      <c r="O619" s="87"/>
      <c r="P619" s="87"/>
      <c r="Q619" s="87"/>
      <c r="R619" s="13"/>
      <c r="S619" s="13"/>
      <c r="T619" s="13"/>
      <c r="U619" s="13"/>
      <c r="V619" s="13"/>
      <c r="W619" s="13"/>
      <c r="X619" s="13"/>
      <c r="Y619" s="13"/>
      <c r="Z619" s="13"/>
    </row>
    <row r="620" spans="1:26" ht="15.75" customHeight="1">
      <c r="A620" s="39"/>
      <c r="B620" s="39"/>
      <c r="C620" s="306"/>
      <c r="D620" s="87"/>
      <c r="E620" s="87"/>
      <c r="F620" s="87"/>
      <c r="G620" s="87"/>
      <c r="H620" s="87"/>
      <c r="I620" s="87"/>
      <c r="J620" s="87"/>
      <c r="K620" s="87"/>
      <c r="L620" s="87"/>
      <c r="M620" s="87"/>
      <c r="N620" s="87"/>
      <c r="O620" s="87"/>
      <c r="P620" s="87"/>
      <c r="Q620" s="87"/>
      <c r="R620" s="13"/>
      <c r="S620" s="13"/>
      <c r="T620" s="13"/>
      <c r="U620" s="13"/>
      <c r="V620" s="13"/>
      <c r="W620" s="13"/>
      <c r="X620" s="13"/>
      <c r="Y620" s="13"/>
      <c r="Z620" s="13"/>
    </row>
    <row r="621" spans="1:26" ht="15.75" customHeight="1">
      <c r="A621" s="39"/>
      <c r="B621" s="39"/>
      <c r="C621" s="306"/>
      <c r="D621" s="87"/>
      <c r="E621" s="87"/>
      <c r="F621" s="87"/>
      <c r="G621" s="87"/>
      <c r="H621" s="87"/>
      <c r="I621" s="87"/>
      <c r="J621" s="87"/>
      <c r="K621" s="87"/>
      <c r="L621" s="87"/>
      <c r="M621" s="87"/>
      <c r="N621" s="87"/>
      <c r="O621" s="87"/>
      <c r="P621" s="87"/>
      <c r="Q621" s="87"/>
      <c r="R621" s="13"/>
      <c r="S621" s="13"/>
      <c r="T621" s="13"/>
      <c r="U621" s="13"/>
      <c r="V621" s="13"/>
      <c r="W621" s="13"/>
      <c r="X621" s="13"/>
      <c r="Y621" s="13"/>
      <c r="Z621" s="13"/>
    </row>
    <row r="622" spans="1:26" ht="15.75" customHeight="1">
      <c r="A622" s="39"/>
      <c r="B622" s="39"/>
      <c r="C622" s="306"/>
      <c r="D622" s="87"/>
      <c r="E622" s="87"/>
      <c r="F622" s="87"/>
      <c r="G622" s="87"/>
      <c r="H622" s="87"/>
      <c r="I622" s="87"/>
      <c r="J622" s="87"/>
      <c r="K622" s="87"/>
      <c r="L622" s="87"/>
      <c r="M622" s="87"/>
      <c r="N622" s="87"/>
      <c r="O622" s="87"/>
      <c r="P622" s="87"/>
      <c r="Q622" s="87"/>
      <c r="R622" s="13"/>
      <c r="S622" s="13"/>
      <c r="T622" s="13"/>
      <c r="U622" s="13"/>
      <c r="V622" s="13"/>
      <c r="W622" s="13"/>
      <c r="X622" s="13"/>
      <c r="Y622" s="13"/>
      <c r="Z622" s="13"/>
    </row>
    <row r="623" spans="1:26" ht="15.75" customHeight="1">
      <c r="A623" s="39"/>
      <c r="B623" s="39"/>
      <c r="C623" s="306"/>
      <c r="D623" s="87"/>
      <c r="E623" s="87"/>
      <c r="F623" s="87"/>
      <c r="G623" s="87"/>
      <c r="H623" s="87"/>
      <c r="I623" s="87"/>
      <c r="J623" s="87"/>
      <c r="K623" s="87"/>
      <c r="L623" s="87"/>
      <c r="M623" s="87"/>
      <c r="N623" s="87"/>
      <c r="O623" s="87"/>
      <c r="P623" s="87"/>
      <c r="Q623" s="87"/>
      <c r="R623" s="13"/>
      <c r="S623" s="13"/>
      <c r="T623" s="13"/>
      <c r="U623" s="13"/>
      <c r="V623" s="13"/>
      <c r="W623" s="13"/>
      <c r="X623" s="13"/>
      <c r="Y623" s="13"/>
      <c r="Z623" s="13"/>
    </row>
    <row r="624" spans="1:26" ht="15.75" customHeight="1">
      <c r="A624" s="39"/>
      <c r="B624" s="39"/>
      <c r="C624" s="306"/>
      <c r="D624" s="87"/>
      <c r="E624" s="87"/>
      <c r="F624" s="87"/>
      <c r="G624" s="87"/>
      <c r="H624" s="87"/>
      <c r="I624" s="87"/>
      <c r="J624" s="87"/>
      <c r="K624" s="87"/>
      <c r="L624" s="87"/>
      <c r="M624" s="87"/>
      <c r="N624" s="87"/>
      <c r="O624" s="87"/>
      <c r="P624" s="87"/>
      <c r="Q624" s="87"/>
      <c r="R624" s="13"/>
      <c r="S624" s="13"/>
      <c r="T624" s="13"/>
      <c r="U624" s="13"/>
      <c r="V624" s="13"/>
      <c r="W624" s="13"/>
      <c r="X624" s="13"/>
      <c r="Y624" s="13"/>
      <c r="Z624" s="13"/>
    </row>
    <row r="625" spans="1:26" ht="15.75" customHeight="1">
      <c r="A625" s="39"/>
      <c r="B625" s="39"/>
      <c r="C625" s="306"/>
      <c r="D625" s="87"/>
      <c r="E625" s="87"/>
      <c r="F625" s="87"/>
      <c r="G625" s="87"/>
      <c r="H625" s="87"/>
      <c r="I625" s="87"/>
      <c r="J625" s="87"/>
      <c r="K625" s="87"/>
      <c r="L625" s="87"/>
      <c r="M625" s="87"/>
      <c r="N625" s="87"/>
      <c r="O625" s="87"/>
      <c r="P625" s="87"/>
      <c r="Q625" s="87"/>
      <c r="R625" s="13"/>
      <c r="S625" s="13"/>
      <c r="T625" s="13"/>
      <c r="U625" s="13"/>
      <c r="V625" s="13"/>
      <c r="W625" s="13"/>
      <c r="X625" s="13"/>
      <c r="Y625" s="13"/>
      <c r="Z625" s="13"/>
    </row>
    <row r="626" spans="1:26" ht="15.75" customHeight="1">
      <c r="A626" s="39"/>
      <c r="B626" s="39"/>
      <c r="C626" s="306"/>
      <c r="D626" s="87"/>
      <c r="E626" s="87"/>
      <c r="F626" s="87"/>
      <c r="G626" s="87"/>
      <c r="H626" s="87"/>
      <c r="I626" s="87"/>
      <c r="J626" s="87"/>
      <c r="K626" s="87"/>
      <c r="L626" s="87"/>
      <c r="M626" s="87"/>
      <c r="N626" s="87"/>
      <c r="O626" s="87"/>
      <c r="P626" s="87"/>
      <c r="Q626" s="87"/>
      <c r="R626" s="13"/>
      <c r="S626" s="13"/>
      <c r="T626" s="13"/>
      <c r="U626" s="13"/>
      <c r="V626" s="13"/>
      <c r="W626" s="13"/>
      <c r="X626" s="13"/>
      <c r="Y626" s="13"/>
      <c r="Z626" s="13"/>
    </row>
    <row r="627" spans="1:26" ht="15.75" customHeight="1">
      <c r="A627" s="39"/>
      <c r="B627" s="39"/>
      <c r="C627" s="306"/>
      <c r="D627" s="87"/>
      <c r="E627" s="87"/>
      <c r="F627" s="87"/>
      <c r="G627" s="87"/>
      <c r="H627" s="87"/>
      <c r="I627" s="87"/>
      <c r="J627" s="87"/>
      <c r="K627" s="87"/>
      <c r="L627" s="87"/>
      <c r="M627" s="87"/>
      <c r="N627" s="87"/>
      <c r="O627" s="87"/>
      <c r="P627" s="87"/>
      <c r="Q627" s="87"/>
      <c r="R627" s="13"/>
      <c r="S627" s="13"/>
      <c r="T627" s="13"/>
      <c r="U627" s="13"/>
      <c r="V627" s="13"/>
      <c r="W627" s="13"/>
      <c r="X627" s="13"/>
      <c r="Y627" s="13"/>
      <c r="Z627" s="13"/>
    </row>
    <row r="628" spans="1:26" ht="15.75" customHeight="1">
      <c r="A628" s="39"/>
      <c r="B628" s="39"/>
      <c r="C628" s="306"/>
      <c r="D628" s="87"/>
      <c r="E628" s="87"/>
      <c r="F628" s="87"/>
      <c r="G628" s="87"/>
      <c r="H628" s="87"/>
      <c r="I628" s="87"/>
      <c r="J628" s="87"/>
      <c r="K628" s="87"/>
      <c r="L628" s="87"/>
      <c r="M628" s="87"/>
      <c r="N628" s="87"/>
      <c r="O628" s="87"/>
      <c r="P628" s="87"/>
      <c r="Q628" s="87"/>
      <c r="R628" s="13"/>
      <c r="S628" s="13"/>
      <c r="T628" s="13"/>
      <c r="U628" s="13"/>
      <c r="V628" s="13"/>
      <c r="W628" s="13"/>
      <c r="X628" s="13"/>
      <c r="Y628" s="13"/>
      <c r="Z628" s="13"/>
    </row>
    <row r="629" spans="1:26" ht="15.75" customHeight="1">
      <c r="A629" s="39"/>
      <c r="B629" s="39"/>
      <c r="C629" s="306"/>
      <c r="D629" s="87"/>
      <c r="E629" s="87"/>
      <c r="F629" s="87"/>
      <c r="G629" s="87"/>
      <c r="H629" s="87"/>
      <c r="I629" s="87"/>
      <c r="J629" s="87"/>
      <c r="K629" s="87"/>
      <c r="L629" s="87"/>
      <c r="M629" s="87"/>
      <c r="N629" s="87"/>
      <c r="O629" s="87"/>
      <c r="P629" s="87"/>
      <c r="Q629" s="87"/>
      <c r="R629" s="13"/>
      <c r="S629" s="13"/>
      <c r="T629" s="13"/>
      <c r="U629" s="13"/>
      <c r="V629" s="13"/>
      <c r="W629" s="13"/>
      <c r="X629" s="13"/>
      <c r="Y629" s="13"/>
      <c r="Z629" s="13"/>
    </row>
    <row r="630" spans="1:26" ht="15.75" customHeight="1">
      <c r="A630" s="39"/>
      <c r="B630" s="39"/>
      <c r="C630" s="306"/>
      <c r="D630" s="87"/>
      <c r="E630" s="87"/>
      <c r="F630" s="87"/>
      <c r="G630" s="87"/>
      <c r="H630" s="87"/>
      <c r="I630" s="87"/>
      <c r="J630" s="87"/>
      <c r="K630" s="87"/>
      <c r="L630" s="87"/>
      <c r="M630" s="87"/>
      <c r="N630" s="87"/>
      <c r="O630" s="87"/>
      <c r="P630" s="87"/>
      <c r="Q630" s="87"/>
      <c r="R630" s="13"/>
      <c r="S630" s="13"/>
      <c r="T630" s="13"/>
      <c r="U630" s="13"/>
      <c r="V630" s="13"/>
      <c r="W630" s="13"/>
      <c r="X630" s="13"/>
      <c r="Y630" s="13"/>
      <c r="Z630" s="13"/>
    </row>
    <row r="631" spans="1:26" ht="15.75" customHeight="1">
      <c r="A631" s="39"/>
      <c r="B631" s="39"/>
      <c r="C631" s="306"/>
      <c r="D631" s="87"/>
      <c r="E631" s="87"/>
      <c r="F631" s="87"/>
      <c r="G631" s="87"/>
      <c r="H631" s="87"/>
      <c r="I631" s="87"/>
      <c r="J631" s="87"/>
      <c r="K631" s="87"/>
      <c r="L631" s="87"/>
      <c r="M631" s="87"/>
      <c r="N631" s="87"/>
      <c r="O631" s="87"/>
      <c r="P631" s="87"/>
      <c r="Q631" s="87"/>
      <c r="R631" s="13"/>
      <c r="S631" s="13"/>
      <c r="T631" s="13"/>
      <c r="U631" s="13"/>
      <c r="V631" s="13"/>
      <c r="W631" s="13"/>
      <c r="X631" s="13"/>
      <c r="Y631" s="13"/>
      <c r="Z631" s="13"/>
    </row>
    <row r="632" spans="1:26" ht="15.75" customHeight="1">
      <c r="A632" s="39"/>
      <c r="B632" s="39"/>
      <c r="C632" s="306"/>
      <c r="D632" s="87"/>
      <c r="E632" s="87"/>
      <c r="F632" s="87"/>
      <c r="G632" s="87"/>
      <c r="H632" s="87"/>
      <c r="I632" s="87"/>
      <c r="J632" s="87"/>
      <c r="K632" s="87"/>
      <c r="L632" s="87"/>
      <c r="M632" s="87"/>
      <c r="N632" s="87"/>
      <c r="O632" s="87"/>
      <c r="P632" s="87"/>
      <c r="Q632" s="87"/>
      <c r="R632" s="13"/>
      <c r="S632" s="13"/>
      <c r="T632" s="13"/>
      <c r="U632" s="13"/>
      <c r="V632" s="13"/>
      <c r="W632" s="13"/>
      <c r="X632" s="13"/>
      <c r="Y632" s="13"/>
      <c r="Z632" s="13"/>
    </row>
    <row r="633" spans="1:26" ht="15.75" customHeight="1">
      <c r="A633" s="39"/>
      <c r="B633" s="39"/>
      <c r="C633" s="306"/>
      <c r="D633" s="87"/>
      <c r="E633" s="87"/>
      <c r="F633" s="87"/>
      <c r="G633" s="87"/>
      <c r="H633" s="87"/>
      <c r="I633" s="87"/>
      <c r="J633" s="87"/>
      <c r="K633" s="87"/>
      <c r="L633" s="87"/>
      <c r="M633" s="87"/>
      <c r="N633" s="87"/>
      <c r="O633" s="87"/>
      <c r="P633" s="87"/>
      <c r="Q633" s="87"/>
      <c r="R633" s="13"/>
      <c r="S633" s="13"/>
      <c r="T633" s="13"/>
      <c r="U633" s="13"/>
      <c r="V633" s="13"/>
      <c r="W633" s="13"/>
      <c r="X633" s="13"/>
      <c r="Y633" s="13"/>
      <c r="Z633" s="13"/>
    </row>
    <row r="634" spans="1:26" ht="15.75" customHeight="1">
      <c r="A634" s="39"/>
      <c r="B634" s="39"/>
      <c r="C634" s="306"/>
      <c r="D634" s="87"/>
      <c r="E634" s="87"/>
      <c r="F634" s="87"/>
      <c r="G634" s="87"/>
      <c r="H634" s="87"/>
      <c r="I634" s="87"/>
      <c r="J634" s="87"/>
      <c r="K634" s="87"/>
      <c r="L634" s="87"/>
      <c r="M634" s="87"/>
      <c r="N634" s="87"/>
      <c r="O634" s="87"/>
      <c r="P634" s="87"/>
      <c r="Q634" s="87"/>
      <c r="R634" s="13"/>
      <c r="S634" s="13"/>
      <c r="T634" s="13"/>
      <c r="U634" s="13"/>
      <c r="V634" s="13"/>
      <c r="W634" s="13"/>
      <c r="X634" s="13"/>
      <c r="Y634" s="13"/>
      <c r="Z634" s="13"/>
    </row>
    <row r="635" spans="1:26" ht="15.75" customHeight="1">
      <c r="A635" s="39"/>
      <c r="B635" s="39"/>
      <c r="C635" s="306"/>
      <c r="D635" s="87"/>
      <c r="E635" s="87"/>
      <c r="F635" s="87"/>
      <c r="G635" s="87"/>
      <c r="H635" s="87"/>
      <c r="I635" s="87"/>
      <c r="J635" s="87"/>
      <c r="K635" s="87"/>
      <c r="L635" s="87"/>
      <c r="M635" s="87"/>
      <c r="N635" s="87"/>
      <c r="O635" s="87"/>
      <c r="P635" s="87"/>
      <c r="Q635" s="87"/>
      <c r="R635" s="13"/>
      <c r="S635" s="13"/>
      <c r="T635" s="13"/>
      <c r="U635" s="13"/>
      <c r="V635" s="13"/>
      <c r="W635" s="13"/>
      <c r="X635" s="13"/>
      <c r="Y635" s="13"/>
      <c r="Z635" s="13"/>
    </row>
    <row r="636" spans="1:26" ht="15.75" customHeight="1">
      <c r="A636" s="39"/>
      <c r="B636" s="39"/>
      <c r="C636" s="306"/>
      <c r="D636" s="87"/>
      <c r="E636" s="87"/>
      <c r="F636" s="87"/>
      <c r="G636" s="87"/>
      <c r="H636" s="87"/>
      <c r="I636" s="87"/>
      <c r="J636" s="87"/>
      <c r="K636" s="87"/>
      <c r="L636" s="87"/>
      <c r="M636" s="87"/>
      <c r="N636" s="87"/>
      <c r="O636" s="87"/>
      <c r="P636" s="87"/>
      <c r="Q636" s="87"/>
      <c r="R636" s="13"/>
      <c r="S636" s="13"/>
      <c r="T636" s="13"/>
      <c r="U636" s="13"/>
      <c r="V636" s="13"/>
      <c r="W636" s="13"/>
      <c r="X636" s="13"/>
      <c r="Y636" s="13"/>
      <c r="Z636" s="13"/>
    </row>
    <row r="637" spans="1:26" ht="15.75" customHeight="1">
      <c r="A637" s="39"/>
      <c r="B637" s="39"/>
      <c r="C637" s="306"/>
      <c r="D637" s="87"/>
      <c r="E637" s="87"/>
      <c r="F637" s="87"/>
      <c r="G637" s="87"/>
      <c r="H637" s="87"/>
      <c r="I637" s="87"/>
      <c r="J637" s="87"/>
      <c r="K637" s="87"/>
      <c r="L637" s="87"/>
      <c r="M637" s="87"/>
      <c r="N637" s="87"/>
      <c r="O637" s="87"/>
      <c r="P637" s="87"/>
      <c r="Q637" s="87"/>
      <c r="R637" s="13"/>
      <c r="S637" s="13"/>
      <c r="T637" s="13"/>
      <c r="U637" s="13"/>
      <c r="V637" s="13"/>
      <c r="W637" s="13"/>
      <c r="X637" s="13"/>
      <c r="Y637" s="13"/>
      <c r="Z637" s="13"/>
    </row>
    <row r="638" spans="1:26" ht="15.75" customHeight="1">
      <c r="A638" s="39"/>
      <c r="B638" s="39"/>
      <c r="C638" s="306"/>
      <c r="D638" s="87"/>
      <c r="E638" s="87"/>
      <c r="F638" s="87"/>
      <c r="G638" s="87"/>
      <c r="H638" s="87"/>
      <c r="I638" s="87"/>
      <c r="J638" s="87"/>
      <c r="K638" s="87"/>
      <c r="L638" s="87"/>
      <c r="M638" s="87"/>
      <c r="N638" s="87"/>
      <c r="O638" s="87"/>
      <c r="P638" s="87"/>
      <c r="Q638" s="87"/>
      <c r="R638" s="13"/>
      <c r="S638" s="13"/>
      <c r="T638" s="13"/>
      <c r="U638" s="13"/>
      <c r="V638" s="13"/>
      <c r="W638" s="13"/>
      <c r="X638" s="13"/>
      <c r="Y638" s="13"/>
      <c r="Z638" s="13"/>
    </row>
    <row r="639" spans="1:26" ht="15.75" customHeight="1">
      <c r="A639" s="39"/>
      <c r="B639" s="39"/>
      <c r="C639" s="306"/>
      <c r="D639" s="87"/>
      <c r="E639" s="87"/>
      <c r="F639" s="87"/>
      <c r="G639" s="87"/>
      <c r="H639" s="87"/>
      <c r="I639" s="87"/>
      <c r="J639" s="87"/>
      <c r="K639" s="87"/>
      <c r="L639" s="87"/>
      <c r="M639" s="87"/>
      <c r="N639" s="87"/>
      <c r="O639" s="87"/>
      <c r="P639" s="87"/>
      <c r="Q639" s="87"/>
      <c r="R639" s="13"/>
      <c r="S639" s="13"/>
      <c r="T639" s="13"/>
      <c r="U639" s="13"/>
      <c r="V639" s="13"/>
      <c r="W639" s="13"/>
      <c r="X639" s="13"/>
      <c r="Y639" s="13"/>
      <c r="Z639" s="13"/>
    </row>
    <row r="640" spans="1:26" ht="15.75" customHeight="1">
      <c r="A640" s="39"/>
      <c r="B640" s="39"/>
      <c r="C640" s="306"/>
      <c r="D640" s="87"/>
      <c r="E640" s="87"/>
      <c r="F640" s="87"/>
      <c r="G640" s="87"/>
      <c r="H640" s="87"/>
      <c r="I640" s="87"/>
      <c r="J640" s="87"/>
      <c r="K640" s="87"/>
      <c r="L640" s="87"/>
      <c r="M640" s="87"/>
      <c r="N640" s="87"/>
      <c r="O640" s="87"/>
      <c r="P640" s="87"/>
      <c r="Q640" s="87"/>
      <c r="R640" s="13"/>
      <c r="S640" s="13"/>
      <c r="T640" s="13"/>
      <c r="U640" s="13"/>
      <c r="V640" s="13"/>
      <c r="W640" s="13"/>
      <c r="X640" s="13"/>
      <c r="Y640" s="13"/>
      <c r="Z640" s="13"/>
    </row>
    <row r="641" spans="1:26" ht="15.75" customHeight="1">
      <c r="A641" s="39"/>
      <c r="B641" s="39"/>
      <c r="C641" s="306"/>
      <c r="D641" s="87"/>
      <c r="E641" s="87"/>
      <c r="F641" s="87"/>
      <c r="G641" s="87"/>
      <c r="H641" s="87"/>
      <c r="I641" s="87"/>
      <c r="J641" s="87"/>
      <c r="K641" s="87"/>
      <c r="L641" s="87"/>
      <c r="M641" s="87"/>
      <c r="N641" s="87"/>
      <c r="O641" s="87"/>
      <c r="P641" s="87"/>
      <c r="Q641" s="87"/>
      <c r="R641" s="13"/>
      <c r="S641" s="13"/>
      <c r="T641" s="13"/>
      <c r="U641" s="13"/>
      <c r="V641" s="13"/>
      <c r="W641" s="13"/>
      <c r="X641" s="13"/>
      <c r="Y641" s="13"/>
      <c r="Z641" s="13"/>
    </row>
    <row r="642" spans="1:26" ht="15.75" customHeight="1">
      <c r="A642" s="39"/>
      <c r="B642" s="39"/>
      <c r="C642" s="306"/>
      <c r="D642" s="87"/>
      <c r="E642" s="87"/>
      <c r="F642" s="87"/>
      <c r="G642" s="87"/>
      <c r="H642" s="87"/>
      <c r="I642" s="87"/>
      <c r="J642" s="87"/>
      <c r="K642" s="87"/>
      <c r="L642" s="87"/>
      <c r="M642" s="87"/>
      <c r="N642" s="87"/>
      <c r="O642" s="87"/>
      <c r="P642" s="87"/>
      <c r="Q642" s="87"/>
      <c r="R642" s="13"/>
      <c r="S642" s="13"/>
      <c r="T642" s="13"/>
      <c r="U642" s="13"/>
      <c r="V642" s="13"/>
      <c r="W642" s="13"/>
      <c r="X642" s="13"/>
      <c r="Y642" s="13"/>
      <c r="Z642" s="13"/>
    </row>
    <row r="643" spans="1:26" ht="15.75" customHeight="1">
      <c r="A643" s="39"/>
      <c r="B643" s="39"/>
      <c r="C643" s="306"/>
      <c r="D643" s="87"/>
      <c r="E643" s="87"/>
      <c r="F643" s="87"/>
      <c r="G643" s="87"/>
      <c r="H643" s="87"/>
      <c r="I643" s="87"/>
      <c r="J643" s="87"/>
      <c r="K643" s="87"/>
      <c r="L643" s="87"/>
      <c r="M643" s="87"/>
      <c r="N643" s="87"/>
      <c r="O643" s="87"/>
      <c r="P643" s="87"/>
      <c r="Q643" s="87"/>
      <c r="R643" s="13"/>
      <c r="S643" s="13"/>
      <c r="T643" s="13"/>
      <c r="U643" s="13"/>
      <c r="V643" s="13"/>
      <c r="W643" s="13"/>
      <c r="X643" s="13"/>
      <c r="Y643" s="13"/>
      <c r="Z643" s="13"/>
    </row>
    <row r="644" spans="1:26" ht="15.75" customHeight="1">
      <c r="A644" s="39"/>
      <c r="B644" s="39"/>
      <c r="C644" s="306"/>
      <c r="D644" s="87"/>
      <c r="E644" s="87"/>
      <c r="F644" s="87"/>
      <c r="G644" s="87"/>
      <c r="H644" s="87"/>
      <c r="I644" s="87"/>
      <c r="J644" s="87"/>
      <c r="K644" s="87"/>
      <c r="L644" s="87"/>
      <c r="M644" s="87"/>
      <c r="N644" s="87"/>
      <c r="O644" s="87"/>
      <c r="P644" s="87"/>
      <c r="Q644" s="87"/>
      <c r="R644" s="13"/>
      <c r="S644" s="13"/>
      <c r="T644" s="13"/>
      <c r="U644" s="13"/>
      <c r="V644" s="13"/>
      <c r="W644" s="13"/>
      <c r="X644" s="13"/>
      <c r="Y644" s="13"/>
      <c r="Z644" s="13"/>
    </row>
    <row r="645" spans="1:26" ht="15.75" customHeight="1">
      <c r="A645" s="39"/>
      <c r="B645" s="39"/>
      <c r="C645" s="306"/>
      <c r="D645" s="87"/>
      <c r="E645" s="87"/>
      <c r="F645" s="87"/>
      <c r="G645" s="87"/>
      <c r="H645" s="87"/>
      <c r="I645" s="87"/>
      <c r="J645" s="87"/>
      <c r="K645" s="87"/>
      <c r="L645" s="87"/>
      <c r="M645" s="87"/>
      <c r="N645" s="87"/>
      <c r="O645" s="87"/>
      <c r="P645" s="87"/>
      <c r="Q645" s="87"/>
      <c r="R645" s="13"/>
      <c r="S645" s="13"/>
      <c r="T645" s="13"/>
      <c r="U645" s="13"/>
      <c r="V645" s="13"/>
      <c r="W645" s="13"/>
      <c r="X645" s="13"/>
      <c r="Y645" s="13"/>
      <c r="Z645" s="13"/>
    </row>
    <row r="646" spans="1:26" ht="15.75" customHeight="1">
      <c r="A646" s="39"/>
      <c r="B646" s="39"/>
      <c r="C646" s="306"/>
      <c r="D646" s="87"/>
      <c r="E646" s="87"/>
      <c r="F646" s="87"/>
      <c r="G646" s="87"/>
      <c r="H646" s="87"/>
      <c r="I646" s="87"/>
      <c r="J646" s="87"/>
      <c r="K646" s="87"/>
      <c r="L646" s="87"/>
      <c r="M646" s="87"/>
      <c r="N646" s="87"/>
      <c r="O646" s="87"/>
      <c r="P646" s="87"/>
      <c r="Q646" s="87"/>
      <c r="R646" s="13"/>
      <c r="S646" s="13"/>
      <c r="T646" s="13"/>
      <c r="U646" s="13"/>
      <c r="V646" s="13"/>
      <c r="W646" s="13"/>
      <c r="X646" s="13"/>
      <c r="Y646" s="13"/>
      <c r="Z646" s="13"/>
    </row>
    <row r="647" spans="1:26" ht="15.75" customHeight="1">
      <c r="A647" s="39"/>
      <c r="B647" s="39"/>
      <c r="C647" s="306"/>
      <c r="D647" s="87"/>
      <c r="E647" s="87"/>
      <c r="F647" s="87"/>
      <c r="G647" s="87"/>
      <c r="H647" s="87"/>
      <c r="I647" s="87"/>
      <c r="J647" s="87"/>
      <c r="K647" s="87"/>
      <c r="L647" s="87"/>
      <c r="M647" s="87"/>
      <c r="N647" s="87"/>
      <c r="O647" s="87"/>
      <c r="P647" s="87"/>
      <c r="Q647" s="87"/>
      <c r="R647" s="13"/>
      <c r="S647" s="13"/>
      <c r="T647" s="13"/>
      <c r="U647" s="13"/>
      <c r="V647" s="13"/>
      <c r="W647" s="13"/>
      <c r="X647" s="13"/>
      <c r="Y647" s="13"/>
      <c r="Z647" s="13"/>
    </row>
    <row r="648" spans="1:26" ht="15.75" customHeight="1">
      <c r="A648" s="39"/>
      <c r="B648" s="39"/>
      <c r="C648" s="306"/>
      <c r="D648" s="87"/>
      <c r="E648" s="87"/>
      <c r="F648" s="87"/>
      <c r="G648" s="87"/>
      <c r="H648" s="87"/>
      <c r="I648" s="87"/>
      <c r="J648" s="87"/>
      <c r="K648" s="87"/>
      <c r="L648" s="87"/>
      <c r="M648" s="87"/>
      <c r="N648" s="87"/>
      <c r="O648" s="87"/>
      <c r="P648" s="87"/>
      <c r="Q648" s="87"/>
      <c r="R648" s="13"/>
      <c r="S648" s="13"/>
      <c r="T648" s="13"/>
      <c r="U648" s="13"/>
      <c r="V648" s="13"/>
      <c r="W648" s="13"/>
      <c r="X648" s="13"/>
      <c r="Y648" s="13"/>
      <c r="Z648" s="13"/>
    </row>
    <row r="649" spans="1:26" ht="15.75" customHeight="1">
      <c r="A649" s="39"/>
      <c r="B649" s="39"/>
      <c r="C649" s="306"/>
      <c r="D649" s="87"/>
      <c r="E649" s="87"/>
      <c r="F649" s="87"/>
      <c r="G649" s="87"/>
      <c r="H649" s="87"/>
      <c r="I649" s="87"/>
      <c r="J649" s="87"/>
      <c r="K649" s="87"/>
      <c r="L649" s="87"/>
      <c r="M649" s="87"/>
      <c r="N649" s="87"/>
      <c r="O649" s="87"/>
      <c r="P649" s="87"/>
      <c r="Q649" s="87"/>
      <c r="R649" s="13"/>
      <c r="S649" s="13"/>
      <c r="T649" s="13"/>
      <c r="U649" s="13"/>
      <c r="V649" s="13"/>
      <c r="W649" s="13"/>
      <c r="X649" s="13"/>
      <c r="Y649" s="13"/>
      <c r="Z649" s="13"/>
    </row>
    <row r="650" spans="1:26" ht="15.75" customHeight="1">
      <c r="A650" s="39"/>
      <c r="B650" s="39"/>
      <c r="C650" s="306"/>
      <c r="D650" s="87"/>
      <c r="E650" s="87"/>
      <c r="F650" s="87"/>
      <c r="G650" s="87"/>
      <c r="H650" s="87"/>
      <c r="I650" s="87"/>
      <c r="J650" s="87"/>
      <c r="K650" s="87"/>
      <c r="L650" s="87"/>
      <c r="M650" s="87"/>
      <c r="N650" s="87"/>
      <c r="O650" s="87"/>
      <c r="P650" s="87"/>
      <c r="Q650" s="87"/>
      <c r="R650" s="13"/>
      <c r="S650" s="13"/>
      <c r="T650" s="13"/>
      <c r="U650" s="13"/>
      <c r="V650" s="13"/>
      <c r="W650" s="13"/>
      <c r="X650" s="13"/>
      <c r="Y650" s="13"/>
      <c r="Z650" s="13"/>
    </row>
    <row r="651" spans="1:26" ht="15.75" customHeight="1">
      <c r="A651" s="39"/>
      <c r="B651" s="39"/>
      <c r="C651" s="306"/>
      <c r="D651" s="87"/>
      <c r="E651" s="87"/>
      <c r="F651" s="87"/>
      <c r="G651" s="87"/>
      <c r="H651" s="87"/>
      <c r="I651" s="87"/>
      <c r="J651" s="87"/>
      <c r="K651" s="87"/>
      <c r="L651" s="87"/>
      <c r="M651" s="87"/>
      <c r="N651" s="87"/>
      <c r="O651" s="87"/>
      <c r="P651" s="87"/>
      <c r="Q651" s="87"/>
      <c r="R651" s="13"/>
      <c r="S651" s="13"/>
      <c r="T651" s="13"/>
      <c r="U651" s="13"/>
      <c r="V651" s="13"/>
      <c r="W651" s="13"/>
      <c r="X651" s="13"/>
      <c r="Y651" s="13"/>
      <c r="Z651" s="13"/>
    </row>
    <row r="652" spans="1:26" ht="15.75" customHeight="1">
      <c r="A652" s="39"/>
      <c r="B652" s="39"/>
      <c r="C652" s="306"/>
      <c r="D652" s="87"/>
      <c r="E652" s="87"/>
      <c r="F652" s="87"/>
      <c r="G652" s="87"/>
      <c r="H652" s="87"/>
      <c r="I652" s="87"/>
      <c r="J652" s="87"/>
      <c r="K652" s="87"/>
      <c r="L652" s="87"/>
      <c r="M652" s="87"/>
      <c r="N652" s="87"/>
      <c r="O652" s="87"/>
      <c r="P652" s="87"/>
      <c r="Q652" s="87"/>
      <c r="R652" s="13"/>
      <c r="S652" s="13"/>
      <c r="T652" s="13"/>
      <c r="U652" s="13"/>
      <c r="V652" s="13"/>
      <c r="W652" s="13"/>
      <c r="X652" s="13"/>
      <c r="Y652" s="13"/>
      <c r="Z652" s="13"/>
    </row>
    <row r="653" spans="1:26" ht="15.75" customHeight="1">
      <c r="A653" s="39"/>
      <c r="B653" s="39"/>
      <c r="C653" s="306"/>
      <c r="D653" s="87"/>
      <c r="E653" s="87"/>
      <c r="F653" s="87"/>
      <c r="G653" s="87"/>
      <c r="H653" s="87"/>
      <c r="I653" s="87"/>
      <c r="J653" s="87"/>
      <c r="K653" s="87"/>
      <c r="L653" s="87"/>
      <c r="M653" s="87"/>
      <c r="N653" s="87"/>
      <c r="O653" s="87"/>
      <c r="P653" s="87"/>
      <c r="Q653" s="87"/>
      <c r="R653" s="13"/>
      <c r="S653" s="13"/>
      <c r="T653" s="13"/>
      <c r="U653" s="13"/>
      <c r="V653" s="13"/>
      <c r="W653" s="13"/>
      <c r="X653" s="13"/>
      <c r="Y653" s="13"/>
      <c r="Z653" s="13"/>
    </row>
    <row r="654" spans="1:26" ht="15.75" customHeight="1">
      <c r="A654" s="39"/>
      <c r="B654" s="39"/>
      <c r="C654" s="306"/>
      <c r="D654" s="87"/>
      <c r="E654" s="87"/>
      <c r="F654" s="87"/>
      <c r="G654" s="87"/>
      <c r="H654" s="87"/>
      <c r="I654" s="87"/>
      <c r="J654" s="87"/>
      <c r="K654" s="87"/>
      <c r="L654" s="87"/>
      <c r="M654" s="87"/>
      <c r="N654" s="87"/>
      <c r="O654" s="87"/>
      <c r="P654" s="87"/>
      <c r="Q654" s="87"/>
      <c r="R654" s="13"/>
      <c r="S654" s="13"/>
      <c r="T654" s="13"/>
      <c r="U654" s="13"/>
      <c r="V654" s="13"/>
      <c r="W654" s="13"/>
      <c r="X654" s="13"/>
      <c r="Y654" s="13"/>
      <c r="Z654" s="13"/>
    </row>
    <row r="655" spans="1:26" ht="15.75" customHeight="1">
      <c r="A655" s="39"/>
      <c r="B655" s="39"/>
      <c r="C655" s="306"/>
      <c r="D655" s="87"/>
      <c r="E655" s="87"/>
      <c r="F655" s="87"/>
      <c r="G655" s="87"/>
      <c r="H655" s="87"/>
      <c r="I655" s="87"/>
      <c r="J655" s="87"/>
      <c r="K655" s="87"/>
      <c r="L655" s="87"/>
      <c r="M655" s="87"/>
      <c r="N655" s="87"/>
      <c r="O655" s="87"/>
      <c r="P655" s="87"/>
      <c r="Q655" s="87"/>
      <c r="R655" s="13"/>
      <c r="S655" s="13"/>
      <c r="T655" s="13"/>
      <c r="U655" s="13"/>
      <c r="V655" s="13"/>
      <c r="W655" s="13"/>
      <c r="X655" s="13"/>
      <c r="Y655" s="13"/>
      <c r="Z655" s="13"/>
    </row>
    <row r="656" spans="1:26" ht="15.75" customHeight="1">
      <c r="A656" s="39"/>
      <c r="B656" s="39"/>
      <c r="C656" s="306"/>
      <c r="D656" s="87"/>
      <c r="E656" s="87"/>
      <c r="F656" s="87"/>
      <c r="G656" s="87"/>
      <c r="H656" s="87"/>
      <c r="I656" s="87"/>
      <c r="J656" s="87"/>
      <c r="K656" s="87"/>
      <c r="L656" s="87"/>
      <c r="M656" s="87"/>
      <c r="N656" s="87"/>
      <c r="O656" s="87"/>
      <c r="P656" s="87"/>
      <c r="Q656" s="87"/>
      <c r="R656" s="13"/>
      <c r="S656" s="13"/>
      <c r="T656" s="13"/>
      <c r="U656" s="13"/>
      <c r="V656" s="13"/>
      <c r="W656" s="13"/>
      <c r="X656" s="13"/>
      <c r="Y656" s="13"/>
      <c r="Z656" s="13"/>
    </row>
    <row r="657" spans="1:26" ht="15.75" customHeight="1">
      <c r="A657" s="39"/>
      <c r="B657" s="39"/>
      <c r="C657" s="306"/>
      <c r="D657" s="87"/>
      <c r="E657" s="87"/>
      <c r="F657" s="87"/>
      <c r="G657" s="87"/>
      <c r="H657" s="87"/>
      <c r="I657" s="87"/>
      <c r="J657" s="87"/>
      <c r="K657" s="87"/>
      <c r="L657" s="87"/>
      <c r="M657" s="87"/>
      <c r="N657" s="87"/>
      <c r="O657" s="87"/>
      <c r="P657" s="87"/>
      <c r="Q657" s="87"/>
      <c r="R657" s="13"/>
      <c r="S657" s="13"/>
      <c r="T657" s="13"/>
      <c r="U657" s="13"/>
      <c r="V657" s="13"/>
      <c r="W657" s="13"/>
      <c r="X657" s="13"/>
      <c r="Y657" s="13"/>
      <c r="Z657" s="13"/>
    </row>
    <row r="658" spans="1:26" ht="15.75" customHeight="1">
      <c r="A658" s="39"/>
      <c r="B658" s="39"/>
      <c r="C658" s="306"/>
      <c r="D658" s="87"/>
      <c r="E658" s="87"/>
      <c r="F658" s="87"/>
      <c r="G658" s="87"/>
      <c r="H658" s="87"/>
      <c r="I658" s="87"/>
      <c r="J658" s="87"/>
      <c r="K658" s="87"/>
      <c r="L658" s="87"/>
      <c r="M658" s="87"/>
      <c r="N658" s="87"/>
      <c r="O658" s="87"/>
      <c r="P658" s="87"/>
      <c r="Q658" s="87"/>
      <c r="R658" s="13"/>
      <c r="S658" s="13"/>
      <c r="T658" s="13"/>
      <c r="U658" s="13"/>
      <c r="V658" s="13"/>
      <c r="W658" s="13"/>
      <c r="X658" s="13"/>
      <c r="Y658" s="13"/>
      <c r="Z658" s="13"/>
    </row>
    <row r="659" spans="1:26" ht="15.75" customHeight="1">
      <c r="A659" s="39"/>
      <c r="B659" s="39"/>
      <c r="C659" s="306"/>
      <c r="D659" s="87"/>
      <c r="E659" s="87"/>
      <c r="F659" s="87"/>
      <c r="G659" s="87"/>
      <c r="H659" s="87"/>
      <c r="I659" s="87"/>
      <c r="J659" s="87"/>
      <c r="K659" s="87"/>
      <c r="L659" s="87"/>
      <c r="M659" s="87"/>
      <c r="N659" s="87"/>
      <c r="O659" s="87"/>
      <c r="P659" s="87"/>
      <c r="Q659" s="87"/>
      <c r="R659" s="13"/>
      <c r="S659" s="13"/>
      <c r="T659" s="13"/>
      <c r="U659" s="13"/>
      <c r="V659" s="13"/>
      <c r="W659" s="13"/>
      <c r="X659" s="13"/>
      <c r="Y659" s="13"/>
      <c r="Z659" s="13"/>
    </row>
    <row r="660" spans="1:26" ht="15.75" customHeight="1">
      <c r="A660" s="39"/>
      <c r="B660" s="39"/>
      <c r="C660" s="306"/>
      <c r="D660" s="87"/>
      <c r="E660" s="87"/>
      <c r="F660" s="87"/>
      <c r="G660" s="87"/>
      <c r="H660" s="87"/>
      <c r="I660" s="87"/>
      <c r="J660" s="87"/>
      <c r="K660" s="87"/>
      <c r="L660" s="87"/>
      <c r="M660" s="87"/>
      <c r="N660" s="87"/>
      <c r="O660" s="87"/>
      <c r="P660" s="87"/>
      <c r="Q660" s="87"/>
      <c r="R660" s="13"/>
      <c r="S660" s="13"/>
      <c r="T660" s="13"/>
      <c r="U660" s="13"/>
      <c r="V660" s="13"/>
      <c r="W660" s="13"/>
      <c r="X660" s="13"/>
      <c r="Y660" s="13"/>
      <c r="Z660" s="13"/>
    </row>
    <row r="661" spans="1:26" ht="15.75" customHeight="1">
      <c r="A661" s="39"/>
      <c r="B661" s="39"/>
      <c r="C661" s="306"/>
      <c r="D661" s="87"/>
      <c r="E661" s="87"/>
      <c r="F661" s="87"/>
      <c r="G661" s="87"/>
      <c r="H661" s="87"/>
      <c r="I661" s="87"/>
      <c r="J661" s="87"/>
      <c r="K661" s="87"/>
      <c r="L661" s="87"/>
      <c r="M661" s="87"/>
      <c r="N661" s="87"/>
      <c r="O661" s="87"/>
      <c r="P661" s="87"/>
      <c r="Q661" s="87"/>
      <c r="R661" s="13"/>
      <c r="S661" s="13"/>
      <c r="T661" s="13"/>
      <c r="U661" s="13"/>
      <c r="V661" s="13"/>
      <c r="W661" s="13"/>
      <c r="X661" s="13"/>
      <c r="Y661" s="13"/>
      <c r="Z661" s="13"/>
    </row>
    <row r="662" spans="1:26" ht="15.75" customHeight="1">
      <c r="A662" s="39"/>
      <c r="B662" s="39"/>
      <c r="C662" s="306"/>
      <c r="D662" s="87"/>
      <c r="E662" s="87"/>
      <c r="F662" s="87"/>
      <c r="G662" s="87"/>
      <c r="H662" s="87"/>
      <c r="I662" s="87"/>
      <c r="J662" s="87"/>
      <c r="K662" s="87"/>
      <c r="L662" s="87"/>
      <c r="M662" s="87"/>
      <c r="N662" s="87"/>
      <c r="O662" s="87"/>
      <c r="P662" s="87"/>
      <c r="Q662" s="87"/>
      <c r="R662" s="13"/>
      <c r="S662" s="13"/>
      <c r="T662" s="13"/>
      <c r="U662" s="13"/>
      <c r="V662" s="13"/>
      <c r="W662" s="13"/>
      <c r="X662" s="13"/>
      <c r="Y662" s="13"/>
      <c r="Z662" s="13"/>
    </row>
    <row r="663" spans="1:26" ht="15.75" customHeight="1">
      <c r="A663" s="39"/>
      <c r="B663" s="39"/>
      <c r="C663" s="306"/>
      <c r="D663" s="87"/>
      <c r="E663" s="87"/>
      <c r="F663" s="87"/>
      <c r="G663" s="87"/>
      <c r="H663" s="87"/>
      <c r="I663" s="87"/>
      <c r="J663" s="87"/>
      <c r="K663" s="87"/>
      <c r="L663" s="87"/>
      <c r="M663" s="87"/>
      <c r="N663" s="87"/>
      <c r="O663" s="87"/>
      <c r="P663" s="87"/>
      <c r="Q663" s="87"/>
      <c r="R663" s="13"/>
      <c r="S663" s="13"/>
      <c r="T663" s="13"/>
      <c r="U663" s="13"/>
      <c r="V663" s="13"/>
      <c r="W663" s="13"/>
      <c r="X663" s="13"/>
      <c r="Y663" s="13"/>
      <c r="Z663" s="13"/>
    </row>
    <row r="664" spans="1:26" ht="15.75" customHeight="1">
      <c r="A664" s="39"/>
      <c r="B664" s="39"/>
      <c r="C664" s="306"/>
      <c r="D664" s="87"/>
      <c r="E664" s="87"/>
      <c r="F664" s="87"/>
      <c r="G664" s="87"/>
      <c r="H664" s="87"/>
      <c r="I664" s="87"/>
      <c r="J664" s="87"/>
      <c r="K664" s="87"/>
      <c r="L664" s="87"/>
      <c r="M664" s="87"/>
      <c r="N664" s="87"/>
      <c r="O664" s="87"/>
      <c r="P664" s="87"/>
      <c r="Q664" s="87"/>
      <c r="R664" s="13"/>
      <c r="S664" s="13"/>
      <c r="T664" s="13"/>
      <c r="U664" s="13"/>
      <c r="V664" s="13"/>
      <c r="W664" s="13"/>
      <c r="X664" s="13"/>
      <c r="Y664" s="13"/>
      <c r="Z664" s="13"/>
    </row>
    <row r="665" spans="1:26" ht="15.75" customHeight="1">
      <c r="A665" s="39"/>
      <c r="B665" s="39"/>
      <c r="C665" s="306"/>
      <c r="D665" s="87"/>
      <c r="E665" s="87"/>
      <c r="F665" s="87"/>
      <c r="G665" s="87"/>
      <c r="H665" s="87"/>
      <c r="I665" s="87"/>
      <c r="J665" s="87"/>
      <c r="K665" s="87"/>
      <c r="L665" s="87"/>
      <c r="M665" s="87"/>
      <c r="N665" s="87"/>
      <c r="O665" s="87"/>
      <c r="P665" s="87"/>
      <c r="Q665" s="87"/>
      <c r="R665" s="13"/>
      <c r="S665" s="13"/>
      <c r="T665" s="13"/>
      <c r="U665" s="13"/>
      <c r="V665" s="13"/>
      <c r="W665" s="13"/>
      <c r="X665" s="13"/>
      <c r="Y665" s="13"/>
      <c r="Z665" s="13"/>
    </row>
    <row r="666" spans="1:26" ht="15.75" customHeight="1">
      <c r="A666" s="39"/>
      <c r="B666" s="39"/>
      <c r="C666" s="306"/>
      <c r="D666" s="87"/>
      <c r="E666" s="87"/>
      <c r="F666" s="87"/>
      <c r="G666" s="87"/>
      <c r="H666" s="87"/>
      <c r="I666" s="87"/>
      <c r="J666" s="87"/>
      <c r="K666" s="87"/>
      <c r="L666" s="87"/>
      <c r="M666" s="87"/>
      <c r="N666" s="87"/>
      <c r="O666" s="87"/>
      <c r="P666" s="87"/>
      <c r="Q666" s="87"/>
      <c r="R666" s="13"/>
      <c r="S666" s="13"/>
      <c r="T666" s="13"/>
      <c r="U666" s="13"/>
      <c r="V666" s="13"/>
      <c r="W666" s="13"/>
      <c r="X666" s="13"/>
      <c r="Y666" s="13"/>
      <c r="Z666" s="13"/>
    </row>
    <row r="667" spans="1:26" ht="15.75" customHeight="1">
      <c r="A667" s="39"/>
      <c r="B667" s="39"/>
      <c r="C667" s="306"/>
      <c r="D667" s="87"/>
      <c r="E667" s="87"/>
      <c r="F667" s="87"/>
      <c r="G667" s="87"/>
      <c r="H667" s="87"/>
      <c r="I667" s="87"/>
      <c r="J667" s="87"/>
      <c r="K667" s="87"/>
      <c r="L667" s="87"/>
      <c r="M667" s="87"/>
      <c r="N667" s="87"/>
      <c r="O667" s="87"/>
      <c r="P667" s="87"/>
      <c r="Q667" s="87"/>
      <c r="R667" s="13"/>
      <c r="S667" s="13"/>
      <c r="T667" s="13"/>
      <c r="U667" s="13"/>
      <c r="V667" s="13"/>
      <c r="W667" s="13"/>
      <c r="X667" s="13"/>
      <c r="Y667" s="13"/>
      <c r="Z667" s="13"/>
    </row>
    <row r="668" spans="1:26" ht="15.75" customHeight="1">
      <c r="A668" s="39"/>
      <c r="B668" s="39"/>
      <c r="C668" s="306"/>
      <c r="D668" s="87"/>
      <c r="E668" s="87"/>
      <c r="F668" s="87"/>
      <c r="G668" s="87"/>
      <c r="H668" s="87"/>
      <c r="I668" s="87"/>
      <c r="J668" s="87"/>
      <c r="K668" s="87"/>
      <c r="L668" s="87"/>
      <c r="M668" s="87"/>
      <c r="N668" s="87"/>
      <c r="O668" s="87"/>
      <c r="P668" s="87"/>
      <c r="Q668" s="87"/>
      <c r="R668" s="13"/>
      <c r="S668" s="13"/>
      <c r="T668" s="13"/>
      <c r="U668" s="13"/>
      <c r="V668" s="13"/>
      <c r="W668" s="13"/>
      <c r="X668" s="13"/>
      <c r="Y668" s="13"/>
      <c r="Z668" s="13"/>
    </row>
    <row r="669" spans="1:26" ht="15.75" customHeight="1">
      <c r="A669" s="39"/>
      <c r="B669" s="39"/>
      <c r="C669" s="306"/>
      <c r="D669" s="87"/>
      <c r="E669" s="87"/>
      <c r="F669" s="87"/>
      <c r="G669" s="87"/>
      <c r="H669" s="87"/>
      <c r="I669" s="87"/>
      <c r="J669" s="87"/>
      <c r="K669" s="87"/>
      <c r="L669" s="87"/>
      <c r="M669" s="87"/>
      <c r="N669" s="87"/>
      <c r="O669" s="87"/>
      <c r="P669" s="87"/>
      <c r="Q669" s="87"/>
      <c r="R669" s="13"/>
      <c r="S669" s="13"/>
      <c r="T669" s="13"/>
      <c r="U669" s="13"/>
      <c r="V669" s="13"/>
      <c r="W669" s="13"/>
      <c r="X669" s="13"/>
      <c r="Y669" s="13"/>
      <c r="Z669" s="13"/>
    </row>
    <row r="670" spans="1:26" ht="15.75" customHeight="1">
      <c r="A670" s="39"/>
      <c r="B670" s="39"/>
      <c r="C670" s="306"/>
      <c r="D670" s="87"/>
      <c r="E670" s="87"/>
      <c r="F670" s="87"/>
      <c r="G670" s="87"/>
      <c r="H670" s="87"/>
      <c r="I670" s="87"/>
      <c r="J670" s="87"/>
      <c r="K670" s="87"/>
      <c r="L670" s="87"/>
      <c r="M670" s="87"/>
      <c r="N670" s="87"/>
      <c r="O670" s="87"/>
      <c r="P670" s="87"/>
      <c r="Q670" s="87"/>
      <c r="R670" s="13"/>
      <c r="S670" s="13"/>
      <c r="T670" s="13"/>
      <c r="U670" s="13"/>
      <c r="V670" s="13"/>
      <c r="W670" s="13"/>
      <c r="X670" s="13"/>
      <c r="Y670" s="13"/>
      <c r="Z670" s="13"/>
    </row>
    <row r="671" spans="1:26" ht="15.75" customHeight="1">
      <c r="A671" s="39"/>
      <c r="B671" s="39"/>
      <c r="C671" s="306"/>
      <c r="D671" s="87"/>
      <c r="E671" s="87"/>
      <c r="F671" s="87"/>
      <c r="G671" s="87"/>
      <c r="H671" s="87"/>
      <c r="I671" s="87"/>
      <c r="J671" s="87"/>
      <c r="K671" s="87"/>
      <c r="L671" s="87"/>
      <c r="M671" s="87"/>
      <c r="N671" s="87"/>
      <c r="O671" s="87"/>
      <c r="P671" s="87"/>
      <c r="Q671" s="87"/>
      <c r="R671" s="13"/>
      <c r="S671" s="13"/>
      <c r="T671" s="13"/>
      <c r="U671" s="13"/>
      <c r="V671" s="13"/>
      <c r="W671" s="13"/>
      <c r="X671" s="13"/>
      <c r="Y671" s="13"/>
      <c r="Z671" s="13"/>
    </row>
    <row r="672" spans="1:26" ht="15.75" customHeight="1">
      <c r="A672" s="39"/>
      <c r="B672" s="39"/>
      <c r="C672" s="306"/>
      <c r="D672" s="87"/>
      <c r="E672" s="87"/>
      <c r="F672" s="87"/>
      <c r="G672" s="87"/>
      <c r="H672" s="87"/>
      <c r="I672" s="87"/>
      <c r="J672" s="87"/>
      <c r="K672" s="87"/>
      <c r="L672" s="87"/>
      <c r="M672" s="87"/>
      <c r="N672" s="87"/>
      <c r="O672" s="87"/>
      <c r="P672" s="87"/>
      <c r="Q672" s="87"/>
      <c r="R672" s="13"/>
      <c r="S672" s="13"/>
      <c r="T672" s="13"/>
      <c r="U672" s="13"/>
      <c r="V672" s="13"/>
      <c r="W672" s="13"/>
      <c r="X672" s="13"/>
      <c r="Y672" s="13"/>
      <c r="Z672" s="13"/>
    </row>
    <row r="673" spans="1:26" ht="15.75" customHeight="1">
      <c r="A673" s="39"/>
      <c r="B673" s="39"/>
      <c r="C673" s="306"/>
      <c r="D673" s="87"/>
      <c r="E673" s="87"/>
      <c r="F673" s="87"/>
      <c r="G673" s="87"/>
      <c r="H673" s="87"/>
      <c r="I673" s="87"/>
      <c r="J673" s="87"/>
      <c r="K673" s="87"/>
      <c r="L673" s="87"/>
      <c r="M673" s="87"/>
      <c r="N673" s="87"/>
      <c r="O673" s="87"/>
      <c r="P673" s="87"/>
      <c r="Q673" s="87"/>
      <c r="R673" s="13"/>
      <c r="S673" s="13"/>
      <c r="T673" s="13"/>
      <c r="U673" s="13"/>
      <c r="V673" s="13"/>
      <c r="W673" s="13"/>
      <c r="X673" s="13"/>
      <c r="Y673" s="13"/>
      <c r="Z673" s="13"/>
    </row>
    <row r="674" spans="1:26" ht="15.75" customHeight="1">
      <c r="A674" s="39"/>
      <c r="B674" s="39"/>
      <c r="C674" s="306"/>
      <c r="D674" s="87"/>
      <c r="E674" s="87"/>
      <c r="F674" s="87"/>
      <c r="G674" s="87"/>
      <c r="H674" s="87"/>
      <c r="I674" s="87"/>
      <c r="J674" s="87"/>
      <c r="K674" s="87"/>
      <c r="L674" s="87"/>
      <c r="M674" s="87"/>
      <c r="N674" s="87"/>
      <c r="O674" s="87"/>
      <c r="P674" s="87"/>
      <c r="Q674" s="87"/>
      <c r="R674" s="13"/>
      <c r="S674" s="13"/>
      <c r="T674" s="13"/>
      <c r="U674" s="13"/>
      <c r="V674" s="13"/>
      <c r="W674" s="13"/>
      <c r="X674" s="13"/>
      <c r="Y674" s="13"/>
      <c r="Z674" s="13"/>
    </row>
    <row r="675" spans="1:26" ht="15.75" customHeight="1">
      <c r="A675" s="39"/>
      <c r="B675" s="39"/>
      <c r="C675" s="306"/>
      <c r="D675" s="87"/>
      <c r="E675" s="87"/>
      <c r="F675" s="87"/>
      <c r="G675" s="87"/>
      <c r="H675" s="87"/>
      <c r="I675" s="87"/>
      <c r="J675" s="87"/>
      <c r="K675" s="87"/>
      <c r="L675" s="87"/>
      <c r="M675" s="87"/>
      <c r="N675" s="87"/>
      <c r="O675" s="87"/>
      <c r="P675" s="87"/>
      <c r="Q675" s="87"/>
      <c r="R675" s="13"/>
      <c r="S675" s="13"/>
      <c r="T675" s="13"/>
      <c r="U675" s="13"/>
      <c r="V675" s="13"/>
      <c r="W675" s="13"/>
      <c r="X675" s="13"/>
      <c r="Y675" s="13"/>
      <c r="Z675" s="13"/>
    </row>
    <row r="676" spans="1:26" ht="15.75" customHeight="1">
      <c r="A676" s="39"/>
      <c r="B676" s="39"/>
      <c r="C676" s="306"/>
      <c r="D676" s="87"/>
      <c r="E676" s="87"/>
      <c r="F676" s="87"/>
      <c r="G676" s="87"/>
      <c r="H676" s="87"/>
      <c r="I676" s="87"/>
      <c r="J676" s="87"/>
      <c r="K676" s="87"/>
      <c r="L676" s="87"/>
      <c r="M676" s="87"/>
      <c r="N676" s="87"/>
      <c r="O676" s="87"/>
      <c r="P676" s="87"/>
      <c r="Q676" s="87"/>
      <c r="R676" s="13"/>
      <c r="S676" s="13"/>
      <c r="T676" s="13"/>
      <c r="U676" s="13"/>
      <c r="V676" s="13"/>
      <c r="W676" s="13"/>
      <c r="X676" s="13"/>
      <c r="Y676" s="13"/>
      <c r="Z676" s="13"/>
    </row>
    <row r="677" spans="1:26" ht="15.75" customHeight="1">
      <c r="A677" s="39"/>
      <c r="B677" s="39"/>
      <c r="C677" s="306"/>
      <c r="D677" s="87"/>
      <c r="E677" s="87"/>
      <c r="F677" s="87"/>
      <c r="G677" s="87"/>
      <c r="H677" s="87"/>
      <c r="I677" s="87"/>
      <c r="J677" s="87"/>
      <c r="K677" s="87"/>
      <c r="L677" s="87"/>
      <c r="M677" s="87"/>
      <c r="N677" s="87"/>
      <c r="O677" s="87"/>
      <c r="P677" s="87"/>
      <c r="Q677" s="87"/>
      <c r="R677" s="13"/>
      <c r="S677" s="13"/>
      <c r="T677" s="13"/>
      <c r="U677" s="13"/>
      <c r="V677" s="13"/>
      <c r="W677" s="13"/>
      <c r="X677" s="13"/>
      <c r="Y677" s="13"/>
      <c r="Z677" s="13"/>
    </row>
    <row r="678" spans="1:26" ht="15.75" customHeight="1">
      <c r="A678" s="39"/>
      <c r="B678" s="39"/>
      <c r="C678" s="306"/>
      <c r="D678" s="87"/>
      <c r="E678" s="87"/>
      <c r="F678" s="87"/>
      <c r="G678" s="87"/>
      <c r="H678" s="87"/>
      <c r="I678" s="87"/>
      <c r="J678" s="87"/>
      <c r="K678" s="87"/>
      <c r="L678" s="87"/>
      <c r="M678" s="87"/>
      <c r="N678" s="87"/>
      <c r="O678" s="87"/>
      <c r="P678" s="87"/>
      <c r="Q678" s="87"/>
      <c r="R678" s="13"/>
      <c r="S678" s="13"/>
      <c r="T678" s="13"/>
      <c r="U678" s="13"/>
      <c r="V678" s="13"/>
      <c r="W678" s="13"/>
      <c r="X678" s="13"/>
      <c r="Y678" s="13"/>
      <c r="Z678" s="13"/>
    </row>
    <row r="679" spans="1:26" ht="15.75" customHeight="1">
      <c r="A679" s="39"/>
      <c r="B679" s="39"/>
      <c r="C679" s="306"/>
      <c r="D679" s="87"/>
      <c r="E679" s="87"/>
      <c r="F679" s="87"/>
      <c r="G679" s="87"/>
      <c r="H679" s="87"/>
      <c r="I679" s="87"/>
      <c r="J679" s="87"/>
      <c r="K679" s="87"/>
      <c r="L679" s="87"/>
      <c r="M679" s="87"/>
      <c r="N679" s="87"/>
      <c r="O679" s="87"/>
      <c r="P679" s="87"/>
      <c r="Q679" s="87"/>
      <c r="R679" s="13"/>
      <c r="S679" s="13"/>
      <c r="T679" s="13"/>
      <c r="U679" s="13"/>
      <c r="V679" s="13"/>
      <c r="W679" s="13"/>
      <c r="X679" s="13"/>
      <c r="Y679" s="13"/>
      <c r="Z679" s="13"/>
    </row>
    <row r="680" spans="1:26" ht="15.75" customHeight="1">
      <c r="A680" s="39"/>
      <c r="B680" s="39"/>
      <c r="C680" s="306"/>
      <c r="D680" s="87"/>
      <c r="E680" s="87"/>
      <c r="F680" s="87"/>
      <c r="G680" s="87"/>
      <c r="H680" s="87"/>
      <c r="I680" s="87"/>
      <c r="J680" s="87"/>
      <c r="K680" s="87"/>
      <c r="L680" s="87"/>
      <c r="M680" s="87"/>
      <c r="N680" s="87"/>
      <c r="O680" s="87"/>
      <c r="P680" s="87"/>
      <c r="Q680" s="87"/>
      <c r="R680" s="13"/>
      <c r="S680" s="13"/>
      <c r="T680" s="13"/>
      <c r="U680" s="13"/>
      <c r="V680" s="13"/>
      <c r="W680" s="13"/>
      <c r="X680" s="13"/>
      <c r="Y680" s="13"/>
      <c r="Z680" s="13"/>
    </row>
    <row r="681" spans="1:26" ht="15.75" customHeight="1">
      <c r="A681" s="39"/>
      <c r="B681" s="39"/>
      <c r="C681" s="306"/>
      <c r="D681" s="87"/>
      <c r="E681" s="87"/>
      <c r="F681" s="87"/>
      <c r="G681" s="87"/>
      <c r="H681" s="87"/>
      <c r="I681" s="87"/>
      <c r="J681" s="87"/>
      <c r="K681" s="87"/>
      <c r="L681" s="87"/>
      <c r="M681" s="87"/>
      <c r="N681" s="87"/>
      <c r="O681" s="87"/>
      <c r="P681" s="87"/>
      <c r="Q681" s="87"/>
      <c r="R681" s="13"/>
      <c r="S681" s="13"/>
      <c r="T681" s="13"/>
      <c r="U681" s="13"/>
      <c r="V681" s="13"/>
      <c r="W681" s="13"/>
      <c r="X681" s="13"/>
      <c r="Y681" s="13"/>
      <c r="Z681" s="13"/>
    </row>
    <row r="682" spans="1:26" ht="15.75" customHeight="1">
      <c r="A682" s="39"/>
      <c r="B682" s="39"/>
      <c r="C682" s="306"/>
      <c r="D682" s="87"/>
      <c r="E682" s="87"/>
      <c r="F682" s="87"/>
      <c r="G682" s="87"/>
      <c r="H682" s="87"/>
      <c r="I682" s="87"/>
      <c r="J682" s="87"/>
      <c r="K682" s="87"/>
      <c r="L682" s="87"/>
      <c r="M682" s="87"/>
      <c r="N682" s="87"/>
      <c r="O682" s="87"/>
      <c r="P682" s="87"/>
      <c r="Q682" s="87"/>
      <c r="R682" s="13"/>
      <c r="S682" s="13"/>
      <c r="T682" s="13"/>
      <c r="U682" s="13"/>
      <c r="V682" s="13"/>
      <c r="W682" s="13"/>
      <c r="X682" s="13"/>
      <c r="Y682" s="13"/>
      <c r="Z682" s="13"/>
    </row>
    <row r="683" spans="1:26" ht="15.75" customHeight="1">
      <c r="A683" s="39"/>
      <c r="B683" s="39"/>
      <c r="C683" s="306"/>
      <c r="D683" s="87"/>
      <c r="E683" s="87"/>
      <c r="F683" s="87"/>
      <c r="G683" s="87"/>
      <c r="H683" s="87"/>
      <c r="I683" s="87"/>
      <c r="J683" s="87"/>
      <c r="K683" s="87"/>
      <c r="L683" s="87"/>
      <c r="M683" s="87"/>
      <c r="N683" s="87"/>
      <c r="O683" s="87"/>
      <c r="P683" s="87"/>
      <c r="Q683" s="87"/>
      <c r="R683" s="13"/>
      <c r="S683" s="13"/>
      <c r="T683" s="13"/>
      <c r="U683" s="13"/>
      <c r="V683" s="13"/>
      <c r="W683" s="13"/>
      <c r="X683" s="13"/>
      <c r="Y683" s="13"/>
      <c r="Z683" s="13"/>
    </row>
    <row r="684" spans="1:26" ht="15.75" customHeight="1">
      <c r="A684" s="39"/>
      <c r="B684" s="39"/>
      <c r="C684" s="306"/>
      <c r="D684" s="87"/>
      <c r="E684" s="87"/>
      <c r="F684" s="87"/>
      <c r="G684" s="87"/>
      <c r="H684" s="87"/>
      <c r="I684" s="87"/>
      <c r="J684" s="87"/>
      <c r="K684" s="87"/>
      <c r="L684" s="87"/>
      <c r="M684" s="87"/>
      <c r="N684" s="87"/>
      <c r="O684" s="87"/>
      <c r="P684" s="87"/>
      <c r="Q684" s="87"/>
      <c r="R684" s="13"/>
      <c r="S684" s="13"/>
      <c r="T684" s="13"/>
      <c r="U684" s="13"/>
      <c r="V684" s="13"/>
      <c r="W684" s="13"/>
      <c r="X684" s="13"/>
      <c r="Y684" s="13"/>
      <c r="Z684" s="13"/>
    </row>
    <row r="685" spans="1:26" ht="15.75" customHeight="1">
      <c r="A685" s="39"/>
      <c r="B685" s="39"/>
      <c r="C685" s="306"/>
      <c r="D685" s="87"/>
      <c r="E685" s="87"/>
      <c r="F685" s="87"/>
      <c r="G685" s="87"/>
      <c r="H685" s="87"/>
      <c r="I685" s="87"/>
      <c r="J685" s="87"/>
      <c r="K685" s="87"/>
      <c r="L685" s="87"/>
      <c r="M685" s="87"/>
      <c r="N685" s="87"/>
      <c r="O685" s="87"/>
      <c r="P685" s="87"/>
      <c r="Q685" s="87"/>
      <c r="R685" s="13"/>
      <c r="S685" s="13"/>
      <c r="T685" s="13"/>
      <c r="U685" s="13"/>
      <c r="V685" s="13"/>
      <c r="W685" s="13"/>
      <c r="X685" s="13"/>
      <c r="Y685" s="13"/>
      <c r="Z685" s="13"/>
    </row>
    <row r="686" spans="1:26" ht="15.75" customHeight="1">
      <c r="A686" s="39"/>
      <c r="B686" s="39"/>
      <c r="C686" s="306"/>
      <c r="D686" s="87"/>
      <c r="E686" s="87"/>
      <c r="F686" s="87"/>
      <c r="G686" s="87"/>
      <c r="H686" s="87"/>
      <c r="I686" s="87"/>
      <c r="J686" s="87"/>
      <c r="K686" s="87"/>
      <c r="L686" s="87"/>
      <c r="M686" s="87"/>
      <c r="N686" s="87"/>
      <c r="O686" s="87"/>
      <c r="P686" s="87"/>
      <c r="Q686" s="87"/>
      <c r="R686" s="13"/>
      <c r="S686" s="13"/>
      <c r="T686" s="13"/>
      <c r="U686" s="13"/>
      <c r="V686" s="13"/>
      <c r="W686" s="13"/>
      <c r="X686" s="13"/>
      <c r="Y686" s="13"/>
      <c r="Z686" s="13"/>
    </row>
    <row r="687" spans="1:26" ht="15.75" customHeight="1">
      <c r="A687" s="39"/>
      <c r="B687" s="39"/>
      <c r="C687" s="306"/>
      <c r="D687" s="87"/>
      <c r="E687" s="87"/>
      <c r="F687" s="87"/>
      <c r="G687" s="87"/>
      <c r="H687" s="87"/>
      <c r="I687" s="87"/>
      <c r="J687" s="87"/>
      <c r="K687" s="87"/>
      <c r="L687" s="87"/>
      <c r="M687" s="87"/>
      <c r="N687" s="87"/>
      <c r="O687" s="87"/>
      <c r="P687" s="87"/>
      <c r="Q687" s="87"/>
      <c r="R687" s="13"/>
      <c r="S687" s="13"/>
      <c r="T687" s="13"/>
      <c r="U687" s="13"/>
      <c r="V687" s="13"/>
      <c r="W687" s="13"/>
      <c r="X687" s="13"/>
      <c r="Y687" s="13"/>
      <c r="Z687" s="13"/>
    </row>
    <row r="688" spans="1:26" ht="15.75" customHeight="1">
      <c r="A688" s="39"/>
      <c r="B688" s="39"/>
      <c r="C688" s="306"/>
      <c r="D688" s="87"/>
      <c r="E688" s="87"/>
      <c r="F688" s="87"/>
      <c r="G688" s="87"/>
      <c r="H688" s="87"/>
      <c r="I688" s="87"/>
      <c r="J688" s="87"/>
      <c r="K688" s="87"/>
      <c r="L688" s="87"/>
      <c r="M688" s="87"/>
      <c r="N688" s="87"/>
      <c r="O688" s="87"/>
      <c r="P688" s="87"/>
      <c r="Q688" s="87"/>
      <c r="R688" s="13"/>
      <c r="S688" s="13"/>
      <c r="T688" s="13"/>
      <c r="U688" s="13"/>
      <c r="V688" s="13"/>
      <c r="W688" s="13"/>
      <c r="X688" s="13"/>
      <c r="Y688" s="13"/>
      <c r="Z688" s="13"/>
    </row>
    <row r="689" spans="1:26" ht="15.75" customHeight="1">
      <c r="A689" s="39"/>
      <c r="B689" s="39"/>
      <c r="C689" s="306"/>
      <c r="D689" s="87"/>
      <c r="E689" s="87"/>
      <c r="F689" s="87"/>
      <c r="G689" s="87"/>
      <c r="H689" s="87"/>
      <c r="I689" s="87"/>
      <c r="J689" s="87"/>
      <c r="K689" s="87"/>
      <c r="L689" s="87"/>
      <c r="M689" s="87"/>
      <c r="N689" s="87"/>
      <c r="O689" s="87"/>
      <c r="P689" s="87"/>
      <c r="Q689" s="87"/>
      <c r="R689" s="13"/>
      <c r="S689" s="13"/>
      <c r="T689" s="13"/>
      <c r="U689" s="13"/>
      <c r="V689" s="13"/>
      <c r="W689" s="13"/>
      <c r="X689" s="13"/>
      <c r="Y689" s="13"/>
      <c r="Z689" s="13"/>
    </row>
    <row r="690" spans="1:26" ht="15.75" customHeight="1">
      <c r="A690" s="39"/>
      <c r="B690" s="39"/>
      <c r="C690" s="306"/>
      <c r="D690" s="87"/>
      <c r="E690" s="87"/>
      <c r="F690" s="87"/>
      <c r="G690" s="87"/>
      <c r="H690" s="87"/>
      <c r="I690" s="87"/>
      <c r="J690" s="87"/>
      <c r="K690" s="87"/>
      <c r="L690" s="87"/>
      <c r="M690" s="87"/>
      <c r="N690" s="87"/>
      <c r="O690" s="87"/>
      <c r="P690" s="87"/>
      <c r="Q690" s="87"/>
      <c r="R690" s="13"/>
      <c r="S690" s="13"/>
      <c r="T690" s="13"/>
      <c r="U690" s="13"/>
      <c r="V690" s="13"/>
      <c r="W690" s="13"/>
      <c r="X690" s="13"/>
      <c r="Y690" s="13"/>
      <c r="Z690" s="13"/>
    </row>
    <row r="691" spans="1:26" ht="15.75" customHeight="1">
      <c r="A691" s="39"/>
      <c r="B691" s="39"/>
      <c r="C691" s="306"/>
      <c r="D691" s="87"/>
      <c r="E691" s="87"/>
      <c r="F691" s="87"/>
      <c r="G691" s="87"/>
      <c r="H691" s="87"/>
      <c r="I691" s="87"/>
      <c r="J691" s="87"/>
      <c r="K691" s="87"/>
      <c r="L691" s="87"/>
      <c r="M691" s="87"/>
      <c r="N691" s="87"/>
      <c r="O691" s="87"/>
      <c r="P691" s="87"/>
      <c r="Q691" s="87"/>
      <c r="R691" s="13"/>
      <c r="S691" s="13"/>
      <c r="T691" s="13"/>
      <c r="U691" s="13"/>
      <c r="V691" s="13"/>
      <c r="W691" s="13"/>
      <c r="X691" s="13"/>
      <c r="Y691" s="13"/>
      <c r="Z691" s="13"/>
    </row>
    <row r="692" spans="1:26" ht="15.75" customHeight="1">
      <c r="A692" s="39"/>
      <c r="B692" s="39"/>
      <c r="C692" s="306"/>
      <c r="D692" s="87"/>
      <c r="E692" s="87"/>
      <c r="F692" s="87"/>
      <c r="G692" s="87"/>
      <c r="H692" s="87"/>
      <c r="I692" s="87"/>
      <c r="J692" s="87"/>
      <c r="K692" s="87"/>
      <c r="L692" s="87"/>
      <c r="M692" s="87"/>
      <c r="N692" s="87"/>
      <c r="O692" s="87"/>
      <c r="P692" s="87"/>
      <c r="Q692" s="87"/>
      <c r="R692" s="13"/>
      <c r="S692" s="13"/>
      <c r="T692" s="13"/>
      <c r="U692" s="13"/>
      <c r="V692" s="13"/>
      <c r="W692" s="13"/>
      <c r="X692" s="13"/>
      <c r="Y692" s="13"/>
      <c r="Z692" s="13"/>
    </row>
    <row r="693" spans="1:26" ht="15.75" customHeight="1">
      <c r="A693" s="39"/>
      <c r="B693" s="39"/>
      <c r="C693" s="306"/>
      <c r="D693" s="87"/>
      <c r="E693" s="87"/>
      <c r="F693" s="87"/>
      <c r="G693" s="87"/>
      <c r="H693" s="87"/>
      <c r="I693" s="87"/>
      <c r="J693" s="87"/>
      <c r="K693" s="87"/>
      <c r="L693" s="87"/>
      <c r="M693" s="87"/>
      <c r="N693" s="87"/>
      <c r="O693" s="87"/>
      <c r="P693" s="87"/>
      <c r="Q693" s="87"/>
      <c r="R693" s="13"/>
      <c r="S693" s="13"/>
      <c r="T693" s="13"/>
      <c r="U693" s="13"/>
      <c r="V693" s="13"/>
      <c r="W693" s="13"/>
      <c r="X693" s="13"/>
      <c r="Y693" s="13"/>
      <c r="Z693" s="13"/>
    </row>
    <row r="694" spans="1:26" ht="15.75" customHeight="1">
      <c r="A694" s="39"/>
      <c r="B694" s="39"/>
      <c r="C694" s="306"/>
      <c r="D694" s="87"/>
      <c r="E694" s="87"/>
      <c r="F694" s="87"/>
      <c r="G694" s="87"/>
      <c r="H694" s="87"/>
      <c r="I694" s="87"/>
      <c r="J694" s="87"/>
      <c r="K694" s="87"/>
      <c r="L694" s="87"/>
      <c r="M694" s="87"/>
      <c r="N694" s="87"/>
      <c r="O694" s="87"/>
      <c r="P694" s="87"/>
      <c r="Q694" s="87"/>
      <c r="R694" s="13"/>
      <c r="S694" s="13"/>
      <c r="T694" s="13"/>
      <c r="U694" s="13"/>
      <c r="V694" s="13"/>
      <c r="W694" s="13"/>
      <c r="X694" s="13"/>
      <c r="Y694" s="13"/>
      <c r="Z694" s="13"/>
    </row>
    <row r="695" spans="1:26" ht="15.75" customHeight="1">
      <c r="A695" s="39"/>
      <c r="B695" s="39"/>
      <c r="C695" s="306"/>
      <c r="D695" s="87"/>
      <c r="E695" s="87"/>
      <c r="F695" s="87"/>
      <c r="G695" s="87"/>
      <c r="H695" s="87"/>
      <c r="I695" s="87"/>
      <c r="J695" s="87"/>
      <c r="K695" s="87"/>
      <c r="L695" s="87"/>
      <c r="M695" s="87"/>
      <c r="N695" s="87"/>
      <c r="O695" s="87"/>
      <c r="P695" s="87"/>
      <c r="Q695" s="87"/>
      <c r="R695" s="13"/>
      <c r="S695" s="13"/>
      <c r="T695" s="13"/>
      <c r="U695" s="13"/>
      <c r="V695" s="13"/>
      <c r="W695" s="13"/>
      <c r="X695" s="13"/>
      <c r="Y695" s="13"/>
      <c r="Z695" s="13"/>
    </row>
    <row r="696" spans="1:26" ht="15.75" customHeight="1">
      <c r="A696" s="39"/>
      <c r="B696" s="39"/>
      <c r="C696" s="306"/>
      <c r="D696" s="87"/>
      <c r="E696" s="87"/>
      <c r="F696" s="87"/>
      <c r="G696" s="87"/>
      <c r="H696" s="87"/>
      <c r="I696" s="87"/>
      <c r="J696" s="87"/>
      <c r="K696" s="87"/>
      <c r="L696" s="87"/>
      <c r="M696" s="87"/>
      <c r="N696" s="87"/>
      <c r="O696" s="87"/>
      <c r="P696" s="87"/>
      <c r="Q696" s="87"/>
      <c r="R696" s="13"/>
      <c r="S696" s="13"/>
      <c r="T696" s="13"/>
      <c r="U696" s="13"/>
      <c r="V696" s="13"/>
      <c r="W696" s="13"/>
      <c r="X696" s="13"/>
      <c r="Y696" s="13"/>
      <c r="Z696" s="13"/>
    </row>
    <row r="697" spans="1:26" ht="15.75" customHeight="1">
      <c r="A697" s="39"/>
      <c r="B697" s="39"/>
      <c r="C697" s="306"/>
      <c r="D697" s="87"/>
      <c r="E697" s="87"/>
      <c r="F697" s="87"/>
      <c r="G697" s="87"/>
      <c r="H697" s="87"/>
      <c r="I697" s="87"/>
      <c r="J697" s="87"/>
      <c r="K697" s="87"/>
      <c r="L697" s="87"/>
      <c r="M697" s="87"/>
      <c r="N697" s="87"/>
      <c r="O697" s="87"/>
      <c r="P697" s="87"/>
      <c r="Q697" s="87"/>
      <c r="R697" s="13"/>
      <c r="S697" s="13"/>
      <c r="T697" s="13"/>
      <c r="U697" s="13"/>
      <c r="V697" s="13"/>
      <c r="W697" s="13"/>
      <c r="X697" s="13"/>
      <c r="Y697" s="13"/>
      <c r="Z697" s="13"/>
    </row>
    <row r="698" spans="1:26" ht="15.75" customHeight="1">
      <c r="A698" s="39"/>
      <c r="B698" s="39"/>
      <c r="C698" s="306"/>
      <c r="D698" s="87"/>
      <c r="E698" s="87"/>
      <c r="F698" s="87"/>
      <c r="G698" s="87"/>
      <c r="H698" s="87"/>
      <c r="I698" s="87"/>
      <c r="J698" s="87"/>
      <c r="K698" s="87"/>
      <c r="L698" s="87"/>
      <c r="M698" s="87"/>
      <c r="N698" s="87"/>
      <c r="O698" s="87"/>
      <c r="P698" s="87"/>
      <c r="Q698" s="87"/>
      <c r="R698" s="13"/>
      <c r="S698" s="13"/>
      <c r="T698" s="13"/>
      <c r="U698" s="13"/>
      <c r="V698" s="13"/>
      <c r="W698" s="13"/>
      <c r="X698" s="13"/>
      <c r="Y698" s="13"/>
      <c r="Z698" s="13"/>
    </row>
    <row r="699" spans="1:26" ht="15.75" customHeight="1">
      <c r="A699" s="39"/>
      <c r="B699" s="39"/>
      <c r="C699" s="306"/>
      <c r="D699" s="87"/>
      <c r="E699" s="87"/>
      <c r="F699" s="87"/>
      <c r="G699" s="87"/>
      <c r="H699" s="87"/>
      <c r="I699" s="87"/>
      <c r="J699" s="87"/>
      <c r="K699" s="87"/>
      <c r="L699" s="87"/>
      <c r="M699" s="87"/>
      <c r="N699" s="87"/>
      <c r="O699" s="87"/>
      <c r="P699" s="87"/>
      <c r="Q699" s="87"/>
      <c r="R699" s="13"/>
      <c r="S699" s="13"/>
      <c r="T699" s="13"/>
      <c r="U699" s="13"/>
      <c r="V699" s="13"/>
      <c r="W699" s="13"/>
      <c r="X699" s="13"/>
      <c r="Y699" s="13"/>
      <c r="Z699" s="13"/>
    </row>
    <row r="700" spans="1:26" ht="15.75" customHeight="1">
      <c r="A700" s="39"/>
      <c r="B700" s="39"/>
      <c r="C700" s="306"/>
      <c r="D700" s="87"/>
      <c r="E700" s="87"/>
      <c r="F700" s="87"/>
      <c r="G700" s="87"/>
      <c r="H700" s="87"/>
      <c r="I700" s="87"/>
      <c r="J700" s="87"/>
      <c r="K700" s="87"/>
      <c r="L700" s="87"/>
      <c r="M700" s="87"/>
      <c r="N700" s="87"/>
      <c r="O700" s="87"/>
      <c r="P700" s="87"/>
      <c r="Q700" s="87"/>
      <c r="R700" s="13"/>
      <c r="S700" s="13"/>
      <c r="T700" s="13"/>
      <c r="U700" s="13"/>
      <c r="V700" s="13"/>
      <c r="W700" s="13"/>
      <c r="X700" s="13"/>
      <c r="Y700" s="13"/>
      <c r="Z700" s="13"/>
    </row>
    <row r="701" spans="1:26" ht="15.75" customHeight="1">
      <c r="A701" s="39"/>
      <c r="B701" s="39"/>
      <c r="C701" s="306"/>
      <c r="D701" s="87"/>
      <c r="E701" s="87"/>
      <c r="F701" s="87"/>
      <c r="G701" s="87"/>
      <c r="H701" s="87"/>
      <c r="I701" s="87"/>
      <c r="J701" s="87"/>
      <c r="K701" s="87"/>
      <c r="L701" s="87"/>
      <c r="M701" s="87"/>
      <c r="N701" s="87"/>
      <c r="O701" s="87"/>
      <c r="P701" s="87"/>
      <c r="Q701" s="87"/>
      <c r="R701" s="13"/>
      <c r="S701" s="13"/>
      <c r="T701" s="13"/>
      <c r="U701" s="13"/>
      <c r="V701" s="13"/>
      <c r="W701" s="13"/>
      <c r="X701" s="13"/>
      <c r="Y701" s="13"/>
      <c r="Z701" s="13"/>
    </row>
    <row r="702" spans="1:26" ht="15.75" customHeight="1">
      <c r="A702" s="39"/>
      <c r="B702" s="39"/>
      <c r="C702" s="306"/>
      <c r="D702" s="87"/>
      <c r="E702" s="87"/>
      <c r="F702" s="87"/>
      <c r="G702" s="87"/>
      <c r="H702" s="87"/>
      <c r="I702" s="87"/>
      <c r="J702" s="87"/>
      <c r="K702" s="87"/>
      <c r="L702" s="87"/>
      <c r="M702" s="87"/>
      <c r="N702" s="87"/>
      <c r="O702" s="87"/>
      <c r="P702" s="87"/>
      <c r="Q702" s="87"/>
      <c r="R702" s="13"/>
      <c r="S702" s="13"/>
      <c r="T702" s="13"/>
      <c r="U702" s="13"/>
      <c r="V702" s="13"/>
      <c r="W702" s="13"/>
      <c r="X702" s="13"/>
      <c r="Y702" s="13"/>
      <c r="Z702" s="13"/>
    </row>
    <row r="703" spans="1:26" ht="15.75" customHeight="1">
      <c r="A703" s="39"/>
      <c r="B703" s="39"/>
      <c r="C703" s="306"/>
      <c r="D703" s="87"/>
      <c r="E703" s="87"/>
      <c r="F703" s="87"/>
      <c r="G703" s="87"/>
      <c r="H703" s="87"/>
      <c r="I703" s="87"/>
      <c r="J703" s="87"/>
      <c r="K703" s="87"/>
      <c r="L703" s="87"/>
      <c r="M703" s="87"/>
      <c r="N703" s="87"/>
      <c r="O703" s="87"/>
      <c r="P703" s="87"/>
      <c r="Q703" s="87"/>
      <c r="R703" s="13"/>
      <c r="S703" s="13"/>
      <c r="T703" s="13"/>
      <c r="U703" s="13"/>
      <c r="V703" s="13"/>
      <c r="W703" s="13"/>
      <c r="X703" s="13"/>
      <c r="Y703" s="13"/>
      <c r="Z703" s="13"/>
    </row>
    <row r="704" spans="1:26" ht="15.75" customHeight="1">
      <c r="A704" s="39"/>
      <c r="B704" s="39"/>
      <c r="C704" s="306"/>
      <c r="D704" s="87"/>
      <c r="E704" s="87"/>
      <c r="F704" s="87"/>
      <c r="G704" s="87"/>
      <c r="H704" s="87"/>
      <c r="I704" s="87"/>
      <c r="J704" s="87"/>
      <c r="K704" s="87"/>
      <c r="L704" s="87"/>
      <c r="M704" s="87"/>
      <c r="N704" s="87"/>
      <c r="O704" s="87"/>
      <c r="P704" s="87"/>
      <c r="Q704" s="87"/>
      <c r="R704" s="13"/>
      <c r="S704" s="13"/>
      <c r="T704" s="13"/>
      <c r="U704" s="13"/>
      <c r="V704" s="13"/>
      <c r="W704" s="13"/>
      <c r="X704" s="13"/>
      <c r="Y704" s="13"/>
      <c r="Z704" s="13"/>
    </row>
    <row r="705" spans="1:26" ht="15.75" customHeight="1">
      <c r="A705" s="39"/>
      <c r="B705" s="39"/>
      <c r="C705" s="306"/>
      <c r="D705" s="87"/>
      <c r="E705" s="87"/>
      <c r="F705" s="87"/>
      <c r="G705" s="87"/>
      <c r="H705" s="87"/>
      <c r="I705" s="87"/>
      <c r="J705" s="87"/>
      <c r="K705" s="87"/>
      <c r="L705" s="87"/>
      <c r="M705" s="87"/>
      <c r="N705" s="87"/>
      <c r="O705" s="87"/>
      <c r="P705" s="87"/>
      <c r="Q705" s="87"/>
      <c r="R705" s="13"/>
      <c r="S705" s="13"/>
      <c r="T705" s="13"/>
      <c r="U705" s="13"/>
      <c r="V705" s="13"/>
      <c r="W705" s="13"/>
      <c r="X705" s="13"/>
      <c r="Y705" s="13"/>
      <c r="Z705" s="13"/>
    </row>
    <row r="706" spans="1:26" ht="15.75" customHeight="1">
      <c r="A706" s="39"/>
      <c r="B706" s="39"/>
      <c r="C706" s="306"/>
      <c r="D706" s="87"/>
      <c r="E706" s="87"/>
      <c r="F706" s="87"/>
      <c r="G706" s="87"/>
      <c r="H706" s="87"/>
      <c r="I706" s="87"/>
      <c r="J706" s="87"/>
      <c r="K706" s="87"/>
      <c r="L706" s="87"/>
      <c r="M706" s="87"/>
      <c r="N706" s="87"/>
      <c r="O706" s="87"/>
      <c r="P706" s="87"/>
      <c r="Q706" s="87"/>
      <c r="R706" s="13"/>
      <c r="S706" s="13"/>
      <c r="T706" s="13"/>
      <c r="U706" s="13"/>
      <c r="V706" s="13"/>
      <c r="W706" s="13"/>
      <c r="X706" s="13"/>
      <c r="Y706" s="13"/>
      <c r="Z706" s="13"/>
    </row>
    <row r="707" spans="1:26" ht="15.75" customHeight="1">
      <c r="A707" s="39"/>
      <c r="B707" s="39"/>
      <c r="C707" s="306"/>
      <c r="D707" s="87"/>
      <c r="E707" s="87"/>
      <c r="F707" s="87"/>
      <c r="G707" s="87"/>
      <c r="H707" s="87"/>
      <c r="I707" s="87"/>
      <c r="J707" s="87"/>
      <c r="K707" s="87"/>
      <c r="L707" s="87"/>
      <c r="M707" s="87"/>
      <c r="N707" s="87"/>
      <c r="O707" s="87"/>
      <c r="P707" s="87"/>
      <c r="Q707" s="87"/>
      <c r="R707" s="13"/>
      <c r="S707" s="13"/>
      <c r="T707" s="13"/>
      <c r="U707" s="13"/>
      <c r="V707" s="13"/>
      <c r="W707" s="13"/>
      <c r="X707" s="13"/>
      <c r="Y707" s="13"/>
      <c r="Z707" s="13"/>
    </row>
    <row r="708" spans="1:26" ht="15.75" customHeight="1">
      <c r="A708" s="39"/>
      <c r="B708" s="39"/>
      <c r="C708" s="306"/>
      <c r="D708" s="87"/>
      <c r="E708" s="87"/>
      <c r="F708" s="87"/>
      <c r="G708" s="87"/>
      <c r="H708" s="87"/>
      <c r="I708" s="87"/>
      <c r="J708" s="87"/>
      <c r="K708" s="87"/>
      <c r="L708" s="87"/>
      <c r="M708" s="87"/>
      <c r="N708" s="87"/>
      <c r="O708" s="87"/>
      <c r="P708" s="87"/>
      <c r="Q708" s="87"/>
      <c r="R708" s="13"/>
      <c r="S708" s="13"/>
      <c r="T708" s="13"/>
      <c r="U708" s="13"/>
      <c r="V708" s="13"/>
      <c r="W708" s="13"/>
      <c r="X708" s="13"/>
      <c r="Y708" s="13"/>
      <c r="Z708" s="13"/>
    </row>
    <row r="709" spans="1:26" ht="15.75" customHeight="1">
      <c r="A709" s="39"/>
      <c r="B709" s="39"/>
      <c r="C709" s="306"/>
      <c r="D709" s="87"/>
      <c r="E709" s="87"/>
      <c r="F709" s="87"/>
      <c r="G709" s="87"/>
      <c r="H709" s="87"/>
      <c r="I709" s="87"/>
      <c r="J709" s="87"/>
      <c r="K709" s="87"/>
      <c r="L709" s="87"/>
      <c r="M709" s="87"/>
      <c r="N709" s="87"/>
      <c r="O709" s="87"/>
      <c r="P709" s="87"/>
      <c r="Q709" s="87"/>
      <c r="R709" s="13"/>
      <c r="S709" s="13"/>
      <c r="T709" s="13"/>
      <c r="U709" s="13"/>
      <c r="V709" s="13"/>
      <c r="W709" s="13"/>
      <c r="X709" s="13"/>
      <c r="Y709" s="13"/>
      <c r="Z709" s="13"/>
    </row>
    <row r="710" spans="1:26" ht="15.75" customHeight="1">
      <c r="A710" s="39"/>
      <c r="B710" s="39"/>
      <c r="C710" s="306"/>
      <c r="D710" s="87"/>
      <c r="E710" s="87"/>
      <c r="F710" s="87"/>
      <c r="G710" s="87"/>
      <c r="H710" s="87"/>
      <c r="I710" s="87"/>
      <c r="J710" s="87"/>
      <c r="K710" s="87"/>
      <c r="L710" s="87"/>
      <c r="M710" s="87"/>
      <c r="N710" s="87"/>
      <c r="O710" s="87"/>
      <c r="P710" s="87"/>
      <c r="Q710" s="87"/>
      <c r="R710" s="13"/>
      <c r="S710" s="13"/>
      <c r="T710" s="13"/>
      <c r="U710" s="13"/>
      <c r="V710" s="13"/>
      <c r="W710" s="13"/>
      <c r="X710" s="13"/>
      <c r="Y710" s="13"/>
      <c r="Z710" s="13"/>
    </row>
    <row r="711" spans="1:26" ht="15.75" customHeight="1">
      <c r="A711" s="39"/>
      <c r="B711" s="39"/>
      <c r="C711" s="306"/>
      <c r="D711" s="87"/>
      <c r="E711" s="87"/>
      <c r="F711" s="87"/>
      <c r="G711" s="87"/>
      <c r="H711" s="87"/>
      <c r="I711" s="87"/>
      <c r="J711" s="87"/>
      <c r="K711" s="87"/>
      <c r="L711" s="87"/>
      <c r="M711" s="87"/>
      <c r="N711" s="87"/>
      <c r="O711" s="87"/>
      <c r="P711" s="87"/>
      <c r="Q711" s="87"/>
      <c r="R711" s="13"/>
      <c r="S711" s="13"/>
      <c r="T711" s="13"/>
      <c r="U711" s="13"/>
      <c r="V711" s="13"/>
      <c r="W711" s="13"/>
      <c r="X711" s="13"/>
      <c r="Y711" s="13"/>
      <c r="Z711" s="13"/>
    </row>
    <row r="712" spans="1:26" ht="15.75" customHeight="1">
      <c r="A712" s="39"/>
      <c r="B712" s="39"/>
      <c r="C712" s="306"/>
      <c r="D712" s="87"/>
      <c r="E712" s="87"/>
      <c r="F712" s="87"/>
      <c r="G712" s="87"/>
      <c r="H712" s="87"/>
      <c r="I712" s="87"/>
      <c r="J712" s="87"/>
      <c r="K712" s="87"/>
      <c r="L712" s="87"/>
      <c r="M712" s="87"/>
      <c r="N712" s="87"/>
      <c r="O712" s="87"/>
      <c r="P712" s="87"/>
      <c r="Q712" s="87"/>
      <c r="R712" s="13"/>
      <c r="S712" s="13"/>
      <c r="T712" s="13"/>
      <c r="U712" s="13"/>
      <c r="V712" s="13"/>
      <c r="W712" s="13"/>
      <c r="X712" s="13"/>
      <c r="Y712" s="13"/>
      <c r="Z712" s="13"/>
    </row>
    <row r="713" spans="1:26" ht="15.75" customHeight="1">
      <c r="A713" s="39"/>
      <c r="B713" s="39"/>
      <c r="C713" s="306"/>
      <c r="D713" s="87"/>
      <c r="E713" s="87"/>
      <c r="F713" s="87"/>
      <c r="G713" s="87"/>
      <c r="H713" s="87"/>
      <c r="I713" s="87"/>
      <c r="J713" s="87"/>
      <c r="K713" s="87"/>
      <c r="L713" s="87"/>
      <c r="M713" s="87"/>
      <c r="N713" s="87"/>
      <c r="O713" s="87"/>
      <c r="P713" s="87"/>
      <c r="Q713" s="87"/>
      <c r="R713" s="13"/>
      <c r="S713" s="13"/>
      <c r="T713" s="13"/>
      <c r="U713" s="13"/>
      <c r="V713" s="13"/>
      <c r="W713" s="13"/>
      <c r="X713" s="13"/>
      <c r="Y713" s="13"/>
      <c r="Z713" s="13"/>
    </row>
    <row r="714" spans="1:26" ht="15.75" customHeight="1">
      <c r="A714" s="39"/>
      <c r="B714" s="39"/>
      <c r="C714" s="306"/>
      <c r="D714" s="87"/>
      <c r="E714" s="87"/>
      <c r="F714" s="87"/>
      <c r="G714" s="87"/>
      <c r="H714" s="87"/>
      <c r="I714" s="87"/>
      <c r="J714" s="87"/>
      <c r="K714" s="87"/>
      <c r="L714" s="87"/>
      <c r="M714" s="87"/>
      <c r="N714" s="87"/>
      <c r="O714" s="87"/>
      <c r="P714" s="87"/>
      <c r="Q714" s="87"/>
      <c r="R714" s="13"/>
      <c r="S714" s="13"/>
      <c r="T714" s="13"/>
      <c r="U714" s="13"/>
      <c r="V714" s="13"/>
      <c r="W714" s="13"/>
      <c r="X714" s="13"/>
      <c r="Y714" s="13"/>
      <c r="Z714" s="13"/>
    </row>
    <row r="715" spans="1:26" ht="15.75" customHeight="1">
      <c r="A715" s="39"/>
      <c r="B715" s="39"/>
      <c r="C715" s="306"/>
      <c r="D715" s="87"/>
      <c r="E715" s="87"/>
      <c r="F715" s="87"/>
      <c r="G715" s="87"/>
      <c r="H715" s="87"/>
      <c r="I715" s="87"/>
      <c r="J715" s="87"/>
      <c r="K715" s="87"/>
      <c r="L715" s="87"/>
      <c r="M715" s="87"/>
      <c r="N715" s="87"/>
      <c r="O715" s="87"/>
      <c r="P715" s="87"/>
      <c r="Q715" s="87"/>
      <c r="R715" s="13"/>
      <c r="S715" s="13"/>
      <c r="T715" s="13"/>
      <c r="U715" s="13"/>
      <c r="V715" s="13"/>
      <c r="W715" s="13"/>
      <c r="X715" s="13"/>
      <c r="Y715" s="13"/>
      <c r="Z715" s="13"/>
    </row>
    <row r="716" spans="1:26" ht="15.75" customHeight="1">
      <c r="A716" s="39"/>
      <c r="B716" s="39"/>
      <c r="C716" s="306"/>
      <c r="D716" s="87"/>
      <c r="E716" s="87"/>
      <c r="F716" s="87"/>
      <c r="G716" s="87"/>
      <c r="H716" s="87"/>
      <c r="I716" s="87"/>
      <c r="J716" s="87"/>
      <c r="K716" s="87"/>
      <c r="L716" s="87"/>
      <c r="M716" s="87"/>
      <c r="N716" s="87"/>
      <c r="O716" s="87"/>
      <c r="P716" s="87"/>
      <c r="Q716" s="87"/>
      <c r="R716" s="13"/>
      <c r="S716" s="13"/>
      <c r="T716" s="13"/>
      <c r="U716" s="13"/>
      <c r="V716" s="13"/>
      <c r="W716" s="13"/>
      <c r="X716" s="13"/>
      <c r="Y716" s="13"/>
      <c r="Z716" s="13"/>
    </row>
    <row r="717" spans="1:26" ht="15.75" customHeight="1">
      <c r="A717" s="39"/>
      <c r="B717" s="39"/>
      <c r="C717" s="306"/>
      <c r="D717" s="87"/>
      <c r="E717" s="87"/>
      <c r="F717" s="87"/>
      <c r="G717" s="87"/>
      <c r="H717" s="87"/>
      <c r="I717" s="87"/>
      <c r="J717" s="87"/>
      <c r="K717" s="87"/>
      <c r="L717" s="87"/>
      <c r="M717" s="87"/>
      <c r="N717" s="87"/>
      <c r="O717" s="87"/>
      <c r="P717" s="87"/>
      <c r="Q717" s="87"/>
      <c r="R717" s="13"/>
      <c r="S717" s="13"/>
      <c r="T717" s="13"/>
      <c r="U717" s="13"/>
      <c r="V717" s="13"/>
      <c r="W717" s="13"/>
      <c r="X717" s="13"/>
      <c r="Y717" s="13"/>
      <c r="Z717" s="13"/>
    </row>
    <row r="718" spans="1:26" ht="15.75" customHeight="1">
      <c r="A718" s="39"/>
      <c r="B718" s="39"/>
      <c r="C718" s="306"/>
      <c r="D718" s="87"/>
      <c r="E718" s="87"/>
      <c r="F718" s="87"/>
      <c r="G718" s="87"/>
      <c r="H718" s="87"/>
      <c r="I718" s="87"/>
      <c r="J718" s="87"/>
      <c r="K718" s="87"/>
      <c r="L718" s="87"/>
      <c r="M718" s="87"/>
      <c r="N718" s="87"/>
      <c r="O718" s="87"/>
      <c r="P718" s="87"/>
      <c r="Q718" s="87"/>
      <c r="R718" s="13"/>
      <c r="S718" s="13"/>
      <c r="T718" s="13"/>
      <c r="U718" s="13"/>
      <c r="V718" s="13"/>
      <c r="W718" s="13"/>
      <c r="X718" s="13"/>
      <c r="Y718" s="13"/>
      <c r="Z718" s="13"/>
    </row>
    <row r="719" spans="1:26" ht="15.75" customHeight="1">
      <c r="A719" s="39"/>
      <c r="B719" s="39"/>
      <c r="C719" s="306"/>
      <c r="D719" s="87"/>
      <c r="E719" s="87"/>
      <c r="F719" s="87"/>
      <c r="G719" s="87"/>
      <c r="H719" s="87"/>
      <c r="I719" s="87"/>
      <c r="J719" s="87"/>
      <c r="K719" s="87"/>
      <c r="L719" s="87"/>
      <c r="M719" s="87"/>
      <c r="N719" s="87"/>
      <c r="O719" s="87"/>
      <c r="P719" s="87"/>
      <c r="Q719" s="87"/>
      <c r="R719" s="13"/>
      <c r="S719" s="13"/>
      <c r="T719" s="13"/>
      <c r="U719" s="13"/>
      <c r="V719" s="13"/>
      <c r="W719" s="13"/>
      <c r="X719" s="13"/>
      <c r="Y719" s="13"/>
      <c r="Z719" s="13"/>
    </row>
    <row r="720" spans="1:26" ht="15.75" customHeight="1">
      <c r="A720" s="39"/>
      <c r="B720" s="39"/>
      <c r="C720" s="306"/>
      <c r="D720" s="87"/>
      <c r="E720" s="87"/>
      <c r="F720" s="87"/>
      <c r="G720" s="87"/>
      <c r="H720" s="87"/>
      <c r="I720" s="87"/>
      <c r="J720" s="87"/>
      <c r="K720" s="87"/>
      <c r="L720" s="87"/>
      <c r="M720" s="87"/>
      <c r="N720" s="87"/>
      <c r="O720" s="87"/>
      <c r="P720" s="87"/>
      <c r="Q720" s="87"/>
      <c r="R720" s="13"/>
      <c r="S720" s="13"/>
      <c r="T720" s="13"/>
      <c r="U720" s="13"/>
      <c r="V720" s="13"/>
      <c r="W720" s="13"/>
      <c r="X720" s="13"/>
      <c r="Y720" s="13"/>
      <c r="Z720" s="13"/>
    </row>
    <row r="721" spans="1:26" ht="15.75" customHeight="1">
      <c r="A721" s="39"/>
      <c r="B721" s="39"/>
      <c r="C721" s="306"/>
      <c r="D721" s="87"/>
      <c r="E721" s="87"/>
      <c r="F721" s="87"/>
      <c r="G721" s="87"/>
      <c r="H721" s="87"/>
      <c r="I721" s="87"/>
      <c r="J721" s="87"/>
      <c r="K721" s="87"/>
      <c r="L721" s="87"/>
      <c r="M721" s="87"/>
      <c r="N721" s="87"/>
      <c r="O721" s="87"/>
      <c r="P721" s="87"/>
      <c r="Q721" s="87"/>
      <c r="R721" s="13"/>
      <c r="S721" s="13"/>
      <c r="T721" s="13"/>
      <c r="U721" s="13"/>
      <c r="V721" s="13"/>
      <c r="W721" s="13"/>
      <c r="X721" s="13"/>
      <c r="Y721" s="13"/>
      <c r="Z721" s="13"/>
    </row>
    <row r="722" spans="1:26" ht="15.75" customHeight="1">
      <c r="A722" s="39"/>
      <c r="B722" s="39"/>
      <c r="C722" s="306"/>
      <c r="D722" s="87"/>
      <c r="E722" s="87"/>
      <c r="F722" s="87"/>
      <c r="G722" s="87"/>
      <c r="H722" s="87"/>
      <c r="I722" s="87"/>
      <c r="J722" s="87"/>
      <c r="K722" s="87"/>
      <c r="L722" s="87"/>
      <c r="M722" s="87"/>
      <c r="N722" s="87"/>
      <c r="O722" s="87"/>
      <c r="P722" s="87"/>
      <c r="Q722" s="87"/>
      <c r="R722" s="13"/>
      <c r="S722" s="13"/>
      <c r="T722" s="13"/>
      <c r="U722" s="13"/>
      <c r="V722" s="13"/>
      <c r="W722" s="13"/>
      <c r="X722" s="13"/>
      <c r="Y722" s="13"/>
      <c r="Z722" s="13"/>
    </row>
    <row r="723" spans="1:26" ht="15.75" customHeight="1">
      <c r="A723" s="39"/>
      <c r="B723" s="39"/>
      <c r="C723" s="306"/>
      <c r="D723" s="87"/>
      <c r="E723" s="87"/>
      <c r="F723" s="87"/>
      <c r="G723" s="87"/>
      <c r="H723" s="87"/>
      <c r="I723" s="87"/>
      <c r="J723" s="87"/>
      <c r="K723" s="87"/>
      <c r="L723" s="87"/>
      <c r="M723" s="87"/>
      <c r="N723" s="87"/>
      <c r="O723" s="87"/>
      <c r="P723" s="87"/>
      <c r="Q723" s="87"/>
      <c r="R723" s="13"/>
      <c r="S723" s="13"/>
      <c r="T723" s="13"/>
      <c r="U723" s="13"/>
      <c r="V723" s="13"/>
      <c r="W723" s="13"/>
      <c r="X723" s="13"/>
      <c r="Y723" s="13"/>
      <c r="Z723" s="13"/>
    </row>
    <row r="724" spans="1:26" ht="15.75" customHeight="1">
      <c r="A724" s="39"/>
      <c r="B724" s="39"/>
      <c r="C724" s="306"/>
      <c r="D724" s="87"/>
      <c r="E724" s="87"/>
      <c r="F724" s="87"/>
      <c r="G724" s="87"/>
      <c r="H724" s="87"/>
      <c r="I724" s="87"/>
      <c r="J724" s="87"/>
      <c r="K724" s="87"/>
      <c r="L724" s="87"/>
      <c r="M724" s="87"/>
      <c r="N724" s="87"/>
      <c r="O724" s="87"/>
      <c r="P724" s="87"/>
      <c r="Q724" s="87"/>
      <c r="R724" s="13"/>
      <c r="S724" s="13"/>
      <c r="T724" s="13"/>
      <c r="U724" s="13"/>
      <c r="V724" s="13"/>
      <c r="W724" s="13"/>
      <c r="X724" s="13"/>
      <c r="Y724" s="13"/>
      <c r="Z724" s="13"/>
    </row>
    <row r="725" spans="1:26" ht="15.75" customHeight="1">
      <c r="A725" s="39"/>
      <c r="B725" s="39"/>
      <c r="C725" s="306"/>
      <c r="D725" s="87"/>
      <c r="E725" s="87"/>
      <c r="F725" s="87"/>
      <c r="G725" s="87"/>
      <c r="H725" s="87"/>
      <c r="I725" s="87"/>
      <c r="J725" s="87"/>
      <c r="K725" s="87"/>
      <c r="L725" s="87"/>
      <c r="M725" s="87"/>
      <c r="N725" s="87"/>
      <c r="O725" s="87"/>
      <c r="P725" s="87"/>
      <c r="Q725" s="87"/>
      <c r="R725" s="13"/>
      <c r="S725" s="13"/>
      <c r="T725" s="13"/>
      <c r="U725" s="13"/>
      <c r="V725" s="13"/>
      <c r="W725" s="13"/>
      <c r="X725" s="13"/>
      <c r="Y725" s="13"/>
      <c r="Z725" s="13"/>
    </row>
    <row r="726" spans="1:26" ht="15.75" customHeight="1">
      <c r="A726" s="39"/>
      <c r="B726" s="39"/>
      <c r="C726" s="306"/>
      <c r="D726" s="87"/>
      <c r="E726" s="87"/>
      <c r="F726" s="87"/>
      <c r="G726" s="87"/>
      <c r="H726" s="87"/>
      <c r="I726" s="87"/>
      <c r="J726" s="87"/>
      <c r="K726" s="87"/>
      <c r="L726" s="87"/>
      <c r="M726" s="87"/>
      <c r="N726" s="87"/>
      <c r="O726" s="87"/>
      <c r="P726" s="87"/>
      <c r="Q726" s="87"/>
      <c r="R726" s="13"/>
      <c r="S726" s="13"/>
      <c r="T726" s="13"/>
      <c r="U726" s="13"/>
      <c r="V726" s="13"/>
      <c r="W726" s="13"/>
      <c r="X726" s="13"/>
      <c r="Y726" s="13"/>
      <c r="Z726" s="13"/>
    </row>
    <row r="727" spans="1:26" ht="15.75" customHeight="1">
      <c r="A727" s="39"/>
      <c r="B727" s="39"/>
      <c r="C727" s="306"/>
      <c r="D727" s="87"/>
      <c r="E727" s="87"/>
      <c r="F727" s="87"/>
      <c r="G727" s="87"/>
      <c r="H727" s="87"/>
      <c r="I727" s="87"/>
      <c r="J727" s="87"/>
      <c r="K727" s="87"/>
      <c r="L727" s="87"/>
      <c r="M727" s="87"/>
      <c r="N727" s="87"/>
      <c r="O727" s="87"/>
      <c r="P727" s="87"/>
      <c r="Q727" s="87"/>
      <c r="R727" s="13"/>
      <c r="S727" s="13"/>
      <c r="T727" s="13"/>
      <c r="U727" s="13"/>
      <c r="V727" s="13"/>
      <c r="W727" s="13"/>
      <c r="X727" s="13"/>
      <c r="Y727" s="13"/>
      <c r="Z727" s="13"/>
    </row>
    <row r="728" spans="1:26" ht="15.75" customHeight="1">
      <c r="A728" s="39"/>
      <c r="B728" s="39"/>
      <c r="C728" s="306"/>
      <c r="D728" s="87"/>
      <c r="E728" s="87"/>
      <c r="F728" s="87"/>
      <c r="G728" s="87"/>
      <c r="H728" s="87"/>
      <c r="I728" s="87"/>
      <c r="J728" s="87"/>
      <c r="K728" s="87"/>
      <c r="L728" s="87"/>
      <c r="M728" s="87"/>
      <c r="N728" s="87"/>
      <c r="O728" s="87"/>
      <c r="P728" s="87"/>
      <c r="Q728" s="87"/>
      <c r="R728" s="13"/>
      <c r="S728" s="13"/>
      <c r="T728" s="13"/>
      <c r="U728" s="13"/>
      <c r="V728" s="13"/>
      <c r="W728" s="13"/>
      <c r="X728" s="13"/>
      <c r="Y728" s="13"/>
      <c r="Z728" s="13"/>
    </row>
    <row r="729" spans="1:26" ht="15.75" customHeight="1">
      <c r="A729" s="39"/>
      <c r="B729" s="39"/>
      <c r="C729" s="306"/>
      <c r="D729" s="87"/>
      <c r="E729" s="87"/>
      <c r="F729" s="87"/>
      <c r="G729" s="87"/>
      <c r="H729" s="87"/>
      <c r="I729" s="87"/>
      <c r="J729" s="87"/>
      <c r="K729" s="87"/>
      <c r="L729" s="87"/>
      <c r="M729" s="87"/>
      <c r="N729" s="87"/>
      <c r="O729" s="87"/>
      <c r="P729" s="87"/>
      <c r="Q729" s="87"/>
      <c r="R729" s="13"/>
      <c r="S729" s="13"/>
      <c r="T729" s="13"/>
      <c r="U729" s="13"/>
      <c r="V729" s="13"/>
      <c r="W729" s="13"/>
      <c r="X729" s="13"/>
      <c r="Y729" s="13"/>
      <c r="Z729" s="13"/>
    </row>
    <row r="730" spans="1:26" ht="15.75" customHeight="1">
      <c r="A730" s="39"/>
      <c r="B730" s="39"/>
      <c r="C730" s="306"/>
      <c r="D730" s="87"/>
      <c r="E730" s="87"/>
      <c r="F730" s="87"/>
      <c r="G730" s="87"/>
      <c r="H730" s="87"/>
      <c r="I730" s="87"/>
      <c r="J730" s="87"/>
      <c r="K730" s="87"/>
      <c r="L730" s="87"/>
      <c r="M730" s="87"/>
      <c r="N730" s="87"/>
      <c r="O730" s="87"/>
      <c r="P730" s="87"/>
      <c r="Q730" s="87"/>
      <c r="R730" s="13"/>
      <c r="S730" s="13"/>
      <c r="T730" s="13"/>
      <c r="U730" s="13"/>
      <c r="V730" s="13"/>
      <c r="W730" s="13"/>
      <c r="X730" s="13"/>
      <c r="Y730" s="13"/>
      <c r="Z730" s="13"/>
    </row>
    <row r="731" spans="1:26" ht="15.75" customHeight="1">
      <c r="A731" s="39"/>
      <c r="B731" s="39"/>
      <c r="C731" s="306"/>
      <c r="D731" s="87"/>
      <c r="E731" s="87"/>
      <c r="F731" s="87"/>
      <c r="G731" s="87"/>
      <c r="H731" s="87"/>
      <c r="I731" s="87"/>
      <c r="J731" s="87"/>
      <c r="K731" s="87"/>
      <c r="L731" s="87"/>
      <c r="M731" s="87"/>
      <c r="N731" s="87"/>
      <c r="O731" s="87"/>
      <c r="P731" s="87"/>
      <c r="Q731" s="87"/>
      <c r="R731" s="13"/>
      <c r="S731" s="13"/>
      <c r="T731" s="13"/>
      <c r="U731" s="13"/>
      <c r="V731" s="13"/>
      <c r="W731" s="13"/>
      <c r="X731" s="13"/>
      <c r="Y731" s="13"/>
      <c r="Z731" s="13"/>
    </row>
    <row r="732" spans="1:26" ht="15.75" customHeight="1">
      <c r="A732" s="39"/>
      <c r="B732" s="39"/>
      <c r="C732" s="306"/>
      <c r="D732" s="87"/>
      <c r="E732" s="87"/>
      <c r="F732" s="87"/>
      <c r="G732" s="87"/>
      <c r="H732" s="87"/>
      <c r="I732" s="87"/>
      <c r="J732" s="87"/>
      <c r="K732" s="87"/>
      <c r="L732" s="87"/>
      <c r="M732" s="87"/>
      <c r="N732" s="87"/>
      <c r="O732" s="87"/>
      <c r="P732" s="87"/>
      <c r="Q732" s="87"/>
      <c r="R732" s="13"/>
      <c r="S732" s="13"/>
      <c r="T732" s="13"/>
      <c r="U732" s="13"/>
      <c r="V732" s="13"/>
      <c r="W732" s="13"/>
      <c r="X732" s="13"/>
      <c r="Y732" s="13"/>
      <c r="Z732" s="13"/>
    </row>
    <row r="733" spans="1:26" ht="15.75" customHeight="1">
      <c r="A733" s="39"/>
      <c r="B733" s="39"/>
      <c r="C733" s="306"/>
      <c r="D733" s="87"/>
      <c r="E733" s="87"/>
      <c r="F733" s="87"/>
      <c r="G733" s="87"/>
      <c r="H733" s="87"/>
      <c r="I733" s="87"/>
      <c r="J733" s="87"/>
      <c r="K733" s="87"/>
      <c r="L733" s="87"/>
      <c r="M733" s="87"/>
      <c r="N733" s="87"/>
      <c r="O733" s="87"/>
      <c r="P733" s="87"/>
      <c r="Q733" s="87"/>
      <c r="R733" s="13"/>
      <c r="S733" s="13"/>
      <c r="T733" s="13"/>
      <c r="U733" s="13"/>
      <c r="V733" s="13"/>
      <c r="W733" s="13"/>
      <c r="X733" s="13"/>
      <c r="Y733" s="13"/>
      <c r="Z733" s="13"/>
    </row>
    <row r="734" spans="1:26" ht="15.75" customHeight="1">
      <c r="A734" s="39"/>
      <c r="B734" s="39"/>
      <c r="C734" s="306"/>
      <c r="D734" s="87"/>
      <c r="E734" s="87"/>
      <c r="F734" s="87"/>
      <c r="G734" s="87"/>
      <c r="H734" s="87"/>
      <c r="I734" s="87"/>
      <c r="J734" s="87"/>
      <c r="K734" s="87"/>
      <c r="L734" s="87"/>
      <c r="M734" s="87"/>
      <c r="N734" s="87"/>
      <c r="O734" s="87"/>
      <c r="P734" s="87"/>
      <c r="Q734" s="87"/>
      <c r="R734" s="13"/>
      <c r="S734" s="13"/>
      <c r="T734" s="13"/>
      <c r="U734" s="13"/>
      <c r="V734" s="13"/>
      <c r="W734" s="13"/>
      <c r="X734" s="13"/>
      <c r="Y734" s="13"/>
      <c r="Z734" s="13"/>
    </row>
    <row r="735" spans="1:26" ht="15.75" customHeight="1">
      <c r="A735" s="39"/>
      <c r="B735" s="39"/>
      <c r="C735" s="306"/>
      <c r="D735" s="87"/>
      <c r="E735" s="87"/>
      <c r="F735" s="87"/>
      <c r="G735" s="87"/>
      <c r="H735" s="87"/>
      <c r="I735" s="87"/>
      <c r="J735" s="87"/>
      <c r="K735" s="87"/>
      <c r="L735" s="87"/>
      <c r="M735" s="87"/>
      <c r="N735" s="87"/>
      <c r="O735" s="87"/>
      <c r="P735" s="87"/>
      <c r="Q735" s="87"/>
      <c r="R735" s="13"/>
      <c r="S735" s="13"/>
      <c r="T735" s="13"/>
      <c r="U735" s="13"/>
      <c r="V735" s="13"/>
      <c r="W735" s="13"/>
      <c r="X735" s="13"/>
      <c r="Y735" s="13"/>
      <c r="Z735" s="13"/>
    </row>
    <row r="736" spans="1:26" ht="15.75" customHeight="1">
      <c r="A736" s="39"/>
      <c r="B736" s="39"/>
      <c r="C736" s="306"/>
      <c r="D736" s="87"/>
      <c r="E736" s="87"/>
      <c r="F736" s="87"/>
      <c r="G736" s="87"/>
      <c r="H736" s="87"/>
      <c r="I736" s="87"/>
      <c r="J736" s="87"/>
      <c r="K736" s="87"/>
      <c r="L736" s="87"/>
      <c r="M736" s="87"/>
      <c r="N736" s="87"/>
      <c r="O736" s="87"/>
      <c r="P736" s="87"/>
      <c r="Q736" s="87"/>
      <c r="R736" s="13"/>
      <c r="S736" s="13"/>
      <c r="T736" s="13"/>
      <c r="U736" s="13"/>
      <c r="V736" s="13"/>
      <c r="W736" s="13"/>
      <c r="X736" s="13"/>
      <c r="Y736" s="13"/>
      <c r="Z736" s="13"/>
    </row>
    <row r="737" spans="1:26" ht="15.75" customHeight="1">
      <c r="A737" s="39"/>
      <c r="B737" s="39"/>
      <c r="C737" s="306"/>
      <c r="D737" s="87"/>
      <c r="E737" s="87"/>
      <c r="F737" s="87"/>
      <c r="G737" s="87"/>
      <c r="H737" s="87"/>
      <c r="I737" s="87"/>
      <c r="J737" s="87"/>
      <c r="K737" s="87"/>
      <c r="L737" s="87"/>
      <c r="M737" s="87"/>
      <c r="N737" s="87"/>
      <c r="O737" s="87"/>
      <c r="P737" s="87"/>
      <c r="Q737" s="87"/>
      <c r="R737" s="13"/>
      <c r="S737" s="13"/>
      <c r="T737" s="13"/>
      <c r="U737" s="13"/>
      <c r="V737" s="13"/>
      <c r="W737" s="13"/>
      <c r="X737" s="13"/>
      <c r="Y737" s="13"/>
      <c r="Z737" s="13"/>
    </row>
    <row r="738" spans="1:26" ht="15.75" customHeight="1">
      <c r="A738" s="39"/>
      <c r="B738" s="39"/>
      <c r="C738" s="306"/>
      <c r="D738" s="87"/>
      <c r="E738" s="87"/>
      <c r="F738" s="87"/>
      <c r="G738" s="87"/>
      <c r="H738" s="87"/>
      <c r="I738" s="87"/>
      <c r="J738" s="87"/>
      <c r="K738" s="87"/>
      <c r="L738" s="87"/>
      <c r="M738" s="87"/>
      <c r="N738" s="87"/>
      <c r="O738" s="87"/>
      <c r="P738" s="87"/>
      <c r="Q738" s="87"/>
      <c r="R738" s="13"/>
      <c r="S738" s="13"/>
      <c r="T738" s="13"/>
      <c r="U738" s="13"/>
      <c r="V738" s="13"/>
      <c r="W738" s="13"/>
      <c r="X738" s="13"/>
      <c r="Y738" s="13"/>
      <c r="Z738" s="13"/>
    </row>
    <row r="739" spans="1:26" ht="15.75" customHeight="1">
      <c r="A739" s="39"/>
      <c r="B739" s="39"/>
      <c r="C739" s="306"/>
      <c r="D739" s="87"/>
      <c r="E739" s="87"/>
      <c r="F739" s="87"/>
      <c r="G739" s="87"/>
      <c r="H739" s="87"/>
      <c r="I739" s="87"/>
      <c r="J739" s="87"/>
      <c r="K739" s="87"/>
      <c r="L739" s="87"/>
      <c r="M739" s="87"/>
      <c r="N739" s="87"/>
      <c r="O739" s="87"/>
      <c r="P739" s="87"/>
      <c r="Q739" s="87"/>
      <c r="R739" s="13"/>
      <c r="S739" s="13"/>
      <c r="T739" s="13"/>
      <c r="U739" s="13"/>
      <c r="V739" s="13"/>
      <c r="W739" s="13"/>
      <c r="X739" s="13"/>
      <c r="Y739" s="13"/>
      <c r="Z739" s="13"/>
    </row>
    <row r="740" spans="1:26" ht="15.75" customHeight="1">
      <c r="A740" s="39"/>
      <c r="B740" s="39"/>
      <c r="C740" s="306"/>
      <c r="D740" s="87"/>
      <c r="E740" s="87"/>
      <c r="F740" s="87"/>
      <c r="G740" s="87"/>
      <c r="H740" s="87"/>
      <c r="I740" s="87"/>
      <c r="J740" s="87"/>
      <c r="K740" s="87"/>
      <c r="L740" s="87"/>
      <c r="M740" s="87"/>
      <c r="N740" s="87"/>
      <c r="O740" s="87"/>
      <c r="P740" s="87"/>
      <c r="Q740" s="87"/>
      <c r="R740" s="13"/>
      <c r="S740" s="13"/>
      <c r="T740" s="13"/>
      <c r="U740" s="13"/>
      <c r="V740" s="13"/>
      <c r="W740" s="13"/>
      <c r="X740" s="13"/>
      <c r="Y740" s="13"/>
      <c r="Z740" s="13"/>
    </row>
    <row r="741" spans="1:26" ht="15.75" customHeight="1">
      <c r="A741" s="39"/>
      <c r="B741" s="39"/>
      <c r="C741" s="306"/>
      <c r="D741" s="87"/>
      <c r="E741" s="87"/>
      <c r="F741" s="87"/>
      <c r="G741" s="87"/>
      <c r="H741" s="87"/>
      <c r="I741" s="87"/>
      <c r="J741" s="87"/>
      <c r="K741" s="87"/>
      <c r="L741" s="87"/>
      <c r="M741" s="87"/>
      <c r="N741" s="87"/>
      <c r="O741" s="87"/>
      <c r="P741" s="87"/>
      <c r="Q741" s="87"/>
      <c r="R741" s="13"/>
      <c r="S741" s="13"/>
      <c r="T741" s="13"/>
      <c r="U741" s="13"/>
      <c r="V741" s="13"/>
      <c r="W741" s="13"/>
      <c r="X741" s="13"/>
      <c r="Y741" s="13"/>
      <c r="Z741" s="13"/>
    </row>
    <row r="742" spans="1:26" ht="15.75" customHeight="1">
      <c r="A742" s="39"/>
      <c r="B742" s="39"/>
      <c r="C742" s="306"/>
      <c r="D742" s="87"/>
      <c r="E742" s="87"/>
      <c r="F742" s="87"/>
      <c r="G742" s="87"/>
      <c r="H742" s="87"/>
      <c r="I742" s="87"/>
      <c r="J742" s="87"/>
      <c r="K742" s="87"/>
      <c r="L742" s="87"/>
      <c r="M742" s="87"/>
      <c r="N742" s="87"/>
      <c r="O742" s="87"/>
      <c r="P742" s="87"/>
      <c r="Q742" s="87"/>
      <c r="R742" s="13"/>
      <c r="S742" s="13"/>
      <c r="T742" s="13"/>
      <c r="U742" s="13"/>
      <c r="V742" s="13"/>
      <c r="W742" s="13"/>
      <c r="X742" s="13"/>
      <c r="Y742" s="13"/>
      <c r="Z742" s="13"/>
    </row>
    <row r="743" spans="1:26" ht="15.75" customHeight="1">
      <c r="A743" s="39"/>
      <c r="B743" s="39"/>
      <c r="C743" s="306"/>
      <c r="D743" s="87"/>
      <c r="E743" s="87"/>
      <c r="F743" s="87"/>
      <c r="G743" s="87"/>
      <c r="H743" s="87"/>
      <c r="I743" s="87"/>
      <c r="J743" s="87"/>
      <c r="K743" s="87"/>
      <c r="L743" s="87"/>
      <c r="M743" s="87"/>
      <c r="N743" s="87"/>
      <c r="O743" s="87"/>
      <c r="P743" s="87"/>
      <c r="Q743" s="87"/>
      <c r="R743" s="13"/>
      <c r="S743" s="13"/>
      <c r="T743" s="13"/>
      <c r="U743" s="13"/>
      <c r="V743" s="13"/>
      <c r="W743" s="13"/>
      <c r="X743" s="13"/>
      <c r="Y743" s="13"/>
      <c r="Z743" s="13"/>
    </row>
    <row r="744" spans="1:26" ht="15.75" customHeight="1">
      <c r="A744" s="39"/>
      <c r="B744" s="39"/>
      <c r="C744" s="306"/>
      <c r="D744" s="87"/>
      <c r="E744" s="87"/>
      <c r="F744" s="87"/>
      <c r="G744" s="87"/>
      <c r="H744" s="87"/>
      <c r="I744" s="87"/>
      <c r="J744" s="87"/>
      <c r="K744" s="87"/>
      <c r="L744" s="87"/>
      <c r="M744" s="87"/>
      <c r="N744" s="87"/>
      <c r="O744" s="87"/>
      <c r="P744" s="87"/>
      <c r="Q744" s="87"/>
      <c r="R744" s="13"/>
      <c r="S744" s="13"/>
      <c r="T744" s="13"/>
      <c r="U744" s="13"/>
      <c r="V744" s="13"/>
      <c r="W744" s="13"/>
      <c r="X744" s="13"/>
      <c r="Y744" s="13"/>
      <c r="Z744" s="13"/>
    </row>
    <row r="745" spans="1:26" ht="15.75" customHeight="1">
      <c r="A745" s="39"/>
      <c r="B745" s="39"/>
      <c r="C745" s="306"/>
      <c r="D745" s="87"/>
      <c r="E745" s="87"/>
      <c r="F745" s="87"/>
      <c r="G745" s="87"/>
      <c r="H745" s="87"/>
      <c r="I745" s="87"/>
      <c r="J745" s="87"/>
      <c r="K745" s="87"/>
      <c r="L745" s="87"/>
      <c r="M745" s="87"/>
      <c r="N745" s="87"/>
      <c r="O745" s="87"/>
      <c r="P745" s="87"/>
      <c r="Q745" s="87"/>
      <c r="R745" s="13"/>
      <c r="S745" s="13"/>
      <c r="T745" s="13"/>
      <c r="U745" s="13"/>
      <c r="V745" s="13"/>
      <c r="W745" s="13"/>
      <c r="X745" s="13"/>
      <c r="Y745" s="13"/>
      <c r="Z745" s="13"/>
    </row>
    <row r="746" spans="1:26" ht="15.75" customHeight="1">
      <c r="A746" s="39"/>
      <c r="B746" s="39"/>
      <c r="C746" s="306"/>
      <c r="D746" s="87"/>
      <c r="E746" s="87"/>
      <c r="F746" s="87"/>
      <c r="G746" s="87"/>
      <c r="H746" s="87"/>
      <c r="I746" s="87"/>
      <c r="J746" s="87"/>
      <c r="K746" s="87"/>
      <c r="L746" s="87"/>
      <c r="M746" s="87"/>
      <c r="N746" s="87"/>
      <c r="O746" s="87"/>
      <c r="P746" s="87"/>
      <c r="Q746" s="87"/>
      <c r="R746" s="13"/>
      <c r="S746" s="13"/>
      <c r="T746" s="13"/>
      <c r="U746" s="13"/>
      <c r="V746" s="13"/>
      <c r="W746" s="13"/>
      <c r="X746" s="13"/>
      <c r="Y746" s="13"/>
      <c r="Z746" s="13"/>
    </row>
    <row r="747" spans="1:26" ht="15.75" customHeight="1">
      <c r="A747" s="39"/>
      <c r="B747" s="39"/>
      <c r="C747" s="306"/>
      <c r="D747" s="87"/>
      <c r="E747" s="87"/>
      <c r="F747" s="87"/>
      <c r="G747" s="87"/>
      <c r="H747" s="87"/>
      <c r="I747" s="87"/>
      <c r="J747" s="87"/>
      <c r="K747" s="87"/>
      <c r="L747" s="87"/>
      <c r="M747" s="87"/>
      <c r="N747" s="87"/>
      <c r="O747" s="87"/>
      <c r="P747" s="87"/>
      <c r="Q747" s="87"/>
      <c r="R747" s="13"/>
      <c r="S747" s="13"/>
      <c r="T747" s="13"/>
      <c r="U747" s="13"/>
      <c r="V747" s="13"/>
      <c r="W747" s="13"/>
      <c r="X747" s="13"/>
      <c r="Y747" s="13"/>
      <c r="Z747" s="13"/>
    </row>
    <row r="748" spans="1:26" ht="15.75" customHeight="1">
      <c r="A748" s="39"/>
      <c r="B748" s="39"/>
      <c r="C748" s="306"/>
      <c r="D748" s="87"/>
      <c r="E748" s="87"/>
      <c r="F748" s="87"/>
      <c r="G748" s="87"/>
      <c r="H748" s="87"/>
      <c r="I748" s="87"/>
      <c r="J748" s="87"/>
      <c r="K748" s="87"/>
      <c r="L748" s="87"/>
      <c r="M748" s="87"/>
      <c r="N748" s="87"/>
      <c r="O748" s="87"/>
      <c r="P748" s="87"/>
      <c r="Q748" s="87"/>
      <c r="R748" s="13"/>
      <c r="S748" s="13"/>
      <c r="T748" s="13"/>
      <c r="U748" s="13"/>
      <c r="V748" s="13"/>
      <c r="W748" s="13"/>
      <c r="X748" s="13"/>
      <c r="Y748" s="13"/>
      <c r="Z748" s="13"/>
    </row>
    <row r="749" spans="1:26" ht="15.75" customHeight="1">
      <c r="A749" s="39"/>
      <c r="B749" s="39"/>
      <c r="C749" s="306"/>
      <c r="D749" s="87"/>
      <c r="E749" s="87"/>
      <c r="F749" s="87"/>
      <c r="G749" s="87"/>
      <c r="H749" s="87"/>
      <c r="I749" s="87"/>
      <c r="J749" s="87"/>
      <c r="K749" s="87"/>
      <c r="L749" s="87"/>
      <c r="M749" s="87"/>
      <c r="N749" s="87"/>
      <c r="O749" s="87"/>
      <c r="P749" s="87"/>
      <c r="Q749" s="87"/>
      <c r="R749" s="13"/>
      <c r="S749" s="13"/>
      <c r="T749" s="13"/>
      <c r="U749" s="13"/>
      <c r="V749" s="13"/>
      <c r="W749" s="13"/>
      <c r="X749" s="13"/>
      <c r="Y749" s="13"/>
      <c r="Z749" s="13"/>
    </row>
    <row r="750" spans="1:26" ht="15.75" customHeight="1">
      <c r="A750" s="39"/>
      <c r="B750" s="39"/>
      <c r="C750" s="306"/>
      <c r="D750" s="87"/>
      <c r="E750" s="87"/>
      <c r="F750" s="87"/>
      <c r="G750" s="87"/>
      <c r="H750" s="87"/>
      <c r="I750" s="87"/>
      <c r="J750" s="87"/>
      <c r="K750" s="87"/>
      <c r="L750" s="87"/>
      <c r="M750" s="87"/>
      <c r="N750" s="87"/>
      <c r="O750" s="87"/>
      <c r="P750" s="87"/>
      <c r="Q750" s="87"/>
      <c r="R750" s="13"/>
      <c r="S750" s="13"/>
      <c r="T750" s="13"/>
      <c r="U750" s="13"/>
      <c r="V750" s="13"/>
      <c r="W750" s="13"/>
      <c r="X750" s="13"/>
      <c r="Y750" s="13"/>
      <c r="Z750" s="13"/>
    </row>
    <row r="751" spans="1:26" ht="15.75" customHeight="1">
      <c r="A751" s="39"/>
      <c r="B751" s="39"/>
      <c r="C751" s="306"/>
      <c r="D751" s="87"/>
      <c r="E751" s="87"/>
      <c r="F751" s="87"/>
      <c r="G751" s="87"/>
      <c r="H751" s="87"/>
      <c r="I751" s="87"/>
      <c r="J751" s="87"/>
      <c r="K751" s="87"/>
      <c r="L751" s="87"/>
      <c r="M751" s="87"/>
      <c r="N751" s="87"/>
      <c r="O751" s="87"/>
      <c r="P751" s="87"/>
      <c r="Q751" s="87"/>
      <c r="R751" s="13"/>
      <c r="S751" s="13"/>
      <c r="T751" s="13"/>
      <c r="U751" s="13"/>
      <c r="V751" s="13"/>
      <c r="W751" s="13"/>
      <c r="X751" s="13"/>
      <c r="Y751" s="13"/>
      <c r="Z751" s="13"/>
    </row>
    <row r="752" spans="1:26" ht="15.75" customHeight="1">
      <c r="A752" s="39"/>
      <c r="B752" s="39"/>
      <c r="C752" s="306"/>
      <c r="D752" s="87"/>
      <c r="E752" s="87"/>
      <c r="F752" s="87"/>
      <c r="G752" s="87"/>
      <c r="H752" s="87"/>
      <c r="I752" s="87"/>
      <c r="J752" s="87"/>
      <c r="K752" s="87"/>
      <c r="L752" s="87"/>
      <c r="M752" s="87"/>
      <c r="N752" s="87"/>
      <c r="O752" s="87"/>
      <c r="P752" s="87"/>
      <c r="Q752" s="87"/>
      <c r="R752" s="13"/>
      <c r="S752" s="13"/>
      <c r="T752" s="13"/>
      <c r="U752" s="13"/>
      <c r="V752" s="13"/>
      <c r="W752" s="13"/>
      <c r="X752" s="13"/>
      <c r="Y752" s="13"/>
      <c r="Z752" s="13"/>
    </row>
    <row r="753" spans="1:26" ht="15.75" customHeight="1">
      <c r="A753" s="39"/>
      <c r="B753" s="39"/>
      <c r="C753" s="306"/>
      <c r="D753" s="87"/>
      <c r="E753" s="87"/>
      <c r="F753" s="87"/>
      <c r="G753" s="87"/>
      <c r="H753" s="87"/>
      <c r="I753" s="87"/>
      <c r="J753" s="87"/>
      <c r="K753" s="87"/>
      <c r="L753" s="87"/>
      <c r="M753" s="87"/>
      <c r="N753" s="87"/>
      <c r="O753" s="87"/>
      <c r="P753" s="87"/>
      <c r="Q753" s="87"/>
      <c r="R753" s="13"/>
      <c r="S753" s="13"/>
      <c r="T753" s="13"/>
      <c r="U753" s="13"/>
      <c r="V753" s="13"/>
      <c r="W753" s="13"/>
      <c r="X753" s="13"/>
      <c r="Y753" s="13"/>
      <c r="Z753" s="13"/>
    </row>
    <row r="754" spans="1:26" ht="15.75" customHeight="1">
      <c r="A754" s="39"/>
      <c r="B754" s="39"/>
      <c r="C754" s="306"/>
      <c r="D754" s="87"/>
      <c r="E754" s="87"/>
      <c r="F754" s="87"/>
      <c r="G754" s="87"/>
      <c r="H754" s="87"/>
      <c r="I754" s="87"/>
      <c r="J754" s="87"/>
      <c r="K754" s="87"/>
      <c r="L754" s="87"/>
      <c r="M754" s="87"/>
      <c r="N754" s="87"/>
      <c r="O754" s="87"/>
      <c r="P754" s="87"/>
      <c r="Q754" s="87"/>
      <c r="R754" s="13"/>
      <c r="S754" s="13"/>
      <c r="T754" s="13"/>
      <c r="U754" s="13"/>
      <c r="V754" s="13"/>
      <c r="W754" s="13"/>
      <c r="X754" s="13"/>
      <c r="Y754" s="13"/>
      <c r="Z754" s="13"/>
    </row>
    <row r="755" spans="1:26" ht="15.75" customHeight="1">
      <c r="A755" s="39"/>
      <c r="B755" s="39"/>
      <c r="C755" s="306"/>
      <c r="D755" s="87"/>
      <c r="E755" s="87"/>
      <c r="F755" s="87"/>
      <c r="G755" s="87"/>
      <c r="H755" s="87"/>
      <c r="I755" s="87"/>
      <c r="J755" s="87"/>
      <c r="K755" s="87"/>
      <c r="L755" s="87"/>
      <c r="M755" s="87"/>
      <c r="N755" s="87"/>
      <c r="O755" s="87"/>
      <c r="P755" s="87"/>
      <c r="Q755" s="87"/>
      <c r="R755" s="13"/>
      <c r="S755" s="13"/>
      <c r="T755" s="13"/>
      <c r="U755" s="13"/>
      <c r="V755" s="13"/>
      <c r="W755" s="13"/>
      <c r="X755" s="13"/>
      <c r="Y755" s="13"/>
      <c r="Z755" s="13"/>
    </row>
    <row r="756" spans="1:26" ht="15.75" customHeight="1">
      <c r="A756" s="39"/>
      <c r="B756" s="39"/>
      <c r="C756" s="306"/>
      <c r="D756" s="87"/>
      <c r="E756" s="87"/>
      <c r="F756" s="87"/>
      <c r="G756" s="87"/>
      <c r="H756" s="87"/>
      <c r="I756" s="87"/>
      <c r="J756" s="87"/>
      <c r="K756" s="87"/>
      <c r="L756" s="87"/>
      <c r="M756" s="87"/>
      <c r="N756" s="87"/>
      <c r="O756" s="87"/>
      <c r="P756" s="87"/>
      <c r="Q756" s="87"/>
      <c r="R756" s="13"/>
      <c r="S756" s="13"/>
      <c r="T756" s="13"/>
      <c r="U756" s="13"/>
      <c r="V756" s="13"/>
      <c r="W756" s="13"/>
      <c r="X756" s="13"/>
      <c r="Y756" s="13"/>
      <c r="Z756" s="13"/>
    </row>
    <row r="757" spans="1:26" ht="15.75" customHeight="1">
      <c r="A757" s="39"/>
      <c r="B757" s="39"/>
      <c r="C757" s="306"/>
      <c r="D757" s="87"/>
      <c r="E757" s="87"/>
      <c r="F757" s="87"/>
      <c r="G757" s="87"/>
      <c r="H757" s="87"/>
      <c r="I757" s="87"/>
      <c r="J757" s="87"/>
      <c r="K757" s="87"/>
      <c r="L757" s="87"/>
      <c r="M757" s="87"/>
      <c r="N757" s="87"/>
      <c r="O757" s="87"/>
      <c r="P757" s="87"/>
      <c r="Q757" s="87"/>
      <c r="R757" s="13"/>
      <c r="S757" s="13"/>
      <c r="T757" s="13"/>
      <c r="U757" s="13"/>
      <c r="V757" s="13"/>
      <c r="W757" s="13"/>
      <c r="X757" s="13"/>
      <c r="Y757" s="13"/>
      <c r="Z757" s="13"/>
    </row>
    <row r="758" spans="1:26" ht="15.75" customHeight="1">
      <c r="A758" s="39"/>
      <c r="B758" s="39"/>
      <c r="C758" s="306"/>
      <c r="D758" s="87"/>
      <c r="E758" s="87"/>
      <c r="F758" s="87"/>
      <c r="G758" s="87"/>
      <c r="H758" s="87"/>
      <c r="I758" s="87"/>
      <c r="J758" s="87"/>
      <c r="K758" s="87"/>
      <c r="L758" s="87"/>
      <c r="M758" s="87"/>
      <c r="N758" s="87"/>
      <c r="O758" s="87"/>
      <c r="P758" s="87"/>
      <c r="Q758" s="87"/>
      <c r="R758" s="13"/>
      <c r="S758" s="13"/>
      <c r="T758" s="13"/>
      <c r="U758" s="13"/>
      <c r="V758" s="13"/>
      <c r="W758" s="13"/>
      <c r="X758" s="13"/>
      <c r="Y758" s="13"/>
      <c r="Z758" s="13"/>
    </row>
    <row r="759" spans="1:26" ht="15.75" customHeight="1">
      <c r="A759" s="39"/>
      <c r="B759" s="39"/>
      <c r="C759" s="306"/>
      <c r="D759" s="87"/>
      <c r="E759" s="87"/>
      <c r="F759" s="87"/>
      <c r="G759" s="87"/>
      <c r="H759" s="87"/>
      <c r="I759" s="87"/>
      <c r="J759" s="87"/>
      <c r="K759" s="87"/>
      <c r="L759" s="87"/>
      <c r="M759" s="87"/>
      <c r="N759" s="87"/>
      <c r="O759" s="87"/>
      <c r="P759" s="87"/>
      <c r="Q759" s="87"/>
      <c r="R759" s="13"/>
      <c r="S759" s="13"/>
      <c r="T759" s="13"/>
      <c r="U759" s="13"/>
      <c r="V759" s="13"/>
      <c r="W759" s="13"/>
      <c r="X759" s="13"/>
      <c r="Y759" s="13"/>
      <c r="Z759" s="13"/>
    </row>
    <row r="760" spans="1:26" ht="15.75" customHeight="1">
      <c r="A760" s="39"/>
      <c r="B760" s="39"/>
      <c r="C760" s="306"/>
      <c r="D760" s="87"/>
      <c r="E760" s="87"/>
      <c r="F760" s="87"/>
      <c r="G760" s="87"/>
      <c r="H760" s="87"/>
      <c r="I760" s="87"/>
      <c r="J760" s="87"/>
      <c r="K760" s="87"/>
      <c r="L760" s="87"/>
      <c r="M760" s="87"/>
      <c r="N760" s="87"/>
      <c r="O760" s="87"/>
      <c r="P760" s="87"/>
      <c r="Q760" s="87"/>
      <c r="R760" s="13"/>
      <c r="S760" s="13"/>
      <c r="T760" s="13"/>
      <c r="U760" s="13"/>
      <c r="V760" s="13"/>
      <c r="W760" s="13"/>
      <c r="X760" s="13"/>
      <c r="Y760" s="13"/>
      <c r="Z760" s="13"/>
    </row>
    <row r="761" spans="1:26" ht="15.75" customHeight="1">
      <c r="A761" s="39"/>
      <c r="B761" s="39"/>
      <c r="C761" s="306"/>
      <c r="D761" s="87"/>
      <c r="E761" s="87"/>
      <c r="F761" s="87"/>
      <c r="G761" s="87"/>
      <c r="H761" s="87"/>
      <c r="I761" s="87"/>
      <c r="J761" s="87"/>
      <c r="K761" s="87"/>
      <c r="L761" s="87"/>
      <c r="M761" s="87"/>
      <c r="N761" s="87"/>
      <c r="O761" s="87"/>
      <c r="P761" s="87"/>
      <c r="Q761" s="87"/>
      <c r="R761" s="13"/>
      <c r="S761" s="13"/>
      <c r="T761" s="13"/>
      <c r="U761" s="13"/>
      <c r="V761" s="13"/>
      <c r="W761" s="13"/>
      <c r="X761" s="13"/>
      <c r="Y761" s="13"/>
      <c r="Z761" s="13"/>
    </row>
    <row r="762" spans="1:26" ht="15.75" customHeight="1">
      <c r="A762" s="39"/>
      <c r="B762" s="39"/>
      <c r="C762" s="306"/>
      <c r="D762" s="87"/>
      <c r="E762" s="87"/>
      <c r="F762" s="87"/>
      <c r="G762" s="87"/>
      <c r="H762" s="87"/>
      <c r="I762" s="87"/>
      <c r="J762" s="87"/>
      <c r="K762" s="87"/>
      <c r="L762" s="87"/>
      <c r="M762" s="87"/>
      <c r="N762" s="87"/>
      <c r="O762" s="87"/>
      <c r="P762" s="87"/>
      <c r="Q762" s="87"/>
      <c r="R762" s="13"/>
      <c r="S762" s="13"/>
      <c r="T762" s="13"/>
      <c r="U762" s="13"/>
      <c r="V762" s="13"/>
      <c r="W762" s="13"/>
      <c r="X762" s="13"/>
      <c r="Y762" s="13"/>
      <c r="Z762" s="13"/>
    </row>
    <row r="763" spans="1:26" ht="15.75" customHeight="1">
      <c r="A763" s="39"/>
      <c r="B763" s="39"/>
      <c r="C763" s="306"/>
      <c r="D763" s="87"/>
      <c r="E763" s="87"/>
      <c r="F763" s="87"/>
      <c r="G763" s="87"/>
      <c r="H763" s="87"/>
      <c r="I763" s="87"/>
      <c r="J763" s="87"/>
      <c r="K763" s="87"/>
      <c r="L763" s="87"/>
      <c r="M763" s="87"/>
      <c r="N763" s="87"/>
      <c r="O763" s="87"/>
      <c r="P763" s="87"/>
      <c r="Q763" s="87"/>
      <c r="R763" s="13"/>
      <c r="S763" s="13"/>
      <c r="T763" s="13"/>
      <c r="U763" s="13"/>
      <c r="V763" s="13"/>
      <c r="W763" s="13"/>
      <c r="X763" s="13"/>
      <c r="Y763" s="13"/>
      <c r="Z763" s="13"/>
    </row>
    <row r="764" spans="1:26" ht="15.75" customHeight="1">
      <c r="A764" s="39"/>
      <c r="B764" s="39"/>
      <c r="C764" s="306"/>
      <c r="D764" s="87"/>
      <c r="E764" s="87"/>
      <c r="F764" s="87"/>
      <c r="G764" s="87"/>
      <c r="H764" s="87"/>
      <c r="I764" s="87"/>
      <c r="J764" s="87"/>
      <c r="K764" s="87"/>
      <c r="L764" s="87"/>
      <c r="M764" s="87"/>
      <c r="N764" s="87"/>
      <c r="O764" s="87"/>
      <c r="P764" s="87"/>
      <c r="Q764" s="87"/>
      <c r="R764" s="13"/>
      <c r="S764" s="13"/>
      <c r="T764" s="13"/>
      <c r="U764" s="13"/>
      <c r="V764" s="13"/>
      <c r="W764" s="13"/>
      <c r="X764" s="13"/>
      <c r="Y764" s="13"/>
      <c r="Z764" s="13"/>
    </row>
    <row r="765" spans="1:26" ht="15.75" customHeight="1">
      <c r="A765" s="39"/>
      <c r="B765" s="39"/>
      <c r="C765" s="306"/>
      <c r="D765" s="87"/>
      <c r="E765" s="87"/>
      <c r="F765" s="87"/>
      <c r="G765" s="87"/>
      <c r="H765" s="87"/>
      <c r="I765" s="87"/>
      <c r="J765" s="87"/>
      <c r="K765" s="87"/>
      <c r="L765" s="87"/>
      <c r="M765" s="87"/>
      <c r="N765" s="87"/>
      <c r="O765" s="87"/>
      <c r="P765" s="87"/>
      <c r="Q765" s="87"/>
      <c r="R765" s="13"/>
      <c r="S765" s="13"/>
      <c r="T765" s="13"/>
      <c r="U765" s="13"/>
      <c r="V765" s="13"/>
      <c r="W765" s="13"/>
      <c r="X765" s="13"/>
      <c r="Y765" s="13"/>
      <c r="Z765" s="13"/>
    </row>
    <row r="766" spans="1:26" ht="15.75" customHeight="1">
      <c r="A766" s="39"/>
      <c r="B766" s="39"/>
      <c r="C766" s="306"/>
      <c r="D766" s="87"/>
      <c r="E766" s="87"/>
      <c r="F766" s="87"/>
      <c r="G766" s="87"/>
      <c r="H766" s="87"/>
      <c r="I766" s="87"/>
      <c r="J766" s="87"/>
      <c r="K766" s="87"/>
      <c r="L766" s="87"/>
      <c r="M766" s="87"/>
      <c r="N766" s="87"/>
      <c r="O766" s="87"/>
      <c r="P766" s="87"/>
      <c r="Q766" s="87"/>
      <c r="R766" s="13"/>
      <c r="S766" s="13"/>
      <c r="T766" s="13"/>
      <c r="U766" s="13"/>
      <c r="V766" s="13"/>
      <c r="W766" s="13"/>
      <c r="X766" s="13"/>
      <c r="Y766" s="13"/>
      <c r="Z766" s="13"/>
    </row>
    <row r="767" spans="1:26" ht="15.75" customHeight="1">
      <c r="A767" s="39"/>
      <c r="B767" s="39"/>
      <c r="C767" s="306"/>
      <c r="D767" s="87"/>
      <c r="E767" s="87"/>
      <c r="F767" s="87"/>
      <c r="G767" s="87"/>
      <c r="H767" s="87"/>
      <c r="I767" s="87"/>
      <c r="J767" s="87"/>
      <c r="K767" s="87"/>
      <c r="L767" s="87"/>
      <c r="M767" s="87"/>
      <c r="N767" s="87"/>
      <c r="O767" s="87"/>
      <c r="P767" s="87"/>
      <c r="Q767" s="87"/>
      <c r="R767" s="13"/>
      <c r="S767" s="13"/>
      <c r="T767" s="13"/>
      <c r="U767" s="13"/>
      <c r="V767" s="13"/>
      <c r="W767" s="13"/>
      <c r="X767" s="13"/>
      <c r="Y767" s="13"/>
      <c r="Z767" s="13"/>
    </row>
    <row r="768" spans="1:26" ht="15.75" customHeight="1">
      <c r="A768" s="39"/>
      <c r="B768" s="39"/>
      <c r="C768" s="306"/>
      <c r="D768" s="87"/>
      <c r="E768" s="87"/>
      <c r="F768" s="87"/>
      <c r="G768" s="87"/>
      <c r="H768" s="87"/>
      <c r="I768" s="87"/>
      <c r="J768" s="87"/>
      <c r="K768" s="87"/>
      <c r="L768" s="87"/>
      <c r="M768" s="87"/>
      <c r="N768" s="87"/>
      <c r="O768" s="87"/>
      <c r="P768" s="87"/>
      <c r="Q768" s="87"/>
      <c r="R768" s="13"/>
      <c r="S768" s="13"/>
      <c r="T768" s="13"/>
      <c r="U768" s="13"/>
      <c r="V768" s="13"/>
      <c r="W768" s="13"/>
      <c r="X768" s="13"/>
      <c r="Y768" s="13"/>
      <c r="Z768" s="13"/>
    </row>
    <row r="769" spans="1:26" ht="15.75" customHeight="1">
      <c r="A769" s="39"/>
      <c r="B769" s="39"/>
      <c r="C769" s="306"/>
      <c r="D769" s="87"/>
      <c r="E769" s="87"/>
      <c r="F769" s="87"/>
      <c r="G769" s="87"/>
      <c r="H769" s="87"/>
      <c r="I769" s="87"/>
      <c r="J769" s="87"/>
      <c r="K769" s="87"/>
      <c r="L769" s="87"/>
      <c r="M769" s="87"/>
      <c r="N769" s="87"/>
      <c r="O769" s="87"/>
      <c r="P769" s="87"/>
      <c r="Q769" s="87"/>
      <c r="R769" s="13"/>
      <c r="S769" s="13"/>
      <c r="T769" s="13"/>
      <c r="U769" s="13"/>
      <c r="V769" s="13"/>
      <c r="W769" s="13"/>
      <c r="X769" s="13"/>
      <c r="Y769" s="13"/>
      <c r="Z769" s="13"/>
    </row>
    <row r="770" spans="1:26" ht="15.75" customHeight="1">
      <c r="A770" s="39"/>
      <c r="B770" s="39"/>
      <c r="C770" s="306"/>
      <c r="D770" s="87"/>
      <c r="E770" s="87"/>
      <c r="F770" s="87"/>
      <c r="G770" s="87"/>
      <c r="H770" s="87"/>
      <c r="I770" s="87"/>
      <c r="J770" s="87"/>
      <c r="K770" s="87"/>
      <c r="L770" s="87"/>
      <c r="M770" s="87"/>
      <c r="N770" s="87"/>
      <c r="O770" s="87"/>
      <c r="P770" s="87"/>
      <c r="Q770" s="87"/>
      <c r="R770" s="13"/>
      <c r="S770" s="13"/>
      <c r="T770" s="13"/>
      <c r="U770" s="13"/>
      <c r="V770" s="13"/>
      <c r="W770" s="13"/>
      <c r="X770" s="13"/>
      <c r="Y770" s="13"/>
      <c r="Z770" s="13"/>
    </row>
    <row r="771" spans="1:26" ht="15.75" customHeight="1">
      <c r="A771" s="39"/>
      <c r="B771" s="39"/>
      <c r="C771" s="306"/>
      <c r="D771" s="87"/>
      <c r="E771" s="87"/>
      <c r="F771" s="87"/>
      <c r="G771" s="87"/>
      <c r="H771" s="87"/>
      <c r="I771" s="87"/>
      <c r="J771" s="87"/>
      <c r="K771" s="87"/>
      <c r="L771" s="87"/>
      <c r="M771" s="87"/>
      <c r="N771" s="87"/>
      <c r="O771" s="87"/>
      <c r="P771" s="87"/>
      <c r="Q771" s="87"/>
      <c r="R771" s="13"/>
      <c r="S771" s="13"/>
      <c r="T771" s="13"/>
      <c r="U771" s="13"/>
      <c r="V771" s="13"/>
      <c r="W771" s="13"/>
      <c r="X771" s="13"/>
      <c r="Y771" s="13"/>
      <c r="Z771" s="13"/>
    </row>
    <row r="772" spans="1:26" ht="15.75" customHeight="1">
      <c r="A772" s="39"/>
      <c r="B772" s="39"/>
      <c r="C772" s="306"/>
      <c r="D772" s="87"/>
      <c r="E772" s="87"/>
      <c r="F772" s="87"/>
      <c r="G772" s="87"/>
      <c r="H772" s="87"/>
      <c r="I772" s="87"/>
      <c r="J772" s="87"/>
      <c r="K772" s="87"/>
      <c r="L772" s="87"/>
      <c r="M772" s="87"/>
      <c r="N772" s="87"/>
      <c r="O772" s="87"/>
      <c r="P772" s="87"/>
      <c r="Q772" s="87"/>
      <c r="R772" s="13"/>
      <c r="S772" s="13"/>
      <c r="T772" s="13"/>
      <c r="U772" s="13"/>
      <c r="V772" s="13"/>
      <c r="W772" s="13"/>
      <c r="X772" s="13"/>
      <c r="Y772" s="13"/>
      <c r="Z772" s="13"/>
    </row>
    <row r="773" spans="1:26" ht="15.75" customHeight="1">
      <c r="A773" s="39"/>
      <c r="B773" s="39"/>
      <c r="C773" s="306"/>
      <c r="D773" s="87"/>
      <c r="E773" s="87"/>
      <c r="F773" s="87"/>
      <c r="G773" s="87"/>
      <c r="H773" s="87"/>
      <c r="I773" s="87"/>
      <c r="J773" s="87"/>
      <c r="K773" s="87"/>
      <c r="L773" s="87"/>
      <c r="M773" s="87"/>
      <c r="N773" s="87"/>
      <c r="O773" s="87"/>
      <c r="P773" s="87"/>
      <c r="Q773" s="87"/>
      <c r="R773" s="13"/>
      <c r="S773" s="13"/>
      <c r="T773" s="13"/>
      <c r="U773" s="13"/>
      <c r="V773" s="13"/>
      <c r="W773" s="13"/>
      <c r="X773" s="13"/>
      <c r="Y773" s="13"/>
      <c r="Z773" s="13"/>
    </row>
    <row r="774" spans="1:26" ht="15.75" customHeight="1">
      <c r="A774" s="39"/>
      <c r="B774" s="39"/>
      <c r="C774" s="306"/>
      <c r="D774" s="87"/>
      <c r="E774" s="87"/>
      <c r="F774" s="87"/>
      <c r="G774" s="87"/>
      <c r="H774" s="87"/>
      <c r="I774" s="87"/>
      <c r="J774" s="87"/>
      <c r="K774" s="87"/>
      <c r="L774" s="87"/>
      <c r="M774" s="87"/>
      <c r="N774" s="87"/>
      <c r="O774" s="87"/>
      <c r="P774" s="87"/>
      <c r="Q774" s="87"/>
      <c r="R774" s="13"/>
      <c r="S774" s="13"/>
      <c r="T774" s="13"/>
      <c r="U774" s="13"/>
      <c r="V774" s="13"/>
      <c r="W774" s="13"/>
      <c r="X774" s="13"/>
      <c r="Y774" s="13"/>
      <c r="Z774" s="13"/>
    </row>
    <row r="775" spans="1:26" ht="15.75" customHeight="1">
      <c r="A775" s="39"/>
      <c r="B775" s="39"/>
      <c r="C775" s="306"/>
      <c r="D775" s="87"/>
      <c r="E775" s="87"/>
      <c r="F775" s="87"/>
      <c r="G775" s="87"/>
      <c r="H775" s="87"/>
      <c r="I775" s="87"/>
      <c r="J775" s="87"/>
      <c r="K775" s="87"/>
      <c r="L775" s="87"/>
      <c r="M775" s="87"/>
      <c r="N775" s="87"/>
      <c r="O775" s="87"/>
      <c r="P775" s="87"/>
      <c r="Q775" s="87"/>
      <c r="R775" s="13"/>
      <c r="S775" s="13"/>
      <c r="T775" s="13"/>
      <c r="U775" s="13"/>
      <c r="V775" s="13"/>
      <c r="W775" s="13"/>
      <c r="X775" s="13"/>
      <c r="Y775" s="13"/>
      <c r="Z775" s="13"/>
    </row>
    <row r="776" spans="1:26" ht="15.75" customHeight="1">
      <c r="A776" s="39"/>
      <c r="B776" s="39"/>
      <c r="C776" s="306"/>
      <c r="D776" s="87"/>
      <c r="E776" s="87"/>
      <c r="F776" s="87"/>
      <c r="G776" s="87"/>
      <c r="H776" s="87"/>
      <c r="I776" s="87"/>
      <c r="J776" s="87"/>
      <c r="K776" s="87"/>
      <c r="L776" s="87"/>
      <c r="M776" s="87"/>
      <c r="N776" s="87"/>
      <c r="O776" s="87"/>
      <c r="P776" s="87"/>
      <c r="Q776" s="87"/>
      <c r="R776" s="13"/>
      <c r="S776" s="13"/>
      <c r="T776" s="13"/>
      <c r="U776" s="13"/>
      <c r="V776" s="13"/>
      <c r="W776" s="13"/>
      <c r="X776" s="13"/>
      <c r="Y776" s="13"/>
      <c r="Z776" s="13"/>
    </row>
    <row r="777" spans="1:26" ht="15.75" customHeight="1">
      <c r="A777" s="39"/>
      <c r="B777" s="39"/>
      <c r="C777" s="306"/>
      <c r="D777" s="87"/>
      <c r="E777" s="87"/>
      <c r="F777" s="87"/>
      <c r="G777" s="87"/>
      <c r="H777" s="87"/>
      <c r="I777" s="87"/>
      <c r="J777" s="87"/>
      <c r="K777" s="87"/>
      <c r="L777" s="87"/>
      <c r="M777" s="87"/>
      <c r="N777" s="87"/>
      <c r="O777" s="87"/>
      <c r="P777" s="87"/>
      <c r="Q777" s="87"/>
      <c r="R777" s="13"/>
      <c r="S777" s="13"/>
      <c r="T777" s="13"/>
      <c r="U777" s="13"/>
      <c r="V777" s="13"/>
      <c r="W777" s="13"/>
      <c r="X777" s="13"/>
      <c r="Y777" s="13"/>
      <c r="Z777" s="13"/>
    </row>
    <row r="778" spans="1:26" ht="15.75" customHeight="1">
      <c r="A778" s="39"/>
      <c r="B778" s="39"/>
      <c r="C778" s="306"/>
      <c r="D778" s="87"/>
      <c r="E778" s="87"/>
      <c r="F778" s="87"/>
      <c r="G778" s="87"/>
      <c r="H778" s="87"/>
      <c r="I778" s="87"/>
      <c r="J778" s="87"/>
      <c r="K778" s="87"/>
      <c r="L778" s="87"/>
      <c r="M778" s="87"/>
      <c r="N778" s="87"/>
      <c r="O778" s="87"/>
      <c r="P778" s="87"/>
      <c r="Q778" s="87"/>
      <c r="R778" s="13"/>
      <c r="S778" s="13"/>
      <c r="T778" s="13"/>
      <c r="U778" s="13"/>
      <c r="V778" s="13"/>
      <c r="W778" s="13"/>
      <c r="X778" s="13"/>
      <c r="Y778" s="13"/>
      <c r="Z778" s="13"/>
    </row>
    <row r="779" spans="1:26" ht="15.75" customHeight="1">
      <c r="A779" s="39"/>
      <c r="B779" s="39"/>
      <c r="C779" s="306"/>
      <c r="D779" s="87"/>
      <c r="E779" s="87"/>
      <c r="F779" s="87"/>
      <c r="G779" s="87"/>
      <c r="H779" s="87"/>
      <c r="I779" s="87"/>
      <c r="J779" s="87"/>
      <c r="K779" s="87"/>
      <c r="L779" s="87"/>
      <c r="M779" s="87"/>
      <c r="N779" s="87"/>
      <c r="O779" s="87"/>
      <c r="P779" s="87"/>
      <c r="Q779" s="87"/>
      <c r="R779" s="13"/>
      <c r="S779" s="13"/>
      <c r="T779" s="13"/>
      <c r="U779" s="13"/>
      <c r="V779" s="13"/>
      <c r="W779" s="13"/>
      <c r="X779" s="13"/>
      <c r="Y779" s="13"/>
      <c r="Z779" s="13"/>
    </row>
    <row r="780" spans="1:26" ht="15.75" customHeight="1">
      <c r="A780" s="39"/>
      <c r="B780" s="39"/>
      <c r="C780" s="306"/>
      <c r="D780" s="87"/>
      <c r="E780" s="87"/>
      <c r="F780" s="87"/>
      <c r="G780" s="87"/>
      <c r="H780" s="87"/>
      <c r="I780" s="87"/>
      <c r="J780" s="87"/>
      <c r="K780" s="87"/>
      <c r="L780" s="87"/>
      <c r="M780" s="87"/>
      <c r="N780" s="87"/>
      <c r="O780" s="87"/>
      <c r="P780" s="87"/>
      <c r="Q780" s="87"/>
      <c r="R780" s="13"/>
      <c r="S780" s="13"/>
      <c r="T780" s="13"/>
      <c r="U780" s="13"/>
      <c r="V780" s="13"/>
      <c r="W780" s="13"/>
      <c r="X780" s="13"/>
      <c r="Y780" s="13"/>
      <c r="Z780" s="13"/>
    </row>
    <row r="781" spans="1:26" ht="15.75" customHeight="1">
      <c r="A781" s="39"/>
      <c r="B781" s="39"/>
      <c r="C781" s="306"/>
      <c r="D781" s="87"/>
      <c r="E781" s="87"/>
      <c r="F781" s="87"/>
      <c r="G781" s="87"/>
      <c r="H781" s="87"/>
      <c r="I781" s="87"/>
      <c r="J781" s="87"/>
      <c r="K781" s="87"/>
      <c r="L781" s="87"/>
      <c r="M781" s="87"/>
      <c r="N781" s="87"/>
      <c r="O781" s="87"/>
      <c r="P781" s="87"/>
      <c r="Q781" s="87"/>
      <c r="R781" s="13"/>
      <c r="S781" s="13"/>
      <c r="T781" s="13"/>
      <c r="U781" s="13"/>
      <c r="V781" s="13"/>
      <c r="W781" s="13"/>
      <c r="X781" s="13"/>
      <c r="Y781" s="13"/>
      <c r="Z781" s="13"/>
    </row>
    <row r="782" spans="1:26" ht="15.75" customHeight="1">
      <c r="A782" s="39"/>
      <c r="B782" s="39"/>
      <c r="C782" s="306"/>
      <c r="D782" s="87"/>
      <c r="E782" s="87"/>
      <c r="F782" s="87"/>
      <c r="G782" s="87"/>
      <c r="H782" s="87"/>
      <c r="I782" s="87"/>
      <c r="J782" s="87"/>
      <c r="K782" s="87"/>
      <c r="L782" s="87"/>
      <c r="M782" s="87"/>
      <c r="N782" s="87"/>
      <c r="O782" s="87"/>
      <c r="P782" s="87"/>
      <c r="Q782" s="87"/>
      <c r="R782" s="13"/>
      <c r="S782" s="13"/>
      <c r="T782" s="13"/>
      <c r="U782" s="13"/>
      <c r="V782" s="13"/>
      <c r="W782" s="13"/>
      <c r="X782" s="13"/>
      <c r="Y782" s="13"/>
      <c r="Z782" s="13"/>
    </row>
    <row r="783" spans="1:26" ht="15.75" customHeight="1">
      <c r="A783" s="39"/>
      <c r="B783" s="39"/>
      <c r="C783" s="306"/>
      <c r="D783" s="87"/>
      <c r="E783" s="87"/>
      <c r="F783" s="87"/>
      <c r="G783" s="87"/>
      <c r="H783" s="87"/>
      <c r="I783" s="87"/>
      <c r="J783" s="87"/>
      <c r="K783" s="87"/>
      <c r="L783" s="87"/>
      <c r="M783" s="87"/>
      <c r="N783" s="87"/>
      <c r="O783" s="87"/>
      <c r="P783" s="87"/>
      <c r="Q783" s="87"/>
      <c r="R783" s="13"/>
      <c r="S783" s="13"/>
      <c r="T783" s="13"/>
      <c r="U783" s="13"/>
      <c r="V783" s="13"/>
      <c r="W783" s="13"/>
      <c r="X783" s="13"/>
      <c r="Y783" s="13"/>
      <c r="Z783" s="13"/>
    </row>
    <row r="784" spans="1:26" ht="15.75" customHeight="1">
      <c r="A784" s="39"/>
      <c r="B784" s="39"/>
      <c r="C784" s="306"/>
      <c r="D784" s="87"/>
      <c r="E784" s="87"/>
      <c r="F784" s="87"/>
      <c r="G784" s="87"/>
      <c r="H784" s="87"/>
      <c r="I784" s="87"/>
      <c r="J784" s="87"/>
      <c r="K784" s="87"/>
      <c r="L784" s="87"/>
      <c r="M784" s="87"/>
      <c r="N784" s="87"/>
      <c r="O784" s="87"/>
      <c r="P784" s="87"/>
      <c r="Q784" s="87"/>
      <c r="R784" s="13"/>
      <c r="S784" s="13"/>
      <c r="T784" s="13"/>
      <c r="U784" s="13"/>
      <c r="V784" s="13"/>
      <c r="W784" s="13"/>
      <c r="X784" s="13"/>
      <c r="Y784" s="13"/>
      <c r="Z784" s="13"/>
    </row>
    <row r="785" spans="1:26" ht="15.75" customHeight="1">
      <c r="A785" s="39"/>
      <c r="B785" s="39"/>
      <c r="C785" s="306"/>
      <c r="D785" s="87"/>
      <c r="E785" s="87"/>
      <c r="F785" s="87"/>
      <c r="G785" s="87"/>
      <c r="H785" s="87"/>
      <c r="I785" s="87"/>
      <c r="J785" s="87"/>
      <c r="K785" s="87"/>
      <c r="L785" s="87"/>
      <c r="M785" s="87"/>
      <c r="N785" s="87"/>
      <c r="O785" s="87"/>
      <c r="P785" s="87"/>
      <c r="Q785" s="87"/>
      <c r="R785" s="13"/>
      <c r="S785" s="13"/>
      <c r="T785" s="13"/>
      <c r="U785" s="13"/>
      <c r="V785" s="13"/>
      <c r="W785" s="13"/>
      <c r="X785" s="13"/>
      <c r="Y785" s="13"/>
      <c r="Z785" s="13"/>
    </row>
    <row r="786" spans="1:26" ht="15.75" customHeight="1">
      <c r="A786" s="39"/>
      <c r="B786" s="39"/>
      <c r="C786" s="306"/>
      <c r="D786" s="87"/>
      <c r="E786" s="87"/>
      <c r="F786" s="87"/>
      <c r="G786" s="87"/>
      <c r="H786" s="87"/>
      <c r="I786" s="87"/>
      <c r="J786" s="87"/>
      <c r="K786" s="87"/>
      <c r="L786" s="87"/>
      <c r="M786" s="87"/>
      <c r="N786" s="87"/>
      <c r="O786" s="87"/>
      <c r="P786" s="87"/>
      <c r="Q786" s="87"/>
      <c r="R786" s="13"/>
      <c r="S786" s="13"/>
      <c r="T786" s="13"/>
      <c r="U786" s="13"/>
      <c r="V786" s="13"/>
      <c r="W786" s="13"/>
      <c r="X786" s="13"/>
      <c r="Y786" s="13"/>
      <c r="Z786" s="13"/>
    </row>
    <row r="787" spans="1:26" ht="15.75" customHeight="1">
      <c r="A787" s="39"/>
      <c r="B787" s="39"/>
      <c r="C787" s="306"/>
      <c r="D787" s="87"/>
      <c r="E787" s="87"/>
      <c r="F787" s="87"/>
      <c r="G787" s="87"/>
      <c r="H787" s="87"/>
      <c r="I787" s="87"/>
      <c r="J787" s="87"/>
      <c r="K787" s="87"/>
      <c r="L787" s="87"/>
      <c r="M787" s="87"/>
      <c r="N787" s="87"/>
      <c r="O787" s="87"/>
      <c r="P787" s="87"/>
      <c r="Q787" s="87"/>
      <c r="R787" s="13"/>
      <c r="S787" s="13"/>
      <c r="T787" s="13"/>
      <c r="U787" s="13"/>
      <c r="V787" s="13"/>
      <c r="W787" s="13"/>
      <c r="X787" s="13"/>
      <c r="Y787" s="13"/>
      <c r="Z787" s="13"/>
    </row>
    <row r="788" spans="1:26" ht="15.75" customHeight="1">
      <c r="A788" s="39"/>
      <c r="B788" s="39"/>
      <c r="C788" s="306"/>
      <c r="D788" s="87"/>
      <c r="E788" s="87"/>
      <c r="F788" s="87"/>
      <c r="G788" s="87"/>
      <c r="H788" s="87"/>
      <c r="I788" s="87"/>
      <c r="J788" s="87"/>
      <c r="K788" s="87"/>
      <c r="L788" s="87"/>
      <c r="M788" s="87"/>
      <c r="N788" s="87"/>
      <c r="O788" s="87"/>
      <c r="P788" s="87"/>
      <c r="Q788" s="87"/>
      <c r="R788" s="13"/>
      <c r="S788" s="13"/>
      <c r="T788" s="13"/>
      <c r="U788" s="13"/>
      <c r="V788" s="13"/>
      <c r="W788" s="13"/>
      <c r="X788" s="13"/>
      <c r="Y788" s="13"/>
      <c r="Z788" s="13"/>
    </row>
    <row r="789" spans="1:26" ht="15.75" customHeight="1">
      <c r="A789" s="39"/>
      <c r="B789" s="39"/>
      <c r="C789" s="306"/>
      <c r="D789" s="87"/>
      <c r="E789" s="87"/>
      <c r="F789" s="87"/>
      <c r="G789" s="87"/>
      <c r="H789" s="87"/>
      <c r="I789" s="87"/>
      <c r="J789" s="87"/>
      <c r="K789" s="87"/>
      <c r="L789" s="87"/>
      <c r="M789" s="87"/>
      <c r="N789" s="87"/>
      <c r="O789" s="87"/>
      <c r="P789" s="87"/>
      <c r="Q789" s="87"/>
      <c r="R789" s="13"/>
      <c r="S789" s="13"/>
      <c r="T789" s="13"/>
      <c r="U789" s="13"/>
      <c r="V789" s="13"/>
      <c r="W789" s="13"/>
      <c r="X789" s="13"/>
      <c r="Y789" s="13"/>
      <c r="Z789" s="13"/>
    </row>
    <row r="790" spans="1:26" ht="15.75" customHeight="1">
      <c r="A790" s="39"/>
      <c r="B790" s="39"/>
      <c r="C790" s="306"/>
      <c r="D790" s="87"/>
      <c r="E790" s="87"/>
      <c r="F790" s="87"/>
      <c r="G790" s="87"/>
      <c r="H790" s="87"/>
      <c r="I790" s="87"/>
      <c r="J790" s="87"/>
      <c r="K790" s="87"/>
      <c r="L790" s="87"/>
      <c r="M790" s="87"/>
      <c r="N790" s="87"/>
      <c r="O790" s="87"/>
      <c r="P790" s="87"/>
      <c r="Q790" s="87"/>
      <c r="R790" s="13"/>
      <c r="S790" s="13"/>
      <c r="T790" s="13"/>
      <c r="U790" s="13"/>
      <c r="V790" s="13"/>
      <c r="W790" s="13"/>
      <c r="X790" s="13"/>
      <c r="Y790" s="13"/>
      <c r="Z790" s="13"/>
    </row>
    <row r="791" spans="1:26" ht="15.75" customHeight="1">
      <c r="A791" s="39"/>
      <c r="B791" s="39"/>
      <c r="C791" s="306"/>
      <c r="D791" s="87"/>
      <c r="E791" s="87"/>
      <c r="F791" s="87"/>
      <c r="G791" s="87"/>
      <c r="H791" s="87"/>
      <c r="I791" s="87"/>
      <c r="J791" s="87"/>
      <c r="K791" s="87"/>
      <c r="L791" s="87"/>
      <c r="M791" s="87"/>
      <c r="N791" s="87"/>
      <c r="O791" s="87"/>
      <c r="P791" s="87"/>
      <c r="Q791" s="87"/>
      <c r="R791" s="13"/>
      <c r="S791" s="13"/>
      <c r="T791" s="13"/>
      <c r="U791" s="13"/>
      <c r="V791" s="13"/>
      <c r="W791" s="13"/>
      <c r="X791" s="13"/>
      <c r="Y791" s="13"/>
      <c r="Z791" s="13"/>
    </row>
    <row r="792" spans="1:26" ht="15.75" customHeight="1">
      <c r="A792" s="39"/>
      <c r="B792" s="39"/>
      <c r="C792" s="306"/>
      <c r="D792" s="87"/>
      <c r="E792" s="87"/>
      <c r="F792" s="87"/>
      <c r="G792" s="87"/>
      <c r="H792" s="87"/>
      <c r="I792" s="87"/>
      <c r="J792" s="87"/>
      <c r="K792" s="87"/>
      <c r="L792" s="87"/>
      <c r="M792" s="87"/>
      <c r="N792" s="87"/>
      <c r="O792" s="87"/>
      <c r="P792" s="87"/>
      <c r="Q792" s="87"/>
      <c r="R792" s="13"/>
      <c r="S792" s="13"/>
      <c r="T792" s="13"/>
      <c r="U792" s="13"/>
      <c r="V792" s="13"/>
      <c r="W792" s="13"/>
      <c r="X792" s="13"/>
      <c r="Y792" s="13"/>
      <c r="Z792" s="13"/>
    </row>
    <row r="793" spans="1:26" ht="15.75" customHeight="1">
      <c r="A793" s="39"/>
      <c r="B793" s="39"/>
      <c r="C793" s="306"/>
      <c r="D793" s="87"/>
      <c r="E793" s="87"/>
      <c r="F793" s="87"/>
      <c r="G793" s="87"/>
      <c r="H793" s="87"/>
      <c r="I793" s="87"/>
      <c r="J793" s="87"/>
      <c r="K793" s="87"/>
      <c r="L793" s="87"/>
      <c r="M793" s="87"/>
      <c r="N793" s="87"/>
      <c r="O793" s="87"/>
      <c r="P793" s="87"/>
      <c r="Q793" s="87"/>
      <c r="R793" s="13"/>
      <c r="S793" s="13"/>
      <c r="T793" s="13"/>
      <c r="U793" s="13"/>
      <c r="V793" s="13"/>
      <c r="W793" s="13"/>
      <c r="X793" s="13"/>
      <c r="Y793" s="13"/>
      <c r="Z793" s="13"/>
    </row>
    <row r="794" spans="1:26" ht="15.75" customHeight="1">
      <c r="A794" s="39"/>
      <c r="B794" s="39"/>
      <c r="C794" s="306"/>
      <c r="D794" s="87"/>
      <c r="E794" s="87"/>
      <c r="F794" s="87"/>
      <c r="G794" s="87"/>
      <c r="H794" s="87"/>
      <c r="I794" s="87"/>
      <c r="J794" s="87"/>
      <c r="K794" s="87"/>
      <c r="L794" s="87"/>
      <c r="M794" s="87"/>
      <c r="N794" s="87"/>
      <c r="O794" s="87"/>
      <c r="P794" s="87"/>
      <c r="Q794" s="87"/>
      <c r="R794" s="13"/>
      <c r="S794" s="13"/>
      <c r="T794" s="13"/>
      <c r="U794" s="13"/>
      <c r="V794" s="13"/>
      <c r="W794" s="13"/>
      <c r="X794" s="13"/>
      <c r="Y794" s="13"/>
      <c r="Z794" s="13"/>
    </row>
    <row r="795" spans="1:26" ht="15.75" customHeight="1">
      <c r="A795" s="39"/>
      <c r="B795" s="39"/>
      <c r="C795" s="306"/>
      <c r="D795" s="87"/>
      <c r="E795" s="87"/>
      <c r="F795" s="87"/>
      <c r="G795" s="87"/>
      <c r="H795" s="87"/>
      <c r="I795" s="87"/>
      <c r="J795" s="87"/>
      <c r="K795" s="87"/>
      <c r="L795" s="87"/>
      <c r="M795" s="87"/>
      <c r="N795" s="87"/>
      <c r="O795" s="87"/>
      <c r="P795" s="87"/>
      <c r="Q795" s="87"/>
      <c r="R795" s="13"/>
      <c r="S795" s="13"/>
      <c r="T795" s="13"/>
      <c r="U795" s="13"/>
      <c r="V795" s="13"/>
      <c r="W795" s="13"/>
      <c r="X795" s="13"/>
      <c r="Y795" s="13"/>
      <c r="Z795" s="13"/>
    </row>
    <row r="796" spans="1:26" ht="15.75" customHeight="1">
      <c r="A796" s="39"/>
      <c r="B796" s="39"/>
      <c r="C796" s="306"/>
      <c r="D796" s="87"/>
      <c r="E796" s="87"/>
      <c r="F796" s="87"/>
      <c r="G796" s="87"/>
      <c r="H796" s="87"/>
      <c r="I796" s="87"/>
      <c r="J796" s="87"/>
      <c r="K796" s="87"/>
      <c r="L796" s="87"/>
      <c r="M796" s="87"/>
      <c r="N796" s="87"/>
      <c r="O796" s="87"/>
      <c r="P796" s="87"/>
      <c r="Q796" s="87"/>
      <c r="R796" s="13"/>
      <c r="S796" s="13"/>
      <c r="T796" s="13"/>
      <c r="U796" s="13"/>
      <c r="V796" s="13"/>
      <c r="W796" s="13"/>
      <c r="X796" s="13"/>
      <c r="Y796" s="13"/>
      <c r="Z796" s="13"/>
    </row>
    <row r="797" spans="1:26" ht="15.75" customHeight="1">
      <c r="A797" s="39"/>
      <c r="B797" s="39"/>
      <c r="C797" s="306"/>
      <c r="D797" s="87"/>
      <c r="E797" s="87"/>
      <c r="F797" s="87"/>
      <c r="G797" s="87"/>
      <c r="H797" s="87"/>
      <c r="I797" s="87"/>
      <c r="J797" s="87"/>
      <c r="K797" s="87"/>
      <c r="L797" s="87"/>
      <c r="M797" s="87"/>
      <c r="N797" s="87"/>
      <c r="O797" s="87"/>
      <c r="P797" s="87"/>
      <c r="Q797" s="87"/>
      <c r="R797" s="13"/>
      <c r="S797" s="13"/>
      <c r="T797" s="13"/>
      <c r="U797" s="13"/>
      <c r="V797" s="13"/>
      <c r="W797" s="13"/>
      <c r="X797" s="13"/>
      <c r="Y797" s="13"/>
      <c r="Z797" s="13"/>
    </row>
    <row r="798" spans="1:26" ht="15.75" customHeight="1">
      <c r="A798" s="39"/>
      <c r="B798" s="39"/>
      <c r="C798" s="306"/>
      <c r="D798" s="87"/>
      <c r="E798" s="87"/>
      <c r="F798" s="87"/>
      <c r="G798" s="87"/>
      <c r="H798" s="87"/>
      <c r="I798" s="87"/>
      <c r="J798" s="87"/>
      <c r="K798" s="87"/>
      <c r="L798" s="87"/>
      <c r="M798" s="87"/>
      <c r="N798" s="87"/>
      <c r="O798" s="87"/>
      <c r="P798" s="87"/>
      <c r="Q798" s="87"/>
      <c r="R798" s="13"/>
      <c r="S798" s="13"/>
      <c r="T798" s="13"/>
      <c r="U798" s="13"/>
      <c r="V798" s="13"/>
      <c r="W798" s="13"/>
      <c r="X798" s="13"/>
      <c r="Y798" s="13"/>
      <c r="Z798" s="13"/>
    </row>
    <row r="799" spans="1:26" ht="15.75" customHeight="1">
      <c r="A799" s="39"/>
      <c r="B799" s="39"/>
      <c r="C799" s="306"/>
      <c r="D799" s="87"/>
      <c r="E799" s="87"/>
      <c r="F799" s="87"/>
      <c r="G799" s="87"/>
      <c r="H799" s="87"/>
      <c r="I799" s="87"/>
      <c r="J799" s="87"/>
      <c r="K799" s="87"/>
      <c r="L799" s="87"/>
      <c r="M799" s="87"/>
      <c r="N799" s="87"/>
      <c r="O799" s="87"/>
      <c r="P799" s="87"/>
      <c r="Q799" s="87"/>
      <c r="R799" s="13"/>
      <c r="S799" s="13"/>
      <c r="T799" s="13"/>
      <c r="U799" s="13"/>
      <c r="V799" s="13"/>
      <c r="W799" s="13"/>
      <c r="X799" s="13"/>
      <c r="Y799" s="13"/>
      <c r="Z799" s="13"/>
    </row>
    <row r="800" spans="1:26" ht="15.75" customHeight="1">
      <c r="A800" s="39"/>
      <c r="B800" s="39"/>
      <c r="C800" s="306"/>
      <c r="D800" s="87"/>
      <c r="E800" s="87"/>
      <c r="F800" s="87"/>
      <c r="G800" s="87"/>
      <c r="H800" s="87"/>
      <c r="I800" s="87"/>
      <c r="J800" s="87"/>
      <c r="K800" s="87"/>
      <c r="L800" s="87"/>
      <c r="M800" s="87"/>
      <c r="N800" s="87"/>
      <c r="O800" s="87"/>
      <c r="P800" s="87"/>
      <c r="Q800" s="87"/>
      <c r="R800" s="13"/>
      <c r="S800" s="13"/>
      <c r="T800" s="13"/>
      <c r="U800" s="13"/>
      <c r="V800" s="13"/>
      <c r="W800" s="13"/>
      <c r="X800" s="13"/>
      <c r="Y800" s="13"/>
      <c r="Z800" s="13"/>
    </row>
    <row r="801" spans="1:26" ht="15.75" customHeight="1">
      <c r="A801" s="39"/>
      <c r="B801" s="39"/>
      <c r="C801" s="306"/>
      <c r="D801" s="87"/>
      <c r="E801" s="87"/>
      <c r="F801" s="87"/>
      <c r="G801" s="87"/>
      <c r="H801" s="87"/>
      <c r="I801" s="87"/>
      <c r="J801" s="87"/>
      <c r="K801" s="87"/>
      <c r="L801" s="87"/>
      <c r="M801" s="87"/>
      <c r="N801" s="87"/>
      <c r="O801" s="87"/>
      <c r="P801" s="87"/>
      <c r="Q801" s="87"/>
      <c r="R801" s="13"/>
      <c r="S801" s="13"/>
      <c r="T801" s="13"/>
      <c r="U801" s="13"/>
      <c r="V801" s="13"/>
      <c r="W801" s="13"/>
      <c r="X801" s="13"/>
      <c r="Y801" s="13"/>
      <c r="Z801" s="13"/>
    </row>
    <row r="802" spans="1:26" ht="15.75" customHeight="1">
      <c r="A802" s="39"/>
      <c r="B802" s="39"/>
      <c r="C802" s="306"/>
      <c r="D802" s="87"/>
      <c r="E802" s="87"/>
      <c r="F802" s="87"/>
      <c r="G802" s="87"/>
      <c r="H802" s="87"/>
      <c r="I802" s="87"/>
      <c r="J802" s="87"/>
      <c r="K802" s="87"/>
      <c r="L802" s="87"/>
      <c r="M802" s="87"/>
      <c r="N802" s="87"/>
      <c r="O802" s="87"/>
      <c r="P802" s="87"/>
      <c r="Q802" s="87"/>
      <c r="R802" s="13"/>
      <c r="S802" s="13"/>
      <c r="T802" s="13"/>
      <c r="U802" s="13"/>
      <c r="V802" s="13"/>
      <c r="W802" s="13"/>
      <c r="X802" s="13"/>
      <c r="Y802" s="13"/>
      <c r="Z802" s="13"/>
    </row>
    <row r="803" spans="1:26" ht="15.75" customHeight="1">
      <c r="A803" s="39"/>
      <c r="B803" s="39"/>
      <c r="C803" s="306"/>
      <c r="D803" s="87"/>
      <c r="E803" s="87"/>
      <c r="F803" s="87"/>
      <c r="G803" s="87"/>
      <c r="H803" s="87"/>
      <c r="I803" s="87"/>
      <c r="J803" s="87"/>
      <c r="K803" s="87"/>
      <c r="L803" s="87"/>
      <c r="M803" s="87"/>
      <c r="N803" s="87"/>
      <c r="O803" s="87"/>
      <c r="P803" s="87"/>
      <c r="Q803" s="87"/>
      <c r="R803" s="13"/>
      <c r="S803" s="13"/>
      <c r="T803" s="13"/>
      <c r="U803" s="13"/>
      <c r="V803" s="13"/>
      <c r="W803" s="13"/>
      <c r="X803" s="13"/>
      <c r="Y803" s="13"/>
      <c r="Z803" s="13"/>
    </row>
    <row r="804" spans="1:26" ht="15.75" customHeight="1">
      <c r="A804" s="39"/>
      <c r="B804" s="39"/>
      <c r="C804" s="306"/>
      <c r="D804" s="87"/>
      <c r="E804" s="87"/>
      <c r="F804" s="87"/>
      <c r="G804" s="87"/>
      <c r="H804" s="87"/>
      <c r="I804" s="87"/>
      <c r="J804" s="87"/>
      <c r="K804" s="87"/>
      <c r="L804" s="87"/>
      <c r="M804" s="87"/>
      <c r="N804" s="87"/>
      <c r="O804" s="87"/>
      <c r="P804" s="87"/>
      <c r="Q804" s="87"/>
      <c r="R804" s="13"/>
      <c r="S804" s="13"/>
      <c r="T804" s="13"/>
      <c r="U804" s="13"/>
      <c r="V804" s="13"/>
      <c r="W804" s="13"/>
      <c r="X804" s="13"/>
      <c r="Y804" s="13"/>
      <c r="Z804" s="13"/>
    </row>
    <row r="805" spans="1:26" ht="15.75" customHeight="1">
      <c r="A805" s="39"/>
      <c r="B805" s="39"/>
      <c r="C805" s="306"/>
      <c r="D805" s="87"/>
      <c r="E805" s="87"/>
      <c r="F805" s="87"/>
      <c r="G805" s="87"/>
      <c r="H805" s="87"/>
      <c r="I805" s="87"/>
      <c r="J805" s="87"/>
      <c r="K805" s="87"/>
      <c r="L805" s="87"/>
      <c r="M805" s="87"/>
      <c r="N805" s="87"/>
      <c r="O805" s="87"/>
      <c r="P805" s="87"/>
      <c r="Q805" s="87"/>
      <c r="R805" s="13"/>
      <c r="S805" s="13"/>
      <c r="T805" s="13"/>
      <c r="U805" s="13"/>
      <c r="V805" s="13"/>
      <c r="W805" s="13"/>
      <c r="X805" s="13"/>
      <c r="Y805" s="13"/>
      <c r="Z805" s="13"/>
    </row>
    <row r="806" spans="1:26" ht="15.75" customHeight="1">
      <c r="A806" s="39"/>
      <c r="B806" s="39"/>
      <c r="C806" s="306"/>
      <c r="D806" s="87"/>
      <c r="E806" s="87"/>
      <c r="F806" s="87"/>
      <c r="G806" s="87"/>
      <c r="H806" s="87"/>
      <c r="I806" s="87"/>
      <c r="J806" s="87"/>
      <c r="K806" s="87"/>
      <c r="L806" s="87"/>
      <c r="M806" s="87"/>
      <c r="N806" s="87"/>
      <c r="O806" s="87"/>
      <c r="P806" s="87"/>
      <c r="Q806" s="87"/>
      <c r="R806" s="13"/>
      <c r="S806" s="13"/>
      <c r="T806" s="13"/>
      <c r="U806" s="13"/>
      <c r="V806" s="13"/>
      <c r="W806" s="13"/>
      <c r="X806" s="13"/>
      <c r="Y806" s="13"/>
      <c r="Z806" s="13"/>
    </row>
    <row r="807" spans="1:26" ht="15.75" customHeight="1">
      <c r="A807" s="39"/>
      <c r="B807" s="39"/>
      <c r="C807" s="306"/>
      <c r="D807" s="87"/>
      <c r="E807" s="87"/>
      <c r="F807" s="87"/>
      <c r="G807" s="87"/>
      <c r="H807" s="87"/>
      <c r="I807" s="87"/>
      <c r="J807" s="87"/>
      <c r="K807" s="87"/>
      <c r="L807" s="87"/>
      <c r="M807" s="87"/>
      <c r="N807" s="87"/>
      <c r="O807" s="87"/>
      <c r="P807" s="87"/>
      <c r="Q807" s="87"/>
      <c r="R807" s="13"/>
      <c r="S807" s="13"/>
      <c r="T807" s="13"/>
      <c r="U807" s="13"/>
      <c r="V807" s="13"/>
      <c r="W807" s="13"/>
      <c r="X807" s="13"/>
      <c r="Y807" s="13"/>
      <c r="Z807" s="13"/>
    </row>
    <row r="808" spans="1:26" ht="15.75" customHeight="1">
      <c r="A808" s="39"/>
      <c r="B808" s="39"/>
      <c r="C808" s="306"/>
      <c r="D808" s="87"/>
      <c r="E808" s="87"/>
      <c r="F808" s="87"/>
      <c r="G808" s="87"/>
      <c r="H808" s="87"/>
      <c r="I808" s="87"/>
      <c r="J808" s="87"/>
      <c r="K808" s="87"/>
      <c r="L808" s="87"/>
      <c r="M808" s="87"/>
      <c r="N808" s="87"/>
      <c r="O808" s="87"/>
      <c r="P808" s="87"/>
      <c r="Q808" s="87"/>
      <c r="R808" s="13"/>
      <c r="S808" s="13"/>
      <c r="T808" s="13"/>
      <c r="U808" s="13"/>
      <c r="V808" s="13"/>
      <c r="W808" s="13"/>
      <c r="X808" s="13"/>
      <c r="Y808" s="13"/>
      <c r="Z808" s="13"/>
    </row>
    <row r="809" spans="1:26" ht="15.75" customHeight="1">
      <c r="A809" s="39"/>
      <c r="B809" s="39"/>
      <c r="C809" s="306"/>
      <c r="D809" s="87"/>
      <c r="E809" s="87"/>
      <c r="F809" s="87"/>
      <c r="G809" s="87"/>
      <c r="H809" s="87"/>
      <c r="I809" s="87"/>
      <c r="J809" s="87"/>
      <c r="K809" s="87"/>
      <c r="L809" s="87"/>
      <c r="M809" s="87"/>
      <c r="N809" s="87"/>
      <c r="O809" s="87"/>
      <c r="P809" s="87"/>
      <c r="Q809" s="87"/>
      <c r="R809" s="13"/>
      <c r="S809" s="13"/>
      <c r="T809" s="13"/>
      <c r="U809" s="13"/>
      <c r="V809" s="13"/>
      <c r="W809" s="13"/>
      <c r="X809" s="13"/>
      <c r="Y809" s="13"/>
      <c r="Z809" s="13"/>
    </row>
    <row r="810" spans="1:26" ht="15.75" customHeight="1">
      <c r="A810" s="39"/>
      <c r="B810" s="39"/>
      <c r="C810" s="306"/>
      <c r="D810" s="87"/>
      <c r="E810" s="87"/>
      <c r="F810" s="87"/>
      <c r="G810" s="87"/>
      <c r="H810" s="87"/>
      <c r="I810" s="87"/>
      <c r="J810" s="87"/>
      <c r="K810" s="87"/>
      <c r="L810" s="87"/>
      <c r="M810" s="87"/>
      <c r="N810" s="87"/>
      <c r="O810" s="87"/>
      <c r="P810" s="87"/>
      <c r="Q810" s="87"/>
      <c r="R810" s="13"/>
      <c r="S810" s="13"/>
      <c r="T810" s="13"/>
      <c r="U810" s="13"/>
      <c r="V810" s="13"/>
      <c r="W810" s="13"/>
      <c r="X810" s="13"/>
      <c r="Y810" s="13"/>
      <c r="Z810" s="13"/>
    </row>
    <row r="811" spans="1:26" ht="15.75" customHeight="1">
      <c r="A811" s="39"/>
      <c r="B811" s="39"/>
      <c r="C811" s="306"/>
      <c r="D811" s="87"/>
      <c r="E811" s="87"/>
      <c r="F811" s="87"/>
      <c r="G811" s="87"/>
      <c r="H811" s="87"/>
      <c r="I811" s="87"/>
      <c r="J811" s="87"/>
      <c r="K811" s="87"/>
      <c r="L811" s="87"/>
      <c r="M811" s="87"/>
      <c r="N811" s="87"/>
      <c r="O811" s="87"/>
      <c r="P811" s="87"/>
      <c r="Q811" s="87"/>
      <c r="R811" s="13"/>
      <c r="S811" s="13"/>
      <c r="T811" s="13"/>
      <c r="U811" s="13"/>
      <c r="V811" s="13"/>
      <c r="W811" s="13"/>
      <c r="X811" s="13"/>
      <c r="Y811" s="13"/>
      <c r="Z811" s="13"/>
    </row>
    <row r="812" spans="1:26" ht="15.75" customHeight="1">
      <c r="A812" s="39"/>
      <c r="B812" s="39"/>
      <c r="C812" s="306"/>
      <c r="D812" s="87"/>
      <c r="E812" s="87"/>
      <c r="F812" s="87"/>
      <c r="G812" s="87"/>
      <c r="H812" s="87"/>
      <c r="I812" s="87"/>
      <c r="J812" s="87"/>
      <c r="K812" s="87"/>
      <c r="L812" s="87"/>
      <c r="M812" s="87"/>
      <c r="N812" s="87"/>
      <c r="O812" s="87"/>
      <c r="P812" s="87"/>
      <c r="Q812" s="87"/>
      <c r="R812" s="13"/>
      <c r="S812" s="13"/>
      <c r="T812" s="13"/>
      <c r="U812" s="13"/>
      <c r="V812" s="13"/>
      <c r="W812" s="13"/>
      <c r="X812" s="13"/>
      <c r="Y812" s="13"/>
      <c r="Z812" s="13"/>
    </row>
    <row r="813" spans="1:26" ht="15.75" customHeight="1">
      <c r="A813" s="39"/>
      <c r="B813" s="39"/>
      <c r="C813" s="306"/>
      <c r="D813" s="87"/>
      <c r="E813" s="87"/>
      <c r="F813" s="87"/>
      <c r="G813" s="87"/>
      <c r="H813" s="87"/>
      <c r="I813" s="87"/>
      <c r="J813" s="87"/>
      <c r="K813" s="87"/>
      <c r="L813" s="87"/>
      <c r="M813" s="87"/>
      <c r="N813" s="87"/>
      <c r="O813" s="87"/>
      <c r="P813" s="87"/>
      <c r="Q813" s="87"/>
      <c r="R813" s="13"/>
      <c r="S813" s="13"/>
      <c r="T813" s="13"/>
      <c r="U813" s="13"/>
      <c r="V813" s="13"/>
      <c r="W813" s="13"/>
      <c r="X813" s="13"/>
      <c r="Y813" s="13"/>
      <c r="Z813" s="13"/>
    </row>
    <row r="814" spans="1:26" ht="15.75" customHeight="1">
      <c r="A814" s="39"/>
      <c r="B814" s="39"/>
      <c r="C814" s="306"/>
      <c r="D814" s="87"/>
      <c r="E814" s="87"/>
      <c r="F814" s="87"/>
      <c r="G814" s="87"/>
      <c r="H814" s="87"/>
      <c r="I814" s="87"/>
      <c r="J814" s="87"/>
      <c r="K814" s="87"/>
      <c r="L814" s="87"/>
      <c r="M814" s="87"/>
      <c r="N814" s="87"/>
      <c r="O814" s="87"/>
      <c r="P814" s="87"/>
      <c r="Q814" s="87"/>
      <c r="R814" s="13"/>
      <c r="S814" s="13"/>
      <c r="T814" s="13"/>
      <c r="U814" s="13"/>
      <c r="V814" s="13"/>
      <c r="W814" s="13"/>
      <c r="X814" s="13"/>
      <c r="Y814" s="13"/>
      <c r="Z814" s="13"/>
    </row>
    <row r="815" spans="1:26" ht="15.75" customHeight="1">
      <c r="A815" s="39"/>
      <c r="B815" s="39"/>
      <c r="C815" s="306"/>
      <c r="D815" s="87"/>
      <c r="E815" s="87"/>
      <c r="F815" s="87"/>
      <c r="G815" s="87"/>
      <c r="H815" s="87"/>
      <c r="I815" s="87"/>
      <c r="J815" s="87"/>
      <c r="K815" s="87"/>
      <c r="L815" s="87"/>
      <c r="M815" s="87"/>
      <c r="N815" s="87"/>
      <c r="O815" s="87"/>
      <c r="P815" s="87"/>
      <c r="Q815" s="87"/>
      <c r="R815" s="13"/>
      <c r="S815" s="13"/>
      <c r="T815" s="13"/>
      <c r="U815" s="13"/>
      <c r="V815" s="13"/>
      <c r="W815" s="13"/>
      <c r="X815" s="13"/>
      <c r="Y815" s="13"/>
      <c r="Z815" s="13"/>
    </row>
    <row r="816" spans="1:26" ht="15.75" customHeight="1">
      <c r="A816" s="39"/>
      <c r="B816" s="39"/>
      <c r="C816" s="306"/>
      <c r="D816" s="87"/>
      <c r="E816" s="87"/>
      <c r="F816" s="87"/>
      <c r="G816" s="87"/>
      <c r="H816" s="87"/>
      <c r="I816" s="87"/>
      <c r="J816" s="87"/>
      <c r="K816" s="87"/>
      <c r="L816" s="87"/>
      <c r="M816" s="87"/>
      <c r="N816" s="87"/>
      <c r="O816" s="87"/>
      <c r="P816" s="87"/>
      <c r="Q816" s="87"/>
      <c r="R816" s="13"/>
      <c r="S816" s="13"/>
      <c r="T816" s="13"/>
      <c r="U816" s="13"/>
      <c r="V816" s="13"/>
      <c r="W816" s="13"/>
      <c r="X816" s="13"/>
      <c r="Y816" s="13"/>
      <c r="Z816" s="13"/>
    </row>
    <row r="817" spans="1:26" ht="15.75" customHeight="1">
      <c r="A817" s="39"/>
      <c r="B817" s="39"/>
      <c r="C817" s="306"/>
      <c r="D817" s="87"/>
      <c r="E817" s="87"/>
      <c r="F817" s="87"/>
      <c r="G817" s="87"/>
      <c r="H817" s="87"/>
      <c r="I817" s="87"/>
      <c r="J817" s="87"/>
      <c r="K817" s="87"/>
      <c r="L817" s="87"/>
      <c r="M817" s="87"/>
      <c r="N817" s="87"/>
      <c r="O817" s="87"/>
      <c r="P817" s="87"/>
      <c r="Q817" s="87"/>
      <c r="R817" s="13"/>
      <c r="S817" s="13"/>
      <c r="T817" s="13"/>
      <c r="U817" s="13"/>
      <c r="V817" s="13"/>
      <c r="W817" s="13"/>
      <c r="X817" s="13"/>
      <c r="Y817" s="13"/>
      <c r="Z817" s="13"/>
    </row>
    <row r="818" spans="1:26" ht="15.75" customHeight="1">
      <c r="A818" s="39"/>
      <c r="B818" s="39"/>
      <c r="C818" s="306"/>
      <c r="D818" s="87"/>
      <c r="E818" s="87"/>
      <c r="F818" s="87"/>
      <c r="G818" s="87"/>
      <c r="H818" s="87"/>
      <c r="I818" s="87"/>
      <c r="J818" s="87"/>
      <c r="K818" s="87"/>
      <c r="L818" s="87"/>
      <c r="M818" s="87"/>
      <c r="N818" s="87"/>
      <c r="O818" s="87"/>
      <c r="P818" s="87"/>
      <c r="Q818" s="87"/>
      <c r="R818" s="13"/>
      <c r="S818" s="13"/>
      <c r="T818" s="13"/>
      <c r="U818" s="13"/>
      <c r="V818" s="13"/>
      <c r="W818" s="13"/>
      <c r="X818" s="13"/>
      <c r="Y818" s="13"/>
      <c r="Z818" s="13"/>
    </row>
    <row r="819" spans="1:26" ht="15.75" customHeight="1">
      <c r="A819" s="39"/>
      <c r="B819" s="39"/>
      <c r="C819" s="306"/>
      <c r="D819" s="87"/>
      <c r="E819" s="87"/>
      <c r="F819" s="87"/>
      <c r="G819" s="87"/>
      <c r="H819" s="87"/>
      <c r="I819" s="87"/>
      <c r="J819" s="87"/>
      <c r="K819" s="87"/>
      <c r="L819" s="87"/>
      <c r="M819" s="87"/>
      <c r="N819" s="87"/>
      <c r="O819" s="87"/>
      <c r="P819" s="87"/>
      <c r="Q819" s="87"/>
      <c r="R819" s="13"/>
      <c r="S819" s="13"/>
      <c r="T819" s="13"/>
      <c r="U819" s="13"/>
      <c r="V819" s="13"/>
      <c r="W819" s="13"/>
      <c r="X819" s="13"/>
      <c r="Y819" s="13"/>
      <c r="Z819" s="13"/>
    </row>
    <row r="820" spans="1:26" ht="15.75" customHeight="1">
      <c r="A820" s="39"/>
      <c r="B820" s="39"/>
      <c r="C820" s="306"/>
      <c r="D820" s="87"/>
      <c r="E820" s="87"/>
      <c r="F820" s="87"/>
      <c r="G820" s="87"/>
      <c r="H820" s="87"/>
      <c r="I820" s="87"/>
      <c r="J820" s="87"/>
      <c r="K820" s="87"/>
      <c r="L820" s="87"/>
      <c r="M820" s="87"/>
      <c r="N820" s="87"/>
      <c r="O820" s="87"/>
      <c r="P820" s="87"/>
      <c r="Q820" s="87"/>
      <c r="R820" s="13"/>
      <c r="S820" s="13"/>
      <c r="T820" s="13"/>
      <c r="U820" s="13"/>
      <c r="V820" s="13"/>
      <c r="W820" s="13"/>
      <c r="X820" s="13"/>
      <c r="Y820" s="13"/>
      <c r="Z820" s="13"/>
    </row>
    <row r="821" spans="1:26" ht="15.75" customHeight="1">
      <c r="A821" s="39"/>
      <c r="B821" s="39"/>
      <c r="C821" s="306"/>
      <c r="D821" s="87"/>
      <c r="E821" s="87"/>
      <c r="F821" s="87"/>
      <c r="G821" s="87"/>
      <c r="H821" s="87"/>
      <c r="I821" s="87"/>
      <c r="J821" s="87"/>
      <c r="K821" s="87"/>
      <c r="L821" s="87"/>
      <c r="M821" s="87"/>
      <c r="N821" s="87"/>
      <c r="O821" s="87"/>
      <c r="P821" s="87"/>
      <c r="Q821" s="87"/>
      <c r="R821" s="13"/>
      <c r="S821" s="13"/>
      <c r="T821" s="13"/>
      <c r="U821" s="13"/>
      <c r="V821" s="13"/>
      <c r="W821" s="13"/>
      <c r="X821" s="13"/>
      <c r="Y821" s="13"/>
      <c r="Z821" s="13"/>
    </row>
    <row r="822" spans="1:26" ht="15.75" customHeight="1">
      <c r="A822" s="39"/>
      <c r="B822" s="39"/>
      <c r="C822" s="306"/>
      <c r="D822" s="87"/>
      <c r="E822" s="87"/>
      <c r="F822" s="87"/>
      <c r="G822" s="87"/>
      <c r="H822" s="87"/>
      <c r="I822" s="87"/>
      <c r="J822" s="87"/>
      <c r="K822" s="87"/>
      <c r="L822" s="87"/>
      <c r="M822" s="87"/>
      <c r="N822" s="87"/>
      <c r="O822" s="87"/>
      <c r="P822" s="87"/>
      <c r="Q822" s="87"/>
      <c r="R822" s="13"/>
      <c r="S822" s="13"/>
      <c r="T822" s="13"/>
      <c r="U822" s="13"/>
      <c r="V822" s="13"/>
      <c r="W822" s="13"/>
      <c r="X822" s="13"/>
      <c r="Y822" s="13"/>
      <c r="Z822" s="13"/>
    </row>
    <row r="823" spans="1:26" ht="15.75" customHeight="1">
      <c r="A823" s="39"/>
      <c r="B823" s="39"/>
      <c r="C823" s="306"/>
      <c r="D823" s="87"/>
      <c r="E823" s="87"/>
      <c r="F823" s="87"/>
      <c r="G823" s="87"/>
      <c r="H823" s="87"/>
      <c r="I823" s="87"/>
      <c r="J823" s="87"/>
      <c r="K823" s="87"/>
      <c r="L823" s="87"/>
      <c r="M823" s="87"/>
      <c r="N823" s="87"/>
      <c r="O823" s="87"/>
      <c r="P823" s="87"/>
      <c r="Q823" s="87"/>
      <c r="R823" s="13"/>
      <c r="S823" s="13"/>
      <c r="T823" s="13"/>
      <c r="U823" s="13"/>
      <c r="V823" s="13"/>
      <c r="W823" s="13"/>
      <c r="X823" s="13"/>
      <c r="Y823" s="13"/>
      <c r="Z823" s="13"/>
    </row>
    <row r="824" spans="1:26" ht="15.75" customHeight="1">
      <c r="A824" s="39"/>
      <c r="B824" s="39"/>
      <c r="C824" s="306"/>
      <c r="D824" s="87"/>
      <c r="E824" s="87"/>
      <c r="F824" s="87"/>
      <c r="G824" s="87"/>
      <c r="H824" s="87"/>
      <c r="I824" s="87"/>
      <c r="J824" s="87"/>
      <c r="K824" s="87"/>
      <c r="L824" s="87"/>
      <c r="M824" s="87"/>
      <c r="N824" s="87"/>
      <c r="O824" s="87"/>
      <c r="P824" s="87"/>
      <c r="Q824" s="87"/>
      <c r="R824" s="13"/>
      <c r="S824" s="13"/>
      <c r="T824" s="13"/>
      <c r="U824" s="13"/>
      <c r="V824" s="13"/>
      <c r="W824" s="13"/>
      <c r="X824" s="13"/>
      <c r="Y824" s="13"/>
      <c r="Z824" s="13"/>
    </row>
    <row r="825" spans="1:26" ht="15.75" customHeight="1">
      <c r="A825" s="39"/>
      <c r="B825" s="39"/>
      <c r="C825" s="306"/>
      <c r="D825" s="87"/>
      <c r="E825" s="87"/>
      <c r="F825" s="87"/>
      <c r="G825" s="87"/>
      <c r="H825" s="87"/>
      <c r="I825" s="87"/>
      <c r="J825" s="87"/>
      <c r="K825" s="87"/>
      <c r="L825" s="87"/>
      <c r="M825" s="87"/>
      <c r="N825" s="87"/>
      <c r="O825" s="87"/>
      <c r="P825" s="87"/>
      <c r="Q825" s="87"/>
      <c r="R825" s="13"/>
      <c r="S825" s="13"/>
      <c r="T825" s="13"/>
      <c r="U825" s="13"/>
      <c r="V825" s="13"/>
      <c r="W825" s="13"/>
      <c r="X825" s="13"/>
      <c r="Y825" s="13"/>
      <c r="Z825" s="13"/>
    </row>
    <row r="826" spans="1:26" ht="15.75" customHeight="1">
      <c r="A826" s="39"/>
      <c r="B826" s="39"/>
      <c r="C826" s="306"/>
      <c r="D826" s="87"/>
      <c r="E826" s="87"/>
      <c r="F826" s="87"/>
      <c r="G826" s="87"/>
      <c r="H826" s="87"/>
      <c r="I826" s="87"/>
      <c r="J826" s="87"/>
      <c r="K826" s="87"/>
      <c r="L826" s="87"/>
      <c r="M826" s="87"/>
      <c r="N826" s="87"/>
      <c r="O826" s="87"/>
      <c r="P826" s="87"/>
      <c r="Q826" s="87"/>
      <c r="R826" s="13"/>
      <c r="S826" s="13"/>
      <c r="T826" s="13"/>
      <c r="U826" s="13"/>
      <c r="V826" s="13"/>
      <c r="W826" s="13"/>
      <c r="X826" s="13"/>
      <c r="Y826" s="13"/>
      <c r="Z826" s="13"/>
    </row>
    <row r="827" spans="1:26" ht="15.75" customHeight="1">
      <c r="A827" s="39"/>
      <c r="B827" s="39"/>
      <c r="C827" s="306"/>
      <c r="D827" s="87"/>
      <c r="E827" s="87"/>
      <c r="F827" s="87"/>
      <c r="G827" s="87"/>
      <c r="H827" s="87"/>
      <c r="I827" s="87"/>
      <c r="J827" s="87"/>
      <c r="K827" s="87"/>
      <c r="L827" s="87"/>
      <c r="M827" s="87"/>
      <c r="N827" s="87"/>
      <c r="O827" s="87"/>
      <c r="P827" s="87"/>
      <c r="Q827" s="87"/>
      <c r="R827" s="13"/>
      <c r="S827" s="13"/>
      <c r="T827" s="13"/>
      <c r="U827" s="13"/>
      <c r="V827" s="13"/>
      <c r="W827" s="13"/>
      <c r="X827" s="13"/>
      <c r="Y827" s="13"/>
      <c r="Z827" s="13"/>
    </row>
    <row r="828" spans="1:26" ht="15.75" customHeight="1">
      <c r="A828" s="39"/>
      <c r="B828" s="39"/>
      <c r="C828" s="306"/>
      <c r="D828" s="87"/>
      <c r="E828" s="87"/>
      <c r="F828" s="87"/>
      <c r="G828" s="87"/>
      <c r="H828" s="87"/>
      <c r="I828" s="87"/>
      <c r="J828" s="87"/>
      <c r="K828" s="87"/>
      <c r="L828" s="87"/>
      <c r="M828" s="87"/>
      <c r="N828" s="87"/>
      <c r="O828" s="87"/>
      <c r="P828" s="87"/>
      <c r="Q828" s="87"/>
      <c r="R828" s="13"/>
      <c r="S828" s="13"/>
      <c r="T828" s="13"/>
      <c r="U828" s="13"/>
      <c r="V828" s="13"/>
      <c r="W828" s="13"/>
      <c r="X828" s="13"/>
      <c r="Y828" s="13"/>
      <c r="Z828" s="13"/>
    </row>
    <row r="829" spans="1:26" ht="15.75" customHeight="1">
      <c r="A829" s="39"/>
      <c r="B829" s="39"/>
      <c r="C829" s="306"/>
      <c r="D829" s="87"/>
      <c r="E829" s="87"/>
      <c r="F829" s="87"/>
      <c r="G829" s="87"/>
      <c r="H829" s="87"/>
      <c r="I829" s="87"/>
      <c r="J829" s="87"/>
      <c r="K829" s="87"/>
      <c r="L829" s="87"/>
      <c r="M829" s="87"/>
      <c r="N829" s="87"/>
      <c r="O829" s="87"/>
      <c r="P829" s="87"/>
      <c r="Q829" s="87"/>
      <c r="R829" s="13"/>
      <c r="S829" s="13"/>
      <c r="T829" s="13"/>
      <c r="U829" s="13"/>
      <c r="V829" s="13"/>
      <c r="W829" s="13"/>
      <c r="X829" s="13"/>
      <c r="Y829" s="13"/>
      <c r="Z829" s="13"/>
    </row>
    <row r="830" spans="1:26" ht="15.75" customHeight="1">
      <c r="A830" s="39"/>
      <c r="B830" s="39"/>
      <c r="C830" s="306"/>
      <c r="D830" s="87"/>
      <c r="E830" s="87"/>
      <c r="F830" s="87"/>
      <c r="G830" s="87"/>
      <c r="H830" s="87"/>
      <c r="I830" s="87"/>
      <c r="J830" s="87"/>
      <c r="K830" s="87"/>
      <c r="L830" s="87"/>
      <c r="M830" s="87"/>
      <c r="N830" s="87"/>
      <c r="O830" s="87"/>
      <c r="P830" s="87"/>
      <c r="Q830" s="87"/>
      <c r="R830" s="13"/>
      <c r="S830" s="13"/>
      <c r="T830" s="13"/>
      <c r="U830" s="13"/>
      <c r="V830" s="13"/>
      <c r="W830" s="13"/>
      <c r="X830" s="13"/>
      <c r="Y830" s="13"/>
      <c r="Z830" s="13"/>
    </row>
    <row r="831" spans="1:26" ht="15.75" customHeight="1">
      <c r="A831" s="39"/>
      <c r="B831" s="39"/>
      <c r="C831" s="306"/>
      <c r="D831" s="87"/>
      <c r="E831" s="87"/>
      <c r="F831" s="87"/>
      <c r="G831" s="87"/>
      <c r="H831" s="87"/>
      <c r="I831" s="87"/>
      <c r="J831" s="87"/>
      <c r="K831" s="87"/>
      <c r="L831" s="87"/>
      <c r="M831" s="87"/>
      <c r="N831" s="87"/>
      <c r="O831" s="87"/>
      <c r="P831" s="87"/>
      <c r="Q831" s="87"/>
      <c r="R831" s="13"/>
      <c r="S831" s="13"/>
      <c r="T831" s="13"/>
      <c r="U831" s="13"/>
      <c r="V831" s="13"/>
      <c r="W831" s="13"/>
      <c r="X831" s="13"/>
      <c r="Y831" s="13"/>
      <c r="Z831" s="13"/>
    </row>
    <row r="832" spans="1:26" ht="15.75" customHeight="1">
      <c r="A832" s="39"/>
      <c r="B832" s="39"/>
      <c r="C832" s="306"/>
      <c r="D832" s="87"/>
      <c r="E832" s="87"/>
      <c r="F832" s="87"/>
      <c r="G832" s="87"/>
      <c r="H832" s="87"/>
      <c r="I832" s="87"/>
      <c r="J832" s="87"/>
      <c r="K832" s="87"/>
      <c r="L832" s="87"/>
      <c r="M832" s="87"/>
      <c r="N832" s="87"/>
      <c r="O832" s="87"/>
      <c r="P832" s="87"/>
      <c r="Q832" s="87"/>
      <c r="R832" s="13"/>
      <c r="S832" s="13"/>
      <c r="T832" s="13"/>
      <c r="U832" s="13"/>
      <c r="V832" s="13"/>
      <c r="W832" s="13"/>
      <c r="X832" s="13"/>
      <c r="Y832" s="13"/>
      <c r="Z832" s="13"/>
    </row>
    <row r="833" spans="1:26" ht="15.75" customHeight="1">
      <c r="A833" s="39"/>
      <c r="B833" s="39"/>
      <c r="C833" s="306"/>
      <c r="D833" s="87"/>
      <c r="E833" s="87"/>
      <c r="F833" s="87"/>
      <c r="G833" s="87"/>
      <c r="H833" s="87"/>
      <c r="I833" s="87"/>
      <c r="J833" s="87"/>
      <c r="K833" s="87"/>
      <c r="L833" s="87"/>
      <c r="M833" s="87"/>
      <c r="N833" s="87"/>
      <c r="O833" s="87"/>
      <c r="P833" s="87"/>
      <c r="Q833" s="87"/>
      <c r="R833" s="13"/>
      <c r="S833" s="13"/>
      <c r="T833" s="13"/>
      <c r="U833" s="13"/>
      <c r="V833" s="13"/>
      <c r="W833" s="13"/>
      <c r="X833" s="13"/>
      <c r="Y833" s="13"/>
      <c r="Z833" s="13"/>
    </row>
    <row r="834" spans="1:26" ht="15.75" customHeight="1">
      <c r="A834" s="39"/>
      <c r="B834" s="39"/>
      <c r="C834" s="306"/>
      <c r="D834" s="87"/>
      <c r="E834" s="87"/>
      <c r="F834" s="87"/>
      <c r="G834" s="87"/>
      <c r="H834" s="87"/>
      <c r="I834" s="87"/>
      <c r="J834" s="87"/>
      <c r="K834" s="87"/>
      <c r="L834" s="87"/>
      <c r="M834" s="87"/>
      <c r="N834" s="87"/>
      <c r="O834" s="87"/>
      <c r="P834" s="87"/>
      <c r="Q834" s="87"/>
      <c r="R834" s="13"/>
      <c r="S834" s="13"/>
      <c r="T834" s="13"/>
      <c r="U834" s="13"/>
      <c r="V834" s="13"/>
      <c r="W834" s="13"/>
      <c r="X834" s="13"/>
      <c r="Y834" s="13"/>
      <c r="Z834" s="13"/>
    </row>
    <row r="835" spans="1:26" ht="15.75" customHeight="1">
      <c r="A835" s="39"/>
      <c r="B835" s="39"/>
      <c r="C835" s="306"/>
      <c r="D835" s="87"/>
      <c r="E835" s="87"/>
      <c r="F835" s="87"/>
      <c r="G835" s="87"/>
      <c r="H835" s="87"/>
      <c r="I835" s="87"/>
      <c r="J835" s="87"/>
      <c r="K835" s="87"/>
      <c r="L835" s="87"/>
      <c r="M835" s="87"/>
      <c r="N835" s="87"/>
      <c r="O835" s="87"/>
      <c r="P835" s="87"/>
      <c r="Q835" s="87"/>
      <c r="R835" s="13"/>
      <c r="S835" s="13"/>
      <c r="T835" s="13"/>
      <c r="U835" s="13"/>
      <c r="V835" s="13"/>
      <c r="W835" s="13"/>
      <c r="X835" s="13"/>
      <c r="Y835" s="13"/>
      <c r="Z835" s="13"/>
    </row>
    <row r="836" spans="1:26" ht="15.75" customHeight="1">
      <c r="A836" s="39"/>
      <c r="B836" s="39"/>
      <c r="C836" s="306"/>
      <c r="D836" s="87"/>
      <c r="E836" s="87"/>
      <c r="F836" s="87"/>
      <c r="G836" s="87"/>
      <c r="H836" s="87"/>
      <c r="I836" s="87"/>
      <c r="J836" s="87"/>
      <c r="K836" s="87"/>
      <c r="L836" s="87"/>
      <c r="M836" s="87"/>
      <c r="N836" s="87"/>
      <c r="O836" s="87"/>
      <c r="P836" s="87"/>
      <c r="Q836" s="87"/>
      <c r="R836" s="13"/>
      <c r="S836" s="13"/>
      <c r="T836" s="13"/>
      <c r="U836" s="13"/>
      <c r="V836" s="13"/>
      <c r="W836" s="13"/>
      <c r="X836" s="13"/>
      <c r="Y836" s="13"/>
      <c r="Z836" s="13"/>
    </row>
    <row r="837" spans="1:26" ht="15.75" customHeight="1">
      <c r="A837" s="39"/>
      <c r="B837" s="39"/>
      <c r="C837" s="306"/>
      <c r="D837" s="87"/>
      <c r="E837" s="87"/>
      <c r="F837" s="87"/>
      <c r="G837" s="87"/>
      <c r="H837" s="87"/>
      <c r="I837" s="87"/>
      <c r="J837" s="87"/>
      <c r="K837" s="87"/>
      <c r="L837" s="87"/>
      <c r="M837" s="87"/>
      <c r="N837" s="87"/>
      <c r="O837" s="87"/>
      <c r="P837" s="87"/>
      <c r="Q837" s="87"/>
      <c r="R837" s="13"/>
      <c r="S837" s="13"/>
      <c r="T837" s="13"/>
      <c r="U837" s="13"/>
      <c r="V837" s="13"/>
      <c r="W837" s="13"/>
      <c r="X837" s="13"/>
      <c r="Y837" s="13"/>
      <c r="Z837" s="13"/>
    </row>
    <row r="838" spans="1:26" ht="15.75" customHeight="1">
      <c r="A838" s="39"/>
      <c r="B838" s="39"/>
      <c r="C838" s="306"/>
      <c r="D838" s="87"/>
      <c r="E838" s="87"/>
      <c r="F838" s="87"/>
      <c r="G838" s="87"/>
      <c r="H838" s="87"/>
      <c r="I838" s="87"/>
      <c r="J838" s="87"/>
      <c r="K838" s="87"/>
      <c r="L838" s="87"/>
      <c r="M838" s="87"/>
      <c r="N838" s="87"/>
      <c r="O838" s="87"/>
      <c r="P838" s="87"/>
      <c r="Q838" s="87"/>
      <c r="R838" s="13"/>
      <c r="S838" s="13"/>
      <c r="T838" s="13"/>
      <c r="U838" s="13"/>
      <c r="V838" s="13"/>
      <c r="W838" s="13"/>
      <c r="X838" s="13"/>
      <c r="Y838" s="13"/>
      <c r="Z838" s="13"/>
    </row>
    <row r="839" spans="1:26" ht="15.75" customHeight="1">
      <c r="A839" s="39"/>
      <c r="B839" s="39"/>
      <c r="C839" s="306"/>
      <c r="D839" s="87"/>
      <c r="E839" s="87"/>
      <c r="F839" s="87"/>
      <c r="G839" s="87"/>
      <c r="H839" s="87"/>
      <c r="I839" s="87"/>
      <c r="J839" s="87"/>
      <c r="K839" s="87"/>
      <c r="L839" s="87"/>
      <c r="M839" s="87"/>
      <c r="N839" s="87"/>
      <c r="O839" s="87"/>
      <c r="P839" s="87"/>
      <c r="Q839" s="87"/>
      <c r="R839" s="13"/>
      <c r="S839" s="13"/>
      <c r="T839" s="13"/>
      <c r="U839" s="13"/>
      <c r="V839" s="13"/>
      <c r="W839" s="13"/>
      <c r="X839" s="13"/>
      <c r="Y839" s="13"/>
      <c r="Z839" s="13"/>
    </row>
    <row r="840" spans="1:26" ht="15.75" customHeight="1">
      <c r="A840" s="39"/>
      <c r="B840" s="39"/>
      <c r="C840" s="306"/>
      <c r="D840" s="87"/>
      <c r="E840" s="87"/>
      <c r="F840" s="87"/>
      <c r="G840" s="87"/>
      <c r="H840" s="87"/>
      <c r="I840" s="87"/>
      <c r="J840" s="87"/>
      <c r="K840" s="87"/>
      <c r="L840" s="87"/>
      <c r="M840" s="87"/>
      <c r="N840" s="87"/>
      <c r="O840" s="87"/>
      <c r="P840" s="87"/>
      <c r="Q840" s="87"/>
      <c r="R840" s="13"/>
      <c r="S840" s="13"/>
      <c r="T840" s="13"/>
      <c r="U840" s="13"/>
      <c r="V840" s="13"/>
      <c r="W840" s="13"/>
      <c r="X840" s="13"/>
      <c r="Y840" s="13"/>
      <c r="Z840" s="13"/>
    </row>
    <row r="841" spans="1:26" ht="15.75" customHeight="1">
      <c r="A841" s="39"/>
      <c r="B841" s="39"/>
      <c r="C841" s="306"/>
      <c r="D841" s="87"/>
      <c r="E841" s="87"/>
      <c r="F841" s="87"/>
      <c r="G841" s="87"/>
      <c r="H841" s="87"/>
      <c r="I841" s="87"/>
      <c r="J841" s="87"/>
      <c r="K841" s="87"/>
      <c r="L841" s="87"/>
      <c r="M841" s="87"/>
      <c r="N841" s="87"/>
      <c r="O841" s="87"/>
      <c r="P841" s="87"/>
      <c r="Q841" s="87"/>
      <c r="R841" s="13"/>
      <c r="S841" s="13"/>
      <c r="T841" s="13"/>
      <c r="U841" s="13"/>
      <c r="V841" s="13"/>
      <c r="W841" s="13"/>
      <c r="X841" s="13"/>
      <c r="Y841" s="13"/>
      <c r="Z841" s="13"/>
    </row>
    <row r="842" spans="1:26" ht="15.75" customHeight="1">
      <c r="A842" s="39"/>
      <c r="B842" s="39"/>
      <c r="C842" s="306"/>
      <c r="D842" s="87"/>
      <c r="E842" s="87"/>
      <c r="F842" s="87"/>
      <c r="G842" s="87"/>
      <c r="H842" s="87"/>
      <c r="I842" s="87"/>
      <c r="J842" s="87"/>
      <c r="K842" s="87"/>
      <c r="L842" s="87"/>
      <c r="M842" s="87"/>
      <c r="N842" s="87"/>
      <c r="O842" s="87"/>
      <c r="P842" s="87"/>
      <c r="Q842" s="87"/>
      <c r="R842" s="13"/>
      <c r="S842" s="13"/>
      <c r="T842" s="13"/>
      <c r="U842" s="13"/>
      <c r="V842" s="13"/>
      <c r="W842" s="13"/>
      <c r="X842" s="13"/>
      <c r="Y842" s="13"/>
      <c r="Z842" s="13"/>
    </row>
    <row r="843" spans="1:26" ht="15.75" customHeight="1">
      <c r="A843" s="39"/>
      <c r="B843" s="39"/>
      <c r="C843" s="306"/>
      <c r="D843" s="87"/>
      <c r="E843" s="87"/>
      <c r="F843" s="87"/>
      <c r="G843" s="87"/>
      <c r="H843" s="87"/>
      <c r="I843" s="87"/>
      <c r="J843" s="87"/>
      <c r="K843" s="87"/>
      <c r="L843" s="87"/>
      <c r="M843" s="87"/>
      <c r="N843" s="87"/>
      <c r="O843" s="87"/>
      <c r="P843" s="87"/>
      <c r="Q843" s="87"/>
      <c r="R843" s="13"/>
      <c r="S843" s="13"/>
      <c r="T843" s="13"/>
      <c r="U843" s="13"/>
      <c r="V843" s="13"/>
      <c r="W843" s="13"/>
      <c r="X843" s="13"/>
      <c r="Y843" s="13"/>
      <c r="Z843" s="13"/>
    </row>
    <row r="844" spans="1:26" ht="15.75" customHeight="1">
      <c r="A844" s="39"/>
      <c r="B844" s="39"/>
      <c r="C844" s="306"/>
      <c r="D844" s="87"/>
      <c r="E844" s="87"/>
      <c r="F844" s="87"/>
      <c r="G844" s="87"/>
      <c r="H844" s="87"/>
      <c r="I844" s="87"/>
      <c r="J844" s="87"/>
      <c r="K844" s="87"/>
      <c r="L844" s="87"/>
      <c r="M844" s="87"/>
      <c r="N844" s="87"/>
      <c r="O844" s="87"/>
      <c r="P844" s="87"/>
      <c r="Q844" s="87"/>
      <c r="R844" s="13"/>
      <c r="S844" s="13"/>
      <c r="T844" s="13"/>
      <c r="U844" s="13"/>
      <c r="V844" s="13"/>
      <c r="W844" s="13"/>
      <c r="X844" s="13"/>
      <c r="Y844" s="13"/>
      <c r="Z844" s="13"/>
    </row>
    <row r="845" spans="1:26" ht="15.75" customHeight="1">
      <c r="A845" s="39"/>
      <c r="B845" s="39"/>
      <c r="C845" s="306"/>
      <c r="D845" s="87"/>
      <c r="E845" s="87"/>
      <c r="F845" s="87"/>
      <c r="G845" s="87"/>
      <c r="H845" s="87"/>
      <c r="I845" s="87"/>
      <c r="J845" s="87"/>
      <c r="K845" s="87"/>
      <c r="L845" s="87"/>
      <c r="M845" s="87"/>
      <c r="N845" s="87"/>
      <c r="O845" s="87"/>
      <c r="P845" s="87"/>
      <c r="Q845" s="87"/>
      <c r="R845" s="13"/>
      <c r="S845" s="13"/>
      <c r="T845" s="13"/>
      <c r="U845" s="13"/>
      <c r="V845" s="13"/>
      <c r="W845" s="13"/>
      <c r="X845" s="13"/>
      <c r="Y845" s="13"/>
      <c r="Z845" s="13"/>
    </row>
    <row r="846" spans="1:26" ht="15.75" customHeight="1">
      <c r="A846" s="39"/>
      <c r="B846" s="39"/>
      <c r="C846" s="306"/>
      <c r="D846" s="87"/>
      <c r="E846" s="87"/>
      <c r="F846" s="87"/>
      <c r="G846" s="87"/>
      <c r="H846" s="87"/>
      <c r="I846" s="87"/>
      <c r="J846" s="87"/>
      <c r="K846" s="87"/>
      <c r="L846" s="87"/>
      <c r="M846" s="87"/>
      <c r="N846" s="87"/>
      <c r="O846" s="87"/>
      <c r="P846" s="87"/>
      <c r="Q846" s="87"/>
      <c r="R846" s="13"/>
      <c r="S846" s="13"/>
      <c r="T846" s="13"/>
      <c r="U846" s="13"/>
      <c r="V846" s="13"/>
      <c r="W846" s="13"/>
      <c r="X846" s="13"/>
      <c r="Y846" s="13"/>
      <c r="Z846" s="13"/>
    </row>
    <row r="847" spans="1:26" ht="15.75" customHeight="1">
      <c r="A847" s="39"/>
      <c r="B847" s="39"/>
      <c r="C847" s="306"/>
      <c r="D847" s="87"/>
      <c r="E847" s="87"/>
      <c r="F847" s="87"/>
      <c r="G847" s="87"/>
      <c r="H847" s="87"/>
      <c r="I847" s="87"/>
      <c r="J847" s="87"/>
      <c r="K847" s="87"/>
      <c r="L847" s="87"/>
      <c r="M847" s="87"/>
      <c r="N847" s="87"/>
      <c r="O847" s="87"/>
      <c r="P847" s="87"/>
      <c r="Q847" s="87"/>
      <c r="R847" s="13"/>
      <c r="S847" s="13"/>
      <c r="T847" s="13"/>
      <c r="U847" s="13"/>
      <c r="V847" s="13"/>
      <c r="W847" s="13"/>
      <c r="X847" s="13"/>
      <c r="Y847" s="13"/>
      <c r="Z847" s="13"/>
    </row>
    <row r="848" spans="1:26" ht="15.75" customHeight="1">
      <c r="A848" s="39"/>
      <c r="B848" s="39"/>
      <c r="C848" s="306"/>
      <c r="D848" s="87"/>
      <c r="E848" s="87"/>
      <c r="F848" s="87"/>
      <c r="G848" s="87"/>
      <c r="H848" s="87"/>
      <c r="I848" s="87"/>
      <c r="J848" s="87"/>
      <c r="K848" s="87"/>
      <c r="L848" s="87"/>
      <c r="M848" s="87"/>
      <c r="N848" s="87"/>
      <c r="O848" s="87"/>
      <c r="P848" s="87"/>
      <c r="Q848" s="87"/>
      <c r="R848" s="13"/>
      <c r="S848" s="13"/>
      <c r="T848" s="13"/>
      <c r="U848" s="13"/>
      <c r="V848" s="13"/>
      <c r="W848" s="13"/>
      <c r="X848" s="13"/>
      <c r="Y848" s="13"/>
      <c r="Z848" s="13"/>
    </row>
    <row r="849" spans="1:26" ht="15.75" customHeight="1">
      <c r="A849" s="39"/>
      <c r="B849" s="39"/>
      <c r="C849" s="306"/>
      <c r="D849" s="87"/>
      <c r="E849" s="87"/>
      <c r="F849" s="87"/>
      <c r="G849" s="87"/>
      <c r="H849" s="87"/>
      <c r="I849" s="87"/>
      <c r="J849" s="87"/>
      <c r="K849" s="87"/>
      <c r="L849" s="87"/>
      <c r="M849" s="87"/>
      <c r="N849" s="87"/>
      <c r="O849" s="87"/>
      <c r="P849" s="87"/>
      <c r="Q849" s="87"/>
      <c r="R849" s="13"/>
      <c r="S849" s="13"/>
      <c r="T849" s="13"/>
      <c r="U849" s="13"/>
      <c r="V849" s="13"/>
      <c r="W849" s="13"/>
      <c r="X849" s="13"/>
      <c r="Y849" s="13"/>
      <c r="Z849" s="13"/>
    </row>
    <row r="850" spans="1:26" ht="15.75" customHeight="1">
      <c r="A850" s="39"/>
      <c r="B850" s="39"/>
      <c r="C850" s="306"/>
      <c r="D850" s="87"/>
      <c r="E850" s="87"/>
      <c r="F850" s="87"/>
      <c r="G850" s="87"/>
      <c r="H850" s="87"/>
      <c r="I850" s="87"/>
      <c r="J850" s="87"/>
      <c r="K850" s="87"/>
      <c r="L850" s="87"/>
      <c r="M850" s="87"/>
      <c r="N850" s="87"/>
      <c r="O850" s="87"/>
      <c r="P850" s="87"/>
      <c r="Q850" s="87"/>
      <c r="R850" s="13"/>
      <c r="S850" s="13"/>
      <c r="T850" s="13"/>
      <c r="U850" s="13"/>
      <c r="V850" s="13"/>
      <c r="W850" s="13"/>
      <c r="X850" s="13"/>
      <c r="Y850" s="13"/>
      <c r="Z850" s="13"/>
    </row>
    <row r="851" spans="1:26" ht="15.75" customHeight="1">
      <c r="A851" s="39"/>
      <c r="B851" s="39"/>
      <c r="C851" s="306"/>
      <c r="D851" s="87"/>
      <c r="E851" s="87"/>
      <c r="F851" s="87"/>
      <c r="G851" s="87"/>
      <c r="H851" s="87"/>
      <c r="I851" s="87"/>
      <c r="J851" s="87"/>
      <c r="K851" s="87"/>
      <c r="L851" s="87"/>
      <c r="M851" s="87"/>
      <c r="N851" s="87"/>
      <c r="O851" s="87"/>
      <c r="P851" s="87"/>
      <c r="Q851" s="87"/>
      <c r="R851" s="13"/>
      <c r="S851" s="13"/>
      <c r="T851" s="13"/>
      <c r="U851" s="13"/>
      <c r="V851" s="13"/>
      <c r="W851" s="13"/>
      <c r="X851" s="13"/>
      <c r="Y851" s="13"/>
      <c r="Z851" s="13"/>
    </row>
    <row r="852" spans="1:26" ht="15.75" customHeight="1">
      <c r="A852" s="39"/>
      <c r="B852" s="39"/>
      <c r="C852" s="306"/>
      <c r="D852" s="87"/>
      <c r="E852" s="87"/>
      <c r="F852" s="87"/>
      <c r="G852" s="87"/>
      <c r="H852" s="87"/>
      <c r="I852" s="87"/>
      <c r="J852" s="87"/>
      <c r="K852" s="87"/>
      <c r="L852" s="87"/>
      <c r="M852" s="87"/>
      <c r="N852" s="87"/>
      <c r="O852" s="87"/>
      <c r="P852" s="87"/>
      <c r="Q852" s="87"/>
      <c r="R852" s="13"/>
      <c r="S852" s="13"/>
      <c r="T852" s="13"/>
      <c r="U852" s="13"/>
      <c r="V852" s="13"/>
      <c r="W852" s="13"/>
      <c r="X852" s="13"/>
      <c r="Y852" s="13"/>
      <c r="Z852" s="13"/>
    </row>
    <row r="853" spans="1:26" ht="15.75" customHeight="1">
      <c r="A853" s="39"/>
      <c r="B853" s="39"/>
      <c r="C853" s="306"/>
      <c r="D853" s="87"/>
      <c r="E853" s="87"/>
      <c r="F853" s="87"/>
      <c r="G853" s="87"/>
      <c r="H853" s="87"/>
      <c r="I853" s="87"/>
      <c r="J853" s="87"/>
      <c r="K853" s="87"/>
      <c r="L853" s="87"/>
      <c r="M853" s="87"/>
      <c r="N853" s="87"/>
      <c r="O853" s="87"/>
      <c r="P853" s="87"/>
      <c r="Q853" s="87"/>
      <c r="R853" s="13"/>
      <c r="S853" s="13"/>
      <c r="T853" s="13"/>
      <c r="U853" s="13"/>
      <c r="V853" s="13"/>
      <c r="W853" s="13"/>
      <c r="X853" s="13"/>
      <c r="Y853" s="13"/>
      <c r="Z853" s="13"/>
    </row>
    <row r="854" spans="1:26" ht="15.75" customHeight="1">
      <c r="A854" s="39"/>
      <c r="B854" s="39"/>
      <c r="C854" s="306"/>
      <c r="D854" s="87"/>
      <c r="E854" s="87"/>
      <c r="F854" s="87"/>
      <c r="G854" s="87"/>
      <c r="H854" s="87"/>
      <c r="I854" s="87"/>
      <c r="J854" s="87"/>
      <c r="K854" s="87"/>
      <c r="L854" s="87"/>
      <c r="M854" s="87"/>
      <c r="N854" s="87"/>
      <c r="O854" s="87"/>
      <c r="P854" s="87"/>
      <c r="Q854" s="87"/>
      <c r="R854" s="13"/>
      <c r="S854" s="13"/>
      <c r="T854" s="13"/>
      <c r="U854" s="13"/>
      <c r="V854" s="13"/>
      <c r="W854" s="13"/>
      <c r="X854" s="13"/>
      <c r="Y854" s="13"/>
      <c r="Z854" s="13"/>
    </row>
    <row r="855" spans="1:26" ht="15.75" customHeight="1">
      <c r="A855" s="39"/>
      <c r="B855" s="39"/>
      <c r="C855" s="306"/>
      <c r="D855" s="87"/>
      <c r="E855" s="87"/>
      <c r="F855" s="87"/>
      <c r="G855" s="87"/>
      <c r="H855" s="87"/>
      <c r="I855" s="87"/>
      <c r="J855" s="87"/>
      <c r="K855" s="87"/>
      <c r="L855" s="87"/>
      <c r="M855" s="87"/>
      <c r="N855" s="87"/>
      <c r="O855" s="87"/>
      <c r="P855" s="87"/>
      <c r="Q855" s="87"/>
      <c r="R855" s="13"/>
      <c r="S855" s="13"/>
      <c r="T855" s="13"/>
      <c r="U855" s="13"/>
      <c r="V855" s="13"/>
      <c r="W855" s="13"/>
      <c r="X855" s="13"/>
      <c r="Y855" s="13"/>
      <c r="Z855" s="13"/>
    </row>
    <row r="856" spans="1:26" ht="15.75" customHeight="1">
      <c r="A856" s="39"/>
      <c r="B856" s="39"/>
      <c r="C856" s="306"/>
      <c r="D856" s="87"/>
      <c r="E856" s="87"/>
      <c r="F856" s="87"/>
      <c r="G856" s="87"/>
      <c r="H856" s="87"/>
      <c r="I856" s="87"/>
      <c r="J856" s="87"/>
      <c r="K856" s="87"/>
      <c r="L856" s="87"/>
      <c r="M856" s="87"/>
      <c r="N856" s="87"/>
      <c r="O856" s="87"/>
      <c r="P856" s="87"/>
      <c r="Q856" s="87"/>
      <c r="R856" s="13"/>
      <c r="S856" s="13"/>
      <c r="T856" s="13"/>
      <c r="U856" s="13"/>
      <c r="V856" s="13"/>
      <c r="W856" s="13"/>
      <c r="X856" s="13"/>
      <c r="Y856" s="13"/>
      <c r="Z856" s="13"/>
    </row>
    <row r="857" spans="1:26" ht="15.75" customHeight="1">
      <c r="A857" s="39"/>
      <c r="B857" s="39"/>
      <c r="C857" s="306"/>
      <c r="D857" s="87"/>
      <c r="E857" s="87"/>
      <c r="F857" s="87"/>
      <c r="G857" s="87"/>
      <c r="H857" s="87"/>
      <c r="I857" s="87"/>
      <c r="J857" s="87"/>
      <c r="K857" s="87"/>
      <c r="L857" s="87"/>
      <c r="M857" s="87"/>
      <c r="N857" s="87"/>
      <c r="O857" s="87"/>
      <c r="P857" s="87"/>
      <c r="Q857" s="87"/>
      <c r="R857" s="13"/>
      <c r="S857" s="13"/>
      <c r="T857" s="13"/>
      <c r="U857" s="13"/>
      <c r="V857" s="13"/>
      <c r="W857" s="13"/>
      <c r="X857" s="13"/>
      <c r="Y857" s="13"/>
      <c r="Z857" s="13"/>
    </row>
    <row r="858" spans="1:26" ht="15.75" customHeight="1">
      <c r="A858" s="39"/>
      <c r="B858" s="39"/>
      <c r="C858" s="306"/>
      <c r="D858" s="87"/>
      <c r="E858" s="87"/>
      <c r="F858" s="87"/>
      <c r="G858" s="87"/>
      <c r="H858" s="87"/>
      <c r="I858" s="87"/>
      <c r="J858" s="87"/>
      <c r="K858" s="87"/>
      <c r="L858" s="87"/>
      <c r="M858" s="87"/>
      <c r="N858" s="87"/>
      <c r="O858" s="87"/>
      <c r="P858" s="87"/>
      <c r="Q858" s="87"/>
      <c r="R858" s="13"/>
      <c r="S858" s="13"/>
      <c r="T858" s="13"/>
      <c r="U858" s="13"/>
      <c r="V858" s="13"/>
      <c r="W858" s="13"/>
      <c r="X858" s="13"/>
      <c r="Y858" s="13"/>
      <c r="Z858" s="13"/>
    </row>
    <row r="859" spans="1:26" ht="15.75" customHeight="1">
      <c r="A859" s="39"/>
      <c r="B859" s="39"/>
      <c r="C859" s="306"/>
      <c r="D859" s="87"/>
      <c r="E859" s="87"/>
      <c r="F859" s="87"/>
      <c r="G859" s="87"/>
      <c r="H859" s="87"/>
      <c r="I859" s="87"/>
      <c r="J859" s="87"/>
      <c r="K859" s="87"/>
      <c r="L859" s="87"/>
      <c r="M859" s="87"/>
      <c r="N859" s="87"/>
      <c r="O859" s="87"/>
      <c r="P859" s="87"/>
      <c r="Q859" s="87"/>
      <c r="R859" s="13"/>
      <c r="S859" s="13"/>
      <c r="T859" s="13"/>
      <c r="U859" s="13"/>
      <c r="V859" s="13"/>
      <c r="W859" s="13"/>
      <c r="X859" s="13"/>
      <c r="Y859" s="13"/>
      <c r="Z859" s="13"/>
    </row>
    <row r="860" spans="1:26" ht="15.75" customHeight="1">
      <c r="A860" s="39"/>
      <c r="B860" s="39"/>
      <c r="C860" s="306"/>
      <c r="D860" s="87"/>
      <c r="E860" s="87"/>
      <c r="F860" s="87"/>
      <c r="G860" s="87"/>
      <c r="H860" s="87"/>
      <c r="I860" s="87"/>
      <c r="J860" s="87"/>
      <c r="K860" s="87"/>
      <c r="L860" s="87"/>
      <c r="M860" s="87"/>
      <c r="N860" s="87"/>
      <c r="O860" s="87"/>
      <c r="P860" s="87"/>
      <c r="Q860" s="87"/>
      <c r="R860" s="13"/>
      <c r="S860" s="13"/>
      <c r="T860" s="13"/>
      <c r="U860" s="13"/>
      <c r="V860" s="13"/>
      <c r="W860" s="13"/>
      <c r="X860" s="13"/>
      <c r="Y860" s="13"/>
      <c r="Z860" s="13"/>
    </row>
    <row r="861" spans="1:26" ht="15.75" customHeight="1">
      <c r="A861" s="39"/>
      <c r="B861" s="39"/>
      <c r="C861" s="306"/>
      <c r="D861" s="87"/>
      <c r="E861" s="87"/>
      <c r="F861" s="87"/>
      <c r="G861" s="87"/>
      <c r="H861" s="87"/>
      <c r="I861" s="87"/>
      <c r="J861" s="87"/>
      <c r="K861" s="87"/>
      <c r="L861" s="87"/>
      <c r="M861" s="87"/>
      <c r="N861" s="87"/>
      <c r="O861" s="87"/>
      <c r="P861" s="87"/>
      <c r="Q861" s="87"/>
      <c r="R861" s="13"/>
      <c r="S861" s="13"/>
      <c r="T861" s="13"/>
      <c r="U861" s="13"/>
      <c r="V861" s="13"/>
      <c r="W861" s="13"/>
      <c r="X861" s="13"/>
      <c r="Y861" s="13"/>
      <c r="Z861" s="13"/>
    </row>
    <row r="862" spans="1:26" ht="15.75" customHeight="1">
      <c r="A862" s="39"/>
      <c r="B862" s="39"/>
      <c r="C862" s="306"/>
      <c r="D862" s="87"/>
      <c r="E862" s="87"/>
      <c r="F862" s="87"/>
      <c r="G862" s="87"/>
      <c r="H862" s="87"/>
      <c r="I862" s="87"/>
      <c r="J862" s="87"/>
      <c r="K862" s="87"/>
      <c r="L862" s="87"/>
      <c r="M862" s="87"/>
      <c r="N862" s="87"/>
      <c r="O862" s="87"/>
      <c r="P862" s="87"/>
      <c r="Q862" s="87"/>
      <c r="R862" s="13"/>
      <c r="S862" s="13"/>
      <c r="T862" s="13"/>
      <c r="U862" s="13"/>
      <c r="V862" s="13"/>
      <c r="W862" s="13"/>
      <c r="X862" s="13"/>
      <c r="Y862" s="13"/>
      <c r="Z862" s="13"/>
    </row>
    <row r="863" spans="1:26" ht="15.75" customHeight="1">
      <c r="A863" s="39"/>
      <c r="B863" s="39"/>
      <c r="C863" s="306"/>
      <c r="D863" s="87"/>
      <c r="E863" s="87"/>
      <c r="F863" s="87"/>
      <c r="G863" s="87"/>
      <c r="H863" s="87"/>
      <c r="I863" s="87"/>
      <c r="J863" s="87"/>
      <c r="K863" s="87"/>
      <c r="L863" s="87"/>
      <c r="M863" s="87"/>
      <c r="N863" s="87"/>
      <c r="O863" s="87"/>
      <c r="P863" s="87"/>
      <c r="Q863" s="87"/>
      <c r="R863" s="13"/>
      <c r="S863" s="13"/>
      <c r="T863" s="13"/>
      <c r="U863" s="13"/>
      <c r="V863" s="13"/>
      <c r="W863" s="13"/>
      <c r="X863" s="13"/>
      <c r="Y863" s="13"/>
      <c r="Z863" s="13"/>
    </row>
    <row r="864" spans="1:26" ht="15.75" customHeight="1">
      <c r="A864" s="39"/>
      <c r="B864" s="39"/>
      <c r="C864" s="306"/>
      <c r="D864" s="87"/>
      <c r="E864" s="87"/>
      <c r="F864" s="87"/>
      <c r="G864" s="87"/>
      <c r="H864" s="87"/>
      <c r="I864" s="87"/>
      <c r="J864" s="87"/>
      <c r="K864" s="87"/>
      <c r="L864" s="87"/>
      <c r="M864" s="87"/>
      <c r="N864" s="87"/>
      <c r="O864" s="87"/>
      <c r="P864" s="87"/>
      <c r="Q864" s="87"/>
      <c r="R864" s="13"/>
      <c r="S864" s="13"/>
      <c r="T864" s="13"/>
      <c r="U864" s="13"/>
      <c r="V864" s="13"/>
      <c r="W864" s="13"/>
      <c r="X864" s="13"/>
      <c r="Y864" s="13"/>
      <c r="Z864" s="13"/>
    </row>
    <row r="865" spans="1:26" ht="15.75" customHeight="1">
      <c r="A865" s="39"/>
      <c r="B865" s="39"/>
      <c r="C865" s="306"/>
      <c r="D865" s="87"/>
      <c r="E865" s="87"/>
      <c r="F865" s="87"/>
      <c r="G865" s="87"/>
      <c r="H865" s="87"/>
      <c r="I865" s="87"/>
      <c r="J865" s="87"/>
      <c r="K865" s="87"/>
      <c r="L865" s="87"/>
      <c r="M865" s="87"/>
      <c r="N865" s="87"/>
      <c r="O865" s="87"/>
      <c r="P865" s="87"/>
      <c r="Q865" s="87"/>
      <c r="R865" s="13"/>
      <c r="S865" s="13"/>
      <c r="T865" s="13"/>
      <c r="U865" s="13"/>
      <c r="V865" s="13"/>
      <c r="W865" s="13"/>
      <c r="X865" s="13"/>
      <c r="Y865" s="13"/>
      <c r="Z865" s="13"/>
    </row>
    <row r="866" spans="1:26" ht="15.75" customHeight="1">
      <c r="A866" s="39"/>
      <c r="B866" s="39"/>
      <c r="C866" s="306"/>
      <c r="D866" s="87"/>
      <c r="E866" s="87"/>
      <c r="F866" s="87"/>
      <c r="G866" s="87"/>
      <c r="H866" s="87"/>
      <c r="I866" s="87"/>
      <c r="J866" s="87"/>
      <c r="K866" s="87"/>
      <c r="L866" s="87"/>
      <c r="M866" s="87"/>
      <c r="N866" s="87"/>
      <c r="O866" s="87"/>
      <c r="P866" s="87"/>
      <c r="Q866" s="87"/>
      <c r="R866" s="13"/>
      <c r="S866" s="13"/>
      <c r="T866" s="13"/>
      <c r="U866" s="13"/>
      <c r="V866" s="13"/>
      <c r="W866" s="13"/>
      <c r="X866" s="13"/>
      <c r="Y866" s="13"/>
      <c r="Z866" s="13"/>
    </row>
    <row r="867" spans="1:26" ht="15.75" customHeight="1">
      <c r="A867" s="39"/>
      <c r="B867" s="39"/>
      <c r="C867" s="306"/>
      <c r="D867" s="87"/>
      <c r="E867" s="87"/>
      <c r="F867" s="87"/>
      <c r="G867" s="87"/>
      <c r="H867" s="87"/>
      <c r="I867" s="87"/>
      <c r="J867" s="87"/>
      <c r="K867" s="87"/>
      <c r="L867" s="87"/>
      <c r="M867" s="87"/>
      <c r="N867" s="87"/>
      <c r="O867" s="87"/>
      <c r="P867" s="87"/>
      <c r="Q867" s="87"/>
      <c r="R867" s="13"/>
      <c r="S867" s="13"/>
      <c r="T867" s="13"/>
      <c r="U867" s="13"/>
      <c r="V867" s="13"/>
      <c r="W867" s="13"/>
      <c r="X867" s="13"/>
      <c r="Y867" s="13"/>
      <c r="Z867" s="13"/>
    </row>
    <row r="868" spans="1:26" ht="15.75" customHeight="1">
      <c r="A868" s="39"/>
      <c r="B868" s="39"/>
      <c r="C868" s="306"/>
      <c r="D868" s="87"/>
      <c r="E868" s="87"/>
      <c r="F868" s="87"/>
      <c r="G868" s="87"/>
      <c r="H868" s="87"/>
      <c r="I868" s="87"/>
      <c r="J868" s="87"/>
      <c r="K868" s="87"/>
      <c r="L868" s="87"/>
      <c r="M868" s="87"/>
      <c r="N868" s="87"/>
      <c r="O868" s="87"/>
      <c r="P868" s="87"/>
      <c r="Q868" s="87"/>
      <c r="R868" s="13"/>
      <c r="S868" s="13"/>
      <c r="T868" s="13"/>
      <c r="U868" s="13"/>
      <c r="V868" s="13"/>
      <c r="W868" s="13"/>
      <c r="X868" s="13"/>
      <c r="Y868" s="13"/>
      <c r="Z868" s="13"/>
    </row>
    <row r="869" spans="1:26" ht="15.75" customHeight="1">
      <c r="A869" s="39"/>
      <c r="B869" s="39"/>
      <c r="C869" s="306"/>
      <c r="D869" s="87"/>
      <c r="E869" s="87"/>
      <c r="F869" s="87"/>
      <c r="G869" s="87"/>
      <c r="H869" s="87"/>
      <c r="I869" s="87"/>
      <c r="J869" s="87"/>
      <c r="K869" s="87"/>
      <c r="L869" s="87"/>
      <c r="M869" s="87"/>
      <c r="N869" s="87"/>
      <c r="O869" s="87"/>
      <c r="P869" s="87"/>
      <c r="Q869" s="87"/>
      <c r="R869" s="13"/>
      <c r="S869" s="13"/>
      <c r="T869" s="13"/>
      <c r="U869" s="13"/>
      <c r="V869" s="13"/>
      <c r="W869" s="13"/>
      <c r="X869" s="13"/>
      <c r="Y869" s="13"/>
      <c r="Z869" s="13"/>
    </row>
    <row r="870" spans="1:26" ht="15.75" customHeight="1">
      <c r="A870" s="39"/>
      <c r="B870" s="39"/>
      <c r="C870" s="306"/>
      <c r="D870" s="87"/>
      <c r="E870" s="87"/>
      <c r="F870" s="87"/>
      <c r="G870" s="87"/>
      <c r="H870" s="87"/>
      <c r="I870" s="87"/>
      <c r="J870" s="87"/>
      <c r="K870" s="87"/>
      <c r="L870" s="87"/>
      <c r="M870" s="87"/>
      <c r="N870" s="87"/>
      <c r="O870" s="87"/>
      <c r="P870" s="87"/>
      <c r="Q870" s="87"/>
      <c r="R870" s="13"/>
      <c r="S870" s="13"/>
      <c r="T870" s="13"/>
      <c r="U870" s="13"/>
      <c r="V870" s="13"/>
      <c r="W870" s="13"/>
      <c r="X870" s="13"/>
      <c r="Y870" s="13"/>
      <c r="Z870" s="13"/>
    </row>
    <row r="871" spans="1:26" ht="15.75" customHeight="1">
      <c r="A871" s="39"/>
      <c r="B871" s="39"/>
      <c r="C871" s="306"/>
      <c r="D871" s="87"/>
      <c r="E871" s="87"/>
      <c r="F871" s="87"/>
      <c r="G871" s="87"/>
      <c r="H871" s="87"/>
      <c r="I871" s="87"/>
      <c r="J871" s="87"/>
      <c r="K871" s="87"/>
      <c r="L871" s="87"/>
      <c r="M871" s="87"/>
      <c r="N871" s="87"/>
      <c r="O871" s="87"/>
      <c r="P871" s="87"/>
      <c r="Q871" s="87"/>
      <c r="R871" s="13"/>
      <c r="S871" s="13"/>
      <c r="T871" s="13"/>
      <c r="U871" s="13"/>
      <c r="V871" s="13"/>
      <c r="W871" s="13"/>
      <c r="X871" s="13"/>
      <c r="Y871" s="13"/>
      <c r="Z871" s="13"/>
    </row>
    <row r="872" spans="1:26" ht="15.75" customHeight="1">
      <c r="A872" s="39"/>
      <c r="B872" s="39"/>
      <c r="C872" s="306"/>
      <c r="D872" s="87"/>
      <c r="E872" s="87"/>
      <c r="F872" s="87"/>
      <c r="G872" s="87"/>
      <c r="H872" s="87"/>
      <c r="I872" s="87"/>
      <c r="J872" s="87"/>
      <c r="K872" s="87"/>
      <c r="L872" s="87"/>
      <c r="M872" s="87"/>
      <c r="N872" s="87"/>
      <c r="O872" s="87"/>
      <c r="P872" s="87"/>
      <c r="Q872" s="87"/>
      <c r="R872" s="13"/>
      <c r="S872" s="13"/>
      <c r="T872" s="13"/>
      <c r="U872" s="13"/>
      <c r="V872" s="13"/>
      <c r="W872" s="13"/>
      <c r="X872" s="13"/>
      <c r="Y872" s="13"/>
      <c r="Z872" s="13"/>
    </row>
    <row r="873" spans="1:26" ht="15.75" customHeight="1">
      <c r="A873" s="39"/>
      <c r="B873" s="39"/>
      <c r="C873" s="306"/>
      <c r="D873" s="87"/>
      <c r="E873" s="87"/>
      <c r="F873" s="87"/>
      <c r="G873" s="87"/>
      <c r="H873" s="87"/>
      <c r="I873" s="87"/>
      <c r="J873" s="87"/>
      <c r="K873" s="87"/>
      <c r="L873" s="87"/>
      <c r="M873" s="87"/>
      <c r="N873" s="87"/>
      <c r="O873" s="87"/>
      <c r="P873" s="87"/>
      <c r="Q873" s="87"/>
      <c r="R873" s="13"/>
      <c r="S873" s="13"/>
      <c r="T873" s="13"/>
      <c r="U873" s="13"/>
      <c r="V873" s="13"/>
      <c r="W873" s="13"/>
      <c r="X873" s="13"/>
      <c r="Y873" s="13"/>
      <c r="Z873" s="13"/>
    </row>
    <row r="874" spans="1:26" ht="15.75" customHeight="1">
      <c r="A874" s="39"/>
      <c r="B874" s="39"/>
      <c r="C874" s="306"/>
      <c r="D874" s="87"/>
      <c r="E874" s="87"/>
      <c r="F874" s="87"/>
      <c r="G874" s="87"/>
      <c r="H874" s="87"/>
      <c r="I874" s="87"/>
      <c r="J874" s="87"/>
      <c r="K874" s="87"/>
      <c r="L874" s="87"/>
      <c r="M874" s="87"/>
      <c r="N874" s="87"/>
      <c r="O874" s="87"/>
      <c r="P874" s="87"/>
      <c r="Q874" s="87"/>
      <c r="R874" s="13"/>
      <c r="S874" s="13"/>
      <c r="T874" s="13"/>
      <c r="U874" s="13"/>
      <c r="V874" s="13"/>
      <c r="W874" s="13"/>
      <c r="X874" s="13"/>
      <c r="Y874" s="13"/>
      <c r="Z874" s="13"/>
    </row>
    <row r="875" spans="1:26" ht="15.75" customHeight="1">
      <c r="A875" s="39"/>
      <c r="B875" s="39"/>
      <c r="C875" s="306"/>
      <c r="D875" s="87"/>
      <c r="E875" s="87"/>
      <c r="F875" s="87"/>
      <c r="G875" s="87"/>
      <c r="H875" s="87"/>
      <c r="I875" s="87"/>
      <c r="J875" s="87"/>
      <c r="K875" s="87"/>
      <c r="L875" s="87"/>
      <c r="M875" s="87"/>
      <c r="N875" s="87"/>
      <c r="O875" s="87"/>
      <c r="P875" s="87"/>
      <c r="Q875" s="87"/>
      <c r="R875" s="13"/>
      <c r="S875" s="13"/>
      <c r="T875" s="13"/>
      <c r="U875" s="13"/>
      <c r="V875" s="13"/>
      <c r="W875" s="13"/>
      <c r="X875" s="13"/>
      <c r="Y875" s="13"/>
      <c r="Z875" s="13"/>
    </row>
    <row r="876" spans="1:26" ht="15.75" customHeight="1">
      <c r="A876" s="39"/>
      <c r="B876" s="39"/>
      <c r="C876" s="306"/>
      <c r="D876" s="87"/>
      <c r="E876" s="87"/>
      <c r="F876" s="87"/>
      <c r="G876" s="87"/>
      <c r="H876" s="87"/>
      <c r="I876" s="87"/>
      <c r="J876" s="87"/>
      <c r="K876" s="87"/>
      <c r="L876" s="87"/>
      <c r="M876" s="87"/>
      <c r="N876" s="87"/>
      <c r="O876" s="87"/>
      <c r="P876" s="87"/>
      <c r="Q876" s="87"/>
      <c r="R876" s="13"/>
      <c r="S876" s="13"/>
      <c r="T876" s="13"/>
      <c r="U876" s="13"/>
      <c r="V876" s="13"/>
      <c r="W876" s="13"/>
      <c r="X876" s="13"/>
      <c r="Y876" s="13"/>
      <c r="Z876" s="13"/>
    </row>
    <row r="877" spans="1:26" ht="15.75" customHeight="1">
      <c r="A877" s="39"/>
      <c r="B877" s="39"/>
      <c r="C877" s="306"/>
      <c r="D877" s="87"/>
      <c r="E877" s="87"/>
      <c r="F877" s="87"/>
      <c r="G877" s="87"/>
      <c r="H877" s="87"/>
      <c r="I877" s="87"/>
      <c r="J877" s="87"/>
      <c r="K877" s="87"/>
      <c r="L877" s="87"/>
      <c r="M877" s="87"/>
      <c r="N877" s="87"/>
      <c r="O877" s="87"/>
      <c r="P877" s="87"/>
      <c r="Q877" s="87"/>
      <c r="R877" s="13"/>
      <c r="S877" s="13"/>
      <c r="T877" s="13"/>
      <c r="U877" s="13"/>
      <c r="V877" s="13"/>
      <c r="W877" s="13"/>
      <c r="X877" s="13"/>
      <c r="Y877" s="13"/>
      <c r="Z877" s="13"/>
    </row>
    <row r="878" spans="1:26" ht="15.75" customHeight="1">
      <c r="A878" s="39"/>
      <c r="B878" s="39"/>
      <c r="C878" s="306"/>
      <c r="D878" s="87"/>
      <c r="E878" s="87"/>
      <c r="F878" s="87"/>
      <c r="G878" s="87"/>
      <c r="H878" s="87"/>
      <c r="I878" s="87"/>
      <c r="J878" s="87"/>
      <c r="K878" s="87"/>
      <c r="L878" s="87"/>
      <c r="M878" s="87"/>
      <c r="N878" s="87"/>
      <c r="O878" s="87"/>
      <c r="P878" s="87"/>
      <c r="Q878" s="87"/>
      <c r="R878" s="13"/>
      <c r="S878" s="13"/>
      <c r="T878" s="13"/>
      <c r="U878" s="13"/>
      <c r="V878" s="13"/>
      <c r="W878" s="13"/>
      <c r="X878" s="13"/>
      <c r="Y878" s="13"/>
      <c r="Z878" s="13"/>
    </row>
    <row r="879" spans="1:26" ht="15.75" customHeight="1">
      <c r="A879" s="39"/>
      <c r="B879" s="39"/>
      <c r="C879" s="306"/>
      <c r="D879" s="87"/>
      <c r="E879" s="87"/>
      <c r="F879" s="87"/>
      <c r="G879" s="87"/>
      <c r="H879" s="87"/>
      <c r="I879" s="87"/>
      <c r="J879" s="87"/>
      <c r="K879" s="87"/>
      <c r="L879" s="87"/>
      <c r="M879" s="87"/>
      <c r="N879" s="87"/>
      <c r="O879" s="87"/>
      <c r="P879" s="87"/>
      <c r="Q879" s="87"/>
      <c r="R879" s="13"/>
      <c r="S879" s="13"/>
      <c r="T879" s="13"/>
      <c r="U879" s="13"/>
      <c r="V879" s="13"/>
      <c r="W879" s="13"/>
      <c r="X879" s="13"/>
      <c r="Y879" s="13"/>
      <c r="Z879" s="13"/>
    </row>
    <row r="880" spans="1:26" ht="15.75" customHeight="1">
      <c r="A880" s="39"/>
      <c r="B880" s="39"/>
      <c r="C880" s="306"/>
      <c r="D880" s="87"/>
      <c r="E880" s="87"/>
      <c r="F880" s="87"/>
      <c r="G880" s="87"/>
      <c r="H880" s="87"/>
      <c r="I880" s="87"/>
      <c r="J880" s="87"/>
      <c r="K880" s="87"/>
      <c r="L880" s="87"/>
      <c r="M880" s="87"/>
      <c r="N880" s="87"/>
      <c r="O880" s="87"/>
      <c r="P880" s="87"/>
      <c r="Q880" s="87"/>
      <c r="R880" s="13"/>
      <c r="S880" s="13"/>
      <c r="T880" s="13"/>
      <c r="U880" s="13"/>
      <c r="V880" s="13"/>
      <c r="W880" s="13"/>
      <c r="X880" s="13"/>
      <c r="Y880" s="13"/>
      <c r="Z880" s="13"/>
    </row>
    <row r="881" spans="1:26" ht="15.75" customHeight="1">
      <c r="A881" s="39"/>
      <c r="B881" s="39"/>
      <c r="C881" s="306"/>
      <c r="D881" s="87"/>
      <c r="E881" s="87"/>
      <c r="F881" s="87"/>
      <c r="G881" s="87"/>
      <c r="H881" s="87"/>
      <c r="I881" s="87"/>
      <c r="J881" s="87"/>
      <c r="K881" s="87"/>
      <c r="L881" s="87"/>
      <c r="M881" s="87"/>
      <c r="N881" s="87"/>
      <c r="O881" s="87"/>
      <c r="P881" s="87"/>
      <c r="Q881" s="87"/>
      <c r="R881" s="13"/>
      <c r="S881" s="13"/>
      <c r="T881" s="13"/>
      <c r="U881" s="13"/>
      <c r="V881" s="13"/>
      <c r="W881" s="13"/>
      <c r="X881" s="13"/>
      <c r="Y881" s="13"/>
      <c r="Z881" s="13"/>
    </row>
    <row r="882" spans="1:26" ht="15.75" customHeight="1">
      <c r="A882" s="39"/>
      <c r="B882" s="39"/>
      <c r="C882" s="306"/>
      <c r="D882" s="87"/>
      <c r="E882" s="87"/>
      <c r="F882" s="87"/>
      <c r="G882" s="87"/>
      <c r="H882" s="87"/>
      <c r="I882" s="87"/>
      <c r="J882" s="87"/>
      <c r="K882" s="87"/>
      <c r="L882" s="87"/>
      <c r="M882" s="87"/>
      <c r="N882" s="87"/>
      <c r="O882" s="87"/>
      <c r="P882" s="87"/>
      <c r="Q882" s="87"/>
      <c r="R882" s="13"/>
      <c r="S882" s="13"/>
      <c r="T882" s="13"/>
      <c r="U882" s="13"/>
      <c r="V882" s="13"/>
      <c r="W882" s="13"/>
      <c r="X882" s="13"/>
      <c r="Y882" s="13"/>
      <c r="Z882" s="13"/>
    </row>
    <row r="883" spans="1:26" ht="15.75" customHeight="1">
      <c r="A883" s="39"/>
      <c r="B883" s="39"/>
      <c r="C883" s="306"/>
      <c r="D883" s="87"/>
      <c r="E883" s="87"/>
      <c r="F883" s="87"/>
      <c r="G883" s="87"/>
      <c r="H883" s="87"/>
      <c r="I883" s="87"/>
      <c r="J883" s="87"/>
      <c r="K883" s="87"/>
      <c r="L883" s="87"/>
      <c r="M883" s="87"/>
      <c r="N883" s="87"/>
      <c r="O883" s="87"/>
      <c r="P883" s="87"/>
      <c r="Q883" s="87"/>
      <c r="R883" s="13"/>
      <c r="S883" s="13"/>
      <c r="T883" s="13"/>
      <c r="U883" s="13"/>
      <c r="V883" s="13"/>
      <c r="W883" s="13"/>
      <c r="X883" s="13"/>
      <c r="Y883" s="13"/>
      <c r="Z883" s="13"/>
    </row>
    <row r="884" spans="1:26" ht="15.75" customHeight="1">
      <c r="A884" s="39"/>
      <c r="B884" s="39"/>
      <c r="C884" s="306"/>
      <c r="D884" s="87"/>
      <c r="E884" s="87"/>
      <c r="F884" s="87"/>
      <c r="G884" s="87"/>
      <c r="H884" s="87"/>
      <c r="I884" s="87"/>
      <c r="J884" s="87"/>
      <c r="K884" s="87"/>
      <c r="L884" s="87"/>
      <c r="M884" s="87"/>
      <c r="N884" s="87"/>
      <c r="O884" s="87"/>
      <c r="P884" s="87"/>
      <c r="Q884" s="87"/>
      <c r="R884" s="13"/>
      <c r="S884" s="13"/>
      <c r="T884" s="13"/>
      <c r="U884" s="13"/>
      <c r="V884" s="13"/>
      <c r="W884" s="13"/>
      <c r="X884" s="13"/>
      <c r="Y884" s="13"/>
      <c r="Z884" s="13"/>
    </row>
    <row r="885" spans="1:26" ht="15.75" customHeight="1">
      <c r="A885" s="39"/>
      <c r="B885" s="39"/>
      <c r="C885" s="306"/>
      <c r="D885" s="87"/>
      <c r="E885" s="87"/>
      <c r="F885" s="87"/>
      <c r="G885" s="87"/>
      <c r="H885" s="87"/>
      <c r="I885" s="87"/>
      <c r="J885" s="87"/>
      <c r="K885" s="87"/>
      <c r="L885" s="87"/>
      <c r="M885" s="87"/>
      <c r="N885" s="87"/>
      <c r="O885" s="87"/>
      <c r="P885" s="87"/>
      <c r="Q885" s="87"/>
      <c r="R885" s="13"/>
      <c r="S885" s="13"/>
      <c r="T885" s="13"/>
      <c r="U885" s="13"/>
      <c r="V885" s="13"/>
      <c r="W885" s="13"/>
      <c r="X885" s="13"/>
      <c r="Y885" s="13"/>
      <c r="Z885" s="13"/>
    </row>
    <row r="886" spans="1:26" ht="15.75" customHeight="1">
      <c r="A886" s="39"/>
      <c r="B886" s="39"/>
      <c r="C886" s="306"/>
      <c r="D886" s="87"/>
      <c r="E886" s="87"/>
      <c r="F886" s="87"/>
      <c r="G886" s="87"/>
      <c r="H886" s="87"/>
      <c r="I886" s="87"/>
      <c r="J886" s="87"/>
      <c r="K886" s="87"/>
      <c r="L886" s="87"/>
      <c r="M886" s="87"/>
      <c r="N886" s="87"/>
      <c r="O886" s="87"/>
      <c r="P886" s="87"/>
      <c r="Q886" s="87"/>
      <c r="R886" s="13"/>
      <c r="S886" s="13"/>
      <c r="T886" s="13"/>
      <c r="U886" s="13"/>
      <c r="V886" s="13"/>
      <c r="W886" s="13"/>
      <c r="X886" s="13"/>
      <c r="Y886" s="13"/>
      <c r="Z886" s="13"/>
    </row>
    <row r="887" spans="1:26" ht="15.75" customHeight="1">
      <c r="A887" s="39"/>
      <c r="B887" s="39"/>
      <c r="C887" s="306"/>
      <c r="D887" s="87"/>
      <c r="E887" s="87"/>
      <c r="F887" s="87"/>
      <c r="G887" s="87"/>
      <c r="H887" s="87"/>
      <c r="I887" s="87"/>
      <c r="J887" s="87"/>
      <c r="K887" s="87"/>
      <c r="L887" s="87"/>
      <c r="M887" s="87"/>
      <c r="N887" s="87"/>
      <c r="O887" s="87"/>
      <c r="P887" s="87"/>
      <c r="Q887" s="87"/>
      <c r="R887" s="13"/>
      <c r="S887" s="13"/>
      <c r="T887" s="13"/>
      <c r="U887" s="13"/>
      <c r="V887" s="13"/>
      <c r="W887" s="13"/>
      <c r="X887" s="13"/>
      <c r="Y887" s="13"/>
      <c r="Z887" s="13"/>
    </row>
    <row r="888" spans="1:26" ht="15.75" customHeight="1">
      <c r="A888" s="39"/>
      <c r="B888" s="39"/>
      <c r="C888" s="306"/>
      <c r="D888" s="87"/>
      <c r="E888" s="87"/>
      <c r="F888" s="87"/>
      <c r="G888" s="87"/>
      <c r="H888" s="87"/>
      <c r="I888" s="87"/>
      <c r="J888" s="87"/>
      <c r="K888" s="87"/>
      <c r="L888" s="87"/>
      <c r="M888" s="87"/>
      <c r="N888" s="87"/>
      <c r="O888" s="87"/>
      <c r="P888" s="87"/>
      <c r="Q888" s="87"/>
      <c r="R888" s="13"/>
      <c r="S888" s="13"/>
      <c r="T888" s="13"/>
      <c r="U888" s="13"/>
      <c r="V888" s="13"/>
      <c r="W888" s="13"/>
      <c r="X888" s="13"/>
      <c r="Y888" s="13"/>
      <c r="Z888" s="13"/>
    </row>
    <row r="889" spans="1:26" ht="15.75" customHeight="1">
      <c r="A889" s="39"/>
      <c r="B889" s="39"/>
      <c r="C889" s="306"/>
      <c r="D889" s="87"/>
      <c r="E889" s="87"/>
      <c r="F889" s="87"/>
      <c r="G889" s="87"/>
      <c r="H889" s="87"/>
      <c r="I889" s="87"/>
      <c r="J889" s="87"/>
      <c r="K889" s="87"/>
      <c r="L889" s="87"/>
      <c r="M889" s="87"/>
      <c r="N889" s="87"/>
      <c r="O889" s="87"/>
      <c r="P889" s="87"/>
      <c r="Q889" s="87"/>
      <c r="R889" s="13"/>
      <c r="S889" s="13"/>
      <c r="T889" s="13"/>
      <c r="U889" s="13"/>
      <c r="V889" s="13"/>
      <c r="W889" s="13"/>
      <c r="X889" s="13"/>
      <c r="Y889" s="13"/>
      <c r="Z889" s="13"/>
    </row>
    <row r="890" spans="1:26" ht="15.75" customHeight="1">
      <c r="A890" s="39"/>
      <c r="B890" s="39"/>
      <c r="C890" s="306"/>
      <c r="D890" s="87"/>
      <c r="E890" s="87"/>
      <c r="F890" s="87"/>
      <c r="G890" s="87"/>
      <c r="H890" s="87"/>
      <c r="I890" s="87"/>
      <c r="J890" s="87"/>
      <c r="K890" s="87"/>
      <c r="L890" s="87"/>
      <c r="M890" s="87"/>
      <c r="N890" s="87"/>
      <c r="O890" s="87"/>
      <c r="P890" s="87"/>
      <c r="Q890" s="87"/>
      <c r="R890" s="13"/>
      <c r="S890" s="13"/>
      <c r="T890" s="13"/>
      <c r="U890" s="13"/>
      <c r="V890" s="13"/>
      <c r="W890" s="13"/>
      <c r="X890" s="13"/>
      <c r="Y890" s="13"/>
      <c r="Z890" s="13"/>
    </row>
    <row r="891" spans="1:26" ht="15.75" customHeight="1">
      <c r="A891" s="39"/>
      <c r="B891" s="39"/>
      <c r="C891" s="306"/>
      <c r="D891" s="87"/>
      <c r="E891" s="87"/>
      <c r="F891" s="87"/>
      <c r="G891" s="87"/>
      <c r="H891" s="87"/>
      <c r="I891" s="87"/>
      <c r="J891" s="87"/>
      <c r="K891" s="87"/>
      <c r="L891" s="87"/>
      <c r="M891" s="87"/>
      <c r="N891" s="87"/>
      <c r="O891" s="87"/>
      <c r="P891" s="87"/>
      <c r="Q891" s="87"/>
      <c r="R891" s="13"/>
      <c r="S891" s="13"/>
      <c r="T891" s="13"/>
      <c r="U891" s="13"/>
      <c r="V891" s="13"/>
      <c r="W891" s="13"/>
      <c r="X891" s="13"/>
      <c r="Y891" s="13"/>
      <c r="Z891" s="13"/>
    </row>
    <row r="892" spans="1:26" ht="15.75" customHeight="1">
      <c r="A892" s="39"/>
      <c r="B892" s="39"/>
      <c r="C892" s="306"/>
      <c r="D892" s="87"/>
      <c r="E892" s="87"/>
      <c r="F892" s="87"/>
      <c r="G892" s="87"/>
      <c r="H892" s="87"/>
      <c r="I892" s="87"/>
      <c r="J892" s="87"/>
      <c r="K892" s="87"/>
      <c r="L892" s="87"/>
      <c r="M892" s="87"/>
      <c r="N892" s="87"/>
      <c r="O892" s="87"/>
      <c r="P892" s="87"/>
      <c r="Q892" s="87"/>
      <c r="R892" s="13"/>
      <c r="S892" s="13"/>
      <c r="T892" s="13"/>
      <c r="U892" s="13"/>
      <c r="V892" s="13"/>
      <c r="W892" s="13"/>
      <c r="X892" s="13"/>
      <c r="Y892" s="13"/>
      <c r="Z892" s="13"/>
    </row>
    <row r="893" spans="1:26" ht="15.75" customHeight="1">
      <c r="A893" s="39"/>
      <c r="B893" s="39"/>
      <c r="C893" s="306"/>
      <c r="D893" s="87"/>
      <c r="E893" s="87"/>
      <c r="F893" s="87"/>
      <c r="G893" s="87"/>
      <c r="H893" s="87"/>
      <c r="I893" s="87"/>
      <c r="J893" s="87"/>
      <c r="K893" s="87"/>
      <c r="L893" s="87"/>
      <c r="M893" s="87"/>
      <c r="N893" s="87"/>
      <c r="O893" s="87"/>
      <c r="P893" s="87"/>
      <c r="Q893" s="87"/>
      <c r="R893" s="13"/>
      <c r="S893" s="13"/>
      <c r="T893" s="13"/>
      <c r="U893" s="13"/>
      <c r="V893" s="13"/>
      <c r="W893" s="13"/>
      <c r="X893" s="13"/>
      <c r="Y893" s="13"/>
      <c r="Z893" s="13"/>
    </row>
    <row r="894" spans="1:26" ht="15.75" customHeight="1">
      <c r="A894" s="39"/>
      <c r="B894" s="39"/>
      <c r="C894" s="306"/>
      <c r="D894" s="87"/>
      <c r="E894" s="87"/>
      <c r="F894" s="87"/>
      <c r="G894" s="87"/>
      <c r="H894" s="87"/>
      <c r="I894" s="87"/>
      <c r="J894" s="87"/>
      <c r="K894" s="87"/>
      <c r="L894" s="87"/>
      <c r="M894" s="87"/>
      <c r="N894" s="87"/>
      <c r="O894" s="87"/>
      <c r="P894" s="87"/>
      <c r="Q894" s="87"/>
      <c r="R894" s="13"/>
      <c r="S894" s="13"/>
      <c r="T894" s="13"/>
      <c r="U894" s="13"/>
      <c r="V894" s="13"/>
      <c r="W894" s="13"/>
      <c r="X894" s="13"/>
      <c r="Y894" s="13"/>
      <c r="Z894" s="13"/>
    </row>
    <row r="895" spans="1:26" ht="15.75" customHeight="1">
      <c r="A895" s="39"/>
      <c r="B895" s="39"/>
      <c r="C895" s="306"/>
      <c r="D895" s="87"/>
      <c r="E895" s="87"/>
      <c r="F895" s="87"/>
      <c r="G895" s="87"/>
      <c r="H895" s="87"/>
      <c r="I895" s="87"/>
      <c r="J895" s="87"/>
      <c r="K895" s="87"/>
      <c r="L895" s="87"/>
      <c r="M895" s="87"/>
      <c r="N895" s="87"/>
      <c r="O895" s="87"/>
      <c r="P895" s="87"/>
      <c r="Q895" s="87"/>
      <c r="R895" s="13"/>
      <c r="S895" s="13"/>
      <c r="T895" s="13"/>
      <c r="U895" s="13"/>
      <c r="V895" s="13"/>
      <c r="W895" s="13"/>
      <c r="X895" s="13"/>
      <c r="Y895" s="13"/>
      <c r="Z895" s="13"/>
    </row>
    <row r="896" spans="1:26" ht="15.75" customHeight="1">
      <c r="A896" s="39"/>
      <c r="B896" s="39"/>
      <c r="C896" s="306"/>
      <c r="D896" s="87"/>
      <c r="E896" s="87"/>
      <c r="F896" s="87"/>
      <c r="G896" s="87"/>
      <c r="H896" s="87"/>
      <c r="I896" s="87"/>
      <c r="J896" s="87"/>
      <c r="K896" s="87"/>
      <c r="L896" s="87"/>
      <c r="M896" s="87"/>
      <c r="N896" s="87"/>
      <c r="O896" s="87"/>
      <c r="P896" s="87"/>
      <c r="Q896" s="87"/>
      <c r="R896" s="13"/>
      <c r="S896" s="13"/>
      <c r="T896" s="13"/>
      <c r="U896" s="13"/>
      <c r="V896" s="13"/>
      <c r="W896" s="13"/>
      <c r="X896" s="13"/>
      <c r="Y896" s="13"/>
      <c r="Z896" s="13"/>
    </row>
    <row r="897" spans="1:26" ht="15.75" customHeight="1">
      <c r="A897" s="39"/>
      <c r="B897" s="39"/>
      <c r="C897" s="306"/>
      <c r="D897" s="87"/>
      <c r="E897" s="87"/>
      <c r="F897" s="87"/>
      <c r="G897" s="87"/>
      <c r="H897" s="87"/>
      <c r="I897" s="87"/>
      <c r="J897" s="87"/>
      <c r="K897" s="87"/>
      <c r="L897" s="87"/>
      <c r="M897" s="87"/>
      <c r="N897" s="87"/>
      <c r="O897" s="87"/>
      <c r="P897" s="87"/>
      <c r="Q897" s="87"/>
      <c r="R897" s="13"/>
      <c r="S897" s="13"/>
      <c r="T897" s="13"/>
      <c r="U897" s="13"/>
      <c r="V897" s="13"/>
      <c r="W897" s="13"/>
      <c r="X897" s="13"/>
      <c r="Y897" s="13"/>
      <c r="Z897" s="13"/>
    </row>
    <row r="898" spans="1:26" ht="15.75" customHeight="1">
      <c r="A898" s="39"/>
      <c r="B898" s="39"/>
      <c r="C898" s="306"/>
      <c r="D898" s="87"/>
      <c r="E898" s="87"/>
      <c r="F898" s="87"/>
      <c r="G898" s="87"/>
      <c r="H898" s="87"/>
      <c r="I898" s="87"/>
      <c r="J898" s="87"/>
      <c r="K898" s="87"/>
      <c r="L898" s="87"/>
      <c r="M898" s="87"/>
      <c r="N898" s="87"/>
      <c r="O898" s="87"/>
      <c r="P898" s="87"/>
      <c r="Q898" s="87"/>
      <c r="R898" s="13"/>
      <c r="S898" s="13"/>
      <c r="T898" s="13"/>
      <c r="U898" s="13"/>
      <c r="V898" s="13"/>
      <c r="W898" s="13"/>
      <c r="X898" s="13"/>
      <c r="Y898" s="13"/>
      <c r="Z898" s="13"/>
    </row>
    <row r="899" spans="1:26" ht="15.75" customHeight="1">
      <c r="A899" s="39"/>
      <c r="B899" s="39"/>
      <c r="C899" s="306"/>
      <c r="D899" s="87"/>
      <c r="E899" s="87"/>
      <c r="F899" s="87"/>
      <c r="G899" s="87"/>
      <c r="H899" s="87"/>
      <c r="I899" s="87"/>
      <c r="J899" s="87"/>
      <c r="K899" s="87"/>
      <c r="L899" s="87"/>
      <c r="M899" s="87"/>
      <c r="N899" s="87"/>
      <c r="O899" s="87"/>
      <c r="P899" s="87"/>
      <c r="Q899" s="87"/>
      <c r="R899" s="13"/>
      <c r="S899" s="13"/>
      <c r="T899" s="13"/>
      <c r="U899" s="13"/>
      <c r="V899" s="13"/>
      <c r="W899" s="13"/>
      <c r="X899" s="13"/>
      <c r="Y899" s="13"/>
      <c r="Z899" s="13"/>
    </row>
    <row r="900" spans="1:26" ht="15.75" customHeight="1">
      <c r="A900" s="39"/>
      <c r="B900" s="39"/>
      <c r="C900" s="306"/>
      <c r="D900" s="87"/>
      <c r="E900" s="87"/>
      <c r="F900" s="87"/>
      <c r="G900" s="87"/>
      <c r="H900" s="87"/>
      <c r="I900" s="87"/>
      <c r="J900" s="87"/>
      <c r="K900" s="87"/>
      <c r="L900" s="87"/>
      <c r="M900" s="87"/>
      <c r="N900" s="87"/>
      <c r="O900" s="87"/>
      <c r="P900" s="87"/>
      <c r="Q900" s="87"/>
      <c r="R900" s="13"/>
      <c r="S900" s="13"/>
      <c r="T900" s="13"/>
      <c r="U900" s="13"/>
      <c r="V900" s="13"/>
      <c r="W900" s="13"/>
      <c r="X900" s="13"/>
      <c r="Y900" s="13"/>
      <c r="Z900" s="13"/>
    </row>
    <row r="901" spans="1:26" ht="15.75" customHeight="1">
      <c r="A901" s="39"/>
      <c r="B901" s="39"/>
      <c r="C901" s="306"/>
      <c r="D901" s="87"/>
      <c r="E901" s="87"/>
      <c r="F901" s="87"/>
      <c r="G901" s="87"/>
      <c r="H901" s="87"/>
      <c r="I901" s="87"/>
      <c r="J901" s="87"/>
      <c r="K901" s="87"/>
      <c r="L901" s="87"/>
      <c r="M901" s="87"/>
      <c r="N901" s="87"/>
      <c r="O901" s="87"/>
      <c r="P901" s="87"/>
      <c r="Q901" s="87"/>
      <c r="R901" s="13"/>
      <c r="S901" s="13"/>
      <c r="T901" s="13"/>
      <c r="U901" s="13"/>
      <c r="V901" s="13"/>
      <c r="W901" s="13"/>
      <c r="X901" s="13"/>
      <c r="Y901" s="13"/>
      <c r="Z901" s="13"/>
    </row>
    <row r="902" spans="1:26" ht="15.75" customHeight="1">
      <c r="A902" s="39"/>
      <c r="B902" s="39"/>
      <c r="C902" s="306"/>
      <c r="D902" s="87"/>
      <c r="E902" s="87"/>
      <c r="F902" s="87"/>
      <c r="G902" s="87"/>
      <c r="H902" s="87"/>
      <c r="I902" s="87"/>
      <c r="J902" s="87"/>
      <c r="K902" s="87"/>
      <c r="L902" s="87"/>
      <c r="M902" s="87"/>
      <c r="N902" s="87"/>
      <c r="O902" s="87"/>
      <c r="P902" s="87"/>
      <c r="Q902" s="87"/>
      <c r="R902" s="13"/>
      <c r="S902" s="13"/>
      <c r="T902" s="13"/>
      <c r="U902" s="13"/>
      <c r="V902" s="13"/>
      <c r="W902" s="13"/>
      <c r="X902" s="13"/>
      <c r="Y902" s="13"/>
      <c r="Z902" s="13"/>
    </row>
    <row r="903" spans="1:26" ht="15.75" customHeight="1">
      <c r="A903" s="39"/>
      <c r="B903" s="39"/>
      <c r="C903" s="306"/>
      <c r="D903" s="87"/>
      <c r="E903" s="87"/>
      <c r="F903" s="87"/>
      <c r="G903" s="87"/>
      <c r="H903" s="87"/>
      <c r="I903" s="87"/>
      <c r="J903" s="87"/>
      <c r="K903" s="87"/>
      <c r="L903" s="87"/>
      <c r="M903" s="87"/>
      <c r="N903" s="87"/>
      <c r="O903" s="87"/>
      <c r="P903" s="87"/>
      <c r="Q903" s="87"/>
      <c r="R903" s="13"/>
      <c r="S903" s="13"/>
      <c r="T903" s="13"/>
      <c r="U903" s="13"/>
      <c r="V903" s="13"/>
      <c r="W903" s="13"/>
      <c r="X903" s="13"/>
      <c r="Y903" s="13"/>
      <c r="Z903" s="13"/>
    </row>
    <row r="904" spans="1:26" ht="15.75" customHeight="1">
      <c r="A904" s="39"/>
      <c r="B904" s="39"/>
      <c r="C904" s="306"/>
      <c r="D904" s="87"/>
      <c r="E904" s="87"/>
      <c r="F904" s="87"/>
      <c r="G904" s="87"/>
      <c r="H904" s="87"/>
      <c r="I904" s="87"/>
      <c r="J904" s="87"/>
      <c r="K904" s="87"/>
      <c r="L904" s="87"/>
      <c r="M904" s="87"/>
      <c r="N904" s="87"/>
      <c r="O904" s="87"/>
      <c r="P904" s="87"/>
      <c r="Q904" s="87"/>
      <c r="R904" s="13"/>
      <c r="S904" s="13"/>
      <c r="T904" s="13"/>
      <c r="U904" s="13"/>
      <c r="V904" s="13"/>
      <c r="W904" s="13"/>
      <c r="X904" s="13"/>
      <c r="Y904" s="13"/>
      <c r="Z904" s="13"/>
    </row>
    <row r="905" spans="1:26" ht="15.75" customHeight="1">
      <c r="A905" s="39"/>
      <c r="B905" s="39"/>
      <c r="C905" s="306"/>
      <c r="D905" s="87"/>
      <c r="E905" s="87"/>
      <c r="F905" s="87"/>
      <c r="G905" s="87"/>
      <c r="H905" s="87"/>
      <c r="I905" s="87"/>
      <c r="J905" s="87"/>
      <c r="K905" s="87"/>
      <c r="L905" s="87"/>
      <c r="M905" s="87"/>
      <c r="N905" s="87"/>
      <c r="O905" s="87"/>
      <c r="P905" s="87"/>
      <c r="Q905" s="87"/>
      <c r="R905" s="13"/>
      <c r="S905" s="13"/>
      <c r="T905" s="13"/>
      <c r="U905" s="13"/>
      <c r="V905" s="13"/>
      <c r="W905" s="13"/>
      <c r="X905" s="13"/>
      <c r="Y905" s="13"/>
      <c r="Z905" s="13"/>
    </row>
    <row r="906" spans="1:26" ht="15.75" customHeight="1">
      <c r="A906" s="39"/>
      <c r="B906" s="39"/>
      <c r="C906" s="306"/>
      <c r="D906" s="87"/>
      <c r="E906" s="87"/>
      <c r="F906" s="87"/>
      <c r="G906" s="87"/>
      <c r="H906" s="87"/>
      <c r="I906" s="87"/>
      <c r="J906" s="87"/>
      <c r="K906" s="87"/>
      <c r="L906" s="87"/>
      <c r="M906" s="87"/>
      <c r="N906" s="87"/>
      <c r="O906" s="87"/>
      <c r="P906" s="87"/>
      <c r="Q906" s="87"/>
      <c r="R906" s="13"/>
      <c r="S906" s="13"/>
      <c r="T906" s="13"/>
      <c r="U906" s="13"/>
      <c r="V906" s="13"/>
      <c r="W906" s="13"/>
      <c r="X906" s="13"/>
      <c r="Y906" s="13"/>
      <c r="Z906" s="13"/>
    </row>
    <row r="907" spans="1:26" ht="15.75" customHeight="1">
      <c r="A907" s="39"/>
      <c r="B907" s="39"/>
      <c r="C907" s="306"/>
      <c r="D907" s="87"/>
      <c r="E907" s="87"/>
      <c r="F907" s="87"/>
      <c r="G907" s="87"/>
      <c r="H907" s="87"/>
      <c r="I907" s="87"/>
      <c r="J907" s="87"/>
      <c r="K907" s="87"/>
      <c r="L907" s="87"/>
      <c r="M907" s="87"/>
      <c r="N907" s="87"/>
      <c r="O907" s="87"/>
      <c r="P907" s="87"/>
      <c r="Q907" s="87"/>
      <c r="R907" s="13"/>
      <c r="S907" s="13"/>
      <c r="T907" s="13"/>
      <c r="U907" s="13"/>
      <c r="V907" s="13"/>
      <c r="W907" s="13"/>
      <c r="X907" s="13"/>
      <c r="Y907" s="13"/>
      <c r="Z907" s="13"/>
    </row>
    <row r="908" spans="1:26" ht="15.75" customHeight="1">
      <c r="A908" s="39"/>
      <c r="B908" s="39"/>
      <c r="C908" s="306"/>
      <c r="D908" s="87"/>
      <c r="E908" s="87"/>
      <c r="F908" s="87"/>
      <c r="G908" s="87"/>
      <c r="H908" s="87"/>
      <c r="I908" s="87"/>
      <c r="J908" s="87"/>
      <c r="K908" s="87"/>
      <c r="L908" s="87"/>
      <c r="M908" s="87"/>
      <c r="N908" s="87"/>
      <c r="O908" s="87"/>
      <c r="P908" s="87"/>
      <c r="Q908" s="87"/>
      <c r="R908" s="13"/>
      <c r="S908" s="13"/>
      <c r="T908" s="13"/>
      <c r="U908" s="13"/>
      <c r="V908" s="13"/>
      <c r="W908" s="13"/>
      <c r="X908" s="13"/>
      <c r="Y908" s="13"/>
      <c r="Z908" s="13"/>
    </row>
    <row r="909" spans="1:26" ht="15.75" customHeight="1">
      <c r="A909" s="39"/>
      <c r="B909" s="39"/>
      <c r="C909" s="306"/>
      <c r="D909" s="87"/>
      <c r="E909" s="87"/>
      <c r="F909" s="87"/>
      <c r="G909" s="87"/>
      <c r="H909" s="87"/>
      <c r="I909" s="87"/>
      <c r="J909" s="87"/>
      <c r="K909" s="87"/>
      <c r="L909" s="87"/>
      <c r="M909" s="87"/>
      <c r="N909" s="87"/>
      <c r="O909" s="87"/>
      <c r="P909" s="87"/>
      <c r="Q909" s="87"/>
      <c r="R909" s="13"/>
      <c r="S909" s="13"/>
      <c r="T909" s="13"/>
      <c r="U909" s="13"/>
      <c r="V909" s="13"/>
      <c r="W909" s="13"/>
      <c r="X909" s="13"/>
      <c r="Y909" s="13"/>
      <c r="Z909" s="13"/>
    </row>
    <row r="910" spans="1:26" ht="15.75" customHeight="1">
      <c r="A910" s="39"/>
      <c r="B910" s="39"/>
      <c r="C910" s="306"/>
      <c r="D910" s="87"/>
      <c r="E910" s="87"/>
      <c r="F910" s="87"/>
      <c r="G910" s="87"/>
      <c r="H910" s="87"/>
      <c r="I910" s="87"/>
      <c r="J910" s="87"/>
      <c r="K910" s="87"/>
      <c r="L910" s="87"/>
      <c r="M910" s="87"/>
      <c r="N910" s="87"/>
      <c r="O910" s="87"/>
      <c r="P910" s="87"/>
      <c r="Q910" s="87"/>
      <c r="R910" s="13"/>
      <c r="S910" s="13"/>
      <c r="T910" s="13"/>
      <c r="U910" s="13"/>
      <c r="V910" s="13"/>
      <c r="W910" s="13"/>
      <c r="X910" s="13"/>
      <c r="Y910" s="13"/>
      <c r="Z910" s="13"/>
    </row>
    <row r="911" spans="1:26" ht="15.75" customHeight="1">
      <c r="A911" s="39"/>
      <c r="B911" s="39"/>
      <c r="C911" s="306"/>
      <c r="D911" s="87"/>
      <c r="E911" s="87"/>
      <c r="F911" s="87"/>
      <c r="G911" s="87"/>
      <c r="H911" s="87"/>
      <c r="I911" s="87"/>
      <c r="J911" s="87"/>
      <c r="K911" s="87"/>
      <c r="L911" s="87"/>
      <c r="M911" s="87"/>
      <c r="N911" s="87"/>
      <c r="O911" s="87"/>
      <c r="P911" s="87"/>
      <c r="Q911" s="87"/>
      <c r="R911" s="13"/>
      <c r="S911" s="13"/>
      <c r="T911" s="13"/>
      <c r="U911" s="13"/>
      <c r="V911" s="13"/>
      <c r="W911" s="13"/>
      <c r="X911" s="13"/>
      <c r="Y911" s="13"/>
      <c r="Z911" s="13"/>
    </row>
    <row r="912" spans="1:26" ht="15.75" customHeight="1">
      <c r="A912" s="39"/>
      <c r="B912" s="39"/>
      <c r="C912" s="306"/>
      <c r="D912" s="87"/>
      <c r="E912" s="87"/>
      <c r="F912" s="87"/>
      <c r="G912" s="87"/>
      <c r="H912" s="87"/>
      <c r="I912" s="87"/>
      <c r="J912" s="87"/>
      <c r="K912" s="87"/>
      <c r="L912" s="87"/>
      <c r="M912" s="87"/>
      <c r="N912" s="87"/>
      <c r="O912" s="87"/>
      <c r="P912" s="87"/>
      <c r="Q912" s="87"/>
      <c r="R912" s="13"/>
      <c r="S912" s="13"/>
      <c r="T912" s="13"/>
      <c r="U912" s="13"/>
      <c r="V912" s="13"/>
      <c r="W912" s="13"/>
      <c r="X912" s="13"/>
      <c r="Y912" s="13"/>
      <c r="Z912" s="13"/>
    </row>
    <row r="913" spans="1:26" ht="15.75" customHeight="1">
      <c r="A913" s="39"/>
      <c r="B913" s="39"/>
      <c r="C913" s="306"/>
      <c r="D913" s="87"/>
      <c r="E913" s="87"/>
      <c r="F913" s="87"/>
      <c r="G913" s="87"/>
      <c r="H913" s="87"/>
      <c r="I913" s="87"/>
      <c r="J913" s="87"/>
      <c r="K913" s="87"/>
      <c r="L913" s="87"/>
      <c r="M913" s="87"/>
      <c r="N913" s="87"/>
      <c r="O913" s="87"/>
      <c r="P913" s="87"/>
      <c r="Q913" s="87"/>
      <c r="R913" s="13"/>
      <c r="S913" s="13"/>
      <c r="T913" s="13"/>
      <c r="U913" s="13"/>
      <c r="V913" s="13"/>
      <c r="W913" s="13"/>
      <c r="X913" s="13"/>
      <c r="Y913" s="13"/>
      <c r="Z913" s="13"/>
    </row>
    <row r="914" spans="1:26" ht="15.75" customHeight="1">
      <c r="A914" s="39"/>
      <c r="B914" s="39"/>
      <c r="C914" s="306"/>
      <c r="D914" s="87"/>
      <c r="E914" s="87"/>
      <c r="F914" s="87"/>
      <c r="G914" s="87"/>
      <c r="H914" s="87"/>
      <c r="I914" s="87"/>
      <c r="J914" s="87"/>
      <c r="K914" s="87"/>
      <c r="L914" s="87"/>
      <c r="M914" s="87"/>
      <c r="N914" s="87"/>
      <c r="O914" s="87"/>
      <c r="P914" s="87"/>
      <c r="Q914" s="87"/>
      <c r="R914" s="13"/>
      <c r="S914" s="13"/>
      <c r="T914" s="13"/>
      <c r="U914" s="13"/>
      <c r="V914" s="13"/>
      <c r="W914" s="13"/>
      <c r="X914" s="13"/>
      <c r="Y914" s="13"/>
      <c r="Z914" s="13"/>
    </row>
    <row r="915" spans="1:26" ht="15.75" customHeight="1">
      <c r="A915" s="39"/>
      <c r="B915" s="39"/>
      <c r="C915" s="306"/>
      <c r="D915" s="87"/>
      <c r="E915" s="87"/>
      <c r="F915" s="87"/>
      <c r="G915" s="87"/>
      <c r="H915" s="87"/>
      <c r="I915" s="87"/>
      <c r="J915" s="87"/>
      <c r="K915" s="87"/>
      <c r="L915" s="87"/>
      <c r="M915" s="87"/>
      <c r="N915" s="87"/>
      <c r="O915" s="87"/>
      <c r="P915" s="87"/>
      <c r="Q915" s="87"/>
      <c r="R915" s="13"/>
      <c r="S915" s="13"/>
      <c r="T915" s="13"/>
      <c r="U915" s="13"/>
      <c r="V915" s="13"/>
      <c r="W915" s="13"/>
      <c r="X915" s="13"/>
      <c r="Y915" s="13"/>
      <c r="Z915" s="13"/>
    </row>
    <row r="916" spans="1:26" ht="15.75" customHeight="1">
      <c r="A916" s="39"/>
      <c r="B916" s="39"/>
      <c r="C916" s="306"/>
      <c r="D916" s="87"/>
      <c r="E916" s="87"/>
      <c r="F916" s="87"/>
      <c r="G916" s="87"/>
      <c r="H916" s="87"/>
      <c r="I916" s="87"/>
      <c r="J916" s="87"/>
      <c r="K916" s="87"/>
      <c r="L916" s="87"/>
      <c r="M916" s="87"/>
      <c r="N916" s="87"/>
      <c r="O916" s="87"/>
      <c r="P916" s="87"/>
      <c r="Q916" s="87"/>
      <c r="R916" s="13"/>
      <c r="S916" s="13"/>
      <c r="T916" s="13"/>
      <c r="U916" s="13"/>
      <c r="V916" s="13"/>
      <c r="W916" s="13"/>
      <c r="X916" s="13"/>
      <c r="Y916" s="13"/>
      <c r="Z916" s="13"/>
    </row>
    <row r="917" spans="1:26" ht="15.75" customHeight="1">
      <c r="A917" s="39"/>
      <c r="B917" s="39"/>
      <c r="C917" s="306"/>
      <c r="D917" s="87"/>
      <c r="E917" s="87"/>
      <c r="F917" s="87"/>
      <c r="G917" s="87"/>
      <c r="H917" s="87"/>
      <c r="I917" s="87"/>
      <c r="J917" s="87"/>
      <c r="K917" s="87"/>
      <c r="L917" s="87"/>
      <c r="M917" s="87"/>
      <c r="N917" s="87"/>
      <c r="O917" s="87"/>
      <c r="P917" s="87"/>
      <c r="Q917" s="87"/>
      <c r="R917" s="13"/>
      <c r="S917" s="13"/>
      <c r="T917" s="13"/>
      <c r="U917" s="13"/>
      <c r="V917" s="13"/>
      <c r="W917" s="13"/>
      <c r="X917" s="13"/>
      <c r="Y917" s="13"/>
      <c r="Z917" s="13"/>
    </row>
    <row r="918" spans="1:26" ht="15.75" customHeight="1">
      <c r="A918" s="39"/>
      <c r="B918" s="39"/>
      <c r="C918" s="306"/>
      <c r="D918" s="87"/>
      <c r="E918" s="87"/>
      <c r="F918" s="87"/>
      <c r="G918" s="87"/>
      <c r="H918" s="87"/>
      <c r="I918" s="87"/>
      <c r="J918" s="87"/>
      <c r="K918" s="87"/>
      <c r="L918" s="87"/>
      <c r="M918" s="87"/>
      <c r="N918" s="87"/>
      <c r="O918" s="87"/>
      <c r="P918" s="87"/>
      <c r="Q918" s="87"/>
      <c r="R918" s="13"/>
      <c r="S918" s="13"/>
      <c r="T918" s="13"/>
      <c r="U918" s="13"/>
      <c r="V918" s="13"/>
      <c r="W918" s="13"/>
      <c r="X918" s="13"/>
      <c r="Y918" s="13"/>
      <c r="Z918" s="13"/>
    </row>
    <row r="919" spans="1:26" ht="15.75" customHeight="1">
      <c r="A919" s="39"/>
      <c r="B919" s="39"/>
      <c r="C919" s="306"/>
      <c r="D919" s="87"/>
      <c r="E919" s="87"/>
      <c r="F919" s="87"/>
      <c r="G919" s="87"/>
      <c r="H919" s="87"/>
      <c r="I919" s="87"/>
      <c r="J919" s="87"/>
      <c r="K919" s="87"/>
      <c r="L919" s="87"/>
      <c r="M919" s="87"/>
      <c r="N919" s="87"/>
      <c r="O919" s="87"/>
      <c r="P919" s="87"/>
      <c r="Q919" s="87"/>
      <c r="R919" s="13"/>
      <c r="S919" s="13"/>
      <c r="T919" s="13"/>
      <c r="U919" s="13"/>
      <c r="V919" s="13"/>
      <c r="W919" s="13"/>
      <c r="X919" s="13"/>
      <c r="Y919" s="13"/>
      <c r="Z919" s="13"/>
    </row>
    <row r="920" spans="1:26" ht="15.75" customHeight="1">
      <c r="A920" s="39"/>
      <c r="B920" s="39"/>
      <c r="C920" s="306"/>
      <c r="D920" s="87"/>
      <c r="E920" s="87"/>
      <c r="F920" s="87"/>
      <c r="G920" s="87"/>
      <c r="H920" s="87"/>
      <c r="I920" s="87"/>
      <c r="J920" s="87"/>
      <c r="K920" s="87"/>
      <c r="L920" s="87"/>
      <c r="M920" s="87"/>
      <c r="N920" s="87"/>
      <c r="O920" s="87"/>
      <c r="P920" s="87"/>
      <c r="Q920" s="87"/>
      <c r="R920" s="13"/>
      <c r="S920" s="13"/>
      <c r="T920" s="13"/>
      <c r="U920" s="13"/>
      <c r="V920" s="13"/>
      <c r="W920" s="13"/>
      <c r="X920" s="13"/>
      <c r="Y920" s="13"/>
      <c r="Z920" s="13"/>
    </row>
    <row r="921" spans="1:26" ht="15.75" customHeight="1">
      <c r="A921" s="39"/>
      <c r="B921" s="39"/>
      <c r="C921" s="306"/>
      <c r="D921" s="87"/>
      <c r="E921" s="87"/>
      <c r="F921" s="87"/>
      <c r="G921" s="87"/>
      <c r="H921" s="87"/>
      <c r="I921" s="87"/>
      <c r="J921" s="87"/>
      <c r="K921" s="87"/>
      <c r="L921" s="87"/>
      <c r="M921" s="87"/>
      <c r="N921" s="87"/>
      <c r="O921" s="87"/>
      <c r="P921" s="87"/>
      <c r="Q921" s="87"/>
      <c r="R921" s="13"/>
      <c r="S921" s="13"/>
      <c r="T921" s="13"/>
      <c r="U921" s="13"/>
      <c r="V921" s="13"/>
      <c r="W921" s="13"/>
      <c r="X921" s="13"/>
      <c r="Y921" s="13"/>
      <c r="Z921" s="13"/>
    </row>
    <row r="922" spans="1:26" ht="15.75" customHeight="1">
      <c r="A922" s="39"/>
      <c r="B922" s="39"/>
      <c r="C922" s="306"/>
      <c r="D922" s="87"/>
      <c r="E922" s="87"/>
      <c r="F922" s="87"/>
      <c r="G922" s="87"/>
      <c r="H922" s="87"/>
      <c r="I922" s="87"/>
      <c r="J922" s="87"/>
      <c r="K922" s="87"/>
      <c r="L922" s="87"/>
      <c r="M922" s="87"/>
      <c r="N922" s="87"/>
      <c r="O922" s="87"/>
      <c r="P922" s="87"/>
      <c r="Q922" s="87"/>
      <c r="R922" s="13"/>
      <c r="S922" s="13"/>
      <c r="T922" s="13"/>
      <c r="U922" s="13"/>
      <c r="V922" s="13"/>
      <c r="W922" s="13"/>
      <c r="X922" s="13"/>
      <c r="Y922" s="13"/>
      <c r="Z922" s="13"/>
    </row>
    <row r="923" spans="1:26" ht="15.75" customHeight="1">
      <c r="A923" s="39"/>
      <c r="B923" s="39"/>
      <c r="C923" s="306"/>
      <c r="D923" s="87"/>
      <c r="E923" s="87"/>
      <c r="F923" s="87"/>
      <c r="G923" s="87"/>
      <c r="H923" s="87"/>
      <c r="I923" s="87"/>
      <c r="J923" s="87"/>
      <c r="K923" s="87"/>
      <c r="L923" s="87"/>
      <c r="M923" s="87"/>
      <c r="N923" s="87"/>
      <c r="O923" s="87"/>
      <c r="P923" s="87"/>
      <c r="Q923" s="87"/>
      <c r="R923" s="13"/>
      <c r="S923" s="13"/>
      <c r="T923" s="13"/>
      <c r="U923" s="13"/>
      <c r="V923" s="13"/>
      <c r="W923" s="13"/>
      <c r="X923" s="13"/>
      <c r="Y923" s="13"/>
      <c r="Z923" s="13"/>
    </row>
    <row r="924" spans="1:26" ht="15.75" customHeight="1">
      <c r="A924" s="39"/>
      <c r="B924" s="39"/>
      <c r="C924" s="306"/>
      <c r="D924" s="87"/>
      <c r="E924" s="87"/>
      <c r="F924" s="87"/>
      <c r="G924" s="87"/>
      <c r="H924" s="87"/>
      <c r="I924" s="87"/>
      <c r="J924" s="87"/>
      <c r="K924" s="87"/>
      <c r="L924" s="87"/>
      <c r="M924" s="87"/>
      <c r="N924" s="87"/>
      <c r="O924" s="87"/>
      <c r="P924" s="87"/>
      <c r="Q924" s="87"/>
      <c r="R924" s="13"/>
      <c r="S924" s="13"/>
      <c r="T924" s="13"/>
      <c r="U924" s="13"/>
      <c r="V924" s="13"/>
      <c r="W924" s="13"/>
      <c r="X924" s="13"/>
      <c r="Y924" s="13"/>
      <c r="Z924" s="13"/>
    </row>
    <row r="925" spans="1:26" ht="15.75" customHeight="1">
      <c r="A925" s="39"/>
      <c r="B925" s="39"/>
      <c r="C925" s="306"/>
      <c r="D925" s="87"/>
      <c r="E925" s="87"/>
      <c r="F925" s="87"/>
      <c r="G925" s="87"/>
      <c r="H925" s="87"/>
      <c r="I925" s="87"/>
      <c r="J925" s="87"/>
      <c r="K925" s="87"/>
      <c r="L925" s="87"/>
      <c r="M925" s="87"/>
      <c r="N925" s="87"/>
      <c r="O925" s="87"/>
      <c r="P925" s="87"/>
      <c r="Q925" s="87"/>
      <c r="R925" s="13"/>
      <c r="S925" s="13"/>
      <c r="T925" s="13"/>
      <c r="U925" s="13"/>
      <c r="V925" s="13"/>
      <c r="W925" s="13"/>
      <c r="X925" s="13"/>
      <c r="Y925" s="13"/>
      <c r="Z925" s="13"/>
    </row>
    <row r="926" spans="1:26" ht="15.75" customHeight="1">
      <c r="A926" s="39"/>
      <c r="B926" s="39"/>
      <c r="C926" s="306"/>
      <c r="D926" s="87"/>
      <c r="E926" s="87"/>
      <c r="F926" s="87"/>
      <c r="G926" s="87"/>
      <c r="H926" s="87"/>
      <c r="I926" s="87"/>
      <c r="J926" s="87"/>
      <c r="K926" s="87"/>
      <c r="L926" s="87"/>
      <c r="M926" s="87"/>
      <c r="N926" s="87"/>
      <c r="O926" s="87"/>
      <c r="P926" s="87"/>
      <c r="Q926" s="87"/>
      <c r="R926" s="13"/>
      <c r="S926" s="13"/>
      <c r="T926" s="13"/>
      <c r="U926" s="13"/>
      <c r="V926" s="13"/>
      <c r="W926" s="13"/>
      <c r="X926" s="13"/>
      <c r="Y926" s="13"/>
      <c r="Z926" s="13"/>
    </row>
    <row r="927" spans="1:26" ht="15.75" customHeight="1">
      <c r="A927" s="39"/>
      <c r="B927" s="39"/>
      <c r="C927" s="306"/>
      <c r="D927" s="87"/>
      <c r="E927" s="87"/>
      <c r="F927" s="87"/>
      <c r="G927" s="87"/>
      <c r="H927" s="87"/>
      <c r="I927" s="87"/>
      <c r="J927" s="87"/>
      <c r="K927" s="87"/>
      <c r="L927" s="87"/>
      <c r="M927" s="87"/>
      <c r="N927" s="87"/>
      <c r="O927" s="87"/>
      <c r="P927" s="87"/>
      <c r="Q927" s="87"/>
      <c r="R927" s="13"/>
      <c r="S927" s="13"/>
      <c r="T927" s="13"/>
      <c r="U927" s="13"/>
      <c r="V927" s="13"/>
      <c r="W927" s="13"/>
      <c r="X927" s="13"/>
      <c r="Y927" s="13"/>
      <c r="Z927" s="13"/>
    </row>
    <row r="928" spans="1:26" ht="15.75" customHeight="1">
      <c r="A928" s="39"/>
      <c r="B928" s="39"/>
      <c r="C928" s="306"/>
      <c r="D928" s="87"/>
      <c r="E928" s="87"/>
      <c r="F928" s="87"/>
      <c r="G928" s="87"/>
      <c r="H928" s="87"/>
      <c r="I928" s="87"/>
      <c r="J928" s="87"/>
      <c r="K928" s="87"/>
      <c r="L928" s="87"/>
      <c r="M928" s="87"/>
      <c r="N928" s="87"/>
      <c r="O928" s="87"/>
      <c r="P928" s="87"/>
      <c r="Q928" s="87"/>
      <c r="R928" s="13"/>
      <c r="S928" s="13"/>
      <c r="T928" s="13"/>
      <c r="U928" s="13"/>
      <c r="V928" s="13"/>
      <c r="W928" s="13"/>
      <c r="X928" s="13"/>
      <c r="Y928" s="13"/>
      <c r="Z928" s="13"/>
    </row>
    <row r="929" spans="1:26" ht="15.75" customHeight="1">
      <c r="A929" s="39"/>
      <c r="B929" s="39"/>
      <c r="C929" s="306"/>
      <c r="D929" s="87"/>
      <c r="E929" s="87"/>
      <c r="F929" s="87"/>
      <c r="G929" s="87"/>
      <c r="H929" s="87"/>
      <c r="I929" s="87"/>
      <c r="J929" s="87"/>
      <c r="K929" s="87"/>
      <c r="L929" s="87"/>
      <c r="M929" s="87"/>
      <c r="N929" s="87"/>
      <c r="O929" s="87"/>
      <c r="P929" s="87"/>
      <c r="Q929" s="87"/>
      <c r="R929" s="13"/>
      <c r="S929" s="13"/>
      <c r="T929" s="13"/>
      <c r="U929" s="13"/>
      <c r="V929" s="13"/>
      <c r="W929" s="13"/>
      <c r="X929" s="13"/>
      <c r="Y929" s="13"/>
      <c r="Z929" s="13"/>
    </row>
    <row r="930" spans="1:26" ht="15.75" customHeight="1">
      <c r="A930" s="39"/>
      <c r="B930" s="39"/>
      <c r="C930" s="306"/>
      <c r="D930" s="87"/>
      <c r="E930" s="87"/>
      <c r="F930" s="87"/>
      <c r="G930" s="87"/>
      <c r="H930" s="87"/>
      <c r="I930" s="87"/>
      <c r="J930" s="87"/>
      <c r="K930" s="87"/>
      <c r="L930" s="87"/>
      <c r="M930" s="87"/>
      <c r="N930" s="87"/>
      <c r="O930" s="87"/>
      <c r="P930" s="87"/>
      <c r="Q930" s="87"/>
      <c r="R930" s="13"/>
      <c r="S930" s="13"/>
      <c r="T930" s="13"/>
      <c r="U930" s="13"/>
      <c r="V930" s="13"/>
      <c r="W930" s="13"/>
      <c r="X930" s="13"/>
      <c r="Y930" s="13"/>
      <c r="Z930" s="13"/>
    </row>
    <row r="931" spans="1:26" ht="15.75" customHeight="1">
      <c r="A931" s="39"/>
      <c r="B931" s="39"/>
      <c r="C931" s="306"/>
      <c r="D931" s="87"/>
      <c r="E931" s="87"/>
      <c r="F931" s="87"/>
      <c r="G931" s="87"/>
      <c r="H931" s="87"/>
      <c r="I931" s="87"/>
      <c r="J931" s="87"/>
      <c r="K931" s="87"/>
      <c r="L931" s="87"/>
      <c r="M931" s="87"/>
      <c r="N931" s="87"/>
      <c r="O931" s="87"/>
      <c r="P931" s="87"/>
      <c r="Q931" s="87"/>
      <c r="R931" s="13"/>
      <c r="S931" s="13"/>
      <c r="T931" s="13"/>
      <c r="U931" s="13"/>
      <c r="V931" s="13"/>
      <c r="W931" s="13"/>
      <c r="X931" s="13"/>
      <c r="Y931" s="13"/>
      <c r="Z931" s="13"/>
    </row>
    <row r="932" spans="1:26" ht="15.75" customHeight="1">
      <c r="A932" s="39"/>
      <c r="B932" s="39"/>
      <c r="C932" s="306"/>
      <c r="D932" s="87"/>
      <c r="E932" s="87"/>
      <c r="F932" s="87"/>
      <c r="G932" s="87"/>
      <c r="H932" s="87"/>
      <c r="I932" s="87"/>
      <c r="J932" s="87"/>
      <c r="K932" s="87"/>
      <c r="L932" s="87"/>
      <c r="M932" s="87"/>
      <c r="N932" s="87"/>
      <c r="O932" s="87"/>
      <c r="P932" s="87"/>
      <c r="Q932" s="87"/>
      <c r="R932" s="13"/>
      <c r="S932" s="13"/>
      <c r="T932" s="13"/>
      <c r="U932" s="13"/>
      <c r="V932" s="13"/>
      <c r="W932" s="13"/>
      <c r="X932" s="13"/>
      <c r="Y932" s="13"/>
      <c r="Z932" s="13"/>
    </row>
    <row r="933" spans="1:26" ht="15.75" customHeight="1">
      <c r="A933" s="39"/>
      <c r="B933" s="39"/>
      <c r="C933" s="306"/>
      <c r="D933" s="87"/>
      <c r="E933" s="87"/>
      <c r="F933" s="87"/>
      <c r="G933" s="87"/>
      <c r="H933" s="87"/>
      <c r="I933" s="87"/>
      <c r="J933" s="87"/>
      <c r="K933" s="87"/>
      <c r="L933" s="87"/>
      <c r="M933" s="87"/>
      <c r="N933" s="87"/>
      <c r="O933" s="87"/>
      <c r="P933" s="87"/>
      <c r="Q933" s="87"/>
      <c r="R933" s="13"/>
      <c r="S933" s="13"/>
      <c r="T933" s="13"/>
      <c r="U933" s="13"/>
      <c r="V933" s="13"/>
      <c r="W933" s="13"/>
      <c r="X933" s="13"/>
      <c r="Y933" s="13"/>
      <c r="Z933" s="13"/>
    </row>
    <row r="934" spans="1:26" ht="15.75" customHeight="1">
      <c r="A934" s="39"/>
      <c r="B934" s="39"/>
      <c r="C934" s="306"/>
      <c r="D934" s="87"/>
      <c r="E934" s="87"/>
      <c r="F934" s="87"/>
      <c r="G934" s="87"/>
      <c r="H934" s="87"/>
      <c r="I934" s="87"/>
      <c r="J934" s="87"/>
      <c r="K934" s="87"/>
      <c r="L934" s="87"/>
      <c r="M934" s="87"/>
      <c r="N934" s="87"/>
      <c r="O934" s="87"/>
      <c r="P934" s="87"/>
      <c r="Q934" s="87"/>
      <c r="R934" s="13"/>
      <c r="S934" s="13"/>
      <c r="T934" s="13"/>
      <c r="U934" s="13"/>
      <c r="V934" s="13"/>
      <c r="W934" s="13"/>
      <c r="X934" s="13"/>
      <c r="Y934" s="13"/>
      <c r="Z934" s="13"/>
    </row>
    <row r="935" spans="1:26" ht="15.75" customHeight="1">
      <c r="A935" s="39"/>
      <c r="B935" s="39"/>
      <c r="C935" s="306"/>
      <c r="D935" s="87"/>
      <c r="E935" s="87"/>
      <c r="F935" s="87"/>
      <c r="G935" s="87"/>
      <c r="H935" s="87"/>
      <c r="I935" s="87"/>
      <c r="J935" s="87"/>
      <c r="K935" s="87"/>
      <c r="L935" s="87"/>
      <c r="M935" s="87"/>
      <c r="N935" s="87"/>
      <c r="O935" s="87"/>
      <c r="P935" s="87"/>
      <c r="Q935" s="87"/>
      <c r="R935" s="13"/>
      <c r="S935" s="13"/>
      <c r="T935" s="13"/>
      <c r="U935" s="13"/>
      <c r="V935" s="13"/>
      <c r="W935" s="13"/>
      <c r="X935" s="13"/>
      <c r="Y935" s="13"/>
      <c r="Z935" s="13"/>
    </row>
    <row r="936" spans="1:26" ht="15.75" customHeight="1">
      <c r="A936" s="39"/>
      <c r="B936" s="39"/>
      <c r="C936" s="306"/>
      <c r="D936" s="87"/>
      <c r="E936" s="87"/>
      <c r="F936" s="87"/>
      <c r="G936" s="87"/>
      <c r="H936" s="87"/>
      <c r="I936" s="87"/>
      <c r="J936" s="87"/>
      <c r="K936" s="87"/>
      <c r="L936" s="87"/>
      <c r="M936" s="87"/>
      <c r="N936" s="87"/>
      <c r="O936" s="87"/>
      <c r="P936" s="87"/>
      <c r="Q936" s="87"/>
      <c r="R936" s="13"/>
      <c r="S936" s="13"/>
      <c r="T936" s="13"/>
      <c r="U936" s="13"/>
      <c r="V936" s="13"/>
      <c r="W936" s="13"/>
      <c r="X936" s="13"/>
      <c r="Y936" s="13"/>
      <c r="Z936" s="13"/>
    </row>
    <row r="937" spans="1:26" ht="15.75" customHeight="1">
      <c r="A937" s="39"/>
      <c r="B937" s="39"/>
      <c r="C937" s="306"/>
      <c r="D937" s="87"/>
      <c r="E937" s="87"/>
      <c r="F937" s="87"/>
      <c r="G937" s="87"/>
      <c r="H937" s="87"/>
      <c r="I937" s="87"/>
      <c r="J937" s="87"/>
      <c r="K937" s="87"/>
      <c r="L937" s="87"/>
      <c r="M937" s="87"/>
      <c r="N937" s="87"/>
      <c r="O937" s="87"/>
      <c r="P937" s="87"/>
      <c r="Q937" s="87"/>
      <c r="R937" s="13"/>
      <c r="S937" s="13"/>
      <c r="T937" s="13"/>
      <c r="U937" s="13"/>
      <c r="V937" s="13"/>
      <c r="W937" s="13"/>
      <c r="X937" s="13"/>
      <c r="Y937" s="13"/>
      <c r="Z937" s="13"/>
    </row>
    <row r="938" spans="1:26" ht="15.75" customHeight="1">
      <c r="A938" s="39"/>
      <c r="B938" s="39"/>
      <c r="C938" s="306"/>
      <c r="D938" s="87"/>
      <c r="E938" s="87"/>
      <c r="F938" s="87"/>
      <c r="G938" s="87"/>
      <c r="H938" s="87"/>
      <c r="I938" s="87"/>
      <c r="J938" s="87"/>
      <c r="K938" s="87"/>
      <c r="L938" s="87"/>
      <c r="M938" s="87"/>
      <c r="N938" s="87"/>
      <c r="O938" s="87"/>
      <c r="P938" s="87"/>
      <c r="Q938" s="87"/>
      <c r="R938" s="13"/>
      <c r="S938" s="13"/>
      <c r="T938" s="13"/>
      <c r="U938" s="13"/>
      <c r="V938" s="13"/>
      <c r="W938" s="13"/>
      <c r="X938" s="13"/>
      <c r="Y938" s="13"/>
      <c r="Z938" s="13"/>
    </row>
    <row r="939" spans="1:26" ht="15.75" customHeight="1">
      <c r="A939" s="39"/>
      <c r="B939" s="39"/>
      <c r="C939" s="306"/>
      <c r="D939" s="87"/>
      <c r="E939" s="87"/>
      <c r="F939" s="87"/>
      <c r="G939" s="87"/>
      <c r="H939" s="87"/>
      <c r="I939" s="87"/>
      <c r="J939" s="87"/>
      <c r="K939" s="87"/>
      <c r="L939" s="87"/>
      <c r="M939" s="87"/>
      <c r="N939" s="87"/>
      <c r="O939" s="87"/>
      <c r="P939" s="87"/>
      <c r="Q939" s="87"/>
      <c r="R939" s="13"/>
      <c r="S939" s="13"/>
      <c r="T939" s="13"/>
      <c r="U939" s="13"/>
      <c r="V939" s="13"/>
      <c r="W939" s="13"/>
      <c r="X939" s="13"/>
      <c r="Y939" s="13"/>
      <c r="Z939" s="13"/>
    </row>
    <row r="940" spans="1:26" ht="15.75" customHeight="1">
      <c r="A940" s="39"/>
      <c r="B940" s="39"/>
      <c r="C940" s="306"/>
      <c r="D940" s="87"/>
      <c r="E940" s="87"/>
      <c r="F940" s="87"/>
      <c r="G940" s="87"/>
      <c r="H940" s="87"/>
      <c r="I940" s="87"/>
      <c r="J940" s="87"/>
      <c r="K940" s="87"/>
      <c r="L940" s="87"/>
      <c r="M940" s="87"/>
      <c r="N940" s="87"/>
      <c r="O940" s="87"/>
      <c r="P940" s="87"/>
      <c r="Q940" s="87"/>
      <c r="R940" s="13"/>
      <c r="S940" s="13"/>
      <c r="T940" s="13"/>
      <c r="U940" s="13"/>
      <c r="V940" s="13"/>
      <c r="W940" s="13"/>
      <c r="X940" s="13"/>
      <c r="Y940" s="13"/>
      <c r="Z940" s="13"/>
    </row>
    <row r="941" spans="1:26" ht="15.75" customHeight="1">
      <c r="A941" s="39"/>
      <c r="B941" s="39"/>
      <c r="C941" s="306"/>
      <c r="D941" s="87"/>
      <c r="E941" s="87"/>
      <c r="F941" s="87"/>
      <c r="G941" s="87"/>
      <c r="H941" s="87"/>
      <c r="I941" s="87"/>
      <c r="J941" s="87"/>
      <c r="K941" s="87"/>
      <c r="L941" s="87"/>
      <c r="M941" s="87"/>
      <c r="N941" s="87"/>
      <c r="O941" s="87"/>
      <c r="P941" s="87"/>
      <c r="Q941" s="87"/>
      <c r="R941" s="13"/>
      <c r="S941" s="13"/>
      <c r="T941" s="13"/>
      <c r="U941" s="13"/>
      <c r="V941" s="13"/>
      <c r="W941" s="13"/>
      <c r="X941" s="13"/>
      <c r="Y941" s="13"/>
      <c r="Z941" s="13"/>
    </row>
    <row r="942" spans="1:26" ht="15.75" customHeight="1">
      <c r="A942" s="39"/>
      <c r="B942" s="39"/>
      <c r="C942" s="306"/>
      <c r="D942" s="87"/>
      <c r="E942" s="87"/>
      <c r="F942" s="87"/>
      <c r="G942" s="87"/>
      <c r="H942" s="87"/>
      <c r="I942" s="87"/>
      <c r="J942" s="87"/>
      <c r="K942" s="87"/>
      <c r="L942" s="87"/>
      <c r="M942" s="87"/>
      <c r="N942" s="87"/>
      <c r="O942" s="87"/>
      <c r="P942" s="87"/>
      <c r="Q942" s="87"/>
      <c r="R942" s="13"/>
      <c r="S942" s="13"/>
      <c r="T942" s="13"/>
      <c r="U942" s="13"/>
      <c r="V942" s="13"/>
      <c r="W942" s="13"/>
      <c r="X942" s="13"/>
      <c r="Y942" s="13"/>
      <c r="Z942" s="13"/>
    </row>
    <row r="943" spans="1:26" ht="15.75" customHeight="1">
      <c r="A943" s="39"/>
      <c r="B943" s="39"/>
      <c r="C943" s="306"/>
      <c r="D943" s="87"/>
      <c r="E943" s="87"/>
      <c r="F943" s="87"/>
      <c r="G943" s="87"/>
      <c r="H943" s="87"/>
      <c r="I943" s="87"/>
      <c r="J943" s="87"/>
      <c r="K943" s="87"/>
      <c r="L943" s="87"/>
      <c r="M943" s="87"/>
      <c r="N943" s="87"/>
      <c r="O943" s="87"/>
      <c r="P943" s="87"/>
      <c r="Q943" s="87"/>
      <c r="R943" s="13"/>
      <c r="S943" s="13"/>
      <c r="T943" s="13"/>
      <c r="U943" s="13"/>
      <c r="V943" s="13"/>
      <c r="W943" s="13"/>
      <c r="X943" s="13"/>
      <c r="Y943" s="13"/>
      <c r="Z943" s="13"/>
    </row>
    <row r="944" spans="1:26" ht="15.75" customHeight="1">
      <c r="A944" s="39"/>
      <c r="B944" s="39"/>
      <c r="C944" s="306"/>
      <c r="D944" s="87"/>
      <c r="E944" s="87"/>
      <c r="F944" s="87"/>
      <c r="G944" s="87"/>
      <c r="H944" s="87"/>
      <c r="I944" s="87"/>
      <c r="J944" s="87"/>
      <c r="K944" s="87"/>
      <c r="L944" s="87"/>
      <c r="M944" s="87"/>
      <c r="N944" s="87"/>
      <c r="O944" s="87"/>
      <c r="P944" s="87"/>
      <c r="Q944" s="87"/>
      <c r="R944" s="13"/>
      <c r="S944" s="13"/>
      <c r="T944" s="13"/>
      <c r="U944" s="13"/>
      <c r="V944" s="13"/>
      <c r="W944" s="13"/>
      <c r="X944" s="13"/>
      <c r="Y944" s="13"/>
      <c r="Z944" s="13"/>
    </row>
    <row r="945" spans="1:26" ht="15.75" customHeight="1">
      <c r="A945" s="39"/>
      <c r="B945" s="39"/>
      <c r="C945" s="306"/>
      <c r="D945" s="87"/>
      <c r="E945" s="87"/>
      <c r="F945" s="87"/>
      <c r="G945" s="87"/>
      <c r="H945" s="87"/>
      <c r="I945" s="87"/>
      <c r="J945" s="87"/>
      <c r="K945" s="87"/>
      <c r="L945" s="87"/>
      <c r="M945" s="87"/>
      <c r="N945" s="87"/>
      <c r="O945" s="87"/>
      <c r="P945" s="87"/>
      <c r="Q945" s="87"/>
      <c r="R945" s="13"/>
      <c r="S945" s="13"/>
      <c r="T945" s="13"/>
      <c r="U945" s="13"/>
      <c r="V945" s="13"/>
      <c r="W945" s="13"/>
      <c r="X945" s="13"/>
      <c r="Y945" s="13"/>
      <c r="Z945" s="13"/>
    </row>
    <row r="946" spans="1:26" ht="15.75" customHeight="1">
      <c r="A946" s="39"/>
      <c r="B946" s="39"/>
      <c r="C946" s="306"/>
      <c r="D946" s="87"/>
      <c r="E946" s="87"/>
      <c r="F946" s="87"/>
      <c r="G946" s="87"/>
      <c r="H946" s="87"/>
      <c r="I946" s="87"/>
      <c r="J946" s="87"/>
      <c r="K946" s="87"/>
      <c r="L946" s="87"/>
      <c r="M946" s="87"/>
      <c r="N946" s="87"/>
      <c r="O946" s="87"/>
      <c r="P946" s="87"/>
      <c r="Q946" s="87"/>
      <c r="R946" s="13"/>
      <c r="S946" s="13"/>
      <c r="T946" s="13"/>
      <c r="U946" s="13"/>
      <c r="V946" s="13"/>
      <c r="W946" s="13"/>
      <c r="X946" s="13"/>
      <c r="Y946" s="13"/>
      <c r="Z946" s="13"/>
    </row>
    <row r="947" spans="1:26" ht="15.75" customHeight="1">
      <c r="A947" s="39"/>
      <c r="B947" s="39"/>
      <c r="C947" s="306"/>
      <c r="D947" s="87"/>
      <c r="E947" s="87"/>
      <c r="F947" s="87"/>
      <c r="G947" s="87"/>
      <c r="H947" s="87"/>
      <c r="I947" s="87"/>
      <c r="J947" s="87"/>
      <c r="K947" s="87"/>
      <c r="L947" s="87"/>
      <c r="M947" s="87"/>
      <c r="N947" s="87"/>
      <c r="O947" s="87"/>
      <c r="P947" s="87"/>
      <c r="Q947" s="87"/>
      <c r="R947" s="13"/>
      <c r="S947" s="13"/>
      <c r="T947" s="13"/>
      <c r="U947" s="13"/>
      <c r="V947" s="13"/>
      <c r="W947" s="13"/>
      <c r="X947" s="13"/>
      <c r="Y947" s="13"/>
      <c r="Z947" s="13"/>
    </row>
    <row r="948" spans="1:26" ht="15.75" customHeight="1">
      <c r="A948" s="39"/>
      <c r="B948" s="39"/>
      <c r="C948" s="306"/>
      <c r="D948" s="87"/>
      <c r="E948" s="87"/>
      <c r="F948" s="87"/>
      <c r="G948" s="87"/>
      <c r="H948" s="87"/>
      <c r="I948" s="87"/>
      <c r="J948" s="87"/>
      <c r="K948" s="87"/>
      <c r="L948" s="87"/>
      <c r="M948" s="87"/>
      <c r="N948" s="87"/>
      <c r="O948" s="87"/>
      <c r="P948" s="87"/>
      <c r="Q948" s="87"/>
      <c r="R948" s="13"/>
      <c r="S948" s="13"/>
      <c r="T948" s="13"/>
      <c r="U948" s="13"/>
      <c r="V948" s="13"/>
      <c r="W948" s="13"/>
      <c r="X948" s="13"/>
      <c r="Y948" s="13"/>
      <c r="Z948" s="13"/>
    </row>
    <row r="949" spans="1:26" ht="15.75" customHeight="1">
      <c r="A949" s="39"/>
      <c r="B949" s="39"/>
      <c r="C949" s="306"/>
      <c r="D949" s="87"/>
      <c r="E949" s="87"/>
      <c r="F949" s="87"/>
      <c r="G949" s="87"/>
      <c r="H949" s="87"/>
      <c r="I949" s="87"/>
      <c r="J949" s="87"/>
      <c r="K949" s="87"/>
      <c r="L949" s="87"/>
      <c r="M949" s="87"/>
      <c r="N949" s="87"/>
      <c r="O949" s="87"/>
      <c r="P949" s="87"/>
      <c r="Q949" s="87"/>
      <c r="R949" s="13"/>
      <c r="S949" s="13"/>
      <c r="T949" s="13"/>
      <c r="U949" s="13"/>
      <c r="V949" s="13"/>
      <c r="W949" s="13"/>
      <c r="X949" s="13"/>
      <c r="Y949" s="13"/>
      <c r="Z949" s="13"/>
    </row>
    <row r="950" spans="1:26" ht="15.75" customHeight="1">
      <c r="A950" s="39"/>
      <c r="B950" s="39"/>
      <c r="C950" s="306"/>
      <c r="D950" s="87"/>
      <c r="E950" s="87"/>
      <c r="F950" s="87"/>
      <c r="G950" s="87"/>
      <c r="H950" s="87"/>
      <c r="I950" s="87"/>
      <c r="J950" s="87"/>
      <c r="K950" s="87"/>
      <c r="L950" s="87"/>
      <c r="M950" s="87"/>
      <c r="N950" s="87"/>
      <c r="O950" s="87"/>
      <c r="P950" s="87"/>
      <c r="Q950" s="87"/>
      <c r="R950" s="13"/>
      <c r="S950" s="13"/>
      <c r="T950" s="13"/>
      <c r="U950" s="13"/>
      <c r="V950" s="13"/>
      <c r="W950" s="13"/>
      <c r="X950" s="13"/>
      <c r="Y950" s="13"/>
      <c r="Z950" s="13"/>
    </row>
    <row r="951" spans="1:26" ht="15.75" customHeight="1">
      <c r="A951" s="39"/>
      <c r="B951" s="39"/>
      <c r="C951" s="306"/>
      <c r="D951" s="87"/>
      <c r="E951" s="87"/>
      <c r="F951" s="87"/>
      <c r="G951" s="87"/>
      <c r="H951" s="87"/>
      <c r="I951" s="87"/>
      <c r="J951" s="87"/>
      <c r="K951" s="87"/>
      <c r="L951" s="87"/>
      <c r="M951" s="87"/>
      <c r="N951" s="87"/>
      <c r="O951" s="87"/>
      <c r="P951" s="87"/>
      <c r="Q951" s="87"/>
      <c r="R951" s="13"/>
      <c r="S951" s="13"/>
      <c r="T951" s="13"/>
      <c r="U951" s="13"/>
      <c r="V951" s="13"/>
      <c r="W951" s="13"/>
      <c r="X951" s="13"/>
      <c r="Y951" s="13"/>
      <c r="Z951" s="13"/>
    </row>
    <row r="952" spans="1:26" ht="15.75" customHeight="1">
      <c r="A952" s="39"/>
      <c r="B952" s="39"/>
      <c r="C952" s="306"/>
      <c r="D952" s="87"/>
      <c r="E952" s="87"/>
      <c r="F952" s="87"/>
      <c r="G952" s="87"/>
      <c r="H952" s="87"/>
      <c r="I952" s="87"/>
      <c r="J952" s="87"/>
      <c r="K952" s="87"/>
      <c r="L952" s="87"/>
      <c r="M952" s="87"/>
      <c r="N952" s="87"/>
      <c r="O952" s="87"/>
      <c r="P952" s="87"/>
      <c r="Q952" s="87"/>
      <c r="R952" s="13"/>
      <c r="S952" s="13"/>
      <c r="T952" s="13"/>
      <c r="U952" s="13"/>
      <c r="V952" s="13"/>
      <c r="W952" s="13"/>
      <c r="X952" s="13"/>
      <c r="Y952" s="13"/>
      <c r="Z952" s="13"/>
    </row>
    <row r="953" spans="1:26" ht="15.75" customHeight="1">
      <c r="A953" s="39"/>
      <c r="B953" s="39"/>
      <c r="C953" s="306"/>
      <c r="D953" s="87"/>
      <c r="E953" s="87"/>
      <c r="F953" s="87"/>
      <c r="G953" s="87"/>
      <c r="H953" s="87"/>
      <c r="I953" s="87"/>
      <c r="J953" s="87"/>
      <c r="K953" s="87"/>
      <c r="L953" s="87"/>
      <c r="M953" s="87"/>
      <c r="N953" s="87"/>
      <c r="O953" s="87"/>
      <c r="P953" s="87"/>
      <c r="Q953" s="87"/>
      <c r="R953" s="13"/>
      <c r="S953" s="13"/>
      <c r="T953" s="13"/>
      <c r="U953" s="13"/>
      <c r="V953" s="13"/>
      <c r="W953" s="13"/>
      <c r="X953" s="13"/>
      <c r="Y953" s="13"/>
      <c r="Z953" s="13"/>
    </row>
    <row r="954" spans="1:26" ht="15.75" customHeight="1">
      <c r="A954" s="39"/>
      <c r="B954" s="39"/>
      <c r="C954" s="306"/>
      <c r="D954" s="87"/>
      <c r="E954" s="87"/>
      <c r="F954" s="87"/>
      <c r="G954" s="87"/>
      <c r="H954" s="87"/>
      <c r="I954" s="87"/>
      <c r="J954" s="87"/>
      <c r="K954" s="87"/>
      <c r="L954" s="87"/>
      <c r="M954" s="87"/>
      <c r="N954" s="87"/>
      <c r="O954" s="87"/>
      <c r="P954" s="87"/>
      <c r="Q954" s="87"/>
      <c r="R954" s="13"/>
      <c r="S954" s="13"/>
      <c r="T954" s="13"/>
      <c r="U954" s="13"/>
      <c r="V954" s="13"/>
      <c r="W954" s="13"/>
      <c r="X954" s="13"/>
      <c r="Y954" s="13"/>
      <c r="Z954" s="13"/>
    </row>
    <row r="955" spans="1:26" ht="15.75" customHeight="1">
      <c r="A955" s="39"/>
      <c r="B955" s="39"/>
      <c r="C955" s="306"/>
      <c r="D955" s="87"/>
      <c r="E955" s="87"/>
      <c r="F955" s="87"/>
      <c r="G955" s="87"/>
      <c r="H955" s="87"/>
      <c r="I955" s="87"/>
      <c r="J955" s="87"/>
      <c r="K955" s="87"/>
      <c r="L955" s="87"/>
      <c r="M955" s="87"/>
      <c r="N955" s="87"/>
      <c r="O955" s="87"/>
      <c r="P955" s="87"/>
      <c r="Q955" s="87"/>
      <c r="R955" s="13"/>
      <c r="S955" s="13"/>
      <c r="T955" s="13"/>
      <c r="U955" s="13"/>
      <c r="V955" s="13"/>
      <c r="W955" s="13"/>
      <c r="X955" s="13"/>
      <c r="Y955" s="13"/>
      <c r="Z955" s="13"/>
    </row>
    <row r="956" spans="1:26" ht="15.75" customHeight="1">
      <c r="A956" s="39"/>
      <c r="B956" s="39"/>
      <c r="C956" s="306"/>
      <c r="D956" s="87"/>
      <c r="E956" s="87"/>
      <c r="F956" s="87"/>
      <c r="G956" s="87"/>
      <c r="H956" s="87"/>
      <c r="I956" s="87"/>
      <c r="J956" s="87"/>
      <c r="K956" s="87"/>
      <c r="L956" s="87"/>
      <c r="M956" s="87"/>
      <c r="N956" s="87"/>
      <c r="O956" s="87"/>
      <c r="P956" s="87"/>
      <c r="Q956" s="87"/>
      <c r="R956" s="13"/>
      <c r="S956" s="13"/>
      <c r="T956" s="13"/>
      <c r="U956" s="13"/>
      <c r="V956" s="13"/>
      <c r="W956" s="13"/>
      <c r="X956" s="13"/>
      <c r="Y956" s="13"/>
      <c r="Z956" s="13"/>
    </row>
    <row r="957" spans="1:26" ht="15.75" customHeight="1">
      <c r="A957" s="39"/>
      <c r="B957" s="39"/>
      <c r="C957" s="306"/>
      <c r="D957" s="87"/>
      <c r="E957" s="87"/>
      <c r="F957" s="87"/>
      <c r="G957" s="87"/>
      <c r="H957" s="87"/>
      <c r="I957" s="87"/>
      <c r="J957" s="87"/>
      <c r="K957" s="87"/>
      <c r="L957" s="87"/>
      <c r="M957" s="87"/>
      <c r="N957" s="87"/>
      <c r="O957" s="87"/>
      <c r="P957" s="87"/>
      <c r="Q957" s="87"/>
      <c r="R957" s="13"/>
      <c r="S957" s="13"/>
      <c r="T957" s="13"/>
      <c r="U957" s="13"/>
      <c r="V957" s="13"/>
      <c r="W957" s="13"/>
      <c r="X957" s="13"/>
      <c r="Y957" s="13"/>
      <c r="Z957" s="13"/>
    </row>
    <row r="958" spans="1:26" ht="15.75" customHeight="1">
      <c r="A958" s="39"/>
      <c r="B958" s="39"/>
      <c r="C958" s="306"/>
      <c r="D958" s="87"/>
      <c r="E958" s="87"/>
      <c r="F958" s="87"/>
      <c r="G958" s="87"/>
      <c r="H958" s="87"/>
      <c r="I958" s="87"/>
      <c r="J958" s="87"/>
      <c r="K958" s="87"/>
      <c r="L958" s="87"/>
      <c r="M958" s="87"/>
      <c r="N958" s="87"/>
      <c r="O958" s="87"/>
      <c r="P958" s="87"/>
      <c r="Q958" s="87"/>
      <c r="R958" s="13"/>
      <c r="S958" s="13"/>
      <c r="T958" s="13"/>
      <c r="U958" s="13"/>
      <c r="V958" s="13"/>
      <c r="W958" s="13"/>
      <c r="X958" s="13"/>
      <c r="Y958" s="13"/>
      <c r="Z958" s="13"/>
    </row>
    <row r="959" spans="1:26" ht="15.75" customHeight="1">
      <c r="A959" s="39"/>
      <c r="B959" s="39"/>
      <c r="C959" s="306"/>
      <c r="D959" s="87"/>
      <c r="E959" s="87"/>
      <c r="F959" s="87"/>
      <c r="G959" s="87"/>
      <c r="H959" s="87"/>
      <c r="I959" s="87"/>
      <c r="J959" s="87"/>
      <c r="K959" s="87"/>
      <c r="L959" s="87"/>
      <c r="M959" s="87"/>
      <c r="N959" s="87"/>
      <c r="O959" s="87"/>
      <c r="P959" s="87"/>
      <c r="Q959" s="87"/>
      <c r="R959" s="13"/>
      <c r="S959" s="13"/>
      <c r="T959" s="13"/>
      <c r="U959" s="13"/>
      <c r="V959" s="13"/>
      <c r="W959" s="13"/>
      <c r="X959" s="13"/>
      <c r="Y959" s="13"/>
      <c r="Z959" s="13"/>
    </row>
    <row r="960" spans="1:26" ht="15.75" customHeight="1">
      <c r="A960" s="39"/>
      <c r="B960" s="39"/>
      <c r="C960" s="306"/>
      <c r="D960" s="87"/>
      <c r="E960" s="87"/>
      <c r="F960" s="87"/>
      <c r="G960" s="87"/>
      <c r="H960" s="87"/>
      <c r="I960" s="87"/>
      <c r="J960" s="87"/>
      <c r="K960" s="87"/>
      <c r="L960" s="87"/>
      <c r="M960" s="87"/>
      <c r="N960" s="87"/>
      <c r="O960" s="87"/>
      <c r="P960" s="87"/>
      <c r="Q960" s="87"/>
      <c r="R960" s="13"/>
      <c r="S960" s="13"/>
      <c r="T960" s="13"/>
      <c r="U960" s="13"/>
      <c r="V960" s="13"/>
      <c r="W960" s="13"/>
      <c r="X960" s="13"/>
      <c r="Y960" s="13"/>
      <c r="Z960" s="13"/>
    </row>
    <row r="961" spans="1:26" ht="15.75" customHeight="1">
      <c r="A961" s="39"/>
      <c r="B961" s="39"/>
      <c r="C961" s="306"/>
      <c r="D961" s="87"/>
      <c r="E961" s="87"/>
      <c r="F961" s="87"/>
      <c r="G961" s="87"/>
      <c r="H961" s="87"/>
      <c r="I961" s="87"/>
      <c r="J961" s="87"/>
      <c r="K961" s="87"/>
      <c r="L961" s="87"/>
      <c r="M961" s="87"/>
      <c r="N961" s="87"/>
      <c r="O961" s="87"/>
      <c r="P961" s="87"/>
      <c r="Q961" s="87"/>
      <c r="R961" s="13"/>
      <c r="S961" s="13"/>
      <c r="T961" s="13"/>
      <c r="U961" s="13"/>
      <c r="V961" s="13"/>
      <c r="W961" s="13"/>
      <c r="X961" s="13"/>
      <c r="Y961" s="13"/>
      <c r="Z961" s="13"/>
    </row>
    <row r="962" spans="1:26" ht="15.75" customHeight="1">
      <c r="A962" s="39"/>
      <c r="B962" s="39"/>
      <c r="C962" s="306"/>
      <c r="D962" s="87"/>
      <c r="E962" s="87"/>
      <c r="F962" s="87"/>
      <c r="G962" s="87"/>
      <c r="H962" s="87"/>
      <c r="I962" s="87"/>
      <c r="J962" s="87"/>
      <c r="K962" s="87"/>
      <c r="L962" s="87"/>
      <c r="M962" s="87"/>
      <c r="N962" s="87"/>
      <c r="O962" s="87"/>
      <c r="P962" s="87"/>
      <c r="Q962" s="87"/>
      <c r="R962" s="13"/>
      <c r="S962" s="13"/>
      <c r="T962" s="13"/>
      <c r="U962" s="13"/>
      <c r="V962" s="13"/>
      <c r="W962" s="13"/>
      <c r="X962" s="13"/>
      <c r="Y962" s="13"/>
      <c r="Z962" s="13"/>
    </row>
    <row r="963" spans="1:26" ht="15.75" customHeight="1">
      <c r="A963" s="39"/>
      <c r="B963" s="39"/>
      <c r="C963" s="306"/>
      <c r="D963" s="87"/>
      <c r="E963" s="87"/>
      <c r="F963" s="87"/>
      <c r="G963" s="87"/>
      <c r="H963" s="87"/>
      <c r="I963" s="87"/>
      <c r="J963" s="87"/>
      <c r="K963" s="87"/>
      <c r="L963" s="87"/>
      <c r="M963" s="87"/>
      <c r="N963" s="87"/>
      <c r="O963" s="87"/>
      <c r="P963" s="87"/>
      <c r="Q963" s="87"/>
      <c r="R963" s="13"/>
      <c r="S963" s="13"/>
      <c r="T963" s="13"/>
      <c r="U963" s="13"/>
      <c r="V963" s="13"/>
      <c r="W963" s="13"/>
      <c r="X963" s="13"/>
      <c r="Y963" s="13"/>
      <c r="Z963" s="13"/>
    </row>
    <row r="964" spans="1:26" ht="15.75" customHeight="1">
      <c r="A964" s="39"/>
      <c r="B964" s="39"/>
      <c r="C964" s="306"/>
      <c r="D964" s="87"/>
      <c r="E964" s="87"/>
      <c r="F964" s="87"/>
      <c r="G964" s="87"/>
      <c r="H964" s="87"/>
      <c r="I964" s="87"/>
      <c r="J964" s="87"/>
      <c r="K964" s="87"/>
      <c r="L964" s="87"/>
      <c r="M964" s="87"/>
      <c r="N964" s="87"/>
      <c r="O964" s="87"/>
      <c r="P964" s="87"/>
      <c r="Q964" s="87"/>
      <c r="R964" s="13"/>
      <c r="S964" s="13"/>
      <c r="T964" s="13"/>
      <c r="U964" s="13"/>
      <c r="V964" s="13"/>
      <c r="W964" s="13"/>
      <c r="X964" s="13"/>
      <c r="Y964" s="13"/>
      <c r="Z964" s="13"/>
    </row>
    <row r="965" spans="1:26" ht="15.75" customHeight="1">
      <c r="A965" s="39"/>
      <c r="B965" s="39"/>
      <c r="C965" s="306"/>
      <c r="D965" s="87"/>
      <c r="E965" s="87"/>
      <c r="F965" s="87"/>
      <c r="G965" s="87"/>
      <c r="H965" s="87"/>
      <c r="I965" s="87"/>
      <c r="J965" s="87"/>
      <c r="K965" s="87"/>
      <c r="L965" s="87"/>
      <c r="M965" s="87"/>
      <c r="N965" s="87"/>
      <c r="O965" s="87"/>
      <c r="P965" s="87"/>
      <c r="Q965" s="87"/>
      <c r="R965" s="13"/>
      <c r="S965" s="13"/>
      <c r="T965" s="13"/>
      <c r="U965" s="13"/>
      <c r="V965" s="13"/>
      <c r="W965" s="13"/>
      <c r="X965" s="13"/>
      <c r="Y965" s="13"/>
      <c r="Z965" s="13"/>
    </row>
    <row r="966" spans="1:26" ht="15.75" customHeight="1">
      <c r="A966" s="39"/>
      <c r="B966" s="39"/>
      <c r="C966" s="306"/>
      <c r="D966" s="87"/>
      <c r="E966" s="87"/>
      <c r="F966" s="87"/>
      <c r="G966" s="87"/>
      <c r="H966" s="87"/>
      <c r="I966" s="87"/>
      <c r="J966" s="87"/>
      <c r="K966" s="87"/>
      <c r="L966" s="87"/>
      <c r="M966" s="87"/>
      <c r="N966" s="87"/>
      <c r="O966" s="87"/>
      <c r="P966" s="87"/>
      <c r="Q966" s="87"/>
      <c r="R966" s="13"/>
      <c r="S966" s="13"/>
      <c r="T966" s="13"/>
      <c r="U966" s="13"/>
      <c r="V966" s="13"/>
      <c r="W966" s="13"/>
      <c r="X966" s="13"/>
      <c r="Y966" s="13"/>
      <c r="Z966" s="13"/>
    </row>
    <row r="967" spans="1:26" ht="15.75" customHeight="1">
      <c r="A967" s="39"/>
      <c r="B967" s="39"/>
      <c r="C967" s="306"/>
      <c r="D967" s="87"/>
      <c r="E967" s="87"/>
      <c r="F967" s="87"/>
      <c r="G967" s="87"/>
      <c r="H967" s="87"/>
      <c r="I967" s="87"/>
      <c r="J967" s="87"/>
      <c r="K967" s="87"/>
      <c r="L967" s="87"/>
      <c r="M967" s="87"/>
      <c r="N967" s="87"/>
      <c r="O967" s="87"/>
      <c r="P967" s="87"/>
      <c r="Q967" s="87"/>
      <c r="R967" s="13"/>
      <c r="S967" s="13"/>
      <c r="T967" s="13"/>
      <c r="U967" s="13"/>
      <c r="V967" s="13"/>
      <c r="W967" s="13"/>
      <c r="X967" s="13"/>
      <c r="Y967" s="13"/>
      <c r="Z967" s="13"/>
    </row>
    <row r="968" spans="1:26" ht="15.75" customHeight="1">
      <c r="A968" s="39"/>
      <c r="B968" s="39"/>
      <c r="C968" s="306"/>
      <c r="D968" s="87"/>
      <c r="E968" s="87"/>
      <c r="F968" s="87"/>
      <c r="G968" s="87"/>
      <c r="H968" s="87"/>
      <c r="I968" s="87"/>
      <c r="J968" s="87"/>
      <c r="K968" s="87"/>
      <c r="L968" s="87"/>
      <c r="M968" s="87"/>
      <c r="N968" s="87"/>
      <c r="O968" s="87"/>
      <c r="P968" s="87"/>
      <c r="Q968" s="87"/>
      <c r="R968" s="13"/>
      <c r="S968" s="13"/>
      <c r="T968" s="13"/>
      <c r="U968" s="13"/>
      <c r="V968" s="13"/>
      <c r="W968" s="13"/>
      <c r="X968" s="13"/>
      <c r="Y968" s="13"/>
      <c r="Z968" s="13"/>
    </row>
    <row r="969" spans="1:26" ht="15.75" customHeight="1">
      <c r="A969" s="39"/>
      <c r="B969" s="39"/>
      <c r="C969" s="306"/>
      <c r="D969" s="87"/>
      <c r="E969" s="87"/>
      <c r="F969" s="87"/>
      <c r="G969" s="87"/>
      <c r="H969" s="87"/>
      <c r="I969" s="87"/>
      <c r="J969" s="87"/>
      <c r="K969" s="87"/>
      <c r="L969" s="87"/>
      <c r="M969" s="87"/>
      <c r="N969" s="87"/>
      <c r="O969" s="87"/>
      <c r="P969" s="87"/>
      <c r="Q969" s="87"/>
      <c r="R969" s="13"/>
      <c r="S969" s="13"/>
      <c r="T969" s="13"/>
      <c r="U969" s="13"/>
      <c r="V969" s="13"/>
      <c r="W969" s="13"/>
      <c r="X969" s="13"/>
      <c r="Y969" s="13"/>
      <c r="Z969" s="13"/>
    </row>
    <row r="970" spans="1:26" ht="15.75" customHeight="1">
      <c r="A970" s="39"/>
      <c r="B970" s="39"/>
      <c r="C970" s="306"/>
      <c r="D970" s="87"/>
      <c r="E970" s="87"/>
      <c r="F970" s="87"/>
      <c r="G970" s="87"/>
      <c r="H970" s="87"/>
      <c r="I970" s="87"/>
      <c r="J970" s="87"/>
      <c r="K970" s="87"/>
      <c r="L970" s="87"/>
      <c r="M970" s="87"/>
      <c r="N970" s="87"/>
      <c r="O970" s="87"/>
      <c r="P970" s="87"/>
      <c r="Q970" s="87"/>
      <c r="R970" s="13"/>
      <c r="S970" s="13"/>
      <c r="T970" s="13"/>
      <c r="U970" s="13"/>
      <c r="V970" s="13"/>
      <c r="W970" s="13"/>
      <c r="X970" s="13"/>
      <c r="Y970" s="13"/>
      <c r="Z970" s="13"/>
    </row>
    <row r="971" spans="1:26" ht="15.75" customHeight="1">
      <c r="A971" s="39"/>
      <c r="B971" s="39"/>
      <c r="C971" s="306"/>
      <c r="D971" s="87"/>
      <c r="E971" s="87"/>
      <c r="F971" s="87"/>
      <c r="G971" s="87"/>
      <c r="H971" s="87"/>
      <c r="I971" s="87"/>
      <c r="J971" s="87"/>
      <c r="K971" s="87"/>
      <c r="L971" s="87"/>
      <c r="M971" s="87"/>
      <c r="N971" s="87"/>
      <c r="O971" s="87"/>
      <c r="P971" s="87"/>
      <c r="Q971" s="87"/>
      <c r="R971" s="13"/>
      <c r="S971" s="13"/>
      <c r="T971" s="13"/>
      <c r="U971" s="13"/>
      <c r="V971" s="13"/>
      <c r="W971" s="13"/>
      <c r="X971" s="13"/>
      <c r="Y971" s="13"/>
      <c r="Z971" s="13"/>
    </row>
    <row r="972" spans="1:26" ht="15.75" customHeight="1">
      <c r="A972" s="39"/>
      <c r="B972" s="39"/>
      <c r="C972" s="306"/>
      <c r="D972" s="87"/>
      <c r="E972" s="87"/>
      <c r="F972" s="87"/>
      <c r="G972" s="87"/>
      <c r="H972" s="87"/>
      <c r="I972" s="87"/>
      <c r="J972" s="87"/>
      <c r="K972" s="87"/>
      <c r="L972" s="87"/>
      <c r="M972" s="87"/>
      <c r="N972" s="87"/>
      <c r="O972" s="87"/>
      <c r="P972" s="87"/>
      <c r="Q972" s="87"/>
      <c r="R972" s="13"/>
      <c r="S972" s="13"/>
      <c r="T972" s="13"/>
      <c r="U972" s="13"/>
      <c r="V972" s="13"/>
      <c r="W972" s="13"/>
      <c r="X972" s="13"/>
      <c r="Y972" s="13"/>
      <c r="Z972" s="13"/>
    </row>
    <row r="973" spans="1:26" ht="15.75" customHeight="1">
      <c r="A973" s="39"/>
      <c r="B973" s="39"/>
      <c r="C973" s="306"/>
      <c r="D973" s="87"/>
      <c r="E973" s="87"/>
      <c r="F973" s="87"/>
      <c r="G973" s="87"/>
      <c r="H973" s="87"/>
      <c r="I973" s="87"/>
      <c r="J973" s="87"/>
      <c r="K973" s="87"/>
      <c r="L973" s="87"/>
      <c r="M973" s="87"/>
      <c r="N973" s="87"/>
      <c r="O973" s="87"/>
      <c r="P973" s="87"/>
      <c r="Q973" s="87"/>
      <c r="R973" s="13"/>
      <c r="S973" s="13"/>
      <c r="T973" s="13"/>
      <c r="U973" s="13"/>
      <c r="V973" s="13"/>
      <c r="W973" s="13"/>
      <c r="X973" s="13"/>
      <c r="Y973" s="13"/>
      <c r="Z973" s="13"/>
    </row>
    <row r="974" spans="1:26" ht="15.75" customHeight="1">
      <c r="A974" s="39"/>
      <c r="B974" s="39"/>
      <c r="C974" s="306"/>
      <c r="D974" s="87"/>
      <c r="E974" s="87"/>
      <c r="F974" s="87"/>
      <c r="G974" s="87"/>
      <c r="H974" s="87"/>
      <c r="I974" s="87"/>
      <c r="J974" s="87"/>
      <c r="K974" s="87"/>
      <c r="L974" s="87"/>
      <c r="M974" s="87"/>
      <c r="N974" s="87"/>
      <c r="O974" s="87"/>
      <c r="P974" s="87"/>
      <c r="Q974" s="87"/>
      <c r="R974" s="13"/>
      <c r="S974" s="13"/>
      <c r="T974" s="13"/>
      <c r="U974" s="13"/>
      <c r="V974" s="13"/>
      <c r="W974" s="13"/>
      <c r="X974" s="13"/>
      <c r="Y974" s="13"/>
      <c r="Z974" s="13"/>
    </row>
    <row r="975" spans="1:26" ht="15.75" customHeight="1">
      <c r="A975" s="39"/>
      <c r="B975" s="39"/>
      <c r="C975" s="306"/>
      <c r="D975" s="87"/>
      <c r="E975" s="87"/>
      <c r="F975" s="87"/>
      <c r="G975" s="87"/>
      <c r="H975" s="87"/>
      <c r="I975" s="87"/>
      <c r="J975" s="87"/>
      <c r="K975" s="87"/>
      <c r="L975" s="87"/>
      <c r="M975" s="87"/>
      <c r="N975" s="87"/>
      <c r="O975" s="87"/>
      <c r="P975" s="87"/>
      <c r="Q975" s="87"/>
      <c r="R975" s="13"/>
      <c r="S975" s="13"/>
      <c r="T975" s="13"/>
      <c r="U975" s="13"/>
      <c r="V975" s="13"/>
      <c r="W975" s="13"/>
      <c r="X975" s="13"/>
      <c r="Y975" s="13"/>
      <c r="Z975" s="13"/>
    </row>
    <row r="976" spans="1:26" ht="15.75" customHeight="1">
      <c r="A976" s="39"/>
      <c r="B976" s="39"/>
      <c r="C976" s="306"/>
      <c r="D976" s="87"/>
      <c r="E976" s="87"/>
      <c r="F976" s="87"/>
      <c r="G976" s="87"/>
      <c r="H976" s="87"/>
      <c r="I976" s="87"/>
      <c r="J976" s="87"/>
      <c r="K976" s="87"/>
      <c r="L976" s="87"/>
      <c r="M976" s="87"/>
      <c r="N976" s="87"/>
      <c r="O976" s="87"/>
      <c r="P976" s="87"/>
      <c r="Q976" s="87"/>
      <c r="R976" s="13"/>
      <c r="S976" s="13"/>
      <c r="T976" s="13"/>
      <c r="U976" s="13"/>
      <c r="V976" s="13"/>
      <c r="W976" s="13"/>
      <c r="X976" s="13"/>
      <c r="Y976" s="13"/>
      <c r="Z976" s="13"/>
    </row>
    <row r="977" spans="1:26" ht="15.75" customHeight="1">
      <c r="A977" s="39"/>
      <c r="B977" s="39"/>
      <c r="C977" s="306"/>
      <c r="D977" s="87"/>
      <c r="E977" s="87"/>
      <c r="F977" s="87"/>
      <c r="G977" s="87"/>
      <c r="H977" s="87"/>
      <c r="I977" s="87"/>
      <c r="J977" s="87"/>
      <c r="K977" s="87"/>
      <c r="L977" s="87"/>
      <c r="M977" s="87"/>
      <c r="N977" s="87"/>
      <c r="O977" s="87"/>
      <c r="P977" s="87"/>
      <c r="Q977" s="87"/>
      <c r="R977" s="13"/>
      <c r="S977" s="13"/>
      <c r="T977" s="13"/>
      <c r="U977" s="13"/>
      <c r="V977" s="13"/>
      <c r="W977" s="13"/>
      <c r="X977" s="13"/>
      <c r="Y977" s="13"/>
      <c r="Z977" s="13"/>
    </row>
    <row r="978" spans="1:26" ht="15.75" customHeight="1">
      <c r="A978" s="39"/>
      <c r="B978" s="39"/>
      <c r="C978" s="306"/>
      <c r="D978" s="87"/>
      <c r="E978" s="87"/>
      <c r="F978" s="87"/>
      <c r="G978" s="87"/>
      <c r="H978" s="87"/>
      <c r="I978" s="87"/>
      <c r="J978" s="87"/>
      <c r="K978" s="87"/>
      <c r="L978" s="87"/>
      <c r="M978" s="87"/>
      <c r="N978" s="87"/>
      <c r="O978" s="87"/>
      <c r="P978" s="87"/>
      <c r="Q978" s="87"/>
      <c r="R978" s="13"/>
      <c r="S978" s="13"/>
      <c r="T978" s="13"/>
      <c r="U978" s="13"/>
      <c r="V978" s="13"/>
      <c r="W978" s="13"/>
      <c r="X978" s="13"/>
      <c r="Y978" s="13"/>
      <c r="Z978" s="13"/>
    </row>
    <row r="979" spans="1:26" ht="15.75" customHeight="1">
      <c r="A979" s="39"/>
      <c r="B979" s="39"/>
      <c r="C979" s="306"/>
      <c r="D979" s="87"/>
      <c r="E979" s="87"/>
      <c r="F979" s="87"/>
      <c r="G979" s="87"/>
      <c r="H979" s="87"/>
      <c r="I979" s="87"/>
      <c r="J979" s="87"/>
      <c r="K979" s="87"/>
      <c r="L979" s="87"/>
      <c r="M979" s="87"/>
      <c r="N979" s="87"/>
      <c r="O979" s="87"/>
      <c r="P979" s="87"/>
      <c r="Q979" s="87"/>
      <c r="R979" s="13"/>
      <c r="S979" s="13"/>
      <c r="T979" s="13"/>
      <c r="U979" s="13"/>
      <c r="V979" s="13"/>
      <c r="W979" s="13"/>
      <c r="X979" s="13"/>
      <c r="Y979" s="13"/>
      <c r="Z979" s="13"/>
    </row>
    <row r="980" spans="1:26" ht="15.75" customHeight="1">
      <c r="A980" s="39"/>
      <c r="B980" s="39"/>
      <c r="C980" s="306"/>
      <c r="D980" s="87"/>
      <c r="E980" s="87"/>
      <c r="F980" s="87"/>
      <c r="G980" s="87"/>
      <c r="H980" s="87"/>
      <c r="I980" s="87"/>
      <c r="J980" s="87"/>
      <c r="K980" s="87"/>
      <c r="L980" s="87"/>
      <c r="M980" s="87"/>
      <c r="N980" s="87"/>
      <c r="O980" s="87"/>
      <c r="P980" s="87"/>
      <c r="Q980" s="87"/>
      <c r="R980" s="13"/>
      <c r="S980" s="13"/>
      <c r="T980" s="13"/>
      <c r="U980" s="13"/>
      <c r="V980" s="13"/>
      <c r="W980" s="13"/>
      <c r="X980" s="13"/>
      <c r="Y980" s="13"/>
      <c r="Z980" s="13"/>
    </row>
    <row r="981" spans="1:26" ht="15.75" customHeight="1">
      <c r="A981" s="39"/>
      <c r="B981" s="39"/>
      <c r="C981" s="306"/>
      <c r="D981" s="87"/>
      <c r="E981" s="87"/>
      <c r="F981" s="87"/>
      <c r="G981" s="87"/>
      <c r="H981" s="87"/>
      <c r="I981" s="87"/>
      <c r="J981" s="87"/>
      <c r="K981" s="87"/>
      <c r="L981" s="87"/>
      <c r="M981" s="87"/>
      <c r="N981" s="87"/>
      <c r="O981" s="87"/>
      <c r="P981" s="87"/>
      <c r="Q981" s="87"/>
      <c r="R981" s="13"/>
      <c r="S981" s="13"/>
      <c r="T981" s="13"/>
      <c r="U981" s="13"/>
      <c r="V981" s="13"/>
      <c r="W981" s="13"/>
      <c r="X981" s="13"/>
      <c r="Y981" s="13"/>
      <c r="Z981" s="13"/>
    </row>
    <row r="982" spans="1:26" ht="15.75" customHeight="1">
      <c r="A982" s="39"/>
      <c r="B982" s="39"/>
      <c r="C982" s="306"/>
      <c r="D982" s="87"/>
      <c r="E982" s="87"/>
      <c r="F982" s="87"/>
      <c r="G982" s="87"/>
      <c r="H982" s="87"/>
      <c r="I982" s="87"/>
      <c r="J982" s="87"/>
      <c r="K982" s="87"/>
      <c r="L982" s="87"/>
      <c r="M982" s="87"/>
      <c r="N982" s="87"/>
      <c r="O982" s="87"/>
      <c r="P982" s="87"/>
      <c r="Q982" s="87"/>
      <c r="R982" s="13"/>
      <c r="S982" s="13"/>
      <c r="T982" s="13"/>
      <c r="U982" s="13"/>
      <c r="V982" s="13"/>
      <c r="W982" s="13"/>
      <c r="X982" s="13"/>
      <c r="Y982" s="13"/>
      <c r="Z982" s="13"/>
    </row>
    <row r="983" spans="1:26" ht="15.75" customHeight="1">
      <c r="A983" s="39"/>
      <c r="B983" s="39"/>
      <c r="C983" s="306"/>
      <c r="D983" s="87"/>
      <c r="E983" s="87"/>
      <c r="F983" s="87"/>
      <c r="G983" s="87"/>
      <c r="H983" s="87"/>
      <c r="I983" s="87"/>
      <c r="J983" s="87"/>
      <c r="K983" s="87"/>
      <c r="L983" s="87"/>
      <c r="M983" s="87"/>
      <c r="N983" s="87"/>
      <c r="O983" s="87"/>
      <c r="P983" s="87"/>
      <c r="Q983" s="87"/>
      <c r="R983" s="13"/>
      <c r="S983" s="13"/>
      <c r="T983" s="13"/>
      <c r="U983" s="13"/>
      <c r="V983" s="13"/>
      <c r="W983" s="13"/>
      <c r="X983" s="13"/>
      <c r="Y983" s="13"/>
      <c r="Z983" s="13"/>
    </row>
    <row r="984" spans="1:26" ht="15.75" customHeight="1">
      <c r="A984" s="39"/>
      <c r="B984" s="39"/>
      <c r="C984" s="306"/>
      <c r="D984" s="87"/>
      <c r="E984" s="87"/>
      <c r="F984" s="87"/>
      <c r="G984" s="87"/>
      <c r="H984" s="87"/>
      <c r="I984" s="87"/>
      <c r="J984" s="87"/>
      <c r="K984" s="87"/>
      <c r="L984" s="87"/>
      <c r="M984" s="87"/>
      <c r="N984" s="87"/>
      <c r="O984" s="87"/>
      <c r="P984" s="87"/>
      <c r="Q984" s="87"/>
      <c r="R984" s="13"/>
      <c r="S984" s="13"/>
      <c r="T984" s="13"/>
      <c r="U984" s="13"/>
      <c r="V984" s="13"/>
      <c r="W984" s="13"/>
      <c r="X984" s="13"/>
      <c r="Y984" s="13"/>
      <c r="Z984" s="13"/>
    </row>
    <row r="985" spans="1:26" ht="15.75" customHeight="1">
      <c r="A985" s="39"/>
      <c r="B985" s="39"/>
      <c r="C985" s="306"/>
      <c r="D985" s="87"/>
      <c r="E985" s="87"/>
      <c r="F985" s="87"/>
      <c r="G985" s="87"/>
      <c r="H985" s="87"/>
      <c r="I985" s="87"/>
      <c r="J985" s="87"/>
      <c r="K985" s="87"/>
      <c r="L985" s="87"/>
      <c r="M985" s="87"/>
      <c r="N985" s="87"/>
      <c r="O985" s="87"/>
      <c r="P985" s="87"/>
      <c r="Q985" s="87"/>
      <c r="R985" s="13"/>
      <c r="S985" s="13"/>
      <c r="T985" s="13"/>
      <c r="U985" s="13"/>
      <c r="V985" s="13"/>
      <c r="W985" s="13"/>
      <c r="X985" s="13"/>
      <c r="Y985" s="13"/>
      <c r="Z985" s="13"/>
    </row>
    <row r="986" spans="1:26" ht="15.75" customHeight="1">
      <c r="A986" s="39"/>
      <c r="B986" s="39"/>
      <c r="C986" s="306"/>
      <c r="D986" s="87"/>
      <c r="E986" s="87"/>
      <c r="F986" s="87"/>
      <c r="G986" s="87"/>
      <c r="H986" s="87"/>
      <c r="I986" s="87"/>
      <c r="J986" s="87"/>
      <c r="K986" s="87"/>
      <c r="L986" s="87"/>
      <c r="M986" s="87"/>
      <c r="N986" s="87"/>
      <c r="O986" s="87"/>
      <c r="P986" s="87"/>
      <c r="Q986" s="87"/>
      <c r="R986" s="13"/>
      <c r="S986" s="13"/>
      <c r="T986" s="13"/>
      <c r="U986" s="13"/>
      <c r="V986" s="13"/>
      <c r="W986" s="13"/>
      <c r="X986" s="13"/>
      <c r="Y986" s="13"/>
      <c r="Z986" s="13"/>
    </row>
    <row r="987" spans="1:26" ht="15.75" customHeight="1">
      <c r="A987" s="39"/>
      <c r="B987" s="39"/>
      <c r="C987" s="306"/>
      <c r="D987" s="87"/>
      <c r="E987" s="87"/>
      <c r="F987" s="87"/>
      <c r="G987" s="87"/>
      <c r="H987" s="87"/>
      <c r="I987" s="87"/>
      <c r="J987" s="87"/>
      <c r="K987" s="87"/>
      <c r="L987" s="87"/>
      <c r="M987" s="87"/>
      <c r="N987" s="87"/>
      <c r="O987" s="87"/>
      <c r="P987" s="87"/>
      <c r="Q987" s="87"/>
      <c r="R987" s="13"/>
      <c r="S987" s="13"/>
      <c r="T987" s="13"/>
      <c r="U987" s="13"/>
      <c r="V987" s="13"/>
      <c r="W987" s="13"/>
      <c r="X987" s="13"/>
      <c r="Y987" s="13"/>
      <c r="Z987" s="13"/>
    </row>
    <row r="988" spans="1:26" ht="15.75" customHeight="1">
      <c r="A988" s="39"/>
      <c r="B988" s="39"/>
      <c r="C988" s="306"/>
      <c r="D988" s="87"/>
      <c r="E988" s="87"/>
      <c r="F988" s="87"/>
      <c r="G988" s="87"/>
      <c r="H988" s="87"/>
      <c r="I988" s="87"/>
      <c r="J988" s="87"/>
      <c r="K988" s="87"/>
      <c r="L988" s="87"/>
      <c r="M988" s="87"/>
      <c r="N988" s="87"/>
      <c r="O988" s="87"/>
      <c r="P988" s="87"/>
      <c r="Q988" s="87"/>
      <c r="R988" s="13"/>
      <c r="S988" s="13"/>
      <c r="T988" s="13"/>
      <c r="U988" s="13"/>
      <c r="V988" s="13"/>
      <c r="W988" s="13"/>
      <c r="X988" s="13"/>
      <c r="Y988" s="13"/>
      <c r="Z988" s="13"/>
    </row>
    <row r="989" spans="1:26" ht="15.75" customHeight="1">
      <c r="A989" s="39"/>
      <c r="B989" s="39"/>
      <c r="C989" s="306"/>
      <c r="D989" s="87"/>
      <c r="E989" s="87"/>
      <c r="F989" s="87"/>
      <c r="G989" s="87"/>
      <c r="H989" s="87"/>
      <c r="I989" s="87"/>
      <c r="J989" s="87"/>
      <c r="K989" s="87"/>
      <c r="L989" s="87"/>
      <c r="M989" s="87"/>
      <c r="N989" s="87"/>
      <c r="O989" s="87"/>
      <c r="P989" s="87"/>
      <c r="Q989" s="87"/>
      <c r="R989" s="13"/>
      <c r="S989" s="13"/>
      <c r="T989" s="13"/>
      <c r="U989" s="13"/>
      <c r="V989" s="13"/>
      <c r="W989" s="13"/>
      <c r="X989" s="13"/>
      <c r="Y989" s="13"/>
      <c r="Z989" s="13"/>
    </row>
    <row r="990" spans="1:26" ht="15.75" customHeight="1">
      <c r="A990" s="39"/>
      <c r="B990" s="39"/>
      <c r="C990" s="306"/>
      <c r="D990" s="87"/>
      <c r="E990" s="87"/>
      <c r="F990" s="87"/>
      <c r="G990" s="87"/>
      <c r="H990" s="87"/>
      <c r="I990" s="87"/>
      <c r="J990" s="87"/>
      <c r="K990" s="87"/>
      <c r="L990" s="87"/>
      <c r="M990" s="87"/>
      <c r="N990" s="87"/>
      <c r="O990" s="87"/>
      <c r="P990" s="87"/>
      <c r="Q990" s="87"/>
      <c r="R990" s="13"/>
      <c r="S990" s="13"/>
      <c r="T990" s="13"/>
      <c r="U990" s="13"/>
      <c r="V990" s="13"/>
      <c r="W990" s="13"/>
      <c r="X990" s="13"/>
      <c r="Y990" s="13"/>
      <c r="Z990" s="13"/>
    </row>
    <row r="991" spans="1:26">
      <c r="A991" s="39"/>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39"/>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39"/>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39"/>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39"/>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39"/>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39"/>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39"/>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39"/>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39"/>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c r="A1001" s="39"/>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c r="A1002" s="39"/>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c r="A1003" s="39"/>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c r="A1004" s="39"/>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c r="A1005" s="39"/>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c r="A1006" s="39"/>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c r="A1007" s="39"/>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c r="A1008" s="39"/>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c r="A1009" s="39"/>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c r="A1010" s="39"/>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c r="A1011" s="39"/>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row>
  </sheetData>
  <sheetProtection algorithmName="SHA-512" hashValue="th3RUc4XYNHY4JHVc7GBKU5mPNtQPGejiRBydD5lQHh4XSt0+ySrZ6MAkj88/7CuKYl68C+G9KtZKox46iXYxg==" saltValue="wwZmOiPzksj6G3bPQ7F42A==" spinCount="100000" sheet="1" objects="1" scenarios="1"/>
  <autoFilter ref="A13:R197">
    <filterColumn colId="9" showButton="0"/>
    <filterColumn colId="10" showButton="0"/>
  </autoFilter>
  <mergeCells count="32">
    <mergeCell ref="J1:O1"/>
    <mergeCell ref="J2:O2"/>
    <mergeCell ref="A3:R3"/>
    <mergeCell ref="A4:R4"/>
    <mergeCell ref="A6:B6"/>
    <mergeCell ref="A7:B7"/>
    <mergeCell ref="J7:L7"/>
    <mergeCell ref="E13:E14"/>
    <mergeCell ref="F13:F14"/>
    <mergeCell ref="A242:A255"/>
    <mergeCell ref="G13:G14"/>
    <mergeCell ref="H13:H14"/>
    <mergeCell ref="I13:I14"/>
    <mergeCell ref="J13:L13"/>
    <mergeCell ref="J257:O257"/>
    <mergeCell ref="J258:O258"/>
    <mergeCell ref="J264:O264"/>
    <mergeCell ref="B275:L275"/>
    <mergeCell ref="B276:L276"/>
    <mergeCell ref="R13:R14"/>
    <mergeCell ref="A9:L9"/>
    <mergeCell ref="A10:L10"/>
    <mergeCell ref="A11:L11"/>
    <mergeCell ref="A13:A14"/>
    <mergeCell ref="B13:B14"/>
    <mergeCell ref="C13:C14"/>
    <mergeCell ref="D13:D14"/>
    <mergeCell ref="M13:M14"/>
    <mergeCell ref="N13:N14"/>
    <mergeCell ref="O13:O14"/>
    <mergeCell ref="P13:P14"/>
    <mergeCell ref="Q13:Q14"/>
  </mergeCell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26"/>
  <sheetViews>
    <sheetView workbookViewId="0">
      <pane xSplit="2" ySplit="12" topLeftCell="C13"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42.28515625" customWidth="1"/>
    <col min="3" max="3" width="8.28515625" customWidth="1"/>
    <col min="4" max="4" width="7.140625" customWidth="1"/>
    <col min="5" max="5" width="7.7109375" customWidth="1"/>
    <col min="6" max="6" width="6.28515625" customWidth="1"/>
    <col min="7" max="7" width="6.7109375" customWidth="1"/>
    <col min="8" max="8" width="12" customWidth="1"/>
    <col min="9" max="9" width="15.28515625" customWidth="1"/>
    <col min="10" max="10" width="9" customWidth="1"/>
    <col min="11" max="11" width="9.140625" customWidth="1"/>
    <col min="12" max="12" width="9.42578125" customWidth="1"/>
    <col min="13" max="13" width="38.42578125" customWidth="1"/>
    <col min="14" max="26" width="8.7109375" customWidth="1"/>
  </cols>
  <sheetData>
    <row r="1" spans="1:13" ht="14.25" customHeight="1">
      <c r="A1" s="2809" t="s">
        <v>450</v>
      </c>
      <c r="B1" s="2732"/>
      <c r="C1" s="2732"/>
      <c r="D1" s="236"/>
      <c r="E1" s="139"/>
      <c r="F1" s="139"/>
      <c r="G1" s="139"/>
      <c r="H1" s="139"/>
      <c r="I1" s="95" t="s">
        <v>617</v>
      </c>
      <c r="J1" s="178"/>
      <c r="K1" s="178"/>
      <c r="L1" s="178"/>
      <c r="M1" s="95"/>
    </row>
    <row r="2" spans="1:13">
      <c r="A2" s="2838" t="s">
        <v>618</v>
      </c>
      <c r="B2" s="2732"/>
      <c r="C2" s="2732"/>
      <c r="D2" s="238"/>
      <c r="E2" s="43"/>
      <c r="F2" s="43"/>
      <c r="G2" s="43"/>
      <c r="H2" s="43"/>
      <c r="I2" s="91"/>
      <c r="J2" s="2798"/>
      <c r="K2" s="2732"/>
      <c r="L2" s="2732"/>
      <c r="M2" s="95"/>
    </row>
    <row r="3" spans="1:13" ht="15.75">
      <c r="A3" s="2773" t="s">
        <v>527</v>
      </c>
      <c r="B3" s="2732"/>
      <c r="C3" s="2732"/>
      <c r="D3" s="2732"/>
      <c r="E3" s="2732"/>
      <c r="F3" s="2732"/>
      <c r="G3" s="2732"/>
      <c r="H3" s="2732"/>
      <c r="I3" s="2732"/>
      <c r="J3" s="2732"/>
      <c r="K3" s="2732"/>
      <c r="L3" s="2732"/>
      <c r="M3" s="95"/>
    </row>
    <row r="4" spans="1:13" ht="15.75">
      <c r="A4" s="2812" t="s">
        <v>431</v>
      </c>
      <c r="B4" s="2732"/>
      <c r="C4" s="2732"/>
      <c r="D4" s="2732"/>
      <c r="E4" s="2732"/>
      <c r="F4" s="2732"/>
      <c r="G4" s="2732"/>
      <c r="H4" s="2732"/>
      <c r="I4" s="2732"/>
      <c r="J4" s="2732"/>
      <c r="K4" s="2732"/>
      <c r="L4" s="2732"/>
      <c r="M4" s="95"/>
    </row>
    <row r="5" spans="1:13">
      <c r="A5" s="2813" t="s">
        <v>432</v>
      </c>
      <c r="B5" s="2732"/>
      <c r="C5" s="2732"/>
      <c r="D5" s="2732"/>
      <c r="E5" s="2732"/>
      <c r="F5" s="2732"/>
      <c r="G5" s="2732"/>
      <c r="H5" s="2732"/>
      <c r="I5" s="2732"/>
      <c r="J5" s="2732"/>
      <c r="K5" s="2732"/>
      <c r="L5" s="2732"/>
      <c r="M5" s="180"/>
    </row>
    <row r="6" spans="1:13">
      <c r="A6" s="96"/>
      <c r="B6" s="96"/>
      <c r="C6" s="96"/>
      <c r="D6" s="239"/>
      <c r="E6" s="96"/>
      <c r="F6" s="96"/>
      <c r="G6" s="96"/>
      <c r="H6" s="96"/>
      <c r="I6" s="96"/>
      <c r="J6" s="96"/>
      <c r="K6" s="96"/>
      <c r="L6" s="96" t="s">
        <v>525</v>
      </c>
      <c r="M6" s="95"/>
    </row>
    <row r="7" spans="1:13" ht="28.5" customHeight="1">
      <c r="A7" s="2814" t="s">
        <v>186</v>
      </c>
      <c r="B7" s="2819" t="s">
        <v>453</v>
      </c>
      <c r="C7" s="2819" t="s">
        <v>454</v>
      </c>
      <c r="D7" s="2827" t="s">
        <v>619</v>
      </c>
      <c r="E7" s="2819" t="s">
        <v>620</v>
      </c>
      <c r="F7" s="2819" t="s">
        <v>457</v>
      </c>
      <c r="G7" s="2819" t="s">
        <v>621</v>
      </c>
      <c r="H7" s="2821" t="s">
        <v>459</v>
      </c>
      <c r="I7" s="2822" t="s">
        <v>439</v>
      </c>
      <c r="J7" s="2816" t="s">
        <v>622</v>
      </c>
      <c r="K7" s="2817"/>
      <c r="L7" s="2818"/>
      <c r="M7" s="2839" t="s">
        <v>623</v>
      </c>
    </row>
    <row r="8" spans="1:13" ht="12.75" customHeight="1">
      <c r="A8" s="2815"/>
      <c r="B8" s="2820"/>
      <c r="C8" s="2820"/>
      <c r="D8" s="2820"/>
      <c r="E8" s="2820"/>
      <c r="F8" s="2820"/>
      <c r="G8" s="2820"/>
      <c r="H8" s="2820"/>
      <c r="I8" s="2820"/>
      <c r="J8" s="122" t="s">
        <v>461</v>
      </c>
      <c r="K8" s="122" t="s">
        <v>462</v>
      </c>
      <c r="L8" s="418" t="s">
        <v>463</v>
      </c>
      <c r="M8" s="2779"/>
    </row>
    <row r="9" spans="1:13" ht="27.75" customHeight="1">
      <c r="A9" s="182" t="s">
        <v>465</v>
      </c>
      <c r="B9" s="183" t="s">
        <v>466</v>
      </c>
      <c r="C9" s="183" t="s">
        <v>467</v>
      </c>
      <c r="D9" s="184" t="s">
        <v>468</v>
      </c>
      <c r="E9" s="185" t="s">
        <v>469</v>
      </c>
      <c r="F9" s="185" t="s">
        <v>470</v>
      </c>
      <c r="G9" s="185" t="s">
        <v>471</v>
      </c>
      <c r="H9" s="186" t="s">
        <v>472</v>
      </c>
      <c r="I9" s="419" t="s">
        <v>624</v>
      </c>
      <c r="J9" s="185" t="s">
        <v>474</v>
      </c>
      <c r="K9" s="185" t="s">
        <v>475</v>
      </c>
      <c r="L9" s="420" t="s">
        <v>625</v>
      </c>
      <c r="M9" s="421"/>
    </row>
    <row r="10" spans="1:13" ht="17.25" customHeight="1">
      <c r="A10" s="189" t="s">
        <v>200</v>
      </c>
      <c r="B10" s="190" t="s">
        <v>626</v>
      </c>
      <c r="C10" s="191">
        <f t="shared" ref="C10:L10" si="0">C11+C107</f>
        <v>308</v>
      </c>
      <c r="D10" s="192">
        <f t="shared" si="0"/>
        <v>0</v>
      </c>
      <c r="E10" s="191">
        <f t="shared" si="0"/>
        <v>263</v>
      </c>
      <c r="F10" s="191">
        <f t="shared" si="0"/>
        <v>0</v>
      </c>
      <c r="G10" s="191">
        <f t="shared" si="0"/>
        <v>0</v>
      </c>
      <c r="H10" s="193">
        <f t="shared" si="0"/>
        <v>40778.479999999996</v>
      </c>
      <c r="I10" s="193">
        <f t="shared" si="0"/>
        <v>16468.675000000003</v>
      </c>
      <c r="J10" s="191">
        <f t="shared" si="0"/>
        <v>15808.425000000001</v>
      </c>
      <c r="K10" s="191">
        <f t="shared" si="0"/>
        <v>342.15</v>
      </c>
      <c r="L10" s="422">
        <f t="shared" si="0"/>
        <v>422.3</v>
      </c>
      <c r="M10" s="157"/>
    </row>
    <row r="11" spans="1:13" ht="27" customHeight="1">
      <c r="A11" s="189" t="s">
        <v>258</v>
      </c>
      <c r="B11" s="190" t="s">
        <v>627</v>
      </c>
      <c r="C11" s="194">
        <f>C12+C71</f>
        <v>273</v>
      </c>
      <c r="D11" s="192"/>
      <c r="E11" s="194">
        <f>E12+E71</f>
        <v>245</v>
      </c>
      <c r="F11" s="191"/>
      <c r="G11" s="194"/>
      <c r="H11" s="193">
        <f t="shared" ref="H11:L11" si="1">H12+H71</f>
        <v>38839.479999999996</v>
      </c>
      <c r="I11" s="193">
        <f t="shared" si="1"/>
        <v>15803.425000000001</v>
      </c>
      <c r="J11" s="191">
        <f t="shared" si="1"/>
        <v>15177.925000000001</v>
      </c>
      <c r="K11" s="191">
        <f t="shared" si="1"/>
        <v>307.39999999999998</v>
      </c>
      <c r="L11" s="422">
        <f t="shared" si="1"/>
        <v>422.3</v>
      </c>
      <c r="M11" s="157"/>
    </row>
    <row r="12" spans="1:13" ht="17.25" customHeight="1">
      <c r="A12" s="195">
        <v>1</v>
      </c>
      <c r="B12" s="196" t="s">
        <v>441</v>
      </c>
      <c r="C12" s="191">
        <f>C13+C37</f>
        <v>189</v>
      </c>
      <c r="D12" s="192"/>
      <c r="E12" s="191">
        <f>E13+E37</f>
        <v>196</v>
      </c>
      <c r="F12" s="191"/>
      <c r="G12" s="191"/>
      <c r="H12" s="193">
        <f t="shared" ref="H12:L12" si="2">H13+H37</f>
        <v>38839.479999999996</v>
      </c>
      <c r="I12" s="193">
        <f t="shared" si="2"/>
        <v>12304.300000000001</v>
      </c>
      <c r="J12" s="191">
        <f t="shared" si="2"/>
        <v>12254.800000000001</v>
      </c>
      <c r="K12" s="191">
        <f t="shared" si="2"/>
        <v>49.5</v>
      </c>
      <c r="L12" s="422">
        <f t="shared" si="2"/>
        <v>0</v>
      </c>
      <c r="M12" s="157"/>
    </row>
    <row r="13" spans="1:13" ht="51">
      <c r="A13" s="106" t="s">
        <v>260</v>
      </c>
      <c r="B13" s="107" t="s">
        <v>628</v>
      </c>
      <c r="C13" s="194">
        <f t="shared" ref="C13:L13" si="3">SUM(C14:C36)</f>
        <v>78</v>
      </c>
      <c r="D13" s="194">
        <f t="shared" si="3"/>
        <v>23.6</v>
      </c>
      <c r="E13" s="194">
        <f t="shared" si="3"/>
        <v>83</v>
      </c>
      <c r="F13" s="194">
        <f t="shared" si="3"/>
        <v>23</v>
      </c>
      <c r="G13" s="194">
        <f t="shared" si="3"/>
        <v>4366</v>
      </c>
      <c r="H13" s="194">
        <f t="shared" si="3"/>
        <v>17616.199999999997</v>
      </c>
      <c r="I13" s="194">
        <f t="shared" si="3"/>
        <v>5549.6</v>
      </c>
      <c r="J13" s="194">
        <f t="shared" si="3"/>
        <v>5549.6</v>
      </c>
      <c r="K13" s="194">
        <f t="shared" si="3"/>
        <v>0</v>
      </c>
      <c r="L13" s="194">
        <f t="shared" si="3"/>
        <v>0</v>
      </c>
      <c r="M13" s="423" t="s">
        <v>629</v>
      </c>
    </row>
    <row r="14" spans="1:13">
      <c r="A14" s="424" t="s">
        <v>479</v>
      </c>
      <c r="B14" s="67" t="s">
        <v>630</v>
      </c>
      <c r="C14" s="200">
        <v>4</v>
      </c>
      <c r="D14" s="425">
        <v>1</v>
      </c>
      <c r="E14" s="200">
        <v>3</v>
      </c>
      <c r="F14" s="426">
        <v>1</v>
      </c>
      <c r="G14" s="200">
        <v>142</v>
      </c>
      <c r="H14" s="427">
        <f t="shared" ref="H14:H36" si="4">C14*D14*G14</f>
        <v>568</v>
      </c>
      <c r="I14" s="204">
        <f t="shared" ref="I14:I18" si="5">C14*E14*F14*16.5</f>
        <v>198</v>
      </c>
      <c r="J14" s="203">
        <f t="shared" ref="J14:J36" si="6">I14</f>
        <v>198</v>
      </c>
      <c r="K14" s="203"/>
      <c r="L14" s="428"/>
      <c r="M14" s="157" t="s">
        <v>631</v>
      </c>
    </row>
    <row r="15" spans="1:13" ht="15.75" customHeight="1">
      <c r="A15" s="424" t="s">
        <v>481</v>
      </c>
      <c r="B15" s="67" t="s">
        <v>632</v>
      </c>
      <c r="C15" s="200">
        <v>4</v>
      </c>
      <c r="D15" s="425">
        <v>1</v>
      </c>
      <c r="E15" s="200">
        <v>3</v>
      </c>
      <c r="F15" s="426">
        <v>1</v>
      </c>
      <c r="G15" s="200">
        <v>169</v>
      </c>
      <c r="H15" s="427">
        <f t="shared" si="4"/>
        <v>676</v>
      </c>
      <c r="I15" s="204">
        <f t="shared" si="5"/>
        <v>198</v>
      </c>
      <c r="J15" s="203">
        <f t="shared" si="6"/>
        <v>198</v>
      </c>
      <c r="K15" s="203"/>
      <c r="L15" s="428"/>
      <c r="M15" s="157" t="s">
        <v>633</v>
      </c>
    </row>
    <row r="16" spans="1:13" ht="25.5">
      <c r="A16" s="424" t="s">
        <v>483</v>
      </c>
      <c r="B16" s="67" t="s">
        <v>634</v>
      </c>
      <c r="C16" s="200">
        <v>4</v>
      </c>
      <c r="D16" s="425">
        <v>1</v>
      </c>
      <c r="E16" s="200">
        <v>19</v>
      </c>
      <c r="F16" s="426">
        <v>1</v>
      </c>
      <c r="G16" s="200">
        <v>1108</v>
      </c>
      <c r="H16" s="427">
        <f t="shared" si="4"/>
        <v>4432</v>
      </c>
      <c r="I16" s="204">
        <f t="shared" si="5"/>
        <v>1254</v>
      </c>
      <c r="J16" s="203">
        <f t="shared" si="6"/>
        <v>1254</v>
      </c>
      <c r="K16" s="203"/>
      <c r="L16" s="428"/>
      <c r="M16" s="429" t="s">
        <v>635</v>
      </c>
    </row>
    <row r="17" spans="1:13" ht="15.75" customHeight="1">
      <c r="A17" s="424" t="s">
        <v>484</v>
      </c>
      <c r="B17" s="67" t="s">
        <v>636</v>
      </c>
      <c r="C17" s="200">
        <v>5</v>
      </c>
      <c r="D17" s="425">
        <v>1</v>
      </c>
      <c r="E17" s="200">
        <v>13</v>
      </c>
      <c r="F17" s="426">
        <v>1</v>
      </c>
      <c r="G17" s="200">
        <v>758</v>
      </c>
      <c r="H17" s="427">
        <f t="shared" si="4"/>
        <v>3790</v>
      </c>
      <c r="I17" s="204">
        <f t="shared" si="5"/>
        <v>1072.5</v>
      </c>
      <c r="J17" s="203">
        <f t="shared" si="6"/>
        <v>1072.5</v>
      </c>
      <c r="K17" s="203"/>
      <c r="L17" s="428"/>
      <c r="M17" s="429" t="s">
        <v>637</v>
      </c>
    </row>
    <row r="18" spans="1:13" ht="15.75" customHeight="1">
      <c r="A18" s="424" t="s">
        <v>485</v>
      </c>
      <c r="B18" s="67" t="s">
        <v>638</v>
      </c>
      <c r="C18" s="200">
        <v>3</v>
      </c>
      <c r="D18" s="425">
        <v>1</v>
      </c>
      <c r="E18" s="200">
        <v>5</v>
      </c>
      <c r="F18" s="426">
        <v>1</v>
      </c>
      <c r="G18" s="200">
        <v>269</v>
      </c>
      <c r="H18" s="427">
        <f t="shared" si="4"/>
        <v>807</v>
      </c>
      <c r="I18" s="204">
        <f t="shared" si="5"/>
        <v>247.5</v>
      </c>
      <c r="J18" s="203">
        <f t="shared" si="6"/>
        <v>247.5</v>
      </c>
      <c r="K18" s="203"/>
      <c r="L18" s="428"/>
      <c r="M18" s="157" t="s">
        <v>639</v>
      </c>
    </row>
    <row r="19" spans="1:13" ht="25.5">
      <c r="A19" s="424" t="s">
        <v>486</v>
      </c>
      <c r="B19" s="67" t="s">
        <v>640</v>
      </c>
      <c r="C19" s="200">
        <v>3</v>
      </c>
      <c r="D19" s="425">
        <v>1</v>
      </c>
      <c r="E19" s="200">
        <v>1</v>
      </c>
      <c r="F19" s="426">
        <v>1</v>
      </c>
      <c r="G19" s="200">
        <v>52</v>
      </c>
      <c r="H19" s="427">
        <f t="shared" si="4"/>
        <v>156</v>
      </c>
      <c r="I19" s="204">
        <f>C19*E19*F19*16.5*2</f>
        <v>99</v>
      </c>
      <c r="J19" s="203">
        <f t="shared" si="6"/>
        <v>99</v>
      </c>
      <c r="K19" s="203"/>
      <c r="L19" s="428"/>
      <c r="M19" s="157" t="s">
        <v>641</v>
      </c>
    </row>
    <row r="20" spans="1:13" ht="15.75" customHeight="1">
      <c r="A20" s="424" t="s">
        <v>487</v>
      </c>
      <c r="B20" s="67" t="s">
        <v>642</v>
      </c>
      <c r="C20" s="200">
        <v>3</v>
      </c>
      <c r="D20" s="425">
        <v>1</v>
      </c>
      <c r="E20" s="200">
        <v>7</v>
      </c>
      <c r="F20" s="426">
        <v>1</v>
      </c>
      <c r="G20" s="200">
        <v>378</v>
      </c>
      <c r="H20" s="427">
        <f t="shared" si="4"/>
        <v>1134</v>
      </c>
      <c r="I20" s="204">
        <f>C20*E20*F20*16.5</f>
        <v>346.5</v>
      </c>
      <c r="J20" s="203">
        <f t="shared" si="6"/>
        <v>346.5</v>
      </c>
      <c r="K20" s="203"/>
      <c r="L20" s="428"/>
      <c r="M20" s="157" t="s">
        <v>643</v>
      </c>
    </row>
    <row r="21" spans="1:13" ht="23.25" customHeight="1">
      <c r="A21" s="424" t="s">
        <v>488</v>
      </c>
      <c r="B21" s="67" t="s">
        <v>644</v>
      </c>
      <c r="C21" s="200">
        <v>3</v>
      </c>
      <c r="D21" s="425">
        <v>1</v>
      </c>
      <c r="E21" s="200">
        <v>1</v>
      </c>
      <c r="F21" s="426">
        <v>1</v>
      </c>
      <c r="G21" s="200">
        <v>52</v>
      </c>
      <c r="H21" s="427">
        <f t="shared" si="4"/>
        <v>156</v>
      </c>
      <c r="I21" s="204">
        <f>C21*E21*F21*16.5*2</f>
        <v>99</v>
      </c>
      <c r="J21" s="203">
        <f t="shared" si="6"/>
        <v>99</v>
      </c>
      <c r="K21" s="203"/>
      <c r="L21" s="428"/>
      <c r="M21" s="157" t="s">
        <v>641</v>
      </c>
    </row>
    <row r="22" spans="1:13" ht="15.75" customHeight="1">
      <c r="A22" s="424" t="s">
        <v>489</v>
      </c>
      <c r="B22" s="67" t="s">
        <v>645</v>
      </c>
      <c r="C22" s="200">
        <v>5</v>
      </c>
      <c r="D22" s="425">
        <v>1</v>
      </c>
      <c r="E22" s="200">
        <v>6</v>
      </c>
      <c r="F22" s="426">
        <v>1</v>
      </c>
      <c r="G22" s="200">
        <v>321</v>
      </c>
      <c r="H22" s="427">
        <f t="shared" si="4"/>
        <v>1605</v>
      </c>
      <c r="I22" s="204">
        <f>C22*E22*F22*16.5</f>
        <v>495</v>
      </c>
      <c r="J22" s="203">
        <f t="shared" si="6"/>
        <v>495</v>
      </c>
      <c r="K22" s="203"/>
      <c r="L22" s="428"/>
      <c r="M22" s="157" t="s">
        <v>646</v>
      </c>
    </row>
    <row r="23" spans="1:13" ht="15.75" customHeight="1">
      <c r="A23" s="424" t="s">
        <v>490</v>
      </c>
      <c r="B23" s="67" t="s">
        <v>647</v>
      </c>
      <c r="C23" s="200">
        <v>4</v>
      </c>
      <c r="D23" s="425">
        <v>1.3</v>
      </c>
      <c r="E23" s="200">
        <v>5</v>
      </c>
      <c r="F23" s="426">
        <v>1</v>
      </c>
      <c r="G23" s="200">
        <v>269</v>
      </c>
      <c r="H23" s="427">
        <f t="shared" si="4"/>
        <v>1398.8</v>
      </c>
      <c r="I23" s="204">
        <f>C23*E23*F23*16.5*3/4+C23*E23*F23*0.8*1/4</f>
        <v>251.5</v>
      </c>
      <c r="J23" s="203">
        <f t="shared" si="6"/>
        <v>251.5</v>
      </c>
      <c r="K23" s="203"/>
      <c r="L23" s="428"/>
      <c r="M23" s="157" t="s">
        <v>648</v>
      </c>
    </row>
    <row r="24" spans="1:13" ht="18.75" customHeight="1">
      <c r="A24" s="424" t="s">
        <v>491</v>
      </c>
      <c r="B24" s="67" t="s">
        <v>649</v>
      </c>
      <c r="C24" s="200">
        <v>4</v>
      </c>
      <c r="D24" s="425">
        <v>1.3</v>
      </c>
      <c r="E24" s="200">
        <v>1</v>
      </c>
      <c r="F24" s="426">
        <v>1</v>
      </c>
      <c r="G24" s="200">
        <v>52</v>
      </c>
      <c r="H24" s="427">
        <f t="shared" si="4"/>
        <v>270.40000000000003</v>
      </c>
      <c r="I24" s="204">
        <f>(C24*E24*F24*16.5*3/4+C24*E24*F24*0.8*1/4)*2</f>
        <v>100.6</v>
      </c>
      <c r="J24" s="203">
        <f t="shared" si="6"/>
        <v>100.6</v>
      </c>
      <c r="K24" s="203"/>
      <c r="L24" s="428"/>
      <c r="M24" s="429" t="s">
        <v>650</v>
      </c>
    </row>
    <row r="25" spans="1:13" ht="24" customHeight="1">
      <c r="A25" s="424" t="s">
        <v>492</v>
      </c>
      <c r="B25" s="67" t="s">
        <v>651</v>
      </c>
      <c r="C25" s="200">
        <v>3</v>
      </c>
      <c r="D25" s="425">
        <v>1</v>
      </c>
      <c r="E25" s="200">
        <v>2</v>
      </c>
      <c r="F25" s="426">
        <v>1</v>
      </c>
      <c r="G25" s="200">
        <v>79</v>
      </c>
      <c r="H25" s="427">
        <f t="shared" si="4"/>
        <v>237</v>
      </c>
      <c r="I25" s="430">
        <f t="shared" ref="I25:I27" si="7">C25*E25*F25*16.5</f>
        <v>99</v>
      </c>
      <c r="J25" s="431">
        <f t="shared" si="6"/>
        <v>99</v>
      </c>
      <c r="K25" s="203"/>
      <c r="L25" s="428"/>
      <c r="M25" s="157" t="s">
        <v>652</v>
      </c>
    </row>
    <row r="26" spans="1:13" ht="23.25" customHeight="1">
      <c r="A26" s="424" t="s">
        <v>517</v>
      </c>
      <c r="B26" s="67" t="s">
        <v>653</v>
      </c>
      <c r="C26" s="200">
        <v>2</v>
      </c>
      <c r="D26" s="425">
        <v>1</v>
      </c>
      <c r="E26" s="200">
        <v>1</v>
      </c>
      <c r="F26" s="426">
        <v>1</v>
      </c>
      <c r="G26" s="200">
        <v>10</v>
      </c>
      <c r="H26" s="427">
        <f t="shared" si="4"/>
        <v>20</v>
      </c>
      <c r="I26" s="204">
        <f t="shared" si="7"/>
        <v>33</v>
      </c>
      <c r="J26" s="203">
        <f t="shared" si="6"/>
        <v>33</v>
      </c>
      <c r="K26" s="203"/>
      <c r="L26" s="428"/>
      <c r="M26" s="157" t="s">
        <v>654</v>
      </c>
    </row>
    <row r="27" spans="1:13" ht="15.75" customHeight="1">
      <c r="A27" s="424" t="s">
        <v>518</v>
      </c>
      <c r="B27" s="67" t="s">
        <v>655</v>
      </c>
      <c r="C27" s="200">
        <v>3</v>
      </c>
      <c r="D27" s="425">
        <v>1</v>
      </c>
      <c r="E27" s="200">
        <v>2</v>
      </c>
      <c r="F27" s="426">
        <v>1</v>
      </c>
      <c r="G27" s="200">
        <v>109</v>
      </c>
      <c r="H27" s="427">
        <f t="shared" si="4"/>
        <v>327</v>
      </c>
      <c r="I27" s="204">
        <f t="shared" si="7"/>
        <v>99</v>
      </c>
      <c r="J27" s="203">
        <f t="shared" si="6"/>
        <v>99</v>
      </c>
      <c r="K27" s="203"/>
      <c r="L27" s="428"/>
      <c r="M27" s="157" t="s">
        <v>656</v>
      </c>
    </row>
    <row r="28" spans="1:13" ht="24.75" customHeight="1">
      <c r="A28" s="424" t="s">
        <v>503</v>
      </c>
      <c r="B28" s="67" t="s">
        <v>657</v>
      </c>
      <c r="C28" s="200">
        <v>3</v>
      </c>
      <c r="D28" s="425">
        <v>1</v>
      </c>
      <c r="E28" s="200">
        <v>1</v>
      </c>
      <c r="F28" s="426">
        <v>1</v>
      </c>
      <c r="G28" s="200">
        <v>27</v>
      </c>
      <c r="H28" s="427">
        <f t="shared" si="4"/>
        <v>81</v>
      </c>
      <c r="I28" s="204">
        <f>C28*E28*F28*16.5*2</f>
        <v>99</v>
      </c>
      <c r="J28" s="203">
        <f t="shared" si="6"/>
        <v>99</v>
      </c>
      <c r="K28" s="203"/>
      <c r="L28" s="428"/>
      <c r="M28" s="157" t="s">
        <v>658</v>
      </c>
    </row>
    <row r="29" spans="1:13" ht="22.5" customHeight="1">
      <c r="A29" s="424" t="s">
        <v>659</v>
      </c>
      <c r="B29" s="67" t="s">
        <v>660</v>
      </c>
      <c r="C29" s="200">
        <v>5</v>
      </c>
      <c r="D29" s="425">
        <v>1</v>
      </c>
      <c r="E29" s="200">
        <v>3</v>
      </c>
      <c r="F29" s="426">
        <v>1</v>
      </c>
      <c r="G29" s="200">
        <v>136</v>
      </c>
      <c r="H29" s="427">
        <f t="shared" si="4"/>
        <v>680</v>
      </c>
      <c r="I29" s="204">
        <f t="shared" ref="I29:I32" si="8">C29*E29*F29*16.5</f>
        <v>247.5</v>
      </c>
      <c r="J29" s="203">
        <f t="shared" si="6"/>
        <v>247.5</v>
      </c>
      <c r="K29" s="203"/>
      <c r="L29" s="428"/>
      <c r="M29" s="157" t="s">
        <v>661</v>
      </c>
    </row>
    <row r="30" spans="1:13" ht="15.75" customHeight="1">
      <c r="A30" s="424" t="s">
        <v>662</v>
      </c>
      <c r="B30" s="67" t="s">
        <v>663</v>
      </c>
      <c r="C30" s="200">
        <v>3</v>
      </c>
      <c r="D30" s="425">
        <v>1</v>
      </c>
      <c r="E30" s="200">
        <v>2</v>
      </c>
      <c r="F30" s="426">
        <v>1</v>
      </c>
      <c r="G30" s="200">
        <v>109</v>
      </c>
      <c r="H30" s="427">
        <f t="shared" si="4"/>
        <v>327</v>
      </c>
      <c r="I30" s="204">
        <f t="shared" si="8"/>
        <v>99</v>
      </c>
      <c r="J30" s="203">
        <f t="shared" si="6"/>
        <v>99</v>
      </c>
      <c r="K30" s="203"/>
      <c r="L30" s="428"/>
      <c r="M30" s="157" t="s">
        <v>656</v>
      </c>
    </row>
    <row r="31" spans="1:13" ht="27.75" customHeight="1">
      <c r="A31" s="424" t="s">
        <v>664</v>
      </c>
      <c r="B31" s="67" t="s">
        <v>665</v>
      </c>
      <c r="C31" s="200">
        <v>3</v>
      </c>
      <c r="D31" s="425">
        <v>1</v>
      </c>
      <c r="E31" s="200">
        <v>1</v>
      </c>
      <c r="F31" s="426">
        <v>1</v>
      </c>
      <c r="G31" s="200">
        <v>27</v>
      </c>
      <c r="H31" s="427">
        <f t="shared" si="4"/>
        <v>81</v>
      </c>
      <c r="I31" s="204">
        <f t="shared" si="8"/>
        <v>49.5</v>
      </c>
      <c r="J31" s="203">
        <f t="shared" si="6"/>
        <v>49.5</v>
      </c>
      <c r="K31" s="203"/>
      <c r="L31" s="428"/>
      <c r="M31" s="157" t="s">
        <v>666</v>
      </c>
    </row>
    <row r="32" spans="1:13" ht="15.75" customHeight="1">
      <c r="A32" s="424" t="s">
        <v>667</v>
      </c>
      <c r="B32" s="67" t="s">
        <v>647</v>
      </c>
      <c r="C32" s="200">
        <v>3</v>
      </c>
      <c r="D32" s="425">
        <v>1</v>
      </c>
      <c r="E32" s="200">
        <v>2</v>
      </c>
      <c r="F32" s="426">
        <v>1</v>
      </c>
      <c r="G32" s="200">
        <v>109</v>
      </c>
      <c r="H32" s="427">
        <f t="shared" si="4"/>
        <v>327</v>
      </c>
      <c r="I32" s="204">
        <f t="shared" si="8"/>
        <v>99</v>
      </c>
      <c r="J32" s="203">
        <f t="shared" si="6"/>
        <v>99</v>
      </c>
      <c r="K32" s="203"/>
      <c r="L32" s="428"/>
      <c r="M32" s="157" t="s">
        <v>656</v>
      </c>
    </row>
    <row r="33" spans="1:13" ht="21.75" customHeight="1">
      <c r="A33" s="424" t="s">
        <v>505</v>
      </c>
      <c r="B33" s="67" t="s">
        <v>649</v>
      </c>
      <c r="C33" s="200">
        <v>3</v>
      </c>
      <c r="D33" s="425">
        <v>1</v>
      </c>
      <c r="E33" s="200">
        <v>1</v>
      </c>
      <c r="F33" s="426">
        <v>1</v>
      </c>
      <c r="G33" s="200">
        <v>27</v>
      </c>
      <c r="H33" s="427">
        <f t="shared" si="4"/>
        <v>81</v>
      </c>
      <c r="I33" s="204">
        <f>C33*E33*F33*16.5*2</f>
        <v>99</v>
      </c>
      <c r="J33" s="203">
        <f t="shared" si="6"/>
        <v>99</v>
      </c>
      <c r="K33" s="203"/>
      <c r="L33" s="428"/>
      <c r="M33" s="157" t="s">
        <v>658</v>
      </c>
    </row>
    <row r="34" spans="1:13" ht="92.25" customHeight="1">
      <c r="A34" s="424" t="s">
        <v>668</v>
      </c>
      <c r="B34" s="67" t="s">
        <v>669</v>
      </c>
      <c r="C34" s="200">
        <v>3</v>
      </c>
      <c r="D34" s="425">
        <v>1</v>
      </c>
      <c r="E34" s="200">
        <v>2</v>
      </c>
      <c r="F34" s="426">
        <v>1</v>
      </c>
      <c r="G34" s="200">
        <v>109</v>
      </c>
      <c r="H34" s="427">
        <f t="shared" si="4"/>
        <v>327</v>
      </c>
      <c r="I34" s="204">
        <f>C34*E34*F34*16.5</f>
        <v>99</v>
      </c>
      <c r="J34" s="203">
        <f t="shared" si="6"/>
        <v>99</v>
      </c>
      <c r="K34" s="203"/>
      <c r="L34" s="428"/>
      <c r="M34" s="157" t="s">
        <v>656</v>
      </c>
    </row>
    <row r="35" spans="1:13" ht="22.5" customHeight="1">
      <c r="A35" s="424" t="s">
        <v>670</v>
      </c>
      <c r="B35" s="67" t="s">
        <v>671</v>
      </c>
      <c r="C35" s="200">
        <v>3</v>
      </c>
      <c r="D35" s="425">
        <v>1</v>
      </c>
      <c r="E35" s="200">
        <v>1</v>
      </c>
      <c r="F35" s="426">
        <v>1</v>
      </c>
      <c r="G35" s="200">
        <v>27</v>
      </c>
      <c r="H35" s="427">
        <f t="shared" si="4"/>
        <v>81</v>
      </c>
      <c r="I35" s="204">
        <f t="shared" ref="I35:I36" si="9">C35*E35*F35*16.5*2</f>
        <v>99</v>
      </c>
      <c r="J35" s="203">
        <f t="shared" si="6"/>
        <v>99</v>
      </c>
      <c r="K35" s="203"/>
      <c r="L35" s="428"/>
      <c r="M35" s="157" t="s">
        <v>658</v>
      </c>
    </row>
    <row r="36" spans="1:13" ht="20.25" customHeight="1">
      <c r="A36" s="424" t="s">
        <v>672</v>
      </c>
      <c r="B36" s="67" t="s">
        <v>673</v>
      </c>
      <c r="C36" s="200">
        <v>2</v>
      </c>
      <c r="D36" s="425">
        <v>1</v>
      </c>
      <c r="E36" s="200">
        <v>1</v>
      </c>
      <c r="F36" s="426">
        <v>1</v>
      </c>
      <c r="G36" s="200">
        <v>27</v>
      </c>
      <c r="H36" s="427">
        <f t="shared" si="4"/>
        <v>54</v>
      </c>
      <c r="I36" s="204">
        <f t="shared" si="9"/>
        <v>66</v>
      </c>
      <c r="J36" s="203">
        <f t="shared" si="6"/>
        <v>66</v>
      </c>
      <c r="K36" s="203"/>
      <c r="L36" s="428"/>
      <c r="M36" s="157" t="s">
        <v>658</v>
      </c>
    </row>
    <row r="37" spans="1:13" ht="64.5" customHeight="1">
      <c r="A37" s="432" t="s">
        <v>274</v>
      </c>
      <c r="B37" s="107" t="s">
        <v>674</v>
      </c>
      <c r="C37" s="209">
        <f t="shared" ref="C37:L37" si="10">SUM(C38:C70)</f>
        <v>111</v>
      </c>
      <c r="D37" s="209">
        <f t="shared" si="10"/>
        <v>34.160000000000004</v>
      </c>
      <c r="E37" s="209">
        <f t="shared" si="10"/>
        <v>113</v>
      </c>
      <c r="F37" s="209">
        <f t="shared" si="10"/>
        <v>33</v>
      </c>
      <c r="G37" s="209">
        <f t="shared" si="10"/>
        <v>6020</v>
      </c>
      <c r="H37" s="209">
        <f t="shared" si="10"/>
        <v>21223.279999999999</v>
      </c>
      <c r="I37" s="209">
        <f t="shared" si="10"/>
        <v>6754.7000000000007</v>
      </c>
      <c r="J37" s="209">
        <f t="shared" si="10"/>
        <v>6705.2000000000007</v>
      </c>
      <c r="K37" s="209">
        <f t="shared" si="10"/>
        <v>49.5</v>
      </c>
      <c r="L37" s="209">
        <f t="shared" si="10"/>
        <v>0</v>
      </c>
      <c r="M37" s="423" t="s">
        <v>675</v>
      </c>
    </row>
    <row r="38" spans="1:13" ht="15.75" customHeight="1">
      <c r="A38" s="424" t="s">
        <v>479</v>
      </c>
      <c r="B38" s="67" t="s">
        <v>676</v>
      </c>
      <c r="C38" s="200">
        <v>3</v>
      </c>
      <c r="D38" s="425">
        <v>1.3</v>
      </c>
      <c r="E38" s="200">
        <v>3</v>
      </c>
      <c r="F38" s="426">
        <v>1</v>
      </c>
      <c r="G38" s="200">
        <v>90</v>
      </c>
      <c r="H38" s="427">
        <f t="shared" ref="H38:H70" si="11">C38*D38*G38</f>
        <v>351.00000000000006</v>
      </c>
      <c r="I38" s="204">
        <f>C38*E38*F38*16.5*1/3+C38*E38*F38*0.8*2/3</f>
        <v>54.3</v>
      </c>
      <c r="J38" s="203">
        <f t="shared" ref="J38:J66" si="12">I38</f>
        <v>54.3</v>
      </c>
      <c r="K38" s="203"/>
      <c r="L38" s="428"/>
      <c r="M38" s="429" t="s">
        <v>677</v>
      </c>
    </row>
    <row r="39" spans="1:13" ht="15.75" customHeight="1">
      <c r="A39" s="424" t="s">
        <v>481</v>
      </c>
      <c r="B39" s="67" t="s">
        <v>678</v>
      </c>
      <c r="C39" s="200">
        <v>4</v>
      </c>
      <c r="D39" s="425">
        <v>1</v>
      </c>
      <c r="E39" s="200">
        <v>3</v>
      </c>
      <c r="F39" s="426">
        <v>1</v>
      </c>
      <c r="G39" s="200">
        <v>169</v>
      </c>
      <c r="H39" s="427">
        <f t="shared" si="11"/>
        <v>676</v>
      </c>
      <c r="I39" s="204">
        <f t="shared" ref="I39:I49" si="13">C39*E39*F39*16.5</f>
        <v>198</v>
      </c>
      <c r="J39" s="203">
        <f t="shared" si="12"/>
        <v>198</v>
      </c>
      <c r="K39" s="203"/>
      <c r="L39" s="428"/>
      <c r="M39" s="157" t="s">
        <v>679</v>
      </c>
    </row>
    <row r="40" spans="1:13" ht="15.75" customHeight="1">
      <c r="A40" s="424" t="s">
        <v>483</v>
      </c>
      <c r="B40" s="67" t="s">
        <v>680</v>
      </c>
      <c r="C40" s="202">
        <v>5</v>
      </c>
      <c r="D40" s="433">
        <v>1</v>
      </c>
      <c r="E40" s="202">
        <v>3</v>
      </c>
      <c r="F40" s="203">
        <v>1</v>
      </c>
      <c r="G40" s="200">
        <v>169</v>
      </c>
      <c r="H40" s="427">
        <f t="shared" si="11"/>
        <v>845</v>
      </c>
      <c r="I40" s="204">
        <f t="shared" si="13"/>
        <v>247.5</v>
      </c>
      <c r="J40" s="203">
        <f t="shared" si="12"/>
        <v>247.5</v>
      </c>
      <c r="K40" s="203"/>
      <c r="L40" s="428"/>
      <c r="M40" s="157" t="s">
        <v>679</v>
      </c>
    </row>
    <row r="41" spans="1:13" ht="15.75" customHeight="1">
      <c r="A41" s="424" t="s">
        <v>484</v>
      </c>
      <c r="B41" s="67" t="s">
        <v>681</v>
      </c>
      <c r="C41" s="200">
        <v>5</v>
      </c>
      <c r="D41" s="425">
        <v>1</v>
      </c>
      <c r="E41" s="202">
        <v>2</v>
      </c>
      <c r="F41" s="203">
        <v>1</v>
      </c>
      <c r="G41" s="200">
        <v>97</v>
      </c>
      <c r="H41" s="427">
        <f t="shared" si="11"/>
        <v>485</v>
      </c>
      <c r="I41" s="204">
        <f t="shared" si="13"/>
        <v>165</v>
      </c>
      <c r="J41" s="203">
        <f t="shared" si="12"/>
        <v>165</v>
      </c>
      <c r="K41" s="203"/>
      <c r="L41" s="428"/>
      <c r="M41" s="157" t="s">
        <v>682</v>
      </c>
    </row>
    <row r="42" spans="1:13" ht="36" customHeight="1">
      <c r="A42" s="424" t="s">
        <v>485</v>
      </c>
      <c r="B42" s="67" t="s">
        <v>683</v>
      </c>
      <c r="C42" s="200">
        <v>3</v>
      </c>
      <c r="D42" s="425">
        <v>1</v>
      </c>
      <c r="E42" s="200">
        <v>1</v>
      </c>
      <c r="F42" s="426">
        <v>1</v>
      </c>
      <c r="G42" s="200">
        <v>66</v>
      </c>
      <c r="H42" s="427">
        <f t="shared" si="11"/>
        <v>198</v>
      </c>
      <c r="I42" s="204">
        <f t="shared" si="13"/>
        <v>49.5</v>
      </c>
      <c r="J42" s="203">
        <f t="shared" si="12"/>
        <v>49.5</v>
      </c>
      <c r="K42" s="203"/>
      <c r="L42" s="428"/>
      <c r="M42" s="157" t="s">
        <v>684</v>
      </c>
    </row>
    <row r="43" spans="1:13" ht="30" customHeight="1">
      <c r="A43" s="424" t="s">
        <v>486</v>
      </c>
      <c r="B43" s="67" t="s">
        <v>681</v>
      </c>
      <c r="C43" s="200">
        <v>4</v>
      </c>
      <c r="D43" s="425">
        <v>1</v>
      </c>
      <c r="E43" s="200">
        <v>18</v>
      </c>
      <c r="F43" s="426">
        <v>1</v>
      </c>
      <c r="G43" s="200">
        <v>1108</v>
      </c>
      <c r="H43" s="427">
        <f t="shared" si="11"/>
        <v>4432</v>
      </c>
      <c r="I43" s="204">
        <f t="shared" si="13"/>
        <v>1188</v>
      </c>
      <c r="J43" s="203">
        <f t="shared" si="12"/>
        <v>1188</v>
      </c>
      <c r="K43" s="203"/>
      <c r="L43" s="428"/>
      <c r="M43" s="429" t="s">
        <v>685</v>
      </c>
    </row>
    <row r="44" spans="1:13" ht="15.75" customHeight="1">
      <c r="A44" s="424" t="s">
        <v>487</v>
      </c>
      <c r="B44" s="67" t="s">
        <v>678</v>
      </c>
      <c r="C44" s="200">
        <v>3</v>
      </c>
      <c r="D44" s="425">
        <v>1</v>
      </c>
      <c r="E44" s="200">
        <v>13</v>
      </c>
      <c r="F44" s="426">
        <v>1</v>
      </c>
      <c r="G44" s="200">
        <v>758</v>
      </c>
      <c r="H44" s="427">
        <f t="shared" si="11"/>
        <v>2274</v>
      </c>
      <c r="I44" s="204">
        <f t="shared" si="13"/>
        <v>643.5</v>
      </c>
      <c r="J44" s="203">
        <f t="shared" si="12"/>
        <v>643.5</v>
      </c>
      <c r="K44" s="203"/>
      <c r="L44" s="428"/>
      <c r="M44" s="157" t="s">
        <v>686</v>
      </c>
    </row>
    <row r="45" spans="1:13" ht="15.75" customHeight="1">
      <c r="A45" s="424" t="s">
        <v>488</v>
      </c>
      <c r="B45" s="67" t="s">
        <v>687</v>
      </c>
      <c r="C45" s="200">
        <v>3</v>
      </c>
      <c r="D45" s="425">
        <v>1</v>
      </c>
      <c r="E45" s="200">
        <v>1</v>
      </c>
      <c r="F45" s="426">
        <v>1</v>
      </c>
      <c r="G45" s="200">
        <v>37</v>
      </c>
      <c r="H45" s="427">
        <f t="shared" si="11"/>
        <v>111</v>
      </c>
      <c r="I45" s="204">
        <f t="shared" si="13"/>
        <v>49.5</v>
      </c>
      <c r="J45" s="203">
        <f t="shared" si="12"/>
        <v>49.5</v>
      </c>
      <c r="K45" s="203"/>
      <c r="L45" s="428"/>
      <c r="M45" s="157" t="s">
        <v>688</v>
      </c>
    </row>
    <row r="46" spans="1:13" ht="27.75" customHeight="1">
      <c r="A46" s="424" t="s">
        <v>489</v>
      </c>
      <c r="B46" s="67" t="s">
        <v>689</v>
      </c>
      <c r="C46" s="200">
        <v>3</v>
      </c>
      <c r="D46" s="425">
        <v>1</v>
      </c>
      <c r="E46" s="200">
        <v>1</v>
      </c>
      <c r="F46" s="426">
        <v>1</v>
      </c>
      <c r="G46" s="200">
        <v>16</v>
      </c>
      <c r="H46" s="427">
        <f t="shared" si="11"/>
        <v>48</v>
      </c>
      <c r="I46" s="204">
        <f t="shared" si="13"/>
        <v>49.5</v>
      </c>
      <c r="J46" s="203">
        <f t="shared" si="12"/>
        <v>49.5</v>
      </c>
      <c r="K46" s="203"/>
      <c r="L46" s="428"/>
      <c r="M46" s="429" t="s">
        <v>690</v>
      </c>
    </row>
    <row r="47" spans="1:13" ht="15.75" customHeight="1">
      <c r="A47" s="424" t="s">
        <v>490</v>
      </c>
      <c r="B47" s="67" t="s">
        <v>691</v>
      </c>
      <c r="C47" s="200">
        <v>5</v>
      </c>
      <c r="D47" s="425">
        <v>1</v>
      </c>
      <c r="E47" s="200">
        <v>1</v>
      </c>
      <c r="F47" s="426">
        <v>1</v>
      </c>
      <c r="G47" s="200">
        <v>53</v>
      </c>
      <c r="H47" s="427">
        <f t="shared" si="11"/>
        <v>265</v>
      </c>
      <c r="I47" s="204">
        <f t="shared" si="13"/>
        <v>82.5</v>
      </c>
      <c r="J47" s="203">
        <f t="shared" si="12"/>
        <v>82.5</v>
      </c>
      <c r="K47" s="203"/>
      <c r="L47" s="428"/>
      <c r="M47" s="157" t="s">
        <v>692</v>
      </c>
    </row>
    <row r="48" spans="1:13" ht="15.75" customHeight="1">
      <c r="A48" s="424" t="s">
        <v>491</v>
      </c>
      <c r="B48" s="67" t="s">
        <v>693</v>
      </c>
      <c r="C48" s="200">
        <v>2</v>
      </c>
      <c r="D48" s="425">
        <v>1</v>
      </c>
      <c r="E48" s="200">
        <v>1</v>
      </c>
      <c r="F48" s="426">
        <v>1</v>
      </c>
      <c r="G48" s="200">
        <v>25</v>
      </c>
      <c r="H48" s="427">
        <f t="shared" si="11"/>
        <v>50</v>
      </c>
      <c r="I48" s="204">
        <f t="shared" si="13"/>
        <v>33</v>
      </c>
      <c r="J48" s="203">
        <f t="shared" si="12"/>
        <v>33</v>
      </c>
      <c r="K48" s="203"/>
      <c r="L48" s="428"/>
      <c r="M48" s="157" t="s">
        <v>694</v>
      </c>
    </row>
    <row r="49" spans="1:13" ht="15.75" customHeight="1">
      <c r="A49" s="424" t="s">
        <v>492</v>
      </c>
      <c r="B49" s="67" t="s">
        <v>695</v>
      </c>
      <c r="C49" s="200">
        <v>4</v>
      </c>
      <c r="D49" s="425">
        <v>1</v>
      </c>
      <c r="E49" s="200">
        <v>3</v>
      </c>
      <c r="F49" s="426">
        <v>1</v>
      </c>
      <c r="G49" s="200">
        <v>142</v>
      </c>
      <c r="H49" s="427">
        <f t="shared" si="11"/>
        <v>568</v>
      </c>
      <c r="I49" s="204">
        <f t="shared" si="13"/>
        <v>198</v>
      </c>
      <c r="J49" s="203">
        <f t="shared" si="12"/>
        <v>198</v>
      </c>
      <c r="K49" s="203"/>
      <c r="L49" s="428"/>
      <c r="M49" s="157" t="s">
        <v>631</v>
      </c>
    </row>
    <row r="50" spans="1:13" ht="15.75" customHeight="1">
      <c r="A50" s="424" t="s">
        <v>517</v>
      </c>
      <c r="B50" s="67" t="s">
        <v>696</v>
      </c>
      <c r="C50" s="200">
        <v>2</v>
      </c>
      <c r="D50" s="425">
        <v>1</v>
      </c>
      <c r="E50" s="200">
        <v>2</v>
      </c>
      <c r="F50" s="426">
        <v>1</v>
      </c>
      <c r="G50" s="200">
        <v>110</v>
      </c>
      <c r="H50" s="427">
        <f t="shared" si="11"/>
        <v>220</v>
      </c>
      <c r="I50" s="204">
        <f>C50*E50*F50*16.5*2</f>
        <v>132</v>
      </c>
      <c r="J50" s="203">
        <f t="shared" si="12"/>
        <v>132</v>
      </c>
      <c r="K50" s="203"/>
      <c r="L50" s="428"/>
      <c r="M50" s="157" t="s">
        <v>697</v>
      </c>
    </row>
    <row r="51" spans="1:13" ht="15.75" customHeight="1">
      <c r="A51" s="424" t="s">
        <v>518</v>
      </c>
      <c r="B51" s="67" t="s">
        <v>687</v>
      </c>
      <c r="C51" s="200">
        <v>3</v>
      </c>
      <c r="D51" s="425">
        <v>1</v>
      </c>
      <c r="E51" s="200">
        <v>13</v>
      </c>
      <c r="F51" s="426">
        <v>1</v>
      </c>
      <c r="G51" s="200">
        <v>758</v>
      </c>
      <c r="H51" s="427">
        <f t="shared" si="11"/>
        <v>2274</v>
      </c>
      <c r="I51" s="204">
        <f t="shared" ref="I51:I53" si="14">C51*E51*F51*16.5</f>
        <v>643.5</v>
      </c>
      <c r="J51" s="203">
        <f t="shared" si="12"/>
        <v>643.5</v>
      </c>
      <c r="K51" s="203"/>
      <c r="L51" s="428"/>
      <c r="M51" s="157" t="s">
        <v>637</v>
      </c>
    </row>
    <row r="52" spans="1:13" ht="15.75" customHeight="1">
      <c r="A52" s="424" t="s">
        <v>503</v>
      </c>
      <c r="B52" s="67" t="s">
        <v>698</v>
      </c>
      <c r="C52" s="200">
        <v>3</v>
      </c>
      <c r="D52" s="425">
        <v>1</v>
      </c>
      <c r="E52" s="200">
        <v>1</v>
      </c>
      <c r="F52" s="426">
        <v>1</v>
      </c>
      <c r="G52" s="200">
        <v>53</v>
      </c>
      <c r="H52" s="427">
        <f t="shared" si="11"/>
        <v>159</v>
      </c>
      <c r="I52" s="204">
        <f t="shared" si="14"/>
        <v>49.5</v>
      </c>
      <c r="J52" s="203">
        <f t="shared" si="12"/>
        <v>49.5</v>
      </c>
      <c r="K52" s="203"/>
      <c r="L52" s="428"/>
      <c r="M52" s="157" t="s">
        <v>699</v>
      </c>
    </row>
    <row r="53" spans="1:13" ht="15.75" customHeight="1">
      <c r="A53" s="424" t="s">
        <v>659</v>
      </c>
      <c r="B53" s="67" t="s">
        <v>700</v>
      </c>
      <c r="C53" s="200">
        <v>3</v>
      </c>
      <c r="D53" s="425">
        <v>1</v>
      </c>
      <c r="E53" s="200">
        <v>5</v>
      </c>
      <c r="F53" s="426">
        <v>1</v>
      </c>
      <c r="G53" s="200">
        <v>269</v>
      </c>
      <c r="H53" s="427">
        <f t="shared" si="11"/>
        <v>807</v>
      </c>
      <c r="I53" s="204">
        <f t="shared" si="14"/>
        <v>247.5</v>
      </c>
      <c r="J53" s="203">
        <f t="shared" si="12"/>
        <v>247.5</v>
      </c>
      <c r="K53" s="203"/>
      <c r="L53" s="428"/>
      <c r="M53" s="157" t="s">
        <v>639</v>
      </c>
    </row>
    <row r="54" spans="1:13" ht="25.5">
      <c r="A54" s="424" t="s">
        <v>662</v>
      </c>
      <c r="B54" s="67" t="s">
        <v>701</v>
      </c>
      <c r="C54" s="200">
        <v>4</v>
      </c>
      <c r="D54" s="425">
        <v>1.3</v>
      </c>
      <c r="E54" s="200">
        <v>1</v>
      </c>
      <c r="F54" s="426">
        <v>1</v>
      </c>
      <c r="G54" s="200">
        <v>52</v>
      </c>
      <c r="H54" s="427">
        <f t="shared" si="11"/>
        <v>270.40000000000003</v>
      </c>
      <c r="I54" s="204">
        <f>(C54*E54*F54*16.5*3/4+C54*E54*F54*0.8*1/4)*2</f>
        <v>100.6</v>
      </c>
      <c r="J54" s="203">
        <f t="shared" si="12"/>
        <v>100.6</v>
      </c>
      <c r="K54" s="203"/>
      <c r="L54" s="428"/>
      <c r="M54" s="429" t="s">
        <v>650</v>
      </c>
    </row>
    <row r="55" spans="1:13" ht="15.75" customHeight="1">
      <c r="A55" s="424" t="s">
        <v>664</v>
      </c>
      <c r="B55" s="67" t="s">
        <v>702</v>
      </c>
      <c r="C55" s="200">
        <v>4</v>
      </c>
      <c r="D55" s="425">
        <v>1.3</v>
      </c>
      <c r="E55" s="200">
        <v>5</v>
      </c>
      <c r="F55" s="426">
        <v>1</v>
      </c>
      <c r="G55" s="200">
        <v>269</v>
      </c>
      <c r="H55" s="427">
        <f t="shared" si="11"/>
        <v>1398.8</v>
      </c>
      <c r="I55" s="204">
        <f>C55*E55*F55*16.5*3/4+C55*E55*F55*0.8*1/4</f>
        <v>251.5</v>
      </c>
      <c r="J55" s="203">
        <f t="shared" si="12"/>
        <v>251.5</v>
      </c>
      <c r="K55" s="203"/>
      <c r="L55" s="428"/>
      <c r="M55" s="157" t="s">
        <v>648</v>
      </c>
    </row>
    <row r="56" spans="1:13" ht="15.75" customHeight="1">
      <c r="A56" s="424" t="s">
        <v>667</v>
      </c>
      <c r="B56" s="67" t="s">
        <v>655</v>
      </c>
      <c r="C56" s="200">
        <v>3</v>
      </c>
      <c r="D56" s="425">
        <v>1</v>
      </c>
      <c r="E56" s="200">
        <v>5</v>
      </c>
      <c r="F56" s="426">
        <v>1</v>
      </c>
      <c r="G56" s="200">
        <v>269</v>
      </c>
      <c r="H56" s="427">
        <f t="shared" si="11"/>
        <v>807</v>
      </c>
      <c r="I56" s="204">
        <f>C56*E56*F56*16.5</f>
        <v>247.5</v>
      </c>
      <c r="J56" s="203">
        <f t="shared" si="12"/>
        <v>247.5</v>
      </c>
      <c r="K56" s="203"/>
      <c r="L56" s="428"/>
      <c r="M56" s="157" t="s">
        <v>639</v>
      </c>
    </row>
    <row r="57" spans="1:13" ht="15.75" customHeight="1">
      <c r="A57" s="424" t="s">
        <v>505</v>
      </c>
      <c r="B57" s="67" t="s">
        <v>657</v>
      </c>
      <c r="C57" s="200">
        <v>3</v>
      </c>
      <c r="D57" s="425">
        <v>1</v>
      </c>
      <c r="E57" s="200">
        <v>1</v>
      </c>
      <c r="F57" s="426">
        <v>1</v>
      </c>
      <c r="G57" s="200">
        <v>52</v>
      </c>
      <c r="H57" s="427">
        <f t="shared" si="11"/>
        <v>156</v>
      </c>
      <c r="I57" s="204">
        <f>C57*E57*F57*16.5*2</f>
        <v>99</v>
      </c>
      <c r="J57" s="203">
        <f t="shared" si="12"/>
        <v>99</v>
      </c>
      <c r="K57" s="203"/>
      <c r="L57" s="428"/>
      <c r="M57" s="429" t="s">
        <v>641</v>
      </c>
    </row>
    <row r="58" spans="1:13" ht="15.75" customHeight="1">
      <c r="A58" s="424" t="s">
        <v>668</v>
      </c>
      <c r="B58" s="67" t="s">
        <v>703</v>
      </c>
      <c r="C58" s="200">
        <v>3</v>
      </c>
      <c r="D58" s="425">
        <v>1</v>
      </c>
      <c r="E58" s="200">
        <v>6</v>
      </c>
      <c r="F58" s="426">
        <v>1</v>
      </c>
      <c r="G58" s="200">
        <v>321</v>
      </c>
      <c r="H58" s="427">
        <f t="shared" si="11"/>
        <v>963</v>
      </c>
      <c r="I58" s="204">
        <f t="shared" ref="I58:I59" si="15">C58*E58*F58*16.5</f>
        <v>297</v>
      </c>
      <c r="J58" s="203">
        <f t="shared" si="12"/>
        <v>297</v>
      </c>
      <c r="K58" s="203"/>
      <c r="L58" s="428"/>
      <c r="M58" s="157" t="s">
        <v>646</v>
      </c>
    </row>
    <row r="59" spans="1:13" ht="15.75" customHeight="1">
      <c r="A59" s="424" t="s">
        <v>670</v>
      </c>
      <c r="B59" s="67" t="s">
        <v>704</v>
      </c>
      <c r="C59" s="200">
        <v>4</v>
      </c>
      <c r="D59" s="425">
        <v>1</v>
      </c>
      <c r="E59" s="200">
        <v>5</v>
      </c>
      <c r="F59" s="426">
        <v>1</v>
      </c>
      <c r="G59" s="200">
        <v>269</v>
      </c>
      <c r="H59" s="427">
        <f t="shared" si="11"/>
        <v>1076</v>
      </c>
      <c r="I59" s="204">
        <f t="shared" si="15"/>
        <v>330</v>
      </c>
      <c r="J59" s="203">
        <f t="shared" si="12"/>
        <v>330</v>
      </c>
      <c r="K59" s="203"/>
      <c r="L59" s="428"/>
      <c r="M59" s="157" t="s">
        <v>639</v>
      </c>
    </row>
    <row r="60" spans="1:13" ht="15.75" customHeight="1">
      <c r="A60" s="424" t="s">
        <v>672</v>
      </c>
      <c r="B60" s="67" t="s">
        <v>705</v>
      </c>
      <c r="C60" s="200">
        <v>4</v>
      </c>
      <c r="D60" s="425">
        <v>1</v>
      </c>
      <c r="E60" s="200">
        <v>1</v>
      </c>
      <c r="F60" s="426">
        <v>1</v>
      </c>
      <c r="G60" s="200">
        <v>52</v>
      </c>
      <c r="H60" s="427">
        <f t="shared" si="11"/>
        <v>208</v>
      </c>
      <c r="I60" s="204">
        <f>C60*E60*F60*16.5*2</f>
        <v>132</v>
      </c>
      <c r="J60" s="203">
        <f t="shared" si="12"/>
        <v>132</v>
      </c>
      <c r="K60" s="203"/>
      <c r="L60" s="428"/>
      <c r="M60" s="429" t="s">
        <v>641</v>
      </c>
    </row>
    <row r="61" spans="1:13" ht="15.75" customHeight="1">
      <c r="A61" s="424" t="s">
        <v>706</v>
      </c>
      <c r="B61" s="67" t="s">
        <v>707</v>
      </c>
      <c r="C61" s="200">
        <v>3</v>
      </c>
      <c r="D61" s="434">
        <v>1.26</v>
      </c>
      <c r="E61" s="200">
        <v>3</v>
      </c>
      <c r="F61" s="426">
        <v>1</v>
      </c>
      <c r="G61" s="200">
        <v>136</v>
      </c>
      <c r="H61" s="427">
        <f t="shared" si="11"/>
        <v>514.08000000000004</v>
      </c>
      <c r="I61" s="204">
        <f>C61*E61*F61*16.5*6/45+C61*(E61+4)*F61*15*39/45</f>
        <v>292.8</v>
      </c>
      <c r="J61" s="203">
        <f t="shared" si="12"/>
        <v>292.8</v>
      </c>
      <c r="K61" s="203"/>
      <c r="L61" s="428"/>
      <c r="M61" s="429" t="s">
        <v>661</v>
      </c>
    </row>
    <row r="62" spans="1:13" ht="32.25" customHeight="1">
      <c r="A62" s="424" t="s">
        <v>708</v>
      </c>
      <c r="B62" s="67" t="s">
        <v>709</v>
      </c>
      <c r="C62" s="200">
        <v>3</v>
      </c>
      <c r="D62" s="425">
        <v>1</v>
      </c>
      <c r="E62" s="200">
        <v>3</v>
      </c>
      <c r="F62" s="426">
        <v>1</v>
      </c>
      <c r="G62" s="200">
        <v>136</v>
      </c>
      <c r="H62" s="427">
        <f t="shared" si="11"/>
        <v>408</v>
      </c>
      <c r="I62" s="204">
        <f t="shared" ref="I62:I64" si="16">C62*E62*F62*16.5</f>
        <v>148.5</v>
      </c>
      <c r="J62" s="203">
        <f t="shared" si="12"/>
        <v>148.5</v>
      </c>
      <c r="K62" s="203"/>
      <c r="L62" s="428"/>
      <c r="M62" s="429" t="s">
        <v>661</v>
      </c>
    </row>
    <row r="63" spans="1:13" ht="108.75" customHeight="1">
      <c r="A63" s="424" t="s">
        <v>710</v>
      </c>
      <c r="B63" s="67" t="s">
        <v>711</v>
      </c>
      <c r="C63" s="200">
        <v>3</v>
      </c>
      <c r="D63" s="425">
        <v>1</v>
      </c>
      <c r="E63" s="200">
        <v>2</v>
      </c>
      <c r="F63" s="426">
        <v>1</v>
      </c>
      <c r="G63" s="200">
        <v>109</v>
      </c>
      <c r="H63" s="427">
        <f t="shared" si="11"/>
        <v>327</v>
      </c>
      <c r="I63" s="204">
        <f t="shared" si="16"/>
        <v>99</v>
      </c>
      <c r="J63" s="203">
        <f t="shared" si="12"/>
        <v>99</v>
      </c>
      <c r="K63" s="203"/>
      <c r="L63" s="428"/>
      <c r="M63" s="429" t="s">
        <v>656</v>
      </c>
    </row>
    <row r="64" spans="1:13" ht="15.75" customHeight="1">
      <c r="A64" s="424" t="s">
        <v>712</v>
      </c>
      <c r="B64" s="67" t="s">
        <v>713</v>
      </c>
      <c r="C64" s="200">
        <v>3</v>
      </c>
      <c r="D64" s="425">
        <v>1</v>
      </c>
      <c r="E64" s="200">
        <v>2</v>
      </c>
      <c r="F64" s="426">
        <v>1</v>
      </c>
      <c r="G64" s="200">
        <v>109</v>
      </c>
      <c r="H64" s="427">
        <f t="shared" si="11"/>
        <v>327</v>
      </c>
      <c r="I64" s="204">
        <f t="shared" si="16"/>
        <v>99</v>
      </c>
      <c r="J64" s="203">
        <f t="shared" si="12"/>
        <v>99</v>
      </c>
      <c r="K64" s="203"/>
      <c r="L64" s="428"/>
      <c r="M64" s="429" t="s">
        <v>656</v>
      </c>
    </row>
    <row r="65" spans="1:13" ht="41.25" customHeight="1">
      <c r="A65" s="424" t="s">
        <v>714</v>
      </c>
      <c r="B65" s="67" t="s">
        <v>715</v>
      </c>
      <c r="C65" s="200">
        <v>4</v>
      </c>
      <c r="D65" s="425">
        <v>1</v>
      </c>
      <c r="E65" s="200">
        <v>1</v>
      </c>
      <c r="F65" s="426">
        <v>1</v>
      </c>
      <c r="G65" s="200">
        <v>27</v>
      </c>
      <c r="H65" s="427">
        <f t="shared" si="11"/>
        <v>108</v>
      </c>
      <c r="I65" s="204">
        <f>C65*E65*F65*16.5*2</f>
        <v>132</v>
      </c>
      <c r="J65" s="203">
        <f t="shared" si="12"/>
        <v>132</v>
      </c>
      <c r="K65" s="203"/>
      <c r="L65" s="428"/>
      <c r="M65" s="429" t="s">
        <v>658</v>
      </c>
    </row>
    <row r="66" spans="1:13" ht="15.75" customHeight="1">
      <c r="A66" s="424" t="s">
        <v>716</v>
      </c>
      <c r="B66" s="67" t="s">
        <v>702</v>
      </c>
      <c r="C66" s="200">
        <v>3</v>
      </c>
      <c r="D66" s="425">
        <v>1</v>
      </c>
      <c r="E66" s="200">
        <v>2</v>
      </c>
      <c r="F66" s="426">
        <v>1</v>
      </c>
      <c r="G66" s="200">
        <v>109</v>
      </c>
      <c r="H66" s="427">
        <f t="shared" si="11"/>
        <v>327</v>
      </c>
      <c r="I66" s="204">
        <f t="shared" ref="I66:I67" si="17">C66*E66*F66*16.5</f>
        <v>99</v>
      </c>
      <c r="J66" s="203">
        <f t="shared" si="12"/>
        <v>99</v>
      </c>
      <c r="K66" s="203"/>
      <c r="L66" s="428"/>
      <c r="M66" s="429" t="s">
        <v>656</v>
      </c>
    </row>
    <row r="67" spans="1:13" ht="15.75" customHeight="1">
      <c r="A67" s="424" t="s">
        <v>717</v>
      </c>
      <c r="B67" s="67" t="s">
        <v>718</v>
      </c>
      <c r="C67" s="200">
        <v>3</v>
      </c>
      <c r="D67" s="425">
        <v>1</v>
      </c>
      <c r="E67" s="200">
        <v>2</v>
      </c>
      <c r="F67" s="426">
        <v>1</v>
      </c>
      <c r="G67" s="200">
        <v>109</v>
      </c>
      <c r="H67" s="427">
        <f t="shared" si="11"/>
        <v>327</v>
      </c>
      <c r="I67" s="204">
        <f t="shared" si="17"/>
        <v>99</v>
      </c>
      <c r="J67" s="203">
        <f>I67/2</f>
        <v>49.5</v>
      </c>
      <c r="K67" s="203">
        <f>I67/2</f>
        <v>49.5</v>
      </c>
      <c r="L67" s="428"/>
      <c r="M67" s="429" t="s">
        <v>656</v>
      </c>
    </row>
    <row r="68" spans="1:13" ht="15.75" customHeight="1">
      <c r="A68" s="424" t="s">
        <v>719</v>
      </c>
      <c r="B68" s="67" t="s">
        <v>720</v>
      </c>
      <c r="C68" s="200">
        <v>3</v>
      </c>
      <c r="D68" s="425">
        <v>1</v>
      </c>
      <c r="E68" s="200">
        <v>1</v>
      </c>
      <c r="F68" s="426">
        <v>1</v>
      </c>
      <c r="G68" s="200">
        <v>27</v>
      </c>
      <c r="H68" s="427">
        <f t="shared" si="11"/>
        <v>81</v>
      </c>
      <c r="I68" s="204">
        <f t="shared" ref="I68:I70" si="18">C68*E68*F68*16.5*2</f>
        <v>99</v>
      </c>
      <c r="J68" s="203">
        <f t="shared" ref="J68:J70" si="19">I68</f>
        <v>99</v>
      </c>
      <c r="K68" s="203"/>
      <c r="L68" s="428"/>
      <c r="M68" s="429" t="s">
        <v>658</v>
      </c>
    </row>
    <row r="69" spans="1:13" ht="42.75" customHeight="1">
      <c r="A69" s="424" t="s">
        <v>721</v>
      </c>
      <c r="B69" s="67" t="s">
        <v>722</v>
      </c>
      <c r="C69" s="200">
        <v>3</v>
      </c>
      <c r="D69" s="425">
        <v>1</v>
      </c>
      <c r="E69" s="200">
        <v>1</v>
      </c>
      <c r="F69" s="426">
        <v>1</v>
      </c>
      <c r="G69" s="200">
        <v>27</v>
      </c>
      <c r="H69" s="427">
        <f t="shared" si="11"/>
        <v>81</v>
      </c>
      <c r="I69" s="204">
        <f t="shared" si="18"/>
        <v>99</v>
      </c>
      <c r="J69" s="203">
        <f t="shared" si="19"/>
        <v>99</v>
      </c>
      <c r="K69" s="203"/>
      <c r="L69" s="428"/>
      <c r="M69" s="429" t="s">
        <v>658</v>
      </c>
    </row>
    <row r="70" spans="1:13" ht="15.75" customHeight="1">
      <c r="A70" s="424" t="s">
        <v>723</v>
      </c>
      <c r="B70" s="67" t="s">
        <v>724</v>
      </c>
      <c r="C70" s="200">
        <v>3</v>
      </c>
      <c r="D70" s="425">
        <v>1</v>
      </c>
      <c r="E70" s="200">
        <v>1</v>
      </c>
      <c r="F70" s="426">
        <v>1</v>
      </c>
      <c r="G70" s="200">
        <v>27</v>
      </c>
      <c r="H70" s="427">
        <f t="shared" si="11"/>
        <v>81</v>
      </c>
      <c r="I70" s="204">
        <f t="shared" si="18"/>
        <v>99</v>
      </c>
      <c r="J70" s="203">
        <f t="shared" si="19"/>
        <v>99</v>
      </c>
      <c r="K70" s="203"/>
      <c r="L70" s="428"/>
      <c r="M70" s="429" t="s">
        <v>658</v>
      </c>
    </row>
    <row r="71" spans="1:13" ht="15.75" customHeight="1">
      <c r="A71" s="435">
        <v>2</v>
      </c>
      <c r="B71" s="196" t="s">
        <v>570</v>
      </c>
      <c r="C71" s="209">
        <f t="shared" ref="C71:L71" si="20">C72+C86</f>
        <v>84</v>
      </c>
      <c r="D71" s="209">
        <f t="shared" si="20"/>
        <v>42</v>
      </c>
      <c r="E71" s="209">
        <f t="shared" si="20"/>
        <v>49</v>
      </c>
      <c r="F71" s="209">
        <f t="shared" si="20"/>
        <v>28</v>
      </c>
      <c r="G71" s="209">
        <f t="shared" si="20"/>
        <v>1262</v>
      </c>
      <c r="H71" s="209">
        <f t="shared" si="20"/>
        <v>0</v>
      </c>
      <c r="I71" s="209">
        <f t="shared" si="20"/>
        <v>3499.125</v>
      </c>
      <c r="J71" s="209">
        <f t="shared" si="20"/>
        <v>2923.125</v>
      </c>
      <c r="K71" s="209">
        <f t="shared" si="20"/>
        <v>257.89999999999998</v>
      </c>
      <c r="L71" s="209">
        <f t="shared" si="20"/>
        <v>422.3</v>
      </c>
      <c r="M71" s="436" t="s">
        <v>725</v>
      </c>
    </row>
    <row r="72" spans="1:13" ht="25.5">
      <c r="A72" s="106" t="s">
        <v>726</v>
      </c>
      <c r="B72" s="107" t="s">
        <v>727</v>
      </c>
      <c r="C72" s="194">
        <f t="shared" ref="C72:L72" si="21">C73+C82</f>
        <v>24</v>
      </c>
      <c r="D72" s="194">
        <f t="shared" si="21"/>
        <v>12</v>
      </c>
      <c r="E72" s="194">
        <f t="shared" si="21"/>
        <v>24</v>
      </c>
      <c r="F72" s="194">
        <f t="shared" si="21"/>
        <v>8</v>
      </c>
      <c r="G72" s="194">
        <f t="shared" si="21"/>
        <v>787</v>
      </c>
      <c r="H72" s="194">
        <f t="shared" si="21"/>
        <v>0</v>
      </c>
      <c r="I72" s="194">
        <f t="shared" si="21"/>
        <v>2196</v>
      </c>
      <c r="J72" s="194">
        <f t="shared" si="21"/>
        <v>2196</v>
      </c>
      <c r="K72" s="194">
        <f t="shared" si="21"/>
        <v>104.2</v>
      </c>
      <c r="L72" s="194">
        <f t="shared" si="21"/>
        <v>0</v>
      </c>
      <c r="M72" s="437"/>
    </row>
    <row r="73" spans="1:13" ht="25.5">
      <c r="A73" s="106" t="s">
        <v>263</v>
      </c>
      <c r="B73" s="107" t="s">
        <v>728</v>
      </c>
      <c r="C73" s="194">
        <f t="shared" ref="C73:L73" si="22">SUM(C74:C81)</f>
        <v>24</v>
      </c>
      <c r="D73" s="194">
        <f t="shared" si="22"/>
        <v>12</v>
      </c>
      <c r="E73" s="194">
        <f t="shared" si="22"/>
        <v>24</v>
      </c>
      <c r="F73" s="194">
        <f t="shared" si="22"/>
        <v>8</v>
      </c>
      <c r="G73" s="194">
        <f t="shared" si="22"/>
        <v>760</v>
      </c>
      <c r="H73" s="194">
        <f t="shared" si="22"/>
        <v>0</v>
      </c>
      <c r="I73" s="194">
        <f t="shared" si="22"/>
        <v>1251</v>
      </c>
      <c r="J73" s="194">
        <f t="shared" si="22"/>
        <v>1251</v>
      </c>
      <c r="K73" s="194">
        <f t="shared" si="22"/>
        <v>104.2</v>
      </c>
      <c r="L73" s="194">
        <f t="shared" si="22"/>
        <v>0</v>
      </c>
      <c r="M73" s="423" t="s">
        <v>729</v>
      </c>
    </row>
    <row r="74" spans="1:13" ht="15.75" customHeight="1">
      <c r="A74" s="424" t="s">
        <v>479</v>
      </c>
      <c r="B74" s="218" t="s">
        <v>702</v>
      </c>
      <c r="C74" s="202">
        <v>3</v>
      </c>
      <c r="D74" s="206">
        <v>1.5</v>
      </c>
      <c r="E74" s="202">
        <v>3</v>
      </c>
      <c r="F74" s="203">
        <v>1</v>
      </c>
      <c r="G74" s="202">
        <v>95</v>
      </c>
      <c r="H74" s="427"/>
      <c r="I74" s="204">
        <f t="shared" ref="I74:I81" si="23">D74*E74* 34.75</f>
        <v>156.375</v>
      </c>
      <c r="J74" s="203">
        <f t="shared" ref="J74:J81" si="24">I74</f>
        <v>156.375</v>
      </c>
      <c r="K74" s="203"/>
      <c r="L74" s="428"/>
      <c r="M74" s="436"/>
    </row>
    <row r="75" spans="1:13" ht="15.75" customHeight="1">
      <c r="A75" s="424" t="s">
        <v>481</v>
      </c>
      <c r="B75" s="218" t="s">
        <v>730</v>
      </c>
      <c r="C75" s="202">
        <v>3</v>
      </c>
      <c r="D75" s="206">
        <v>1.5</v>
      </c>
      <c r="E75" s="202">
        <v>3</v>
      </c>
      <c r="F75" s="203">
        <v>1</v>
      </c>
      <c r="G75" s="202">
        <v>95</v>
      </c>
      <c r="H75" s="427"/>
      <c r="I75" s="204">
        <f t="shared" si="23"/>
        <v>156.375</v>
      </c>
      <c r="J75" s="203">
        <f t="shared" si="24"/>
        <v>156.375</v>
      </c>
      <c r="K75" s="203"/>
      <c r="L75" s="428"/>
      <c r="M75" s="436"/>
    </row>
    <row r="76" spans="1:13" ht="15.75" customHeight="1">
      <c r="A76" s="424" t="s">
        <v>483</v>
      </c>
      <c r="B76" s="218" t="s">
        <v>731</v>
      </c>
      <c r="C76" s="202">
        <v>3</v>
      </c>
      <c r="D76" s="206">
        <v>1.5</v>
      </c>
      <c r="E76" s="202">
        <v>3</v>
      </c>
      <c r="F76" s="203">
        <v>1</v>
      </c>
      <c r="G76" s="202">
        <v>95</v>
      </c>
      <c r="H76" s="427"/>
      <c r="I76" s="204">
        <f t="shared" si="23"/>
        <v>156.375</v>
      </c>
      <c r="J76" s="203">
        <f t="shared" si="24"/>
        <v>156.375</v>
      </c>
      <c r="K76" s="203"/>
      <c r="L76" s="428"/>
      <c r="M76" s="436"/>
    </row>
    <row r="77" spans="1:13" ht="30">
      <c r="A77" s="424" t="s">
        <v>484</v>
      </c>
      <c r="B77" s="218" t="s">
        <v>732</v>
      </c>
      <c r="C77" s="202">
        <v>3</v>
      </c>
      <c r="D77" s="206">
        <v>1.5</v>
      </c>
      <c r="E77" s="202">
        <v>3</v>
      </c>
      <c r="F77" s="203">
        <v>1</v>
      </c>
      <c r="G77" s="202">
        <v>95</v>
      </c>
      <c r="H77" s="427"/>
      <c r="I77" s="204">
        <f t="shared" si="23"/>
        <v>156.375</v>
      </c>
      <c r="J77" s="203">
        <f t="shared" si="24"/>
        <v>156.375</v>
      </c>
      <c r="K77" s="203">
        <v>104.2</v>
      </c>
      <c r="L77" s="428"/>
      <c r="M77" s="436"/>
    </row>
    <row r="78" spans="1:13" ht="42" customHeight="1">
      <c r="A78" s="424" t="s">
        <v>485</v>
      </c>
      <c r="B78" s="2840" t="s">
        <v>733</v>
      </c>
      <c r="C78" s="202">
        <v>3</v>
      </c>
      <c r="D78" s="206">
        <v>1.5</v>
      </c>
      <c r="E78" s="202">
        <v>3</v>
      </c>
      <c r="F78" s="203">
        <v>1</v>
      </c>
      <c r="G78" s="202">
        <v>95</v>
      </c>
      <c r="H78" s="427"/>
      <c r="I78" s="204">
        <f t="shared" si="23"/>
        <v>156.375</v>
      </c>
      <c r="J78" s="203">
        <f t="shared" si="24"/>
        <v>156.375</v>
      </c>
      <c r="K78" s="203"/>
      <c r="L78" s="428"/>
      <c r="M78" s="436"/>
    </row>
    <row r="79" spans="1:13" ht="35.25" customHeight="1">
      <c r="A79" s="424" t="s">
        <v>486</v>
      </c>
      <c r="B79" s="2841"/>
      <c r="C79" s="202">
        <v>3</v>
      </c>
      <c r="D79" s="206">
        <v>1.5</v>
      </c>
      <c r="E79" s="202">
        <v>3</v>
      </c>
      <c r="F79" s="203">
        <v>1</v>
      </c>
      <c r="G79" s="202">
        <v>95</v>
      </c>
      <c r="H79" s="427"/>
      <c r="I79" s="204">
        <f t="shared" si="23"/>
        <v>156.375</v>
      </c>
      <c r="J79" s="203">
        <f t="shared" si="24"/>
        <v>156.375</v>
      </c>
      <c r="K79" s="203"/>
      <c r="L79" s="428"/>
      <c r="M79" s="436"/>
    </row>
    <row r="80" spans="1:13" ht="33.75" customHeight="1">
      <c r="A80" s="424" t="s">
        <v>487</v>
      </c>
      <c r="B80" s="2841"/>
      <c r="C80" s="202">
        <v>3</v>
      </c>
      <c r="D80" s="206">
        <v>1.5</v>
      </c>
      <c r="E80" s="202">
        <v>3</v>
      </c>
      <c r="F80" s="203">
        <v>1</v>
      </c>
      <c r="G80" s="202">
        <v>95</v>
      </c>
      <c r="H80" s="427"/>
      <c r="I80" s="204">
        <f t="shared" si="23"/>
        <v>156.375</v>
      </c>
      <c r="J80" s="203">
        <f t="shared" si="24"/>
        <v>156.375</v>
      </c>
      <c r="K80" s="203"/>
      <c r="L80" s="428"/>
      <c r="M80" s="436"/>
    </row>
    <row r="81" spans="1:13" ht="33" customHeight="1">
      <c r="A81" s="424" t="s">
        <v>488</v>
      </c>
      <c r="B81" s="2820"/>
      <c r="C81" s="202">
        <v>3</v>
      </c>
      <c r="D81" s="206">
        <v>1.5</v>
      </c>
      <c r="E81" s="202">
        <v>3</v>
      </c>
      <c r="F81" s="203">
        <v>1</v>
      </c>
      <c r="G81" s="202">
        <v>95</v>
      </c>
      <c r="H81" s="427"/>
      <c r="I81" s="204">
        <f t="shared" si="23"/>
        <v>156.375</v>
      </c>
      <c r="J81" s="203">
        <f t="shared" si="24"/>
        <v>156.375</v>
      </c>
      <c r="K81" s="203"/>
      <c r="L81" s="428"/>
      <c r="M81" s="436"/>
    </row>
    <row r="82" spans="1:13" ht="15.75" customHeight="1">
      <c r="A82" s="219" t="s">
        <v>265</v>
      </c>
      <c r="B82" s="220" t="s">
        <v>512</v>
      </c>
      <c r="C82" s="194">
        <f t="shared" ref="C82:L82" si="25">SUM(C83:C85)</f>
        <v>0</v>
      </c>
      <c r="D82" s="194">
        <f t="shared" si="25"/>
        <v>0</v>
      </c>
      <c r="E82" s="194">
        <f t="shared" si="25"/>
        <v>0</v>
      </c>
      <c r="F82" s="194">
        <f t="shared" si="25"/>
        <v>0</v>
      </c>
      <c r="G82" s="194">
        <f t="shared" si="25"/>
        <v>27</v>
      </c>
      <c r="H82" s="194">
        <f t="shared" si="25"/>
        <v>0</v>
      </c>
      <c r="I82" s="194">
        <f t="shared" si="25"/>
        <v>945</v>
      </c>
      <c r="J82" s="194">
        <f t="shared" si="25"/>
        <v>945</v>
      </c>
      <c r="K82" s="194">
        <f t="shared" si="25"/>
        <v>0</v>
      </c>
      <c r="L82" s="194">
        <f t="shared" si="25"/>
        <v>0</v>
      </c>
      <c r="M82" s="436" t="s">
        <v>734</v>
      </c>
    </row>
    <row r="83" spans="1:13" ht="15.75" customHeight="1">
      <c r="A83" s="438" t="s">
        <v>557</v>
      </c>
      <c r="B83" s="439" t="s">
        <v>735</v>
      </c>
      <c r="C83" s="202"/>
      <c r="D83" s="206"/>
      <c r="E83" s="202"/>
      <c r="F83" s="203"/>
      <c r="G83" s="202">
        <v>2</v>
      </c>
      <c r="H83" s="427"/>
      <c r="I83" s="427">
        <f t="shared" ref="I83:I85" si="26">G83*35</f>
        <v>70</v>
      </c>
      <c r="J83" s="203">
        <f t="shared" ref="J83:J85" si="27">I83</f>
        <v>70</v>
      </c>
      <c r="K83" s="203"/>
      <c r="L83" s="428"/>
      <c r="M83" s="436"/>
    </row>
    <row r="84" spans="1:13" ht="15.75" customHeight="1">
      <c r="A84" s="438" t="s">
        <v>572</v>
      </c>
      <c r="B84" s="439" t="s">
        <v>736</v>
      </c>
      <c r="C84" s="202"/>
      <c r="D84" s="206"/>
      <c r="E84" s="202"/>
      <c r="F84" s="203"/>
      <c r="G84" s="202">
        <v>8</v>
      </c>
      <c r="H84" s="427"/>
      <c r="I84" s="427">
        <f t="shared" si="26"/>
        <v>280</v>
      </c>
      <c r="J84" s="203">
        <f t="shared" si="27"/>
        <v>280</v>
      </c>
      <c r="K84" s="203"/>
      <c r="L84" s="428"/>
      <c r="M84" s="436"/>
    </row>
    <row r="85" spans="1:13" ht="15.75" customHeight="1">
      <c r="A85" s="438" t="s">
        <v>573</v>
      </c>
      <c r="B85" s="439" t="s">
        <v>737</v>
      </c>
      <c r="C85" s="202"/>
      <c r="D85" s="206"/>
      <c r="E85" s="202"/>
      <c r="F85" s="203"/>
      <c r="G85" s="202">
        <v>17</v>
      </c>
      <c r="H85" s="427"/>
      <c r="I85" s="427">
        <f t="shared" si="26"/>
        <v>595</v>
      </c>
      <c r="J85" s="203">
        <f t="shared" si="27"/>
        <v>595</v>
      </c>
      <c r="K85" s="203"/>
      <c r="L85" s="428"/>
      <c r="M85" s="436"/>
    </row>
    <row r="86" spans="1:13" ht="15.75" customHeight="1">
      <c r="A86" s="208" t="s">
        <v>738</v>
      </c>
      <c r="B86" s="107" t="s">
        <v>674</v>
      </c>
      <c r="C86" s="209">
        <f t="shared" ref="C86:K86" si="28">SUM(C87:C106)</f>
        <v>60</v>
      </c>
      <c r="D86" s="209">
        <f t="shared" si="28"/>
        <v>30</v>
      </c>
      <c r="E86" s="209">
        <f t="shared" si="28"/>
        <v>25</v>
      </c>
      <c r="F86" s="209">
        <f t="shared" si="28"/>
        <v>20</v>
      </c>
      <c r="G86" s="209">
        <f t="shared" si="28"/>
        <v>475</v>
      </c>
      <c r="H86" s="209">
        <f t="shared" si="28"/>
        <v>0</v>
      </c>
      <c r="I86" s="209">
        <f t="shared" si="28"/>
        <v>1303.125</v>
      </c>
      <c r="J86" s="209">
        <f t="shared" si="28"/>
        <v>727.125</v>
      </c>
      <c r="K86" s="209">
        <f t="shared" si="28"/>
        <v>153.69999999999999</v>
      </c>
      <c r="L86" s="209">
        <f>I86-J86-K86</f>
        <v>422.3</v>
      </c>
      <c r="M86" s="436" t="s">
        <v>739</v>
      </c>
    </row>
    <row r="87" spans="1:13" ht="15" customHeight="1">
      <c r="A87" s="198" t="s">
        <v>479</v>
      </c>
      <c r="B87" s="218" t="s">
        <v>740</v>
      </c>
      <c r="C87" s="202">
        <v>3</v>
      </c>
      <c r="D87" s="206">
        <v>1.5</v>
      </c>
      <c r="E87" s="202">
        <v>1</v>
      </c>
      <c r="F87" s="203">
        <v>1</v>
      </c>
      <c r="G87" s="202">
        <v>6</v>
      </c>
      <c r="H87" s="427"/>
      <c r="I87" s="204">
        <f t="shared" ref="I87:I106" si="29">D87*E87* 34.75</f>
        <v>52.125</v>
      </c>
      <c r="J87" s="203">
        <f t="shared" ref="J87:J99" si="30">I87</f>
        <v>52.125</v>
      </c>
      <c r="K87" s="203"/>
      <c r="L87" s="428"/>
      <c r="M87" s="157" t="s">
        <v>741</v>
      </c>
    </row>
    <row r="88" spans="1:13" ht="15.75" customHeight="1">
      <c r="A88" s="198" t="s">
        <v>481</v>
      </c>
      <c r="B88" s="218" t="s">
        <v>742</v>
      </c>
      <c r="C88" s="202">
        <v>3</v>
      </c>
      <c r="D88" s="206">
        <v>1.5</v>
      </c>
      <c r="E88" s="202">
        <v>1</v>
      </c>
      <c r="F88" s="203">
        <v>1</v>
      </c>
      <c r="G88" s="202">
        <v>6</v>
      </c>
      <c r="H88" s="427"/>
      <c r="I88" s="204">
        <f t="shared" si="29"/>
        <v>52.125</v>
      </c>
      <c r="J88" s="203">
        <f t="shared" si="30"/>
        <v>52.125</v>
      </c>
      <c r="K88" s="203"/>
      <c r="L88" s="428"/>
      <c r="M88" s="157" t="s">
        <v>741</v>
      </c>
    </row>
    <row r="89" spans="1:13" ht="15.75" customHeight="1">
      <c r="A89" s="198" t="s">
        <v>483</v>
      </c>
      <c r="B89" s="218" t="s">
        <v>743</v>
      </c>
      <c r="C89" s="202">
        <v>3</v>
      </c>
      <c r="D89" s="206">
        <v>1.5</v>
      </c>
      <c r="E89" s="202">
        <v>1</v>
      </c>
      <c r="F89" s="203">
        <v>1</v>
      </c>
      <c r="G89" s="202">
        <v>6</v>
      </c>
      <c r="H89" s="427"/>
      <c r="I89" s="204">
        <f t="shared" si="29"/>
        <v>52.125</v>
      </c>
      <c r="J89" s="203">
        <f t="shared" si="30"/>
        <v>52.125</v>
      </c>
      <c r="K89" s="203"/>
      <c r="L89" s="428"/>
      <c r="M89" s="157" t="s">
        <v>741</v>
      </c>
    </row>
    <row r="90" spans="1:13" ht="35.25" customHeight="1">
      <c r="A90" s="198" t="s">
        <v>484</v>
      </c>
      <c r="B90" s="2840" t="s">
        <v>744</v>
      </c>
      <c r="C90" s="202">
        <v>3</v>
      </c>
      <c r="D90" s="206">
        <v>1.5</v>
      </c>
      <c r="E90" s="202">
        <v>1</v>
      </c>
      <c r="F90" s="203">
        <v>1</v>
      </c>
      <c r="G90" s="202">
        <v>6</v>
      </c>
      <c r="H90" s="427"/>
      <c r="I90" s="204">
        <f t="shared" si="29"/>
        <v>52.125</v>
      </c>
      <c r="J90" s="203">
        <f t="shared" si="30"/>
        <v>52.125</v>
      </c>
      <c r="K90" s="203"/>
      <c r="L90" s="428"/>
      <c r="M90" s="157" t="s">
        <v>741</v>
      </c>
    </row>
    <row r="91" spans="1:13" ht="34.5" customHeight="1">
      <c r="A91" s="198" t="s">
        <v>485</v>
      </c>
      <c r="B91" s="2820"/>
      <c r="C91" s="202">
        <v>3</v>
      </c>
      <c r="D91" s="206">
        <v>1.5</v>
      </c>
      <c r="E91" s="202">
        <v>1</v>
      </c>
      <c r="F91" s="203">
        <v>1</v>
      </c>
      <c r="G91" s="202">
        <v>6</v>
      </c>
      <c r="H91" s="427"/>
      <c r="I91" s="204">
        <f t="shared" si="29"/>
        <v>52.125</v>
      </c>
      <c r="J91" s="203">
        <f t="shared" si="30"/>
        <v>52.125</v>
      </c>
      <c r="K91" s="203"/>
      <c r="L91" s="428"/>
      <c r="M91" s="157" t="s">
        <v>741</v>
      </c>
    </row>
    <row r="92" spans="1:13" ht="15.75" customHeight="1">
      <c r="A92" s="198" t="s">
        <v>486</v>
      </c>
      <c r="B92" s="218" t="s">
        <v>745</v>
      </c>
      <c r="C92" s="202">
        <v>3</v>
      </c>
      <c r="D92" s="206">
        <v>1.5</v>
      </c>
      <c r="E92" s="202">
        <v>1</v>
      </c>
      <c r="F92" s="203">
        <v>1</v>
      </c>
      <c r="G92" s="202">
        <v>13</v>
      </c>
      <c r="H92" s="427"/>
      <c r="I92" s="204">
        <f t="shared" si="29"/>
        <v>52.125</v>
      </c>
      <c r="J92" s="203">
        <f t="shared" si="30"/>
        <v>52.125</v>
      </c>
      <c r="K92" s="203"/>
      <c r="L92" s="428"/>
      <c r="M92" s="157" t="s">
        <v>746</v>
      </c>
    </row>
    <row r="93" spans="1:13" ht="18.75" customHeight="1">
      <c r="A93" s="198" t="s">
        <v>487</v>
      </c>
      <c r="B93" s="218" t="s">
        <v>747</v>
      </c>
      <c r="C93" s="202">
        <v>3</v>
      </c>
      <c r="D93" s="206">
        <v>1.5</v>
      </c>
      <c r="E93" s="202">
        <v>1</v>
      </c>
      <c r="F93" s="203">
        <v>1</v>
      </c>
      <c r="G93" s="202">
        <v>13</v>
      </c>
      <c r="H93" s="427"/>
      <c r="I93" s="204">
        <f t="shared" si="29"/>
        <v>52.125</v>
      </c>
      <c r="J93" s="203">
        <f t="shared" si="30"/>
        <v>52.125</v>
      </c>
      <c r="K93" s="203"/>
      <c r="L93" s="428"/>
      <c r="M93" s="157" t="s">
        <v>746</v>
      </c>
    </row>
    <row r="94" spans="1:13" ht="15.75" customHeight="1">
      <c r="A94" s="198" t="s">
        <v>488</v>
      </c>
      <c r="B94" s="218" t="s">
        <v>748</v>
      </c>
      <c r="C94" s="202">
        <v>3</v>
      </c>
      <c r="D94" s="206">
        <v>1.5</v>
      </c>
      <c r="E94" s="202">
        <v>1</v>
      </c>
      <c r="F94" s="203">
        <v>1</v>
      </c>
      <c r="G94" s="202">
        <v>13</v>
      </c>
      <c r="H94" s="427"/>
      <c r="I94" s="204">
        <f t="shared" si="29"/>
        <v>52.125</v>
      </c>
      <c r="J94" s="203">
        <f t="shared" si="30"/>
        <v>52.125</v>
      </c>
      <c r="K94" s="203"/>
      <c r="L94" s="428"/>
      <c r="M94" s="157" t="s">
        <v>746</v>
      </c>
    </row>
    <row r="95" spans="1:13" ht="37.5" customHeight="1">
      <c r="A95" s="198" t="s">
        <v>489</v>
      </c>
      <c r="B95" s="2840" t="s">
        <v>749</v>
      </c>
      <c r="C95" s="202">
        <v>3</v>
      </c>
      <c r="D95" s="206">
        <v>1.5</v>
      </c>
      <c r="E95" s="202">
        <v>1</v>
      </c>
      <c r="F95" s="203">
        <v>1</v>
      </c>
      <c r="G95" s="202">
        <v>13</v>
      </c>
      <c r="H95" s="427"/>
      <c r="I95" s="204">
        <f t="shared" si="29"/>
        <v>52.125</v>
      </c>
      <c r="J95" s="203">
        <f t="shared" si="30"/>
        <v>52.125</v>
      </c>
      <c r="K95" s="203"/>
      <c r="L95" s="428"/>
      <c r="M95" s="157" t="s">
        <v>746</v>
      </c>
    </row>
    <row r="96" spans="1:13" ht="36" customHeight="1">
      <c r="A96" s="198" t="s">
        <v>490</v>
      </c>
      <c r="B96" s="2820"/>
      <c r="C96" s="202">
        <v>3</v>
      </c>
      <c r="D96" s="206">
        <v>1.5</v>
      </c>
      <c r="E96" s="202">
        <v>1</v>
      </c>
      <c r="F96" s="203">
        <v>1</v>
      </c>
      <c r="G96" s="202">
        <v>13</v>
      </c>
      <c r="H96" s="427"/>
      <c r="I96" s="204">
        <f t="shared" si="29"/>
        <v>52.125</v>
      </c>
      <c r="J96" s="203">
        <f t="shared" si="30"/>
        <v>52.125</v>
      </c>
      <c r="K96" s="203"/>
      <c r="L96" s="428"/>
      <c r="M96" s="157" t="s">
        <v>746</v>
      </c>
    </row>
    <row r="97" spans="1:13" ht="15.75" customHeight="1">
      <c r="A97" s="198" t="s">
        <v>491</v>
      </c>
      <c r="B97" s="218" t="s">
        <v>750</v>
      </c>
      <c r="C97" s="202">
        <v>3</v>
      </c>
      <c r="D97" s="206">
        <v>1.5</v>
      </c>
      <c r="E97" s="202">
        <v>1</v>
      </c>
      <c r="F97" s="203">
        <v>1</v>
      </c>
      <c r="G97" s="202">
        <v>12</v>
      </c>
      <c r="H97" s="427"/>
      <c r="I97" s="204">
        <f t="shared" si="29"/>
        <v>52.125</v>
      </c>
      <c r="J97" s="203">
        <f t="shared" si="30"/>
        <v>52.125</v>
      </c>
      <c r="K97" s="203"/>
      <c r="L97" s="428"/>
      <c r="M97" s="429" t="s">
        <v>751</v>
      </c>
    </row>
    <row r="98" spans="1:13" ht="15.75" customHeight="1">
      <c r="A98" s="198" t="s">
        <v>492</v>
      </c>
      <c r="B98" s="218" t="s">
        <v>752</v>
      </c>
      <c r="C98" s="202">
        <v>3</v>
      </c>
      <c r="D98" s="206">
        <v>1.5</v>
      </c>
      <c r="E98" s="202">
        <v>1</v>
      </c>
      <c r="F98" s="203">
        <v>1</v>
      </c>
      <c r="G98" s="202">
        <v>12</v>
      </c>
      <c r="H98" s="427"/>
      <c r="I98" s="204">
        <f t="shared" si="29"/>
        <v>52.125</v>
      </c>
      <c r="J98" s="203">
        <f t="shared" si="30"/>
        <v>52.125</v>
      </c>
      <c r="K98" s="203"/>
      <c r="L98" s="428"/>
      <c r="M98" s="429" t="s">
        <v>751</v>
      </c>
    </row>
    <row r="99" spans="1:13" ht="30.75" customHeight="1">
      <c r="A99" s="198" t="s">
        <v>517</v>
      </c>
      <c r="B99" s="218" t="s">
        <v>753</v>
      </c>
      <c r="C99" s="202">
        <v>3</v>
      </c>
      <c r="D99" s="206">
        <v>1.5</v>
      </c>
      <c r="E99" s="202">
        <v>1</v>
      </c>
      <c r="F99" s="203">
        <v>1</v>
      </c>
      <c r="G99" s="202">
        <v>12</v>
      </c>
      <c r="H99" s="427"/>
      <c r="I99" s="204">
        <f t="shared" si="29"/>
        <v>52.125</v>
      </c>
      <c r="J99" s="203">
        <f t="shared" si="30"/>
        <v>52.125</v>
      </c>
      <c r="K99" s="203"/>
      <c r="L99" s="428"/>
      <c r="M99" s="429" t="s">
        <v>751</v>
      </c>
    </row>
    <row r="100" spans="1:13" ht="48" customHeight="1">
      <c r="A100" s="198" t="s">
        <v>518</v>
      </c>
      <c r="B100" s="2840" t="s">
        <v>754</v>
      </c>
      <c r="C100" s="202">
        <v>3</v>
      </c>
      <c r="D100" s="206">
        <v>1.5</v>
      </c>
      <c r="E100" s="202">
        <v>1</v>
      </c>
      <c r="F100" s="203">
        <v>1</v>
      </c>
      <c r="G100" s="202">
        <v>12</v>
      </c>
      <c r="H100" s="427"/>
      <c r="I100" s="204">
        <f t="shared" si="29"/>
        <v>52.125</v>
      </c>
      <c r="J100" s="203"/>
      <c r="K100" s="203">
        <v>49.5</v>
      </c>
      <c r="L100" s="428"/>
      <c r="M100" s="429" t="s">
        <v>751</v>
      </c>
    </row>
    <row r="101" spans="1:13" ht="41.25" customHeight="1">
      <c r="A101" s="198" t="s">
        <v>503</v>
      </c>
      <c r="B101" s="2820"/>
      <c r="C101" s="202">
        <v>3</v>
      </c>
      <c r="D101" s="206">
        <v>1.5</v>
      </c>
      <c r="E101" s="202">
        <v>1</v>
      </c>
      <c r="F101" s="203">
        <v>1</v>
      </c>
      <c r="G101" s="202">
        <v>12</v>
      </c>
      <c r="H101" s="427"/>
      <c r="I101" s="204">
        <f t="shared" si="29"/>
        <v>52.125</v>
      </c>
      <c r="J101" s="203">
        <v>49.5</v>
      </c>
      <c r="K101" s="203"/>
      <c r="L101" s="428"/>
      <c r="M101" s="429" t="s">
        <v>751</v>
      </c>
    </row>
    <row r="102" spans="1:13" ht="26.25" customHeight="1">
      <c r="A102" s="198" t="s">
        <v>659</v>
      </c>
      <c r="B102" s="218" t="s">
        <v>755</v>
      </c>
      <c r="C102" s="202">
        <v>3</v>
      </c>
      <c r="D102" s="206">
        <v>1.5</v>
      </c>
      <c r="E102" s="202">
        <v>2</v>
      </c>
      <c r="F102" s="203">
        <v>1</v>
      </c>
      <c r="G102" s="202">
        <v>64</v>
      </c>
      <c r="H102" s="427"/>
      <c r="I102" s="204">
        <f t="shared" si="29"/>
        <v>104.25</v>
      </c>
      <c r="J102" s="203"/>
      <c r="K102" s="203"/>
      <c r="L102" s="428"/>
      <c r="M102" s="429" t="s">
        <v>756</v>
      </c>
    </row>
    <row r="103" spans="1:13" ht="29.25" customHeight="1">
      <c r="A103" s="198" t="s">
        <v>662</v>
      </c>
      <c r="B103" s="218" t="s">
        <v>757</v>
      </c>
      <c r="C103" s="202">
        <v>3</v>
      </c>
      <c r="D103" s="206">
        <v>1.5</v>
      </c>
      <c r="E103" s="202">
        <v>2</v>
      </c>
      <c r="F103" s="203">
        <v>1</v>
      </c>
      <c r="G103" s="202">
        <v>64</v>
      </c>
      <c r="H103" s="427"/>
      <c r="I103" s="204">
        <f t="shared" si="29"/>
        <v>104.25</v>
      </c>
      <c r="J103" s="203"/>
      <c r="K103" s="203">
        <v>104.2</v>
      </c>
      <c r="L103" s="428"/>
      <c r="M103" s="429" t="s">
        <v>756</v>
      </c>
    </row>
    <row r="104" spans="1:13" ht="35.25" customHeight="1">
      <c r="A104" s="198" t="s">
        <v>664</v>
      </c>
      <c r="B104" s="218" t="s">
        <v>758</v>
      </c>
      <c r="C104" s="202">
        <v>3</v>
      </c>
      <c r="D104" s="206">
        <v>1.5</v>
      </c>
      <c r="E104" s="202">
        <v>2</v>
      </c>
      <c r="F104" s="203">
        <v>1</v>
      </c>
      <c r="G104" s="202">
        <v>64</v>
      </c>
      <c r="H104" s="427"/>
      <c r="I104" s="204">
        <f t="shared" si="29"/>
        <v>104.25</v>
      </c>
      <c r="J104" s="203"/>
      <c r="K104" s="203"/>
      <c r="L104" s="428"/>
      <c r="M104" s="429" t="s">
        <v>756</v>
      </c>
    </row>
    <row r="105" spans="1:13" ht="56.25" customHeight="1">
      <c r="A105" s="198" t="s">
        <v>667</v>
      </c>
      <c r="B105" s="2840" t="s">
        <v>759</v>
      </c>
      <c r="C105" s="202">
        <v>3</v>
      </c>
      <c r="D105" s="206">
        <v>1.5</v>
      </c>
      <c r="E105" s="202">
        <v>2</v>
      </c>
      <c r="F105" s="203">
        <v>1</v>
      </c>
      <c r="G105" s="202">
        <v>64</v>
      </c>
      <c r="H105" s="427"/>
      <c r="I105" s="204">
        <f t="shared" si="29"/>
        <v>104.25</v>
      </c>
      <c r="J105" s="203"/>
      <c r="K105" s="203"/>
      <c r="L105" s="428"/>
      <c r="M105" s="429" t="s">
        <v>756</v>
      </c>
    </row>
    <row r="106" spans="1:13" ht="55.5" customHeight="1">
      <c r="A106" s="198" t="s">
        <v>505</v>
      </c>
      <c r="B106" s="2820"/>
      <c r="C106" s="202">
        <v>3</v>
      </c>
      <c r="D106" s="206">
        <v>1.5</v>
      </c>
      <c r="E106" s="202">
        <v>2</v>
      </c>
      <c r="F106" s="203">
        <v>1</v>
      </c>
      <c r="G106" s="202">
        <v>64</v>
      </c>
      <c r="H106" s="427"/>
      <c r="I106" s="204">
        <f t="shared" si="29"/>
        <v>104.25</v>
      </c>
      <c r="J106" s="203"/>
      <c r="K106" s="203"/>
      <c r="L106" s="428"/>
      <c r="M106" s="429" t="s">
        <v>756</v>
      </c>
    </row>
    <row r="107" spans="1:13" ht="15.75" customHeight="1">
      <c r="A107" s="189" t="s">
        <v>284</v>
      </c>
      <c r="B107" s="190" t="s">
        <v>514</v>
      </c>
      <c r="C107" s="194">
        <f>C108+C122</f>
        <v>35</v>
      </c>
      <c r="D107" s="192"/>
      <c r="E107" s="194">
        <f>E108+E122</f>
        <v>18</v>
      </c>
      <c r="F107" s="191"/>
      <c r="G107" s="194"/>
      <c r="H107" s="193">
        <f t="shared" ref="H107:L107" si="31">H108+H122</f>
        <v>1939</v>
      </c>
      <c r="I107" s="193">
        <f t="shared" si="31"/>
        <v>665.25</v>
      </c>
      <c r="J107" s="191">
        <f t="shared" si="31"/>
        <v>630.5</v>
      </c>
      <c r="K107" s="191">
        <f t="shared" si="31"/>
        <v>34.75</v>
      </c>
      <c r="L107" s="422">
        <f t="shared" si="31"/>
        <v>0</v>
      </c>
      <c r="M107" s="436"/>
    </row>
    <row r="108" spans="1:13" ht="15.75" customHeight="1">
      <c r="A108" s="189">
        <v>1</v>
      </c>
      <c r="B108" s="107" t="s">
        <v>515</v>
      </c>
      <c r="C108" s="194">
        <f>C109+C117</f>
        <v>35</v>
      </c>
      <c r="D108" s="192"/>
      <c r="E108" s="194">
        <f>E109+E117</f>
        <v>18</v>
      </c>
      <c r="F108" s="191"/>
      <c r="G108" s="194"/>
      <c r="H108" s="193">
        <f t="shared" ref="H108:L108" si="32">H109+H117</f>
        <v>1939</v>
      </c>
      <c r="I108" s="193">
        <f t="shared" si="32"/>
        <v>665.25</v>
      </c>
      <c r="J108" s="191">
        <f t="shared" si="32"/>
        <v>630.5</v>
      </c>
      <c r="K108" s="191">
        <f t="shared" si="32"/>
        <v>34.75</v>
      </c>
      <c r="L108" s="422">
        <f t="shared" si="32"/>
        <v>0</v>
      </c>
      <c r="M108" s="436" t="s">
        <v>760</v>
      </c>
    </row>
    <row r="109" spans="1:13" ht="38.25" customHeight="1">
      <c r="A109" s="106" t="s">
        <v>260</v>
      </c>
      <c r="B109" s="107" t="s">
        <v>727</v>
      </c>
      <c r="C109" s="194">
        <f t="shared" ref="C109:L109" si="33">SUM(C110:C116)</f>
        <v>23</v>
      </c>
      <c r="D109" s="194">
        <f t="shared" si="33"/>
        <v>7</v>
      </c>
      <c r="E109" s="194">
        <f t="shared" si="33"/>
        <v>10</v>
      </c>
      <c r="F109" s="194">
        <f t="shared" si="33"/>
        <v>7</v>
      </c>
      <c r="G109" s="194">
        <f t="shared" si="33"/>
        <v>340</v>
      </c>
      <c r="H109" s="440">
        <f t="shared" si="33"/>
        <v>1123</v>
      </c>
      <c r="I109" s="440">
        <f t="shared" si="33"/>
        <v>387.25</v>
      </c>
      <c r="J109" s="194">
        <f t="shared" si="33"/>
        <v>352.5</v>
      </c>
      <c r="K109" s="194">
        <f t="shared" si="33"/>
        <v>34.75</v>
      </c>
      <c r="L109" s="194">
        <f t="shared" si="33"/>
        <v>0</v>
      </c>
      <c r="M109" s="436" t="s">
        <v>761</v>
      </c>
    </row>
    <row r="110" spans="1:13" ht="15.75" customHeight="1">
      <c r="A110" s="438" t="s">
        <v>479</v>
      </c>
      <c r="B110" s="67" t="s">
        <v>645</v>
      </c>
      <c r="C110" s="202">
        <v>4</v>
      </c>
      <c r="D110" s="206">
        <v>1</v>
      </c>
      <c r="E110" s="202">
        <v>1</v>
      </c>
      <c r="F110" s="203">
        <v>1</v>
      </c>
      <c r="G110" s="202">
        <v>35</v>
      </c>
      <c r="H110" s="427">
        <f t="shared" ref="H110:H116" si="34">C110*D110*G110</f>
        <v>140</v>
      </c>
      <c r="I110" s="430">
        <f t="shared" ref="I110:I116" si="35">IF(C110=4,48*E110,IF(C110=3,34.75*E110))</f>
        <v>48</v>
      </c>
      <c r="J110" s="203">
        <f t="shared" ref="J110:J113" si="36">I110</f>
        <v>48</v>
      </c>
      <c r="K110" s="203"/>
      <c r="L110" s="428"/>
      <c r="M110" s="157" t="s">
        <v>762</v>
      </c>
    </row>
    <row r="111" spans="1:13" ht="15.75" customHeight="1">
      <c r="A111" s="438" t="s">
        <v>481</v>
      </c>
      <c r="B111" s="67" t="s">
        <v>704</v>
      </c>
      <c r="C111" s="202">
        <v>3</v>
      </c>
      <c r="D111" s="206">
        <v>1</v>
      </c>
      <c r="E111" s="202">
        <v>1</v>
      </c>
      <c r="F111" s="203">
        <v>1</v>
      </c>
      <c r="G111" s="202">
        <v>35</v>
      </c>
      <c r="H111" s="427">
        <f t="shared" si="34"/>
        <v>105</v>
      </c>
      <c r="I111" s="430">
        <f t="shared" si="35"/>
        <v>34.75</v>
      </c>
      <c r="J111" s="203">
        <f t="shared" si="36"/>
        <v>34.75</v>
      </c>
      <c r="K111" s="203"/>
      <c r="L111" s="428"/>
      <c r="M111" s="157" t="s">
        <v>762</v>
      </c>
    </row>
    <row r="112" spans="1:13" ht="15.75" customHeight="1">
      <c r="A112" s="438" t="s">
        <v>483</v>
      </c>
      <c r="B112" s="67" t="s">
        <v>695</v>
      </c>
      <c r="C112" s="202">
        <v>3</v>
      </c>
      <c r="D112" s="206">
        <v>1</v>
      </c>
      <c r="E112" s="202">
        <v>1</v>
      </c>
      <c r="F112" s="203">
        <v>1</v>
      </c>
      <c r="G112" s="202">
        <v>33</v>
      </c>
      <c r="H112" s="427">
        <f t="shared" si="34"/>
        <v>99</v>
      </c>
      <c r="I112" s="430">
        <f t="shared" si="35"/>
        <v>34.75</v>
      </c>
      <c r="J112" s="203">
        <f t="shared" si="36"/>
        <v>34.75</v>
      </c>
      <c r="K112" s="203"/>
      <c r="L112" s="428"/>
      <c r="M112" s="157" t="s">
        <v>763</v>
      </c>
    </row>
    <row r="113" spans="1:13" ht="15.75" customHeight="1">
      <c r="A113" s="438" t="s">
        <v>484</v>
      </c>
      <c r="B113" s="67" t="s">
        <v>700</v>
      </c>
      <c r="C113" s="202">
        <v>3</v>
      </c>
      <c r="D113" s="206">
        <v>1</v>
      </c>
      <c r="E113" s="202">
        <v>1</v>
      </c>
      <c r="F113" s="203">
        <v>1</v>
      </c>
      <c r="G113" s="202">
        <v>33</v>
      </c>
      <c r="H113" s="427">
        <f t="shared" si="34"/>
        <v>99</v>
      </c>
      <c r="I113" s="430">
        <f t="shared" si="35"/>
        <v>34.75</v>
      </c>
      <c r="J113" s="203">
        <f t="shared" si="36"/>
        <v>34.75</v>
      </c>
      <c r="K113" s="203"/>
      <c r="L113" s="428"/>
      <c r="M113" s="157" t="s">
        <v>763</v>
      </c>
    </row>
    <row r="114" spans="1:13" ht="15.75" customHeight="1">
      <c r="A114" s="438" t="s">
        <v>485</v>
      </c>
      <c r="B114" s="67" t="s">
        <v>718</v>
      </c>
      <c r="C114" s="202">
        <v>3</v>
      </c>
      <c r="D114" s="206">
        <v>1</v>
      </c>
      <c r="E114" s="202">
        <v>2</v>
      </c>
      <c r="F114" s="203">
        <v>1</v>
      </c>
      <c r="G114" s="202">
        <v>68</v>
      </c>
      <c r="H114" s="427">
        <f t="shared" si="34"/>
        <v>204</v>
      </c>
      <c r="I114" s="430">
        <f t="shared" si="35"/>
        <v>69.5</v>
      </c>
      <c r="J114" s="203">
        <v>34.75</v>
      </c>
      <c r="K114" s="203">
        <v>34.75</v>
      </c>
      <c r="L114" s="428"/>
      <c r="M114" s="157" t="s">
        <v>764</v>
      </c>
    </row>
    <row r="115" spans="1:13" ht="15.75" customHeight="1">
      <c r="A115" s="438" t="s">
        <v>486</v>
      </c>
      <c r="B115" s="67" t="s">
        <v>647</v>
      </c>
      <c r="C115" s="202">
        <v>3</v>
      </c>
      <c r="D115" s="206">
        <v>1</v>
      </c>
      <c r="E115" s="202">
        <v>2</v>
      </c>
      <c r="F115" s="203">
        <v>1</v>
      </c>
      <c r="G115" s="202">
        <v>68</v>
      </c>
      <c r="H115" s="427">
        <f t="shared" si="34"/>
        <v>204</v>
      </c>
      <c r="I115" s="430">
        <f t="shared" si="35"/>
        <v>69.5</v>
      </c>
      <c r="J115" s="203">
        <f t="shared" ref="J115:J116" si="37">I115</f>
        <v>69.5</v>
      </c>
      <c r="K115" s="203"/>
      <c r="L115" s="428"/>
      <c r="M115" s="157" t="s">
        <v>764</v>
      </c>
    </row>
    <row r="116" spans="1:13" ht="15.75" customHeight="1">
      <c r="A116" s="438" t="s">
        <v>487</v>
      </c>
      <c r="B116" s="67" t="s">
        <v>765</v>
      </c>
      <c r="C116" s="202">
        <v>4</v>
      </c>
      <c r="D116" s="206">
        <v>1</v>
      </c>
      <c r="E116" s="202">
        <v>2</v>
      </c>
      <c r="F116" s="203">
        <v>1</v>
      </c>
      <c r="G116" s="202">
        <v>68</v>
      </c>
      <c r="H116" s="427">
        <f t="shared" si="34"/>
        <v>272</v>
      </c>
      <c r="I116" s="430">
        <f t="shared" si="35"/>
        <v>96</v>
      </c>
      <c r="J116" s="203">
        <f t="shared" si="37"/>
        <v>96</v>
      </c>
      <c r="K116" s="203"/>
      <c r="L116" s="428"/>
      <c r="M116" s="157" t="s">
        <v>764</v>
      </c>
    </row>
    <row r="117" spans="1:13" ht="43.5" customHeight="1">
      <c r="A117" s="432" t="s">
        <v>274</v>
      </c>
      <c r="B117" s="107" t="s">
        <v>674</v>
      </c>
      <c r="C117" s="209">
        <f t="shared" ref="C117:L117" si="38">SUM(C118:C121)</f>
        <v>12</v>
      </c>
      <c r="D117" s="209">
        <f t="shared" si="38"/>
        <v>4</v>
      </c>
      <c r="E117" s="209">
        <f t="shared" si="38"/>
        <v>8</v>
      </c>
      <c r="F117" s="209">
        <f t="shared" si="38"/>
        <v>4</v>
      </c>
      <c r="G117" s="209">
        <f t="shared" si="38"/>
        <v>272</v>
      </c>
      <c r="H117" s="209">
        <f t="shared" si="38"/>
        <v>816</v>
      </c>
      <c r="I117" s="209">
        <f t="shared" si="38"/>
        <v>278</v>
      </c>
      <c r="J117" s="209">
        <f t="shared" si="38"/>
        <v>278</v>
      </c>
      <c r="K117" s="209">
        <f t="shared" si="38"/>
        <v>0</v>
      </c>
      <c r="L117" s="209">
        <f t="shared" si="38"/>
        <v>0</v>
      </c>
      <c r="M117" s="436" t="s">
        <v>766</v>
      </c>
    </row>
    <row r="118" spans="1:13" ht="15.75" customHeight="1">
      <c r="A118" s="438" t="s">
        <v>479</v>
      </c>
      <c r="B118" s="67" t="s">
        <v>702</v>
      </c>
      <c r="C118" s="202">
        <v>3</v>
      </c>
      <c r="D118" s="206">
        <v>1</v>
      </c>
      <c r="E118" s="202">
        <v>2</v>
      </c>
      <c r="F118" s="203">
        <v>1</v>
      </c>
      <c r="G118" s="202">
        <v>68</v>
      </c>
      <c r="H118" s="427">
        <f t="shared" ref="H118:H121" si="39">C118*D118*G118</f>
        <v>204</v>
      </c>
      <c r="I118" s="430">
        <f t="shared" ref="I118:I121" si="40">IF(C118=4,48*E118,IF(C118=3,34.75*E118))</f>
        <v>69.5</v>
      </c>
      <c r="J118" s="203">
        <f t="shared" ref="J118:J121" si="41">I118</f>
        <v>69.5</v>
      </c>
      <c r="K118" s="203"/>
      <c r="L118" s="428"/>
      <c r="M118" s="157" t="s">
        <v>764</v>
      </c>
    </row>
    <row r="119" spans="1:13" ht="15.75" customHeight="1">
      <c r="A119" s="438" t="s">
        <v>481</v>
      </c>
      <c r="B119" s="67" t="s">
        <v>663</v>
      </c>
      <c r="C119" s="202">
        <v>3</v>
      </c>
      <c r="D119" s="206">
        <v>1</v>
      </c>
      <c r="E119" s="202">
        <v>2</v>
      </c>
      <c r="F119" s="203">
        <v>1</v>
      </c>
      <c r="G119" s="202">
        <v>68</v>
      </c>
      <c r="H119" s="427">
        <f t="shared" si="39"/>
        <v>204</v>
      </c>
      <c r="I119" s="430">
        <f t="shared" si="40"/>
        <v>69.5</v>
      </c>
      <c r="J119" s="203">
        <f t="shared" si="41"/>
        <v>69.5</v>
      </c>
      <c r="K119" s="203"/>
      <c r="L119" s="428"/>
      <c r="M119" s="157" t="s">
        <v>764</v>
      </c>
    </row>
    <row r="120" spans="1:13" ht="15.75" customHeight="1">
      <c r="A120" s="438" t="s">
        <v>483</v>
      </c>
      <c r="B120" s="67" t="s">
        <v>767</v>
      </c>
      <c r="C120" s="202">
        <v>3</v>
      </c>
      <c r="D120" s="206">
        <v>1</v>
      </c>
      <c r="E120" s="202">
        <v>2</v>
      </c>
      <c r="F120" s="203">
        <v>1</v>
      </c>
      <c r="G120" s="202">
        <v>68</v>
      </c>
      <c r="H120" s="427">
        <f t="shared" si="39"/>
        <v>204</v>
      </c>
      <c r="I120" s="430">
        <f t="shared" si="40"/>
        <v>69.5</v>
      </c>
      <c r="J120" s="203">
        <f t="shared" si="41"/>
        <v>69.5</v>
      </c>
      <c r="K120" s="203"/>
      <c r="L120" s="428"/>
      <c r="M120" s="157" t="s">
        <v>764</v>
      </c>
    </row>
    <row r="121" spans="1:13" ht="15.75" customHeight="1">
      <c r="A121" s="438" t="s">
        <v>484</v>
      </c>
      <c r="B121" s="67" t="s">
        <v>713</v>
      </c>
      <c r="C121" s="202">
        <v>3</v>
      </c>
      <c r="D121" s="206">
        <v>1</v>
      </c>
      <c r="E121" s="202">
        <v>2</v>
      </c>
      <c r="F121" s="203">
        <v>1</v>
      </c>
      <c r="G121" s="202">
        <v>68</v>
      </c>
      <c r="H121" s="427">
        <f t="shared" si="39"/>
        <v>204</v>
      </c>
      <c r="I121" s="430">
        <f t="shared" si="40"/>
        <v>69.5</v>
      </c>
      <c r="J121" s="203">
        <f t="shared" si="41"/>
        <v>69.5</v>
      </c>
      <c r="K121" s="203"/>
      <c r="L121" s="428"/>
      <c r="M121" s="157" t="s">
        <v>764</v>
      </c>
    </row>
    <row r="122" spans="1:13" ht="15.75" customHeight="1">
      <c r="A122" s="189">
        <v>2</v>
      </c>
      <c r="B122" s="190" t="s">
        <v>519</v>
      </c>
      <c r="C122" s="194">
        <f>C123+C125</f>
        <v>0</v>
      </c>
      <c r="D122" s="192"/>
      <c r="E122" s="194">
        <f>E123+E125</f>
        <v>0</v>
      </c>
      <c r="F122" s="191"/>
      <c r="G122" s="194"/>
      <c r="H122" s="193">
        <f t="shared" ref="H122:L122" si="42">H123+H125</f>
        <v>0</v>
      </c>
      <c r="I122" s="193">
        <f t="shared" si="42"/>
        <v>0</v>
      </c>
      <c r="J122" s="191">
        <f t="shared" si="42"/>
        <v>0</v>
      </c>
      <c r="K122" s="191">
        <f t="shared" si="42"/>
        <v>0</v>
      </c>
      <c r="L122" s="422">
        <f t="shared" si="42"/>
        <v>0</v>
      </c>
      <c r="M122" s="436"/>
    </row>
    <row r="123" spans="1:13" ht="25.5">
      <c r="A123" s="106" t="s">
        <v>520</v>
      </c>
      <c r="B123" s="107" t="s">
        <v>727</v>
      </c>
      <c r="C123" s="194">
        <f>SUM(C124)</f>
        <v>0</v>
      </c>
      <c r="D123" s="192"/>
      <c r="E123" s="194">
        <f>SUM(E124)</f>
        <v>0</v>
      </c>
      <c r="F123" s="191"/>
      <c r="G123" s="194"/>
      <c r="H123" s="193">
        <f t="shared" ref="H123:L123" si="43">SUM(H124)</f>
        <v>0</v>
      </c>
      <c r="I123" s="193">
        <f t="shared" si="43"/>
        <v>0</v>
      </c>
      <c r="J123" s="191">
        <f t="shared" si="43"/>
        <v>0</v>
      </c>
      <c r="K123" s="191">
        <f t="shared" si="43"/>
        <v>0</v>
      </c>
      <c r="L123" s="422">
        <f t="shared" si="43"/>
        <v>0</v>
      </c>
      <c r="M123" s="436"/>
    </row>
    <row r="124" spans="1:13" ht="15.75" customHeight="1">
      <c r="A124" s="207" t="s">
        <v>479</v>
      </c>
      <c r="B124" s="67" t="s">
        <v>482</v>
      </c>
      <c r="C124" s="202"/>
      <c r="D124" s="206"/>
      <c r="E124" s="202"/>
      <c r="F124" s="203"/>
      <c r="G124" s="202"/>
      <c r="H124" s="427">
        <f>C124*D124*G124</f>
        <v>0</v>
      </c>
      <c r="I124" s="204">
        <f>C124*E124*F124*16.5</f>
        <v>0</v>
      </c>
      <c r="J124" s="203"/>
      <c r="K124" s="203"/>
      <c r="L124" s="428"/>
      <c r="M124" s="436"/>
    </row>
    <row r="125" spans="1:13" ht="15.75" customHeight="1">
      <c r="A125" s="198" t="s">
        <v>520</v>
      </c>
      <c r="B125" s="107" t="s">
        <v>674</v>
      </c>
      <c r="C125" s="209">
        <f>SUM(C126)</f>
        <v>0</v>
      </c>
      <c r="D125" s="425"/>
      <c r="E125" s="209">
        <f>SUM(E126)</f>
        <v>0</v>
      </c>
      <c r="F125" s="426"/>
      <c r="G125" s="209"/>
      <c r="H125" s="441">
        <f t="shared" ref="H125:L125" si="44">SUM(H126)</f>
        <v>0</v>
      </c>
      <c r="I125" s="441">
        <f t="shared" si="44"/>
        <v>0</v>
      </c>
      <c r="J125" s="442">
        <f t="shared" si="44"/>
        <v>0</v>
      </c>
      <c r="K125" s="442">
        <f t="shared" si="44"/>
        <v>0</v>
      </c>
      <c r="L125" s="443">
        <f t="shared" si="44"/>
        <v>0</v>
      </c>
      <c r="M125" s="436"/>
    </row>
    <row r="126" spans="1:13" ht="15.75" customHeight="1">
      <c r="A126" s="207" t="s">
        <v>481</v>
      </c>
      <c r="B126" s="67" t="s">
        <v>482</v>
      </c>
      <c r="C126" s="202"/>
      <c r="D126" s="206"/>
      <c r="E126" s="202"/>
      <c r="F126" s="203"/>
      <c r="G126" s="202"/>
      <c r="H126" s="427">
        <f>C126*D126*G126</f>
        <v>0</v>
      </c>
      <c r="I126" s="204">
        <f>C126*E126*F126*16.5</f>
        <v>0</v>
      </c>
      <c r="J126" s="203"/>
      <c r="K126" s="203"/>
      <c r="L126" s="428"/>
      <c r="M126" s="436"/>
    </row>
  </sheetData>
  <mergeCells count="22">
    <mergeCell ref="M7:M8"/>
    <mergeCell ref="B100:B101"/>
    <mergeCell ref="B105:B106"/>
    <mergeCell ref="D7:D8"/>
    <mergeCell ref="E7:E8"/>
    <mergeCell ref="F7:F8"/>
    <mergeCell ref="B7:B8"/>
    <mergeCell ref="C7:C8"/>
    <mergeCell ref="B78:B81"/>
    <mergeCell ref="B90:B91"/>
    <mergeCell ref="B95:B96"/>
    <mergeCell ref="A5:L5"/>
    <mergeCell ref="A7:A8"/>
    <mergeCell ref="A1:C1"/>
    <mergeCell ref="A2:C2"/>
    <mergeCell ref="J2:L2"/>
    <mergeCell ref="A3:L3"/>
    <mergeCell ref="A4:L4"/>
    <mergeCell ref="G7:G8"/>
    <mergeCell ref="H7:H8"/>
    <mergeCell ref="I7:I8"/>
    <mergeCell ref="J7:L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58"/>
  <sheetViews>
    <sheetView workbookViewId="0">
      <pane xSplit="2" ySplit="10" topLeftCell="C11"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10.28515625" customWidth="1"/>
    <col min="2" max="2" width="44.7109375" customWidth="1"/>
    <col min="3" max="3" width="10" customWidth="1"/>
    <col min="4" max="4" width="10.140625" customWidth="1"/>
    <col min="5" max="5" width="12" customWidth="1"/>
    <col min="6" max="6" width="11.42578125" customWidth="1"/>
    <col min="7" max="7" width="10.7109375" customWidth="1"/>
    <col min="8" max="8" width="13.42578125" customWidth="1"/>
    <col min="10" max="10" width="14.28515625" customWidth="1"/>
    <col min="11" max="11" width="11.28515625" customWidth="1"/>
    <col min="12" max="12" width="9.42578125" customWidth="1"/>
    <col min="13" max="26" width="23.7109375" customWidth="1"/>
  </cols>
  <sheetData>
    <row r="1" spans="1:12">
      <c r="A1" s="2788" t="s">
        <v>768</v>
      </c>
      <c r="B1" s="2732"/>
      <c r="C1" s="2732"/>
      <c r="D1" s="39"/>
      <c r="E1" s="39"/>
      <c r="F1" s="39"/>
      <c r="G1" s="39"/>
      <c r="H1" s="39"/>
      <c r="I1" s="40"/>
      <c r="J1" s="2836"/>
      <c r="K1" s="2732"/>
      <c r="L1" s="2732"/>
    </row>
    <row r="2" spans="1:12">
      <c r="A2" s="2844" t="s">
        <v>769</v>
      </c>
      <c r="B2" s="2732"/>
      <c r="C2" s="2732"/>
      <c r="D2" s="167"/>
      <c r="E2" s="167"/>
      <c r="F2" s="167"/>
      <c r="G2" s="167"/>
      <c r="H2" s="167"/>
      <c r="I2" s="40"/>
      <c r="J2" s="2836"/>
      <c r="K2" s="2732"/>
      <c r="L2" s="2732"/>
    </row>
    <row r="3" spans="1:12" ht="15.75">
      <c r="A3" s="2773" t="s">
        <v>523</v>
      </c>
      <c r="B3" s="2732"/>
      <c r="C3" s="2732"/>
      <c r="D3" s="2732"/>
      <c r="E3" s="2732"/>
      <c r="F3" s="2732"/>
      <c r="G3" s="2732"/>
      <c r="H3" s="2732"/>
      <c r="I3" s="2732"/>
      <c r="J3" s="2732"/>
      <c r="K3" s="2732"/>
      <c r="L3" s="2732"/>
    </row>
    <row r="4" spans="1:12" ht="15.75">
      <c r="A4" s="2810" t="s">
        <v>524</v>
      </c>
      <c r="B4" s="2732"/>
      <c r="C4" s="2732"/>
      <c r="D4" s="2732"/>
      <c r="E4" s="2732"/>
      <c r="F4" s="2732"/>
      <c r="G4" s="2732"/>
      <c r="H4" s="2732"/>
      <c r="I4" s="2732"/>
      <c r="J4" s="2732"/>
      <c r="K4" s="2732"/>
      <c r="L4" s="2732"/>
    </row>
    <row r="5" spans="1:12" ht="15.75">
      <c r="A5" s="2811" t="s">
        <v>432</v>
      </c>
      <c r="B5" s="2732"/>
      <c r="C5" s="2732"/>
      <c r="D5" s="2732"/>
      <c r="E5" s="2732"/>
      <c r="F5" s="2732"/>
      <c r="G5" s="2732"/>
      <c r="H5" s="2732"/>
      <c r="I5" s="2732"/>
      <c r="J5" s="2732"/>
      <c r="K5" s="2732"/>
      <c r="L5" s="2732"/>
    </row>
    <row r="6" spans="1:12">
      <c r="A6" s="46"/>
      <c r="B6" s="46"/>
      <c r="C6" s="46"/>
      <c r="D6" s="46"/>
      <c r="E6" s="46"/>
      <c r="F6" s="46"/>
      <c r="G6" s="46"/>
      <c r="H6" s="46"/>
      <c r="I6" s="46"/>
      <c r="J6" s="46"/>
      <c r="K6" s="46"/>
      <c r="L6" s="46"/>
    </row>
    <row r="7" spans="1:12" ht="15" customHeight="1">
      <c r="A7" s="2842" t="s">
        <v>186</v>
      </c>
      <c r="B7" s="2828" t="s">
        <v>453</v>
      </c>
      <c r="C7" s="2828" t="s">
        <v>454</v>
      </c>
      <c r="D7" s="2824" t="s">
        <v>528</v>
      </c>
      <c r="E7" s="2819" t="s">
        <v>456</v>
      </c>
      <c r="F7" s="2819" t="s">
        <v>457</v>
      </c>
      <c r="G7" s="2819" t="s">
        <v>621</v>
      </c>
      <c r="H7" s="2821" t="s">
        <v>459</v>
      </c>
      <c r="I7" s="2822" t="s">
        <v>439</v>
      </c>
      <c r="J7" s="2816" t="s">
        <v>622</v>
      </c>
      <c r="K7" s="2817"/>
      <c r="L7" s="2818"/>
    </row>
    <row r="8" spans="1:12" ht="48.75" customHeight="1">
      <c r="A8" s="2843"/>
      <c r="B8" s="2779"/>
      <c r="C8" s="2779"/>
      <c r="D8" s="2820"/>
      <c r="E8" s="2820"/>
      <c r="F8" s="2820"/>
      <c r="G8" s="2820"/>
      <c r="H8" s="2820"/>
      <c r="I8" s="2820"/>
      <c r="J8" s="122" t="s">
        <v>461</v>
      </c>
      <c r="K8" s="122" t="s">
        <v>462</v>
      </c>
      <c r="L8" s="122" t="s">
        <v>463</v>
      </c>
    </row>
    <row r="9" spans="1:12" ht="42" customHeight="1">
      <c r="A9" s="444" t="s">
        <v>465</v>
      </c>
      <c r="B9" s="445" t="s">
        <v>466</v>
      </c>
      <c r="C9" s="445" t="s">
        <v>467</v>
      </c>
      <c r="D9" s="184" t="s">
        <v>468</v>
      </c>
      <c r="E9" s="185" t="s">
        <v>469</v>
      </c>
      <c r="F9" s="185" t="s">
        <v>470</v>
      </c>
      <c r="G9" s="185" t="s">
        <v>471</v>
      </c>
      <c r="H9" s="186" t="s">
        <v>472</v>
      </c>
      <c r="I9" s="419" t="s">
        <v>770</v>
      </c>
      <c r="J9" s="185" t="s">
        <v>474</v>
      </c>
      <c r="K9" s="185" t="s">
        <v>475</v>
      </c>
      <c r="L9" s="187">
        <v>-12</v>
      </c>
    </row>
    <row r="10" spans="1:12">
      <c r="A10" s="446" t="s">
        <v>200</v>
      </c>
      <c r="B10" s="447" t="s">
        <v>771</v>
      </c>
      <c r="C10" s="448">
        <v>185</v>
      </c>
      <c r="D10" s="448"/>
      <c r="E10" s="448">
        <v>32</v>
      </c>
      <c r="F10" s="448"/>
      <c r="G10" s="448">
        <v>710</v>
      </c>
      <c r="H10" s="448">
        <v>6684.4</v>
      </c>
      <c r="I10" s="448">
        <v>2721.25</v>
      </c>
      <c r="J10" s="448"/>
      <c r="K10" s="448"/>
      <c r="L10" s="448"/>
    </row>
    <row r="11" spans="1:12">
      <c r="A11" s="1895" t="s">
        <v>258</v>
      </c>
      <c r="B11" s="1896" t="s">
        <v>477</v>
      </c>
      <c r="C11" s="1897"/>
      <c r="D11" s="1897"/>
      <c r="E11" s="1897"/>
      <c r="F11" s="1897"/>
      <c r="G11" s="1897"/>
      <c r="H11" s="1897"/>
      <c r="I11" s="1897"/>
      <c r="J11" s="1897"/>
      <c r="K11" s="1897"/>
      <c r="L11" s="1897"/>
    </row>
    <row r="12" spans="1:12">
      <c r="A12" s="449">
        <v>1</v>
      </c>
      <c r="B12" s="450" t="s">
        <v>441</v>
      </c>
      <c r="C12" s="451"/>
      <c r="D12" s="451"/>
      <c r="E12" s="451"/>
      <c r="F12" s="451"/>
      <c r="G12" s="451"/>
      <c r="H12" s="451"/>
      <c r="I12" s="451"/>
      <c r="J12" s="451"/>
      <c r="K12" s="451"/>
      <c r="L12" s="451"/>
    </row>
    <row r="13" spans="1:12">
      <c r="A13" s="452" t="s">
        <v>263</v>
      </c>
      <c r="B13" s="1898" t="s">
        <v>541</v>
      </c>
      <c r="C13" s="453"/>
      <c r="D13" s="453"/>
      <c r="E13" s="453"/>
      <c r="F13" s="453"/>
      <c r="G13" s="453"/>
      <c r="H13" s="453"/>
      <c r="I13" s="454"/>
      <c r="J13" s="455"/>
      <c r="K13" s="455"/>
      <c r="L13" s="455"/>
    </row>
    <row r="14" spans="1:12">
      <c r="A14" s="452">
        <v>1.1000000000000001</v>
      </c>
      <c r="B14" s="1898" t="s">
        <v>772</v>
      </c>
      <c r="C14" s="454">
        <f t="shared" ref="C14:L14" si="0">SUM(C15,C16,C17,C18,C19,C20,C21,C22,C23,C24,C24,C25)</f>
        <v>44</v>
      </c>
      <c r="D14" s="454">
        <f t="shared" si="0"/>
        <v>13.040000000000001</v>
      </c>
      <c r="E14" s="454">
        <f t="shared" si="0"/>
        <v>24</v>
      </c>
      <c r="F14" s="454">
        <f t="shared" si="0"/>
        <v>12</v>
      </c>
      <c r="G14" s="454">
        <f t="shared" si="0"/>
        <v>1345</v>
      </c>
      <c r="H14" s="454">
        <f t="shared" si="0"/>
        <v>5704.7</v>
      </c>
      <c r="I14" s="454">
        <f t="shared" si="0"/>
        <v>1628.4</v>
      </c>
      <c r="J14" s="454">
        <f t="shared" si="0"/>
        <v>1626.9</v>
      </c>
      <c r="K14" s="454">
        <f t="shared" si="0"/>
        <v>0</v>
      </c>
      <c r="L14" s="454">
        <f t="shared" si="0"/>
        <v>0</v>
      </c>
    </row>
    <row r="15" spans="1:12">
      <c r="A15" s="456" t="s">
        <v>479</v>
      </c>
      <c r="B15" s="305" t="s">
        <v>773</v>
      </c>
      <c r="C15" s="457">
        <v>5</v>
      </c>
      <c r="D15" s="458">
        <v>1.24</v>
      </c>
      <c r="E15" s="458">
        <v>1</v>
      </c>
      <c r="F15" s="458">
        <v>1</v>
      </c>
      <c r="G15" s="458">
        <v>13</v>
      </c>
      <c r="H15" s="458">
        <f t="shared" ref="H15:H25" si="1">C15*D15*G15</f>
        <v>80.600000000000009</v>
      </c>
      <c r="I15" s="459">
        <f>15*C15*E15*F15*4/5+16.5*C15*E15*F15*1/5</f>
        <v>76.5</v>
      </c>
      <c r="J15" s="458">
        <v>75</v>
      </c>
      <c r="K15" s="455"/>
      <c r="L15" s="455"/>
    </row>
    <row r="16" spans="1:12">
      <c r="A16" s="1899" t="s">
        <v>481</v>
      </c>
      <c r="B16" s="460" t="s">
        <v>774</v>
      </c>
      <c r="C16" s="457">
        <v>5</v>
      </c>
      <c r="D16" s="1900">
        <v>1</v>
      </c>
      <c r="E16" s="458">
        <v>1</v>
      </c>
      <c r="F16" s="458">
        <v>1</v>
      </c>
      <c r="G16" s="458">
        <v>13</v>
      </c>
      <c r="H16" s="458">
        <f t="shared" si="1"/>
        <v>65</v>
      </c>
      <c r="I16" s="454">
        <f>16.5*C16*E16*F16</f>
        <v>82.5</v>
      </c>
      <c r="J16" s="461">
        <v>82.5</v>
      </c>
      <c r="K16" s="455"/>
      <c r="L16" s="455"/>
    </row>
    <row r="17" spans="1:13">
      <c r="A17" s="462" t="s">
        <v>483</v>
      </c>
      <c r="B17" s="463" t="s">
        <v>775</v>
      </c>
      <c r="C17" s="464">
        <v>5</v>
      </c>
      <c r="D17" s="1901">
        <v>1.3</v>
      </c>
      <c r="E17" s="465">
        <v>1</v>
      </c>
      <c r="F17" s="465">
        <v>1</v>
      </c>
      <c r="G17" s="465">
        <v>36</v>
      </c>
      <c r="H17" s="465">
        <f t="shared" si="1"/>
        <v>234</v>
      </c>
      <c r="I17" s="466">
        <f>(16.5*3) + (36*2*0.8)</f>
        <v>107.1</v>
      </c>
      <c r="J17" s="467">
        <v>107.1</v>
      </c>
      <c r="K17" s="468"/>
      <c r="L17" s="468"/>
      <c r="M17" s="469"/>
    </row>
    <row r="18" spans="1:13">
      <c r="A18" s="1902" t="s">
        <v>484</v>
      </c>
      <c r="B18" s="463" t="s">
        <v>776</v>
      </c>
      <c r="C18" s="464">
        <v>1</v>
      </c>
      <c r="D18" s="1901">
        <v>1</v>
      </c>
      <c r="E18" s="1901">
        <v>1</v>
      </c>
      <c r="F18" s="465">
        <v>1</v>
      </c>
      <c r="G18" s="465">
        <v>27</v>
      </c>
      <c r="H18" s="465">
        <f t="shared" si="1"/>
        <v>27</v>
      </c>
      <c r="I18" s="466">
        <f>27*0.8</f>
        <v>21.6</v>
      </c>
      <c r="J18" s="467">
        <v>21.6</v>
      </c>
      <c r="K18" s="468"/>
      <c r="L18" s="468"/>
      <c r="M18" s="469"/>
    </row>
    <row r="19" spans="1:13">
      <c r="A19" s="1903" t="s">
        <v>485</v>
      </c>
      <c r="B19" s="470" t="s">
        <v>777</v>
      </c>
      <c r="C19" s="471">
        <v>3</v>
      </c>
      <c r="D19" s="458">
        <v>1.2</v>
      </c>
      <c r="E19" s="458">
        <v>2</v>
      </c>
      <c r="F19" s="458">
        <v>1</v>
      </c>
      <c r="G19" s="458">
        <v>36</v>
      </c>
      <c r="H19" s="458">
        <f t="shared" si="1"/>
        <v>129.6</v>
      </c>
      <c r="I19" s="459">
        <f>15*C19*E19*F19*2/3+16.5*C19*E19*F19*1/3</f>
        <v>93</v>
      </c>
      <c r="J19" s="461">
        <v>93</v>
      </c>
      <c r="K19" s="455"/>
      <c r="L19" s="455"/>
    </row>
    <row r="20" spans="1:13">
      <c r="A20" s="1904" t="s">
        <v>778</v>
      </c>
      <c r="B20" s="1905" t="s">
        <v>779</v>
      </c>
      <c r="C20" s="471">
        <v>2</v>
      </c>
      <c r="D20" s="458">
        <v>1</v>
      </c>
      <c r="E20" s="458">
        <v>1</v>
      </c>
      <c r="F20" s="458">
        <v>1</v>
      </c>
      <c r="G20" s="458">
        <v>36</v>
      </c>
      <c r="H20" s="458">
        <f t="shared" si="1"/>
        <v>72</v>
      </c>
      <c r="I20" s="454">
        <f>16.5*C20*E20*F20</f>
        <v>33</v>
      </c>
      <c r="J20" s="461">
        <v>33</v>
      </c>
      <c r="K20" s="455"/>
      <c r="L20" s="455"/>
    </row>
    <row r="21" spans="1:13">
      <c r="A21" s="1906" t="s">
        <v>780</v>
      </c>
      <c r="B21" s="1907" t="s">
        <v>781</v>
      </c>
      <c r="C21" s="467">
        <v>5</v>
      </c>
      <c r="D21" s="465">
        <v>1.3</v>
      </c>
      <c r="E21" s="465">
        <v>1</v>
      </c>
      <c r="F21" s="465">
        <v>1</v>
      </c>
      <c r="G21" s="465">
        <v>27</v>
      </c>
      <c r="H21" s="465">
        <f t="shared" si="1"/>
        <v>175.5</v>
      </c>
      <c r="I21" s="466">
        <f>(16.5*3) + (27*2*0.8)</f>
        <v>92.7</v>
      </c>
      <c r="J21" s="467">
        <v>92.7</v>
      </c>
      <c r="K21" s="468"/>
      <c r="L21" s="468"/>
      <c r="M21" s="469"/>
    </row>
    <row r="22" spans="1:13">
      <c r="A22" s="1904" t="s">
        <v>782</v>
      </c>
      <c r="B22" s="1905" t="s">
        <v>783</v>
      </c>
      <c r="C22" s="471">
        <v>3</v>
      </c>
      <c r="D22" s="458">
        <v>1</v>
      </c>
      <c r="E22" s="458">
        <v>1</v>
      </c>
      <c r="F22" s="458">
        <v>1</v>
      </c>
      <c r="G22" s="458">
        <v>27</v>
      </c>
      <c r="H22" s="458">
        <f t="shared" si="1"/>
        <v>81</v>
      </c>
      <c r="I22" s="454">
        <f t="shared" ref="I22:I25" si="2">16.5*C22*E22*F22</f>
        <v>49.5</v>
      </c>
      <c r="J22" s="461">
        <v>49.5</v>
      </c>
      <c r="K22" s="455"/>
      <c r="L22" s="455"/>
    </row>
    <row r="23" spans="1:13">
      <c r="A23" s="1904" t="s">
        <v>784</v>
      </c>
      <c r="B23" s="1905" t="s">
        <v>785</v>
      </c>
      <c r="C23" s="471">
        <v>5</v>
      </c>
      <c r="D23" s="458">
        <v>1</v>
      </c>
      <c r="E23" s="458">
        <v>7</v>
      </c>
      <c r="F23" s="458">
        <v>1</v>
      </c>
      <c r="G23" s="458">
        <v>500</v>
      </c>
      <c r="H23" s="119">
        <f t="shared" si="1"/>
        <v>2500</v>
      </c>
      <c r="I23" s="454">
        <f t="shared" si="2"/>
        <v>577.5</v>
      </c>
      <c r="J23" s="461">
        <v>577.5</v>
      </c>
      <c r="K23" s="455"/>
      <c r="L23" s="455"/>
    </row>
    <row r="24" spans="1:13">
      <c r="A24" s="1904" t="s">
        <v>786</v>
      </c>
      <c r="B24" s="1905" t="s">
        <v>785</v>
      </c>
      <c r="C24" s="471">
        <v>3</v>
      </c>
      <c r="D24" s="458">
        <v>1</v>
      </c>
      <c r="E24" s="458">
        <v>1</v>
      </c>
      <c r="F24" s="458">
        <v>1</v>
      </c>
      <c r="G24" s="458">
        <v>90</v>
      </c>
      <c r="H24" s="119">
        <f t="shared" si="1"/>
        <v>270</v>
      </c>
      <c r="I24" s="454">
        <f t="shared" si="2"/>
        <v>49.5</v>
      </c>
      <c r="J24" s="461">
        <v>49.5</v>
      </c>
      <c r="K24" s="455"/>
      <c r="L24" s="455"/>
    </row>
    <row r="25" spans="1:13">
      <c r="A25" s="1904" t="s">
        <v>787</v>
      </c>
      <c r="B25" s="1905" t="s">
        <v>785</v>
      </c>
      <c r="C25" s="471">
        <v>4</v>
      </c>
      <c r="D25" s="458">
        <v>1</v>
      </c>
      <c r="E25" s="458">
        <v>6</v>
      </c>
      <c r="F25" s="458">
        <v>1</v>
      </c>
      <c r="G25" s="458">
        <v>450</v>
      </c>
      <c r="H25" s="119">
        <f t="shared" si="1"/>
        <v>1800</v>
      </c>
      <c r="I25" s="454">
        <f t="shared" si="2"/>
        <v>396</v>
      </c>
      <c r="J25" s="461">
        <v>396</v>
      </c>
      <c r="K25" s="455"/>
      <c r="L25" s="455"/>
    </row>
    <row r="26" spans="1:13" ht="15.75" customHeight="1">
      <c r="A26" s="1908">
        <v>1.2</v>
      </c>
      <c r="B26" s="1898" t="s">
        <v>788</v>
      </c>
      <c r="C26" s="119">
        <f t="shared" ref="C26:K26" si="3">SUM(C27:C36)</f>
        <v>38</v>
      </c>
      <c r="D26" s="119">
        <f t="shared" si="3"/>
        <v>11.1</v>
      </c>
      <c r="E26" s="119">
        <f t="shared" si="3"/>
        <v>11</v>
      </c>
      <c r="F26" s="119">
        <f t="shared" si="3"/>
        <v>10</v>
      </c>
      <c r="G26" s="119">
        <f t="shared" si="3"/>
        <v>227</v>
      </c>
      <c r="H26" s="119">
        <f t="shared" si="3"/>
        <v>1018.3000000000001</v>
      </c>
      <c r="I26" s="119">
        <f t="shared" si="3"/>
        <v>715.2</v>
      </c>
      <c r="J26" s="119">
        <f t="shared" si="3"/>
        <v>500.7</v>
      </c>
      <c r="K26" s="119">
        <f t="shared" si="3"/>
        <v>0</v>
      </c>
      <c r="L26" s="454">
        <f>SUM(L27,L28,L29,L30,L31,L32,L33,L34,L35,L36)</f>
        <v>0</v>
      </c>
    </row>
    <row r="27" spans="1:13" ht="15.75" customHeight="1">
      <c r="A27" s="456" t="s">
        <v>492</v>
      </c>
      <c r="B27" s="460" t="s">
        <v>789</v>
      </c>
      <c r="C27" s="457">
        <v>3</v>
      </c>
      <c r="D27" s="85">
        <v>1</v>
      </c>
      <c r="E27" s="85">
        <v>1</v>
      </c>
      <c r="F27" s="85">
        <v>1</v>
      </c>
      <c r="G27" s="85">
        <v>13</v>
      </c>
      <c r="H27" s="119">
        <f t="shared" ref="H27:H36" si="4">C27*D27*G27</f>
        <v>39</v>
      </c>
      <c r="I27" s="1909">
        <f t="shared" ref="I27:I28" si="5">C27*E27*F27*16.5</f>
        <v>49.5</v>
      </c>
      <c r="J27" s="461" t="s">
        <v>790</v>
      </c>
      <c r="K27" s="461"/>
      <c r="L27" s="461"/>
    </row>
    <row r="28" spans="1:13" ht="15.75" customHeight="1">
      <c r="A28" s="1899" t="s">
        <v>791</v>
      </c>
      <c r="B28" s="305" t="s">
        <v>792</v>
      </c>
      <c r="C28" s="85">
        <v>3</v>
      </c>
      <c r="D28" s="85">
        <v>1</v>
      </c>
      <c r="E28" s="85">
        <v>1</v>
      </c>
      <c r="F28" s="85">
        <v>1</v>
      </c>
      <c r="G28" s="85">
        <v>13</v>
      </c>
      <c r="H28" s="119">
        <f t="shared" si="4"/>
        <v>39</v>
      </c>
      <c r="I28" s="1909">
        <f t="shared" si="5"/>
        <v>49.5</v>
      </c>
      <c r="J28" s="461" t="s">
        <v>790</v>
      </c>
      <c r="K28" s="461"/>
      <c r="L28" s="461"/>
    </row>
    <row r="29" spans="1:13" ht="15.75" customHeight="1">
      <c r="A29" s="1904" t="s">
        <v>793</v>
      </c>
      <c r="B29" s="305" t="s">
        <v>794</v>
      </c>
      <c r="C29" s="85">
        <v>3</v>
      </c>
      <c r="D29" s="458">
        <v>1.3</v>
      </c>
      <c r="E29" s="85">
        <v>1</v>
      </c>
      <c r="F29" s="85">
        <v>1</v>
      </c>
      <c r="G29" s="85">
        <v>13</v>
      </c>
      <c r="H29" s="119">
        <f t="shared" si="4"/>
        <v>50.7</v>
      </c>
      <c r="I29" s="459">
        <f>C29*E29*F29*15</f>
        <v>45</v>
      </c>
      <c r="J29" s="461">
        <v>45</v>
      </c>
      <c r="K29" s="461"/>
      <c r="L29" s="461"/>
    </row>
    <row r="30" spans="1:13" ht="15.75" customHeight="1">
      <c r="A30" s="1904" t="s">
        <v>795</v>
      </c>
      <c r="B30" s="305" t="s">
        <v>796</v>
      </c>
      <c r="C30" s="85">
        <v>5</v>
      </c>
      <c r="D30" s="85">
        <v>1</v>
      </c>
      <c r="E30" s="85">
        <v>1</v>
      </c>
      <c r="F30" s="85">
        <v>1</v>
      </c>
      <c r="G30" s="85">
        <v>13</v>
      </c>
      <c r="H30" s="119">
        <f t="shared" si="4"/>
        <v>65</v>
      </c>
      <c r="I30" s="1909">
        <f t="shared" ref="I30:I31" si="6">C30*E30*F30*16.5</f>
        <v>82.5</v>
      </c>
      <c r="J30" s="461" t="s">
        <v>790</v>
      </c>
      <c r="K30" s="461"/>
      <c r="L30" s="461"/>
    </row>
    <row r="31" spans="1:13" ht="15.75" customHeight="1">
      <c r="A31" s="1904" t="s">
        <v>797</v>
      </c>
      <c r="B31" s="472" t="s">
        <v>798</v>
      </c>
      <c r="C31" s="473">
        <v>5</v>
      </c>
      <c r="D31" s="85">
        <v>1</v>
      </c>
      <c r="E31" s="85">
        <v>1</v>
      </c>
      <c r="F31" s="85">
        <v>1</v>
      </c>
      <c r="G31" s="85">
        <v>13</v>
      </c>
      <c r="H31" s="119">
        <f t="shared" si="4"/>
        <v>65</v>
      </c>
      <c r="I31" s="1909">
        <f t="shared" si="6"/>
        <v>82.5</v>
      </c>
      <c r="J31" s="461">
        <v>49.5</v>
      </c>
      <c r="K31" s="461"/>
      <c r="L31" s="461"/>
    </row>
    <row r="32" spans="1:13" ht="15.75" customHeight="1">
      <c r="A32" s="1906" t="s">
        <v>799</v>
      </c>
      <c r="B32" s="474" t="s">
        <v>800</v>
      </c>
      <c r="C32" s="475">
        <v>5</v>
      </c>
      <c r="D32" s="475">
        <v>1.3</v>
      </c>
      <c r="E32" s="475">
        <v>1</v>
      </c>
      <c r="F32" s="475">
        <v>1</v>
      </c>
      <c r="G32" s="475">
        <v>36</v>
      </c>
      <c r="H32" s="476">
        <f t="shared" si="4"/>
        <v>234</v>
      </c>
      <c r="I32" s="466">
        <f t="shared" ref="I32:I33" si="7">(16.5*3) + (36*2*0.8)</f>
        <v>107.1</v>
      </c>
      <c r="J32" s="467">
        <v>107.1</v>
      </c>
      <c r="K32" s="467"/>
      <c r="L32" s="467"/>
      <c r="M32" s="469"/>
    </row>
    <row r="33" spans="1:13" ht="15.75" customHeight="1">
      <c r="A33" s="1906" t="s">
        <v>801</v>
      </c>
      <c r="B33" s="474" t="s">
        <v>802</v>
      </c>
      <c r="C33" s="475">
        <v>5</v>
      </c>
      <c r="D33" s="475">
        <v>1.3</v>
      </c>
      <c r="E33" s="475">
        <v>1</v>
      </c>
      <c r="F33" s="475">
        <v>1</v>
      </c>
      <c r="G33" s="475">
        <v>36</v>
      </c>
      <c r="H33" s="476">
        <f t="shared" si="4"/>
        <v>234</v>
      </c>
      <c r="I33" s="454">
        <f t="shared" si="7"/>
        <v>107.1</v>
      </c>
      <c r="J33" s="467">
        <v>107.1</v>
      </c>
      <c r="K33" s="467"/>
      <c r="L33" s="467"/>
      <c r="M33" s="469"/>
    </row>
    <row r="34" spans="1:13" ht="15.75" customHeight="1">
      <c r="A34" s="1906" t="s">
        <v>803</v>
      </c>
      <c r="B34" s="474" t="s">
        <v>804</v>
      </c>
      <c r="C34" s="475">
        <v>3</v>
      </c>
      <c r="D34" s="465">
        <v>1.2</v>
      </c>
      <c r="E34" s="475">
        <v>2</v>
      </c>
      <c r="F34" s="475">
        <v>1</v>
      </c>
      <c r="G34" s="475">
        <v>36</v>
      </c>
      <c r="H34" s="476">
        <f t="shared" si="4"/>
        <v>129.6</v>
      </c>
      <c r="I34" s="477">
        <f>15*C34*E34*F34*2/3+16.5*C34*E34*F34*1/3</f>
        <v>93</v>
      </c>
      <c r="J34" s="467">
        <v>93</v>
      </c>
      <c r="K34" s="467"/>
      <c r="L34" s="467"/>
      <c r="M34" s="469"/>
    </row>
    <row r="35" spans="1:13" ht="15.75" customHeight="1">
      <c r="A35" s="1904" t="s">
        <v>805</v>
      </c>
      <c r="B35" s="305" t="s">
        <v>806</v>
      </c>
      <c r="C35" s="85">
        <v>3</v>
      </c>
      <c r="D35" s="85">
        <v>1</v>
      </c>
      <c r="E35" s="85">
        <v>1</v>
      </c>
      <c r="F35" s="85">
        <v>1</v>
      </c>
      <c r="G35" s="85">
        <v>27</v>
      </c>
      <c r="H35" s="119">
        <f t="shared" si="4"/>
        <v>81</v>
      </c>
      <c r="I35" s="1910">
        <f>16.5*C35*E35*F35</f>
        <v>49.5</v>
      </c>
      <c r="J35" s="461">
        <v>49.5</v>
      </c>
      <c r="K35" s="461"/>
      <c r="L35" s="461"/>
    </row>
    <row r="36" spans="1:13" ht="15.75" customHeight="1">
      <c r="A36" s="1904" t="s">
        <v>807</v>
      </c>
      <c r="B36" s="305" t="s">
        <v>783</v>
      </c>
      <c r="C36" s="85">
        <v>3</v>
      </c>
      <c r="D36" s="85">
        <v>1</v>
      </c>
      <c r="E36" s="85">
        <v>1</v>
      </c>
      <c r="F36" s="85">
        <v>1</v>
      </c>
      <c r="G36" s="85">
        <v>27</v>
      </c>
      <c r="H36" s="119">
        <f t="shared" si="4"/>
        <v>81</v>
      </c>
      <c r="I36" s="1909">
        <f>C36*E36*F36*16.5</f>
        <v>49.5</v>
      </c>
      <c r="J36" s="461">
        <v>49.5</v>
      </c>
      <c r="K36" s="461"/>
      <c r="L36" s="461"/>
    </row>
    <row r="37" spans="1:13" ht="15.75" customHeight="1">
      <c r="A37" s="1911" t="s">
        <v>265</v>
      </c>
      <c r="B37" s="1912" t="s">
        <v>556</v>
      </c>
      <c r="C37" s="478">
        <v>0</v>
      </c>
      <c r="D37" s="478">
        <v>0</v>
      </c>
      <c r="E37" s="478">
        <v>0</v>
      </c>
      <c r="F37" s="478">
        <v>0</v>
      </c>
      <c r="G37" s="478">
        <v>0</v>
      </c>
      <c r="H37" s="478">
        <v>0</v>
      </c>
      <c r="I37" s="459">
        <v>0</v>
      </c>
      <c r="J37" s="461"/>
      <c r="K37" s="461"/>
      <c r="L37" s="461"/>
    </row>
    <row r="38" spans="1:13" ht="15.75" customHeight="1">
      <c r="A38" s="449">
        <v>2</v>
      </c>
      <c r="B38" s="450" t="s">
        <v>570</v>
      </c>
      <c r="C38" s="478"/>
      <c r="D38" s="478"/>
      <c r="E38" s="478"/>
      <c r="F38" s="478"/>
      <c r="G38" s="478"/>
      <c r="H38" s="478"/>
      <c r="I38" s="478"/>
      <c r="J38" s="461"/>
      <c r="K38" s="461"/>
      <c r="L38" s="461"/>
    </row>
    <row r="39" spans="1:13" ht="15.75" customHeight="1">
      <c r="A39" s="452" t="s">
        <v>263</v>
      </c>
      <c r="B39" s="1898" t="s">
        <v>571</v>
      </c>
      <c r="C39" s="1913">
        <f t="shared" ref="C39:L39" si="8">SUM(C40:C57)</f>
        <v>54</v>
      </c>
      <c r="D39" s="1913">
        <f t="shared" si="8"/>
        <v>27</v>
      </c>
      <c r="E39" s="1913">
        <f t="shared" si="8"/>
        <v>31</v>
      </c>
      <c r="F39" s="1913">
        <f t="shared" si="8"/>
        <v>18</v>
      </c>
      <c r="G39" s="1913">
        <f t="shared" si="8"/>
        <v>540</v>
      </c>
      <c r="H39" s="1913">
        <f t="shared" si="8"/>
        <v>2430</v>
      </c>
      <c r="I39" s="1914">
        <f t="shared" si="8"/>
        <v>1615.875</v>
      </c>
      <c r="J39" s="1914">
        <f t="shared" si="8"/>
        <v>1198.875</v>
      </c>
      <c r="K39" s="1914">
        <f t="shared" si="8"/>
        <v>417</v>
      </c>
      <c r="L39" s="1913">
        <f t="shared" si="8"/>
        <v>0</v>
      </c>
    </row>
    <row r="40" spans="1:13" ht="15.75" customHeight="1">
      <c r="A40" s="456" t="s">
        <v>479</v>
      </c>
      <c r="B40" s="1905" t="s">
        <v>808</v>
      </c>
      <c r="C40" s="479">
        <v>3</v>
      </c>
      <c r="D40" s="479">
        <v>1.5</v>
      </c>
      <c r="E40" s="479">
        <v>2</v>
      </c>
      <c r="F40" s="479">
        <v>1</v>
      </c>
      <c r="G40" s="479">
        <v>40</v>
      </c>
      <c r="H40" s="480">
        <f t="shared" ref="H40:H57" si="9">C40*D40*G40</f>
        <v>180</v>
      </c>
      <c r="I40" s="204">
        <f t="shared" ref="I40:I57" si="10">D40*E40* 34.75</f>
        <v>104.25</v>
      </c>
      <c r="J40" s="481">
        <f t="shared" ref="J40:J42" si="11">I40/2</f>
        <v>52.125</v>
      </c>
      <c r="K40" s="481">
        <f t="shared" ref="K40:K42" si="12">J40</f>
        <v>52.125</v>
      </c>
      <c r="L40" s="461"/>
      <c r="M40" s="42" t="s">
        <v>809</v>
      </c>
    </row>
    <row r="41" spans="1:13" ht="15.75" customHeight="1">
      <c r="A41" s="1899" t="s">
        <v>481</v>
      </c>
      <c r="B41" s="1905" t="s">
        <v>810</v>
      </c>
      <c r="C41" s="479">
        <v>3</v>
      </c>
      <c r="D41" s="479">
        <v>1.5</v>
      </c>
      <c r="E41" s="479">
        <v>2</v>
      </c>
      <c r="F41" s="479">
        <v>1</v>
      </c>
      <c r="G41" s="479">
        <v>40</v>
      </c>
      <c r="H41" s="480">
        <f t="shared" si="9"/>
        <v>180</v>
      </c>
      <c r="I41" s="204">
        <f t="shared" si="10"/>
        <v>104.25</v>
      </c>
      <c r="J41" s="481">
        <f t="shared" si="11"/>
        <v>52.125</v>
      </c>
      <c r="K41" s="481">
        <f t="shared" si="12"/>
        <v>52.125</v>
      </c>
      <c r="L41" s="461"/>
      <c r="M41" s="42" t="s">
        <v>809</v>
      </c>
    </row>
    <row r="42" spans="1:13" ht="15.75" customHeight="1">
      <c r="A42" s="1903" t="s">
        <v>483</v>
      </c>
      <c r="B42" s="1905" t="s">
        <v>811</v>
      </c>
      <c r="C42" s="479">
        <v>3</v>
      </c>
      <c r="D42" s="479">
        <v>1.5</v>
      </c>
      <c r="E42" s="479">
        <v>2</v>
      </c>
      <c r="F42" s="479">
        <v>1</v>
      </c>
      <c r="G42" s="479">
        <v>40</v>
      </c>
      <c r="H42" s="480">
        <f t="shared" si="9"/>
        <v>180</v>
      </c>
      <c r="I42" s="204">
        <f t="shared" si="10"/>
        <v>104.25</v>
      </c>
      <c r="J42" s="481">
        <f t="shared" si="11"/>
        <v>52.125</v>
      </c>
      <c r="K42" s="481">
        <f t="shared" si="12"/>
        <v>52.125</v>
      </c>
      <c r="L42" s="461"/>
      <c r="M42" s="42" t="s">
        <v>809</v>
      </c>
    </row>
    <row r="43" spans="1:13" ht="15.75" customHeight="1">
      <c r="A43" s="482" t="s">
        <v>484</v>
      </c>
      <c r="B43" s="1905" t="s">
        <v>812</v>
      </c>
      <c r="C43" s="479">
        <v>3</v>
      </c>
      <c r="D43" s="479">
        <v>1.5</v>
      </c>
      <c r="E43" s="479">
        <v>2</v>
      </c>
      <c r="F43" s="479">
        <v>1</v>
      </c>
      <c r="G43" s="479">
        <v>40</v>
      </c>
      <c r="H43" s="480">
        <f t="shared" si="9"/>
        <v>180</v>
      </c>
      <c r="I43" s="204">
        <f t="shared" si="10"/>
        <v>104.25</v>
      </c>
      <c r="J43" s="481">
        <v>0</v>
      </c>
      <c r="K43" s="481">
        <f>I43</f>
        <v>104.25</v>
      </c>
      <c r="L43" s="461"/>
      <c r="M43" s="42" t="s">
        <v>809</v>
      </c>
    </row>
    <row r="44" spans="1:13" ht="15.75" customHeight="1">
      <c r="A44" s="1899" t="s">
        <v>485</v>
      </c>
      <c r="B44" s="1905" t="s">
        <v>813</v>
      </c>
      <c r="C44" s="479">
        <v>3</v>
      </c>
      <c r="D44" s="479">
        <v>1.5</v>
      </c>
      <c r="E44" s="479">
        <v>2</v>
      </c>
      <c r="F44" s="479">
        <v>1</v>
      </c>
      <c r="G44" s="479">
        <v>40</v>
      </c>
      <c r="H44" s="480">
        <f t="shared" si="9"/>
        <v>180</v>
      </c>
      <c r="I44" s="204">
        <f t="shared" si="10"/>
        <v>104.25</v>
      </c>
      <c r="J44" s="481">
        <f>I44</f>
        <v>104.25</v>
      </c>
      <c r="K44" s="481">
        <v>0</v>
      </c>
      <c r="L44" s="461"/>
      <c r="M44" s="42" t="s">
        <v>809</v>
      </c>
    </row>
    <row r="45" spans="1:13" ht="15.75" customHeight="1">
      <c r="A45" s="1903" t="s">
        <v>486</v>
      </c>
      <c r="B45" s="1905" t="s">
        <v>814</v>
      </c>
      <c r="C45" s="479">
        <v>3</v>
      </c>
      <c r="D45" s="479">
        <v>1.5</v>
      </c>
      <c r="E45" s="479">
        <v>2</v>
      </c>
      <c r="F45" s="479">
        <v>1</v>
      </c>
      <c r="G45" s="479">
        <v>40</v>
      </c>
      <c r="H45" s="480">
        <f t="shared" si="9"/>
        <v>180</v>
      </c>
      <c r="I45" s="204">
        <f t="shared" si="10"/>
        <v>104.25</v>
      </c>
      <c r="J45" s="481">
        <v>0</v>
      </c>
      <c r="K45" s="481">
        <f>I45</f>
        <v>104.25</v>
      </c>
      <c r="L45" s="461"/>
      <c r="M45" s="42" t="s">
        <v>809</v>
      </c>
    </row>
    <row r="46" spans="1:13" ht="15.75" customHeight="1">
      <c r="A46" s="482" t="s">
        <v>487</v>
      </c>
      <c r="B46" s="1905" t="s">
        <v>815</v>
      </c>
      <c r="C46" s="479">
        <v>3</v>
      </c>
      <c r="D46" s="479">
        <v>1.5</v>
      </c>
      <c r="E46" s="479">
        <v>2</v>
      </c>
      <c r="F46" s="479">
        <v>1</v>
      </c>
      <c r="G46" s="479">
        <v>40</v>
      </c>
      <c r="H46" s="480">
        <f t="shared" si="9"/>
        <v>180</v>
      </c>
      <c r="I46" s="204">
        <f t="shared" si="10"/>
        <v>104.25</v>
      </c>
      <c r="J46" s="481">
        <f t="shared" ref="J46:J48" si="13">I46</f>
        <v>104.25</v>
      </c>
      <c r="K46" s="481"/>
      <c r="L46" s="461"/>
      <c r="M46" s="42" t="s">
        <v>809</v>
      </c>
    </row>
    <row r="47" spans="1:13" ht="15.75" customHeight="1">
      <c r="A47" s="1903" t="s">
        <v>488</v>
      </c>
      <c r="B47" s="1905" t="s">
        <v>816</v>
      </c>
      <c r="C47" s="479">
        <v>3</v>
      </c>
      <c r="D47" s="479">
        <v>1.5</v>
      </c>
      <c r="E47" s="479">
        <v>2</v>
      </c>
      <c r="F47" s="479">
        <v>1</v>
      </c>
      <c r="G47" s="479">
        <v>40</v>
      </c>
      <c r="H47" s="480">
        <f t="shared" si="9"/>
        <v>180</v>
      </c>
      <c r="I47" s="204">
        <f t="shared" si="10"/>
        <v>104.25</v>
      </c>
      <c r="J47" s="481">
        <f t="shared" si="13"/>
        <v>104.25</v>
      </c>
      <c r="K47" s="481"/>
      <c r="L47" s="461"/>
      <c r="M47" s="42" t="s">
        <v>809</v>
      </c>
    </row>
    <row r="48" spans="1:13" ht="15.75" customHeight="1">
      <c r="A48" s="1903" t="s">
        <v>489</v>
      </c>
      <c r="B48" s="1905" t="s">
        <v>817</v>
      </c>
      <c r="C48" s="479">
        <v>3</v>
      </c>
      <c r="D48" s="479">
        <v>1.5</v>
      </c>
      <c r="E48" s="479">
        <v>1</v>
      </c>
      <c r="F48" s="479">
        <v>1</v>
      </c>
      <c r="G48" s="479">
        <v>18</v>
      </c>
      <c r="H48" s="480">
        <f t="shared" si="9"/>
        <v>81</v>
      </c>
      <c r="I48" s="204">
        <f t="shared" si="10"/>
        <v>52.125</v>
      </c>
      <c r="J48" s="481">
        <f t="shared" si="13"/>
        <v>52.125</v>
      </c>
      <c r="K48" s="481"/>
      <c r="L48" s="461"/>
      <c r="M48" s="42" t="s">
        <v>818</v>
      </c>
    </row>
    <row r="49" spans="1:13" ht="15.75" customHeight="1">
      <c r="A49" s="1903" t="s">
        <v>490</v>
      </c>
      <c r="B49" s="1905" t="s">
        <v>819</v>
      </c>
      <c r="C49" s="479">
        <v>3</v>
      </c>
      <c r="D49" s="479">
        <v>1.5</v>
      </c>
      <c r="E49" s="479">
        <v>1</v>
      </c>
      <c r="F49" s="479">
        <v>1</v>
      </c>
      <c r="G49" s="479">
        <v>18</v>
      </c>
      <c r="H49" s="480">
        <f t="shared" si="9"/>
        <v>81</v>
      </c>
      <c r="I49" s="204">
        <f t="shared" si="10"/>
        <v>52.125</v>
      </c>
      <c r="J49" s="481">
        <v>0</v>
      </c>
      <c r="K49" s="481">
        <f>I49</f>
        <v>52.125</v>
      </c>
      <c r="L49" s="461"/>
      <c r="M49" s="42" t="s">
        <v>818</v>
      </c>
    </row>
    <row r="50" spans="1:13" ht="15.75" customHeight="1">
      <c r="A50" s="1903" t="s">
        <v>491</v>
      </c>
      <c r="B50" s="1905" t="s">
        <v>820</v>
      </c>
      <c r="C50" s="479">
        <v>3</v>
      </c>
      <c r="D50" s="479">
        <v>1.5</v>
      </c>
      <c r="E50" s="479">
        <v>1</v>
      </c>
      <c r="F50" s="479">
        <v>1</v>
      </c>
      <c r="G50" s="479">
        <v>18</v>
      </c>
      <c r="H50" s="480">
        <f t="shared" si="9"/>
        <v>81</v>
      </c>
      <c r="I50" s="204">
        <f t="shared" si="10"/>
        <v>52.125</v>
      </c>
      <c r="J50" s="481">
        <f t="shared" ref="J50:J57" si="14">I50</f>
        <v>52.125</v>
      </c>
      <c r="K50" s="481"/>
      <c r="L50" s="461"/>
      <c r="M50" s="42" t="s">
        <v>818</v>
      </c>
    </row>
    <row r="51" spans="1:13" ht="15.75" customHeight="1">
      <c r="A51" s="1903" t="s">
        <v>492</v>
      </c>
      <c r="B51" s="1905" t="s">
        <v>821</v>
      </c>
      <c r="C51" s="479">
        <v>3</v>
      </c>
      <c r="D51" s="479">
        <v>1.5</v>
      </c>
      <c r="E51" s="479">
        <v>1</v>
      </c>
      <c r="F51" s="479">
        <v>1</v>
      </c>
      <c r="G51" s="479">
        <v>18</v>
      </c>
      <c r="H51" s="480">
        <f t="shared" si="9"/>
        <v>81</v>
      </c>
      <c r="I51" s="204">
        <f t="shared" si="10"/>
        <v>52.125</v>
      </c>
      <c r="J51" s="481">
        <f t="shared" si="14"/>
        <v>52.125</v>
      </c>
      <c r="K51" s="481"/>
      <c r="L51" s="461"/>
      <c r="M51" s="42" t="s">
        <v>818</v>
      </c>
    </row>
    <row r="52" spans="1:13" ht="15.75" customHeight="1">
      <c r="A52" s="1899" t="s">
        <v>517</v>
      </c>
      <c r="B52" s="1905" t="s">
        <v>822</v>
      </c>
      <c r="C52" s="479">
        <v>3</v>
      </c>
      <c r="D52" s="479">
        <v>1.5</v>
      </c>
      <c r="E52" s="479">
        <v>1</v>
      </c>
      <c r="F52" s="479">
        <v>1</v>
      </c>
      <c r="G52" s="479">
        <v>18</v>
      </c>
      <c r="H52" s="480">
        <f t="shared" si="9"/>
        <v>81</v>
      </c>
      <c r="I52" s="204">
        <f t="shared" si="10"/>
        <v>52.125</v>
      </c>
      <c r="J52" s="481">
        <f t="shared" si="14"/>
        <v>52.125</v>
      </c>
      <c r="K52" s="481"/>
      <c r="L52" s="461"/>
      <c r="M52" s="42" t="s">
        <v>818</v>
      </c>
    </row>
    <row r="53" spans="1:13" ht="15.75" customHeight="1">
      <c r="A53" s="1899" t="s">
        <v>518</v>
      </c>
      <c r="B53" s="1905" t="s">
        <v>823</v>
      </c>
      <c r="C53" s="479">
        <v>3</v>
      </c>
      <c r="D53" s="479">
        <v>1.5</v>
      </c>
      <c r="E53" s="479">
        <v>2</v>
      </c>
      <c r="F53" s="479">
        <v>1</v>
      </c>
      <c r="G53" s="479">
        <v>26</v>
      </c>
      <c r="H53" s="480">
        <f t="shared" si="9"/>
        <v>117</v>
      </c>
      <c r="I53" s="204">
        <f t="shared" si="10"/>
        <v>104.25</v>
      </c>
      <c r="J53" s="481">
        <f t="shared" si="14"/>
        <v>104.25</v>
      </c>
      <c r="K53" s="481"/>
      <c r="L53" s="461"/>
      <c r="M53" s="42" t="s">
        <v>824</v>
      </c>
    </row>
    <row r="54" spans="1:13" ht="15.75" customHeight="1">
      <c r="A54" s="1899" t="s">
        <v>503</v>
      </c>
      <c r="B54" s="1905" t="s">
        <v>825</v>
      </c>
      <c r="C54" s="479">
        <v>3</v>
      </c>
      <c r="D54" s="479">
        <v>1.5</v>
      </c>
      <c r="E54" s="479">
        <v>2</v>
      </c>
      <c r="F54" s="479">
        <v>1</v>
      </c>
      <c r="G54" s="479">
        <v>26</v>
      </c>
      <c r="H54" s="480">
        <f t="shared" si="9"/>
        <v>117</v>
      </c>
      <c r="I54" s="204">
        <f t="shared" si="10"/>
        <v>104.25</v>
      </c>
      <c r="J54" s="481">
        <f t="shared" si="14"/>
        <v>104.25</v>
      </c>
      <c r="K54" s="481"/>
      <c r="L54" s="461"/>
      <c r="M54" s="42" t="s">
        <v>824</v>
      </c>
    </row>
    <row r="55" spans="1:13" ht="15.75" customHeight="1">
      <c r="A55" s="1899" t="s">
        <v>659</v>
      </c>
      <c r="B55" s="1905" t="s">
        <v>826</v>
      </c>
      <c r="C55" s="479">
        <v>3</v>
      </c>
      <c r="D55" s="479">
        <v>1.5</v>
      </c>
      <c r="E55" s="479">
        <v>2</v>
      </c>
      <c r="F55" s="479">
        <v>1</v>
      </c>
      <c r="G55" s="479">
        <v>26</v>
      </c>
      <c r="H55" s="480">
        <f t="shared" si="9"/>
        <v>117</v>
      </c>
      <c r="I55" s="204">
        <f t="shared" si="10"/>
        <v>104.25</v>
      </c>
      <c r="J55" s="481">
        <f t="shared" si="14"/>
        <v>104.25</v>
      </c>
      <c r="K55" s="481"/>
      <c r="L55" s="461"/>
      <c r="M55" s="42" t="s">
        <v>824</v>
      </c>
    </row>
    <row r="56" spans="1:13" ht="15.75" customHeight="1">
      <c r="A56" s="1899" t="s">
        <v>662</v>
      </c>
      <c r="B56" s="1905" t="s">
        <v>827</v>
      </c>
      <c r="C56" s="479">
        <v>3</v>
      </c>
      <c r="D56" s="479">
        <v>1.5</v>
      </c>
      <c r="E56" s="479">
        <v>2</v>
      </c>
      <c r="F56" s="479">
        <v>1</v>
      </c>
      <c r="G56" s="479">
        <v>26</v>
      </c>
      <c r="H56" s="480">
        <f t="shared" si="9"/>
        <v>117</v>
      </c>
      <c r="I56" s="204">
        <f t="shared" si="10"/>
        <v>104.25</v>
      </c>
      <c r="J56" s="481">
        <f t="shared" si="14"/>
        <v>104.25</v>
      </c>
      <c r="K56" s="481"/>
      <c r="L56" s="461"/>
      <c r="M56" s="42" t="s">
        <v>824</v>
      </c>
    </row>
    <row r="57" spans="1:13" ht="15.75" customHeight="1">
      <c r="A57" s="1899" t="s">
        <v>664</v>
      </c>
      <c r="B57" s="1905" t="s">
        <v>828</v>
      </c>
      <c r="C57" s="479">
        <v>3</v>
      </c>
      <c r="D57" s="479">
        <v>1.5</v>
      </c>
      <c r="E57" s="479">
        <v>2</v>
      </c>
      <c r="F57" s="479">
        <v>1</v>
      </c>
      <c r="G57" s="479">
        <v>26</v>
      </c>
      <c r="H57" s="480">
        <f t="shared" si="9"/>
        <v>117</v>
      </c>
      <c r="I57" s="204">
        <f t="shared" si="10"/>
        <v>104.25</v>
      </c>
      <c r="J57" s="481">
        <f t="shared" si="14"/>
        <v>104.25</v>
      </c>
      <c r="K57" s="481"/>
      <c r="L57" s="461"/>
      <c r="M57" s="42" t="s">
        <v>824</v>
      </c>
    </row>
    <row r="58" spans="1:13" ht="15.75" customHeight="1">
      <c r="A58" s="1911" t="s">
        <v>265</v>
      </c>
      <c r="B58" s="1912" t="s">
        <v>512</v>
      </c>
      <c r="C58" s="483"/>
      <c r="D58" s="483"/>
      <c r="E58" s="483"/>
      <c r="F58" s="483"/>
      <c r="G58" s="479">
        <v>7</v>
      </c>
      <c r="H58" s="480"/>
      <c r="I58" s="454">
        <f>G58*35</f>
        <v>245</v>
      </c>
      <c r="J58" s="461">
        <v>140</v>
      </c>
      <c r="K58" s="461">
        <v>70</v>
      </c>
      <c r="L58" s="461">
        <v>35</v>
      </c>
      <c r="M58" s="42" t="s">
        <v>829</v>
      </c>
    </row>
  </sheetData>
  <mergeCells count="17">
    <mergeCell ref="A1:C1"/>
    <mergeCell ref="J1:L1"/>
    <mergeCell ref="A2:C2"/>
    <mergeCell ref="J2:L2"/>
    <mergeCell ref="A3:L3"/>
    <mergeCell ref="A4:L4"/>
    <mergeCell ref="A5:L5"/>
    <mergeCell ref="H7:H8"/>
    <mergeCell ref="I7:I8"/>
    <mergeCell ref="J7:L7"/>
    <mergeCell ref="A7:A8"/>
    <mergeCell ref="B7:B8"/>
    <mergeCell ref="C7:C8"/>
    <mergeCell ref="D7:D8"/>
    <mergeCell ref="E7:E8"/>
    <mergeCell ref="F7:F8"/>
    <mergeCell ref="G7:G8"/>
  </mergeCells>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96"/>
  <sheetViews>
    <sheetView workbookViewId="0">
      <pane xSplit="2" ySplit="9" topLeftCell="C10"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37.7109375" customWidth="1"/>
    <col min="3" max="3" width="8.28515625" customWidth="1"/>
    <col min="4" max="4" width="7.140625" customWidth="1"/>
    <col min="5" max="5" width="7.7109375" customWidth="1"/>
    <col min="6" max="6" width="6.28515625" customWidth="1"/>
    <col min="7" max="7" width="6.7109375" customWidth="1"/>
    <col min="8" max="8" width="12" customWidth="1"/>
    <col min="9" max="9" width="15.140625" customWidth="1"/>
    <col min="10" max="10" width="9" customWidth="1"/>
    <col min="11" max="11" width="7.42578125" customWidth="1"/>
    <col min="12" max="12" width="8.140625" customWidth="1"/>
    <col min="13" max="13" width="27.7109375" customWidth="1"/>
    <col min="14" max="26" width="8.7109375" customWidth="1"/>
  </cols>
  <sheetData>
    <row r="1" spans="1:13" ht="14.25" customHeight="1">
      <c r="A1" s="2823" t="s">
        <v>830</v>
      </c>
      <c r="B1" s="2732"/>
      <c r="C1" s="2732"/>
      <c r="D1" s="236"/>
      <c r="E1" s="139"/>
      <c r="F1" s="139"/>
      <c r="G1" s="139"/>
      <c r="H1" s="139"/>
      <c r="I1" s="95" t="s">
        <v>451</v>
      </c>
      <c r="J1" s="1864"/>
      <c r="K1" s="178"/>
      <c r="L1" s="178"/>
      <c r="M1" s="95"/>
    </row>
    <row r="2" spans="1:13">
      <c r="A2" s="2790" t="s">
        <v>831</v>
      </c>
      <c r="B2" s="2732"/>
      <c r="C2" s="2732"/>
      <c r="D2" s="238"/>
      <c r="E2" s="43"/>
      <c r="F2" s="43"/>
      <c r="G2" s="43"/>
      <c r="H2" s="43"/>
      <c r="I2" s="91"/>
      <c r="J2" s="2798"/>
      <c r="K2" s="2732"/>
      <c r="L2" s="2732"/>
      <c r="M2" s="95"/>
    </row>
    <row r="3" spans="1:13" ht="30" customHeight="1">
      <c r="A3" s="2773" t="s">
        <v>832</v>
      </c>
      <c r="B3" s="2732"/>
      <c r="C3" s="2732"/>
      <c r="D3" s="2732"/>
      <c r="E3" s="2732"/>
      <c r="F3" s="2732"/>
      <c r="G3" s="2732"/>
      <c r="H3" s="2732"/>
      <c r="I3" s="2732"/>
      <c r="J3" s="2732"/>
      <c r="K3" s="2732"/>
      <c r="L3" s="2732"/>
      <c r="M3" s="95"/>
    </row>
    <row r="4" spans="1:13" ht="30" customHeight="1">
      <c r="A4" s="2812" t="s">
        <v>431</v>
      </c>
      <c r="B4" s="2732"/>
      <c r="C4" s="2732"/>
      <c r="D4" s="2732"/>
      <c r="E4" s="2732"/>
      <c r="F4" s="2732"/>
      <c r="G4" s="2732"/>
      <c r="H4" s="2732"/>
      <c r="I4" s="2732"/>
      <c r="J4" s="2732"/>
      <c r="K4" s="2732"/>
      <c r="L4" s="2732"/>
      <c r="M4" s="95"/>
    </row>
    <row r="5" spans="1:13" ht="20.25" customHeight="1">
      <c r="A5" s="2813" t="s">
        <v>432</v>
      </c>
      <c r="B5" s="2732"/>
      <c r="C5" s="2732"/>
      <c r="D5" s="2732"/>
      <c r="E5" s="2732"/>
      <c r="F5" s="2732"/>
      <c r="G5" s="2732"/>
      <c r="H5" s="2732"/>
      <c r="I5" s="2732"/>
      <c r="J5" s="2732"/>
      <c r="K5" s="2732"/>
      <c r="L5" s="2732"/>
      <c r="M5" s="180"/>
    </row>
    <row r="6" spans="1:13" ht="3" customHeight="1">
      <c r="A6" s="96"/>
      <c r="B6" s="96"/>
      <c r="C6" s="96"/>
      <c r="D6" s="239"/>
      <c r="E6" s="96"/>
      <c r="F6" s="96"/>
      <c r="G6" s="96"/>
      <c r="H6" s="96"/>
      <c r="I6" s="96"/>
      <c r="J6" s="1915"/>
      <c r="K6" s="96"/>
      <c r="L6" s="96" t="s">
        <v>525</v>
      </c>
      <c r="M6" s="95"/>
    </row>
    <row r="7" spans="1:13" ht="39" customHeight="1">
      <c r="A7" s="2814" t="s">
        <v>186</v>
      </c>
      <c r="B7" s="2819" t="s">
        <v>453</v>
      </c>
      <c r="C7" s="2819" t="s">
        <v>454</v>
      </c>
      <c r="D7" s="2827" t="s">
        <v>619</v>
      </c>
      <c r="E7" s="2819" t="s">
        <v>620</v>
      </c>
      <c r="F7" s="2819" t="s">
        <v>457</v>
      </c>
      <c r="G7" s="2819" t="s">
        <v>833</v>
      </c>
      <c r="H7" s="2821" t="s">
        <v>459</v>
      </c>
      <c r="I7" s="2822" t="s">
        <v>439</v>
      </c>
      <c r="J7" s="2816" t="s">
        <v>622</v>
      </c>
      <c r="K7" s="2817"/>
      <c r="L7" s="2818"/>
      <c r="M7" s="95"/>
    </row>
    <row r="8" spans="1:13" ht="33.75" customHeight="1">
      <c r="A8" s="2815"/>
      <c r="B8" s="2820"/>
      <c r="C8" s="2820"/>
      <c r="D8" s="2820"/>
      <c r="E8" s="2820"/>
      <c r="F8" s="2820"/>
      <c r="G8" s="2820"/>
      <c r="H8" s="2820"/>
      <c r="I8" s="2820"/>
      <c r="J8" s="484" t="s">
        <v>461</v>
      </c>
      <c r="K8" s="122" t="s">
        <v>462</v>
      </c>
      <c r="L8" s="122" t="s">
        <v>463</v>
      </c>
      <c r="M8" s="181" t="s">
        <v>464</v>
      </c>
    </row>
    <row r="9" spans="1:13" ht="30" customHeight="1">
      <c r="A9" s="182" t="s">
        <v>465</v>
      </c>
      <c r="B9" s="183" t="s">
        <v>466</v>
      </c>
      <c r="C9" s="183" t="s">
        <v>467</v>
      </c>
      <c r="D9" s="240" t="s">
        <v>468</v>
      </c>
      <c r="E9" s="185" t="s">
        <v>469</v>
      </c>
      <c r="F9" s="185" t="s">
        <v>470</v>
      </c>
      <c r="G9" s="185" t="s">
        <v>471</v>
      </c>
      <c r="H9" s="186" t="s">
        <v>472</v>
      </c>
      <c r="I9" s="419" t="s">
        <v>834</v>
      </c>
      <c r="J9" s="485" t="s">
        <v>474</v>
      </c>
      <c r="K9" s="185" t="s">
        <v>475</v>
      </c>
      <c r="L9" s="185" t="s">
        <v>625</v>
      </c>
      <c r="M9" s="188"/>
    </row>
    <row r="10" spans="1:13" ht="17.25" customHeight="1">
      <c r="A10" s="189" t="s">
        <v>200</v>
      </c>
      <c r="B10" s="190" t="s">
        <v>835</v>
      </c>
      <c r="C10" s="191">
        <f t="shared" ref="C10:L10" si="0">C11+C77</f>
        <v>179</v>
      </c>
      <c r="D10" s="191">
        <f t="shared" si="0"/>
        <v>0</v>
      </c>
      <c r="E10" s="191">
        <f t="shared" si="0"/>
        <v>109</v>
      </c>
      <c r="F10" s="191">
        <f t="shared" si="0"/>
        <v>0</v>
      </c>
      <c r="G10" s="191">
        <f t="shared" si="0"/>
        <v>0</v>
      </c>
      <c r="H10" s="191">
        <f t="shared" si="0"/>
        <v>5417.8</v>
      </c>
      <c r="I10" s="191">
        <f t="shared" si="0"/>
        <v>4872.375</v>
      </c>
      <c r="J10" s="191">
        <f t="shared" si="0"/>
        <v>4375.5</v>
      </c>
      <c r="K10" s="191">
        <f t="shared" si="0"/>
        <v>315.75</v>
      </c>
      <c r="L10" s="191">
        <f t="shared" si="0"/>
        <v>104.25</v>
      </c>
      <c r="M10" s="95"/>
    </row>
    <row r="11" spans="1:13" ht="27" customHeight="1">
      <c r="A11" s="189" t="s">
        <v>258</v>
      </c>
      <c r="B11" s="190" t="s">
        <v>627</v>
      </c>
      <c r="C11" s="194">
        <f>C12+C48</f>
        <v>179</v>
      </c>
      <c r="D11" s="192"/>
      <c r="E11" s="194">
        <f>E12+E48</f>
        <v>109</v>
      </c>
      <c r="F11" s="191"/>
      <c r="G11" s="194"/>
      <c r="H11" s="193">
        <f t="shared" ref="H11:L11" si="1">H12+H48</f>
        <v>5417.8</v>
      </c>
      <c r="I11" s="486">
        <f t="shared" si="1"/>
        <v>4872.375</v>
      </c>
      <c r="J11" s="487">
        <f t="shared" si="1"/>
        <v>4375.5</v>
      </c>
      <c r="K11" s="488">
        <f t="shared" si="1"/>
        <v>315.75</v>
      </c>
      <c r="L11" s="489">
        <f t="shared" si="1"/>
        <v>104.25</v>
      </c>
      <c r="M11" s="95"/>
    </row>
    <row r="12" spans="1:13" ht="17.25" customHeight="1">
      <c r="A12" s="195">
        <v>1</v>
      </c>
      <c r="B12" s="196" t="s">
        <v>441</v>
      </c>
      <c r="C12" s="191">
        <f t="shared" ref="C12:L12" si="2">C13+C30</f>
        <v>95</v>
      </c>
      <c r="D12" s="191">
        <f t="shared" si="2"/>
        <v>36.600000000000009</v>
      </c>
      <c r="E12" s="191">
        <f t="shared" si="2"/>
        <v>54</v>
      </c>
      <c r="F12" s="191">
        <f t="shared" si="2"/>
        <v>33</v>
      </c>
      <c r="G12" s="191">
        <f t="shared" si="2"/>
        <v>944</v>
      </c>
      <c r="H12" s="191">
        <f t="shared" si="2"/>
        <v>3065.8</v>
      </c>
      <c r="I12" s="191">
        <f t="shared" si="2"/>
        <v>2553.5</v>
      </c>
      <c r="J12" s="191">
        <f t="shared" si="2"/>
        <v>2421.5</v>
      </c>
      <c r="K12" s="191">
        <f t="shared" si="2"/>
        <v>107.25</v>
      </c>
      <c r="L12" s="191">
        <f t="shared" si="2"/>
        <v>0</v>
      </c>
      <c r="M12" s="95"/>
    </row>
    <row r="13" spans="1:13" ht="37.5" customHeight="1">
      <c r="A13" s="106">
        <v>1.1000000000000001</v>
      </c>
      <c r="B13" s="107" t="s">
        <v>516</v>
      </c>
      <c r="C13" s="194">
        <f t="shared" ref="C13:L13" si="3">SUM(C14:C29)</f>
        <v>43</v>
      </c>
      <c r="D13" s="194">
        <f t="shared" si="3"/>
        <v>17.500000000000004</v>
      </c>
      <c r="E13" s="194">
        <f t="shared" si="3"/>
        <v>25</v>
      </c>
      <c r="F13" s="194">
        <f t="shared" si="3"/>
        <v>16</v>
      </c>
      <c r="G13" s="194">
        <f t="shared" si="3"/>
        <v>461</v>
      </c>
      <c r="H13" s="194">
        <f t="shared" si="3"/>
        <v>1350.2</v>
      </c>
      <c r="I13" s="194">
        <f t="shared" si="3"/>
        <v>1070.3</v>
      </c>
      <c r="J13" s="194">
        <f t="shared" si="3"/>
        <v>987.8</v>
      </c>
      <c r="K13" s="194">
        <f t="shared" si="3"/>
        <v>82.5</v>
      </c>
      <c r="L13" s="194">
        <f t="shared" si="3"/>
        <v>0</v>
      </c>
      <c r="M13" s="161"/>
    </row>
    <row r="14" spans="1:13" ht="25.5">
      <c r="A14" s="198" t="s">
        <v>479</v>
      </c>
      <c r="B14" s="67" t="s">
        <v>836</v>
      </c>
      <c r="C14" s="200">
        <v>3</v>
      </c>
      <c r="D14" s="425">
        <v>1</v>
      </c>
      <c r="E14" s="200">
        <v>1</v>
      </c>
      <c r="F14" s="426">
        <v>1</v>
      </c>
      <c r="G14" s="200">
        <v>23</v>
      </c>
      <c r="H14" s="427">
        <f t="shared" ref="H14:H29" si="4">C14*D14*G14</f>
        <v>69</v>
      </c>
      <c r="I14" s="204">
        <f t="shared" ref="I14:I19" si="5">C14*E14*F14*16.5</f>
        <v>49.5</v>
      </c>
      <c r="J14" s="490">
        <f>I14</f>
        <v>49.5</v>
      </c>
      <c r="K14" s="203"/>
      <c r="L14" s="203"/>
      <c r="M14" s="161"/>
    </row>
    <row r="15" spans="1:13" ht="34.5" customHeight="1">
      <c r="A15" s="198" t="s">
        <v>481</v>
      </c>
      <c r="B15" s="67" t="s">
        <v>837</v>
      </c>
      <c r="C15" s="200">
        <v>5</v>
      </c>
      <c r="D15" s="425">
        <v>1</v>
      </c>
      <c r="E15" s="200">
        <v>1</v>
      </c>
      <c r="F15" s="426">
        <v>1</v>
      </c>
      <c r="G15" s="200">
        <v>23</v>
      </c>
      <c r="H15" s="426">
        <f t="shared" si="4"/>
        <v>115</v>
      </c>
      <c r="I15" s="203">
        <f t="shared" si="5"/>
        <v>82.5</v>
      </c>
      <c r="J15" s="203"/>
      <c r="K15" s="203">
        <v>82.5</v>
      </c>
      <c r="L15" s="203"/>
      <c r="M15" s="161"/>
    </row>
    <row r="16" spans="1:13" ht="17.25" customHeight="1">
      <c r="A16" s="198" t="s">
        <v>483</v>
      </c>
      <c r="B16" s="67" t="s">
        <v>838</v>
      </c>
      <c r="C16" s="200">
        <v>3</v>
      </c>
      <c r="D16" s="425">
        <v>1</v>
      </c>
      <c r="E16" s="200">
        <v>1</v>
      </c>
      <c r="F16" s="426">
        <v>1</v>
      </c>
      <c r="G16" s="200">
        <v>23</v>
      </c>
      <c r="H16" s="427">
        <f t="shared" si="4"/>
        <v>69</v>
      </c>
      <c r="I16" s="204">
        <f t="shared" si="5"/>
        <v>49.5</v>
      </c>
      <c r="J16" s="490">
        <f t="shared" ref="J16:J29" si="6">I16</f>
        <v>49.5</v>
      </c>
      <c r="K16" s="203"/>
      <c r="L16" s="203"/>
      <c r="M16" s="161"/>
    </row>
    <row r="17" spans="1:13" ht="27.75" customHeight="1">
      <c r="A17" s="198" t="s">
        <v>484</v>
      </c>
      <c r="B17" s="67" t="s">
        <v>839</v>
      </c>
      <c r="C17" s="200">
        <v>2</v>
      </c>
      <c r="D17" s="425">
        <v>1</v>
      </c>
      <c r="E17" s="200">
        <v>1</v>
      </c>
      <c r="F17" s="426">
        <v>1</v>
      </c>
      <c r="G17" s="200">
        <v>23</v>
      </c>
      <c r="H17" s="427">
        <f t="shared" si="4"/>
        <v>46</v>
      </c>
      <c r="I17" s="204">
        <f t="shared" si="5"/>
        <v>33</v>
      </c>
      <c r="J17" s="490">
        <f t="shared" si="6"/>
        <v>33</v>
      </c>
      <c r="K17" s="203"/>
      <c r="L17" s="203"/>
      <c r="M17" s="161"/>
    </row>
    <row r="18" spans="1:13" ht="24.75" customHeight="1">
      <c r="A18" s="198" t="s">
        <v>485</v>
      </c>
      <c r="B18" s="67" t="s">
        <v>840</v>
      </c>
      <c r="C18" s="200">
        <v>2</v>
      </c>
      <c r="D18" s="425">
        <v>1</v>
      </c>
      <c r="E18" s="200">
        <v>1</v>
      </c>
      <c r="F18" s="426">
        <v>1</v>
      </c>
      <c r="G18" s="200">
        <v>20</v>
      </c>
      <c r="H18" s="427">
        <f t="shared" si="4"/>
        <v>40</v>
      </c>
      <c r="I18" s="204">
        <f t="shared" si="5"/>
        <v>33</v>
      </c>
      <c r="J18" s="490">
        <f t="shared" si="6"/>
        <v>33</v>
      </c>
      <c r="K18" s="203"/>
      <c r="L18" s="203"/>
      <c r="M18" s="161"/>
    </row>
    <row r="19" spans="1:13" ht="15.75" customHeight="1">
      <c r="A19" s="198" t="s">
        <v>486</v>
      </c>
      <c r="B19" s="67" t="s">
        <v>841</v>
      </c>
      <c r="C19" s="200">
        <v>4</v>
      </c>
      <c r="D19" s="425">
        <v>1</v>
      </c>
      <c r="E19" s="200">
        <v>2</v>
      </c>
      <c r="F19" s="426">
        <v>1</v>
      </c>
      <c r="G19" s="200">
        <v>34</v>
      </c>
      <c r="H19" s="427">
        <f t="shared" si="4"/>
        <v>136</v>
      </c>
      <c r="I19" s="204">
        <f t="shared" si="5"/>
        <v>132</v>
      </c>
      <c r="J19" s="490">
        <f t="shared" si="6"/>
        <v>132</v>
      </c>
      <c r="K19" s="203"/>
      <c r="L19" s="203"/>
      <c r="M19" s="161"/>
    </row>
    <row r="20" spans="1:13" ht="15.75" customHeight="1">
      <c r="A20" s="198" t="s">
        <v>487</v>
      </c>
      <c r="B20" s="67" t="s">
        <v>842</v>
      </c>
      <c r="C20" s="200">
        <v>5</v>
      </c>
      <c r="D20" s="425">
        <v>1.3</v>
      </c>
      <c r="E20" s="200">
        <v>2</v>
      </c>
      <c r="F20" s="426">
        <v>1</v>
      </c>
      <c r="G20" s="200">
        <v>34</v>
      </c>
      <c r="H20" s="427">
        <f t="shared" si="4"/>
        <v>221</v>
      </c>
      <c r="I20" s="204">
        <f>(3*E20*F20*16.5+(C20-3)*E20*G20*0.8)</f>
        <v>207.8</v>
      </c>
      <c r="J20" s="490">
        <f t="shared" si="6"/>
        <v>207.8</v>
      </c>
      <c r="K20" s="203"/>
      <c r="L20" s="203"/>
      <c r="M20" s="161"/>
    </row>
    <row r="21" spans="1:13" ht="15.75" customHeight="1">
      <c r="A21" s="198" t="s">
        <v>488</v>
      </c>
      <c r="B21" s="67" t="s">
        <v>843</v>
      </c>
      <c r="C21" s="200">
        <v>3</v>
      </c>
      <c r="D21" s="425">
        <v>1</v>
      </c>
      <c r="E21" s="200">
        <v>1</v>
      </c>
      <c r="F21" s="426">
        <v>1</v>
      </c>
      <c r="G21" s="200">
        <v>34</v>
      </c>
      <c r="H21" s="427">
        <f t="shared" si="4"/>
        <v>102</v>
      </c>
      <c r="I21" s="204">
        <f t="shared" ref="I21:I25" si="7">C21*E21*F21*16.5</f>
        <v>49.5</v>
      </c>
      <c r="J21" s="490">
        <f t="shared" si="6"/>
        <v>49.5</v>
      </c>
      <c r="K21" s="203"/>
      <c r="L21" s="203"/>
      <c r="M21" s="161"/>
    </row>
    <row r="22" spans="1:13" ht="26.25" customHeight="1">
      <c r="A22" s="198" t="s">
        <v>489</v>
      </c>
      <c r="B22" s="67" t="s">
        <v>844</v>
      </c>
      <c r="C22" s="200">
        <v>2</v>
      </c>
      <c r="D22" s="425">
        <v>1</v>
      </c>
      <c r="E22" s="200">
        <v>1</v>
      </c>
      <c r="F22" s="426">
        <v>1</v>
      </c>
      <c r="G22" s="200">
        <v>49</v>
      </c>
      <c r="H22" s="427">
        <f t="shared" si="4"/>
        <v>98</v>
      </c>
      <c r="I22" s="204">
        <f t="shared" si="7"/>
        <v>33</v>
      </c>
      <c r="J22" s="490">
        <f t="shared" si="6"/>
        <v>33</v>
      </c>
      <c r="K22" s="203"/>
      <c r="L22" s="203"/>
      <c r="M22" s="161"/>
    </row>
    <row r="23" spans="1:13" ht="15.75" customHeight="1">
      <c r="A23" s="198" t="s">
        <v>490</v>
      </c>
      <c r="B23" s="67" t="s">
        <v>845</v>
      </c>
      <c r="C23" s="200">
        <v>3</v>
      </c>
      <c r="D23" s="425">
        <v>1</v>
      </c>
      <c r="E23" s="200">
        <v>1</v>
      </c>
      <c r="F23" s="426">
        <v>1</v>
      </c>
      <c r="G23" s="200">
        <v>49</v>
      </c>
      <c r="H23" s="427">
        <f t="shared" si="4"/>
        <v>147</v>
      </c>
      <c r="I23" s="204">
        <f t="shared" si="7"/>
        <v>49.5</v>
      </c>
      <c r="J23" s="490">
        <f t="shared" si="6"/>
        <v>49.5</v>
      </c>
      <c r="K23" s="203"/>
      <c r="L23" s="203"/>
      <c r="M23" s="161"/>
    </row>
    <row r="24" spans="1:13" ht="15.75" customHeight="1">
      <c r="A24" s="198" t="s">
        <v>491</v>
      </c>
      <c r="B24" s="67" t="s">
        <v>846</v>
      </c>
      <c r="C24" s="200">
        <v>2</v>
      </c>
      <c r="D24" s="425">
        <v>1</v>
      </c>
      <c r="E24" s="200">
        <v>1</v>
      </c>
      <c r="F24" s="426">
        <v>1</v>
      </c>
      <c r="G24" s="200">
        <v>16</v>
      </c>
      <c r="H24" s="427">
        <f t="shared" si="4"/>
        <v>32</v>
      </c>
      <c r="I24" s="204">
        <f t="shared" si="7"/>
        <v>33</v>
      </c>
      <c r="J24" s="490">
        <f t="shared" si="6"/>
        <v>33</v>
      </c>
      <c r="K24" s="203"/>
      <c r="L24" s="203"/>
      <c r="M24" s="161"/>
    </row>
    <row r="25" spans="1:13" ht="24" customHeight="1">
      <c r="A25" s="207" t="s">
        <v>492</v>
      </c>
      <c r="B25" s="67" t="s">
        <v>847</v>
      </c>
      <c r="C25" s="200">
        <v>2</v>
      </c>
      <c r="D25" s="425">
        <v>1</v>
      </c>
      <c r="E25" s="200">
        <v>1</v>
      </c>
      <c r="F25" s="426">
        <v>1</v>
      </c>
      <c r="G25" s="200">
        <v>70</v>
      </c>
      <c r="H25" s="427">
        <f t="shared" si="4"/>
        <v>140</v>
      </c>
      <c r="I25" s="204">
        <f t="shared" si="7"/>
        <v>33</v>
      </c>
      <c r="J25" s="490">
        <f t="shared" si="6"/>
        <v>33</v>
      </c>
      <c r="K25" s="203"/>
      <c r="L25" s="203"/>
      <c r="M25" s="161"/>
    </row>
    <row r="26" spans="1:13" ht="18" customHeight="1">
      <c r="A26" s="207" t="s">
        <v>517</v>
      </c>
      <c r="B26" s="491" t="s">
        <v>848</v>
      </c>
      <c r="C26" s="200">
        <v>1</v>
      </c>
      <c r="D26" s="425">
        <v>1.3</v>
      </c>
      <c r="E26" s="200">
        <v>1</v>
      </c>
      <c r="F26" s="426">
        <v>1</v>
      </c>
      <c r="G26" s="200">
        <v>16</v>
      </c>
      <c r="H26" s="427">
        <f t="shared" si="4"/>
        <v>20.8</v>
      </c>
      <c r="I26" s="204">
        <f t="shared" ref="I26:I29" si="8">C26*E26*F26*15</f>
        <v>15</v>
      </c>
      <c r="J26" s="490">
        <f t="shared" si="6"/>
        <v>15</v>
      </c>
      <c r="K26" s="203"/>
      <c r="L26" s="203"/>
      <c r="M26" s="161"/>
    </row>
    <row r="27" spans="1:13" ht="15.75" customHeight="1">
      <c r="A27" s="207" t="s">
        <v>849</v>
      </c>
      <c r="B27" s="491" t="s">
        <v>850</v>
      </c>
      <c r="C27" s="200">
        <v>1</v>
      </c>
      <c r="D27" s="425">
        <v>1.3</v>
      </c>
      <c r="E27" s="200">
        <v>4</v>
      </c>
      <c r="F27" s="426">
        <v>1</v>
      </c>
      <c r="G27" s="200">
        <v>18</v>
      </c>
      <c r="H27" s="427">
        <f t="shared" si="4"/>
        <v>23.400000000000002</v>
      </c>
      <c r="I27" s="204">
        <f t="shared" si="8"/>
        <v>60</v>
      </c>
      <c r="J27" s="490">
        <f t="shared" si="6"/>
        <v>60</v>
      </c>
      <c r="K27" s="203"/>
      <c r="L27" s="203"/>
      <c r="M27" s="161"/>
    </row>
    <row r="28" spans="1:13" ht="17.25" customHeight="1">
      <c r="A28" s="207" t="s">
        <v>503</v>
      </c>
      <c r="B28" s="491" t="s">
        <v>851</v>
      </c>
      <c r="C28" s="200">
        <v>3</v>
      </c>
      <c r="D28" s="425">
        <v>1.3</v>
      </c>
      <c r="E28" s="200">
        <v>2</v>
      </c>
      <c r="F28" s="426">
        <v>1</v>
      </c>
      <c r="G28" s="200">
        <v>12</v>
      </c>
      <c r="H28" s="427">
        <f t="shared" si="4"/>
        <v>46.800000000000004</v>
      </c>
      <c r="I28" s="204">
        <f t="shared" si="8"/>
        <v>90</v>
      </c>
      <c r="J28" s="490">
        <f t="shared" si="6"/>
        <v>90</v>
      </c>
      <c r="K28" s="203"/>
      <c r="L28" s="203"/>
      <c r="M28" s="161"/>
    </row>
    <row r="29" spans="1:13" ht="15" customHeight="1">
      <c r="A29" s="207" t="s">
        <v>659</v>
      </c>
      <c r="B29" s="491" t="s">
        <v>852</v>
      </c>
      <c r="C29" s="200">
        <v>2</v>
      </c>
      <c r="D29" s="425">
        <v>1.3</v>
      </c>
      <c r="E29" s="200">
        <v>4</v>
      </c>
      <c r="F29" s="426">
        <v>1</v>
      </c>
      <c r="G29" s="200">
        <v>17</v>
      </c>
      <c r="H29" s="427">
        <f t="shared" si="4"/>
        <v>44.2</v>
      </c>
      <c r="I29" s="204">
        <f t="shared" si="8"/>
        <v>120</v>
      </c>
      <c r="J29" s="490">
        <f t="shared" si="6"/>
        <v>120</v>
      </c>
      <c r="K29" s="203"/>
      <c r="L29" s="203"/>
      <c r="M29" s="161"/>
    </row>
    <row r="30" spans="1:13" ht="38.25" customHeight="1">
      <c r="A30" s="208">
        <v>1.2</v>
      </c>
      <c r="B30" s="67" t="s">
        <v>493</v>
      </c>
      <c r="C30" s="209">
        <f t="shared" ref="C30:L30" si="9">SUM(C31:C47)</f>
        <v>52</v>
      </c>
      <c r="D30" s="209">
        <f t="shared" si="9"/>
        <v>19.100000000000005</v>
      </c>
      <c r="E30" s="209">
        <f t="shared" si="9"/>
        <v>29</v>
      </c>
      <c r="F30" s="209">
        <f t="shared" si="9"/>
        <v>17</v>
      </c>
      <c r="G30" s="209">
        <f t="shared" si="9"/>
        <v>483</v>
      </c>
      <c r="H30" s="209">
        <f t="shared" si="9"/>
        <v>1715.6</v>
      </c>
      <c r="I30" s="209">
        <f t="shared" si="9"/>
        <v>1483.1999999999998</v>
      </c>
      <c r="J30" s="209">
        <f t="shared" si="9"/>
        <v>1433.6999999999998</v>
      </c>
      <c r="K30" s="209">
        <f t="shared" si="9"/>
        <v>24.75</v>
      </c>
      <c r="L30" s="209">
        <f t="shared" si="9"/>
        <v>0</v>
      </c>
      <c r="M30" s="161"/>
    </row>
    <row r="31" spans="1:13" ht="24.75" customHeight="1">
      <c r="A31" s="198" t="s">
        <v>479</v>
      </c>
      <c r="B31" s="67" t="s">
        <v>853</v>
      </c>
      <c r="C31" s="200">
        <v>2</v>
      </c>
      <c r="D31" s="425">
        <v>1</v>
      </c>
      <c r="E31" s="200">
        <v>1</v>
      </c>
      <c r="F31" s="426">
        <v>1</v>
      </c>
      <c r="G31" s="200">
        <v>23</v>
      </c>
      <c r="H31" s="427">
        <f t="shared" ref="H31:H47" si="10">C31*D31*G31</f>
        <v>46</v>
      </c>
      <c r="I31" s="204">
        <f t="shared" ref="I31:I34" si="11">C31*E31*F31*16.5</f>
        <v>33</v>
      </c>
      <c r="J31" s="490">
        <f t="shared" ref="J31:J32" si="12">I31</f>
        <v>33</v>
      </c>
      <c r="K31" s="203"/>
      <c r="L31" s="203"/>
      <c r="M31" s="161"/>
    </row>
    <row r="32" spans="1:13" ht="31.5" customHeight="1">
      <c r="A32" s="198" t="s">
        <v>481</v>
      </c>
      <c r="B32" s="67" t="s">
        <v>854</v>
      </c>
      <c r="C32" s="202">
        <v>3</v>
      </c>
      <c r="D32" s="206">
        <v>1</v>
      </c>
      <c r="E32" s="202">
        <v>1</v>
      </c>
      <c r="F32" s="203">
        <v>1</v>
      </c>
      <c r="G32" s="200">
        <v>23</v>
      </c>
      <c r="H32" s="427">
        <f t="shared" si="10"/>
        <v>69</v>
      </c>
      <c r="I32" s="204">
        <f t="shared" si="11"/>
        <v>49.5</v>
      </c>
      <c r="J32" s="490">
        <f t="shared" si="12"/>
        <v>49.5</v>
      </c>
      <c r="K32" s="203"/>
      <c r="L32" s="203"/>
      <c r="M32" s="161"/>
    </row>
    <row r="33" spans="1:13" ht="33" customHeight="1">
      <c r="A33" s="198" t="s">
        <v>483</v>
      </c>
      <c r="B33" s="67" t="s">
        <v>855</v>
      </c>
      <c r="C33" s="200">
        <v>3</v>
      </c>
      <c r="D33" s="425">
        <v>1</v>
      </c>
      <c r="E33" s="200">
        <v>1</v>
      </c>
      <c r="F33" s="426">
        <v>1</v>
      </c>
      <c r="G33" s="200">
        <v>23</v>
      </c>
      <c r="H33" s="426">
        <f t="shared" si="10"/>
        <v>69</v>
      </c>
      <c r="I33" s="203">
        <f t="shared" si="11"/>
        <v>49.5</v>
      </c>
      <c r="J33" s="203"/>
      <c r="K33" s="431">
        <v>24.75</v>
      </c>
      <c r="L33" s="203"/>
      <c r="M33" s="161"/>
    </row>
    <row r="34" spans="1:13" ht="29.25" customHeight="1">
      <c r="A34" s="198" t="s">
        <v>484</v>
      </c>
      <c r="B34" s="67" t="s">
        <v>856</v>
      </c>
      <c r="C34" s="200">
        <v>2</v>
      </c>
      <c r="D34" s="425">
        <v>1</v>
      </c>
      <c r="E34" s="200">
        <v>1</v>
      </c>
      <c r="F34" s="426">
        <v>1</v>
      </c>
      <c r="G34" s="200">
        <v>23</v>
      </c>
      <c r="H34" s="427">
        <f t="shared" si="10"/>
        <v>46</v>
      </c>
      <c r="I34" s="204">
        <f t="shared" si="11"/>
        <v>33</v>
      </c>
      <c r="J34" s="490">
        <f t="shared" ref="J34:J47" si="13">I34</f>
        <v>33</v>
      </c>
      <c r="K34" s="203"/>
      <c r="L34" s="203"/>
      <c r="M34" s="161"/>
    </row>
    <row r="35" spans="1:13" ht="18" customHeight="1">
      <c r="A35" s="198" t="s">
        <v>485</v>
      </c>
      <c r="B35" s="67" t="s">
        <v>857</v>
      </c>
      <c r="C35" s="200">
        <v>5</v>
      </c>
      <c r="D35" s="425">
        <v>1.3</v>
      </c>
      <c r="E35" s="200">
        <v>2</v>
      </c>
      <c r="F35" s="426">
        <v>1</v>
      </c>
      <c r="G35" s="200">
        <v>34</v>
      </c>
      <c r="H35" s="427">
        <f t="shared" si="10"/>
        <v>221</v>
      </c>
      <c r="I35" s="204">
        <f>(3*E35*F35*16.5+(C35-3)*E35*G35*0.8)</f>
        <v>207.8</v>
      </c>
      <c r="J35" s="490">
        <f t="shared" si="13"/>
        <v>207.8</v>
      </c>
      <c r="K35" s="203"/>
      <c r="L35" s="203"/>
      <c r="M35" s="161"/>
    </row>
    <row r="36" spans="1:13" ht="20.25" customHeight="1">
      <c r="A36" s="198" t="s">
        <v>486</v>
      </c>
      <c r="B36" s="67" t="s">
        <v>858</v>
      </c>
      <c r="C36" s="200">
        <v>5</v>
      </c>
      <c r="D36" s="425">
        <v>1</v>
      </c>
      <c r="E36" s="200">
        <v>2</v>
      </c>
      <c r="F36" s="426">
        <v>1</v>
      </c>
      <c r="G36" s="200">
        <v>34</v>
      </c>
      <c r="H36" s="427">
        <f t="shared" si="10"/>
        <v>170</v>
      </c>
      <c r="I36" s="204">
        <f t="shared" ref="I36:I38" si="14">C36*E36*F36*16.5</f>
        <v>165</v>
      </c>
      <c r="J36" s="490">
        <f t="shared" si="13"/>
        <v>165</v>
      </c>
      <c r="K36" s="203"/>
      <c r="L36" s="203"/>
      <c r="M36" s="161"/>
    </row>
    <row r="37" spans="1:13" ht="38.25" customHeight="1">
      <c r="A37" s="198" t="s">
        <v>487</v>
      </c>
      <c r="B37" s="67" t="s">
        <v>859</v>
      </c>
      <c r="C37" s="200">
        <v>2</v>
      </c>
      <c r="D37" s="425">
        <v>1</v>
      </c>
      <c r="E37" s="200">
        <v>2</v>
      </c>
      <c r="F37" s="426">
        <v>1</v>
      </c>
      <c r="G37" s="200">
        <v>34</v>
      </c>
      <c r="H37" s="427">
        <f t="shared" si="10"/>
        <v>68</v>
      </c>
      <c r="I37" s="204">
        <f t="shared" si="14"/>
        <v>66</v>
      </c>
      <c r="J37" s="490">
        <f t="shared" si="13"/>
        <v>66</v>
      </c>
      <c r="K37" s="203"/>
      <c r="L37" s="203"/>
      <c r="M37" s="161"/>
    </row>
    <row r="38" spans="1:13" ht="15.75" customHeight="1">
      <c r="A38" s="198" t="s">
        <v>488</v>
      </c>
      <c r="B38" s="67" t="s">
        <v>860</v>
      </c>
      <c r="C38" s="200">
        <v>2</v>
      </c>
      <c r="D38" s="425">
        <v>1</v>
      </c>
      <c r="E38" s="200">
        <v>1</v>
      </c>
      <c r="F38" s="426">
        <v>1</v>
      </c>
      <c r="G38" s="200">
        <v>32</v>
      </c>
      <c r="H38" s="427">
        <f t="shared" si="10"/>
        <v>64</v>
      </c>
      <c r="I38" s="204">
        <f t="shared" si="14"/>
        <v>33</v>
      </c>
      <c r="J38" s="490">
        <f t="shared" si="13"/>
        <v>33</v>
      </c>
      <c r="K38" s="203"/>
      <c r="L38" s="203"/>
      <c r="M38" s="161"/>
    </row>
    <row r="39" spans="1:13" ht="15.75" customHeight="1">
      <c r="A39" s="198" t="s">
        <v>489</v>
      </c>
      <c r="B39" s="67" t="s">
        <v>861</v>
      </c>
      <c r="C39" s="200">
        <v>4</v>
      </c>
      <c r="D39" s="425">
        <v>1.3</v>
      </c>
      <c r="E39" s="200">
        <v>1</v>
      </c>
      <c r="F39" s="426">
        <v>1</v>
      </c>
      <c r="G39" s="200">
        <v>49</v>
      </c>
      <c r="H39" s="427">
        <f t="shared" si="10"/>
        <v>254.8</v>
      </c>
      <c r="I39" s="204">
        <f>(2*E39*F39*16.5+(C39-2)*E39*G39*0.8)</f>
        <v>111.4</v>
      </c>
      <c r="J39" s="490">
        <f t="shared" si="13"/>
        <v>111.4</v>
      </c>
      <c r="K39" s="203"/>
      <c r="L39" s="203"/>
      <c r="M39" s="161"/>
    </row>
    <row r="40" spans="1:13" ht="15.75" customHeight="1">
      <c r="A40" s="198" t="s">
        <v>490</v>
      </c>
      <c r="B40" s="67" t="s">
        <v>862</v>
      </c>
      <c r="C40" s="200">
        <v>4</v>
      </c>
      <c r="D40" s="425">
        <v>1</v>
      </c>
      <c r="E40" s="200">
        <v>1</v>
      </c>
      <c r="F40" s="426">
        <v>1</v>
      </c>
      <c r="G40" s="200">
        <v>49</v>
      </c>
      <c r="H40" s="427">
        <f t="shared" si="10"/>
        <v>196</v>
      </c>
      <c r="I40" s="204">
        <f t="shared" ref="I40:I42" si="15">C40*E40*F40*16.5</f>
        <v>66</v>
      </c>
      <c r="J40" s="490">
        <f t="shared" si="13"/>
        <v>66</v>
      </c>
      <c r="K40" s="203"/>
      <c r="L40" s="203"/>
      <c r="M40" s="161"/>
    </row>
    <row r="41" spans="1:13" ht="15.75" customHeight="1">
      <c r="A41" s="198" t="s">
        <v>491</v>
      </c>
      <c r="B41" s="67" t="s">
        <v>863</v>
      </c>
      <c r="C41" s="200">
        <v>3</v>
      </c>
      <c r="D41" s="425">
        <v>1</v>
      </c>
      <c r="E41" s="200">
        <v>1</v>
      </c>
      <c r="F41" s="426">
        <v>1</v>
      </c>
      <c r="G41" s="200">
        <v>30</v>
      </c>
      <c r="H41" s="427">
        <f t="shared" si="10"/>
        <v>90</v>
      </c>
      <c r="I41" s="204">
        <f t="shared" si="15"/>
        <v>49.5</v>
      </c>
      <c r="J41" s="490">
        <f t="shared" si="13"/>
        <v>49.5</v>
      </c>
      <c r="K41" s="203"/>
      <c r="L41" s="203"/>
      <c r="M41" s="161"/>
    </row>
    <row r="42" spans="1:13" ht="30" customHeight="1">
      <c r="A42" s="198" t="s">
        <v>492</v>
      </c>
      <c r="B42" s="67" t="s">
        <v>864</v>
      </c>
      <c r="C42" s="200">
        <v>3</v>
      </c>
      <c r="D42" s="425">
        <v>1</v>
      </c>
      <c r="E42" s="200">
        <v>1</v>
      </c>
      <c r="F42" s="426">
        <v>1</v>
      </c>
      <c r="G42" s="200">
        <v>60</v>
      </c>
      <c r="H42" s="427">
        <f t="shared" si="10"/>
        <v>180</v>
      </c>
      <c r="I42" s="204">
        <f t="shared" si="15"/>
        <v>49.5</v>
      </c>
      <c r="J42" s="490">
        <f t="shared" si="13"/>
        <v>49.5</v>
      </c>
      <c r="K42" s="203"/>
      <c r="L42" s="203"/>
      <c r="M42" s="161"/>
    </row>
    <row r="43" spans="1:13" ht="19.5" customHeight="1">
      <c r="A43" s="198" t="s">
        <v>517</v>
      </c>
      <c r="B43" s="491" t="s">
        <v>865</v>
      </c>
      <c r="C43" s="200">
        <v>3</v>
      </c>
      <c r="D43" s="425">
        <v>1.3</v>
      </c>
      <c r="E43" s="200">
        <v>2</v>
      </c>
      <c r="F43" s="426">
        <v>1</v>
      </c>
      <c r="G43" s="200">
        <v>12</v>
      </c>
      <c r="H43" s="427">
        <f t="shared" si="10"/>
        <v>46.800000000000004</v>
      </c>
      <c r="I43" s="204">
        <f t="shared" ref="I43:I47" si="16">C43*E43*F43*15</f>
        <v>90</v>
      </c>
      <c r="J43" s="490">
        <f t="shared" si="13"/>
        <v>90</v>
      </c>
      <c r="K43" s="203"/>
      <c r="L43" s="203"/>
      <c r="M43" s="161"/>
    </row>
    <row r="44" spans="1:13" ht="30" customHeight="1">
      <c r="A44" s="198" t="s">
        <v>518</v>
      </c>
      <c r="B44" s="491" t="s">
        <v>866</v>
      </c>
      <c r="C44" s="200">
        <v>5</v>
      </c>
      <c r="D44" s="425">
        <v>1.3</v>
      </c>
      <c r="E44" s="200">
        <v>2</v>
      </c>
      <c r="F44" s="426">
        <v>1</v>
      </c>
      <c r="G44" s="200">
        <v>12</v>
      </c>
      <c r="H44" s="427">
        <f t="shared" si="10"/>
        <v>78</v>
      </c>
      <c r="I44" s="204">
        <f t="shared" si="16"/>
        <v>150</v>
      </c>
      <c r="J44" s="490">
        <f t="shared" si="13"/>
        <v>150</v>
      </c>
      <c r="K44" s="203"/>
      <c r="L44" s="203"/>
      <c r="M44" s="161"/>
    </row>
    <row r="45" spans="1:13" ht="18.75" customHeight="1">
      <c r="A45" s="198" t="s">
        <v>503</v>
      </c>
      <c r="B45" s="491" t="s">
        <v>867</v>
      </c>
      <c r="C45" s="200">
        <v>4</v>
      </c>
      <c r="D45" s="425">
        <v>1.3</v>
      </c>
      <c r="E45" s="200">
        <v>4</v>
      </c>
      <c r="F45" s="426">
        <v>1</v>
      </c>
      <c r="G45" s="200">
        <v>15</v>
      </c>
      <c r="H45" s="427">
        <f t="shared" si="10"/>
        <v>78</v>
      </c>
      <c r="I45" s="204">
        <f t="shared" si="16"/>
        <v>240</v>
      </c>
      <c r="J45" s="490">
        <f t="shared" si="13"/>
        <v>240</v>
      </c>
      <c r="K45" s="203"/>
      <c r="L45" s="203"/>
      <c r="M45" s="161"/>
    </row>
    <row r="46" spans="1:13" ht="18.75" customHeight="1">
      <c r="A46" s="198" t="s">
        <v>659</v>
      </c>
      <c r="B46" s="491" t="s">
        <v>868</v>
      </c>
      <c r="C46" s="200">
        <v>1</v>
      </c>
      <c r="D46" s="425">
        <v>1.3</v>
      </c>
      <c r="E46" s="200">
        <v>2</v>
      </c>
      <c r="F46" s="426">
        <v>1</v>
      </c>
      <c r="G46" s="200">
        <v>15</v>
      </c>
      <c r="H46" s="427">
        <f t="shared" si="10"/>
        <v>19.5</v>
      </c>
      <c r="I46" s="204">
        <f t="shared" si="16"/>
        <v>30</v>
      </c>
      <c r="J46" s="490">
        <f t="shared" si="13"/>
        <v>30</v>
      </c>
      <c r="K46" s="203"/>
      <c r="L46" s="203"/>
      <c r="M46" s="161"/>
    </row>
    <row r="47" spans="1:13" ht="27" customHeight="1">
      <c r="A47" s="198" t="s">
        <v>662</v>
      </c>
      <c r="B47" s="491" t="s">
        <v>869</v>
      </c>
      <c r="C47" s="200">
        <v>1</v>
      </c>
      <c r="D47" s="425">
        <v>1.3</v>
      </c>
      <c r="E47" s="200">
        <v>4</v>
      </c>
      <c r="F47" s="426">
        <v>1</v>
      </c>
      <c r="G47" s="200">
        <v>15</v>
      </c>
      <c r="H47" s="427">
        <f t="shared" si="10"/>
        <v>19.5</v>
      </c>
      <c r="I47" s="204">
        <f t="shared" si="16"/>
        <v>60</v>
      </c>
      <c r="J47" s="490">
        <f t="shared" si="13"/>
        <v>60</v>
      </c>
      <c r="K47" s="203"/>
      <c r="L47" s="203"/>
      <c r="M47" s="161"/>
    </row>
    <row r="48" spans="1:13" ht="15.75" customHeight="1">
      <c r="A48" s="195">
        <v>2</v>
      </c>
      <c r="B48" s="196" t="s">
        <v>570</v>
      </c>
      <c r="C48" s="209">
        <f t="shared" ref="C48:L48" si="17">C49+C61</f>
        <v>84</v>
      </c>
      <c r="D48" s="209">
        <f t="shared" si="17"/>
        <v>35.5</v>
      </c>
      <c r="E48" s="209">
        <f t="shared" si="17"/>
        <v>55</v>
      </c>
      <c r="F48" s="209">
        <f t="shared" si="17"/>
        <v>24</v>
      </c>
      <c r="G48" s="209">
        <f t="shared" si="17"/>
        <v>448</v>
      </c>
      <c r="H48" s="209">
        <f t="shared" si="17"/>
        <v>2352</v>
      </c>
      <c r="I48" s="209">
        <f t="shared" si="17"/>
        <v>2318.875</v>
      </c>
      <c r="J48" s="209">
        <f t="shared" si="17"/>
        <v>1954</v>
      </c>
      <c r="K48" s="209">
        <f t="shared" si="17"/>
        <v>208.5</v>
      </c>
      <c r="L48" s="209">
        <f t="shared" si="17"/>
        <v>104.25</v>
      </c>
      <c r="M48" s="161"/>
    </row>
    <row r="49" spans="1:13" ht="39" customHeight="1">
      <c r="A49" s="106">
        <v>2.1</v>
      </c>
      <c r="B49" s="107" t="s">
        <v>516</v>
      </c>
      <c r="C49" s="194">
        <f t="shared" ref="C49:L49" si="18">C50+C59</f>
        <v>39</v>
      </c>
      <c r="D49" s="194">
        <f t="shared" si="18"/>
        <v>13</v>
      </c>
      <c r="E49" s="194">
        <f t="shared" si="18"/>
        <v>40</v>
      </c>
      <c r="F49" s="194">
        <f t="shared" si="18"/>
        <v>9</v>
      </c>
      <c r="G49" s="194">
        <f t="shared" si="18"/>
        <v>288</v>
      </c>
      <c r="H49" s="194">
        <f t="shared" si="18"/>
        <v>1632</v>
      </c>
      <c r="I49" s="194">
        <f t="shared" si="18"/>
        <v>1537</v>
      </c>
      <c r="J49" s="194">
        <f t="shared" si="18"/>
        <v>1380.625</v>
      </c>
      <c r="K49" s="194">
        <f t="shared" si="18"/>
        <v>104.25</v>
      </c>
      <c r="L49" s="194">
        <f t="shared" si="18"/>
        <v>0</v>
      </c>
      <c r="M49" s="161"/>
    </row>
    <row r="50" spans="1:13" ht="15.75" customHeight="1">
      <c r="A50" s="106" t="s">
        <v>263</v>
      </c>
      <c r="B50" s="107" t="s">
        <v>571</v>
      </c>
      <c r="C50" s="194">
        <f t="shared" ref="C50:L50" si="19">SUM(C51:C58)</f>
        <v>24</v>
      </c>
      <c r="D50" s="194">
        <f t="shared" si="19"/>
        <v>12</v>
      </c>
      <c r="E50" s="194">
        <f t="shared" si="19"/>
        <v>8</v>
      </c>
      <c r="F50" s="194">
        <f t="shared" si="19"/>
        <v>8</v>
      </c>
      <c r="G50" s="194">
        <f t="shared" si="19"/>
        <v>256</v>
      </c>
      <c r="H50" s="194">
        <f t="shared" si="19"/>
        <v>1152</v>
      </c>
      <c r="I50" s="194">
        <f t="shared" si="19"/>
        <v>417</v>
      </c>
      <c r="J50" s="194">
        <f t="shared" si="19"/>
        <v>260.625</v>
      </c>
      <c r="K50" s="194">
        <f t="shared" si="19"/>
        <v>104.25</v>
      </c>
      <c r="L50" s="194">
        <f t="shared" si="19"/>
        <v>0</v>
      </c>
      <c r="M50" s="161"/>
    </row>
    <row r="51" spans="1:13" ht="15.75" customHeight="1">
      <c r="A51" s="198" t="s">
        <v>479</v>
      </c>
      <c r="B51" s="218" t="s">
        <v>870</v>
      </c>
      <c r="C51" s="202">
        <v>3</v>
      </c>
      <c r="D51" s="206">
        <v>1.5</v>
      </c>
      <c r="E51" s="202">
        <v>1</v>
      </c>
      <c r="F51" s="203">
        <v>1</v>
      </c>
      <c r="G51" s="202">
        <v>32</v>
      </c>
      <c r="H51" s="427">
        <f t="shared" ref="H51:H58" si="20">(C51*D51*G51)</f>
        <v>144</v>
      </c>
      <c r="I51" s="204">
        <f t="shared" ref="I51:I58" si="21">D51*E51* 34.75</f>
        <v>52.125</v>
      </c>
      <c r="J51" s="492">
        <f>I51</f>
        <v>52.125</v>
      </c>
      <c r="K51" s="493"/>
      <c r="L51" s="203"/>
      <c r="M51" s="161"/>
    </row>
    <row r="52" spans="1:13" ht="15.75" customHeight="1">
      <c r="A52" s="494" t="s">
        <v>481</v>
      </c>
      <c r="B52" s="495" t="s">
        <v>871</v>
      </c>
      <c r="C52" s="496">
        <v>3</v>
      </c>
      <c r="D52" s="497">
        <v>1.5</v>
      </c>
      <c r="E52" s="496">
        <v>1</v>
      </c>
      <c r="F52" s="490">
        <v>1</v>
      </c>
      <c r="G52" s="496">
        <v>32</v>
      </c>
      <c r="H52" s="498">
        <f t="shared" si="20"/>
        <v>144</v>
      </c>
      <c r="I52" s="204">
        <f t="shared" si="21"/>
        <v>52.125</v>
      </c>
      <c r="J52" s="492"/>
      <c r="K52" s="493">
        <v>52.125</v>
      </c>
      <c r="L52" s="490"/>
      <c r="M52" s="1916"/>
    </row>
    <row r="53" spans="1:13" ht="15.75" customHeight="1">
      <c r="A53" s="198" t="s">
        <v>483</v>
      </c>
      <c r="B53" s="218" t="s">
        <v>872</v>
      </c>
      <c r="C53" s="202">
        <v>3</v>
      </c>
      <c r="D53" s="206">
        <v>1.5</v>
      </c>
      <c r="E53" s="202">
        <v>1</v>
      </c>
      <c r="F53" s="203">
        <v>1</v>
      </c>
      <c r="G53" s="202">
        <v>32</v>
      </c>
      <c r="H53" s="427">
        <f t="shared" si="20"/>
        <v>144</v>
      </c>
      <c r="I53" s="204">
        <f t="shared" si="21"/>
        <v>52.125</v>
      </c>
      <c r="J53" s="492">
        <f t="shared" ref="J53:J56" si="22">I53</f>
        <v>52.125</v>
      </c>
      <c r="K53" s="493"/>
      <c r="L53" s="203"/>
      <c r="M53" s="161"/>
    </row>
    <row r="54" spans="1:13" ht="15.75" customHeight="1">
      <c r="A54" s="198" t="s">
        <v>484</v>
      </c>
      <c r="B54" s="218" t="s">
        <v>873</v>
      </c>
      <c r="C54" s="202">
        <v>3</v>
      </c>
      <c r="D54" s="497">
        <v>1.5</v>
      </c>
      <c r="E54" s="202">
        <v>1</v>
      </c>
      <c r="F54" s="203">
        <v>1</v>
      </c>
      <c r="G54" s="202">
        <v>32</v>
      </c>
      <c r="H54" s="427">
        <f t="shared" si="20"/>
        <v>144</v>
      </c>
      <c r="I54" s="204">
        <f t="shared" si="21"/>
        <v>52.125</v>
      </c>
      <c r="J54" s="492">
        <f t="shared" si="22"/>
        <v>52.125</v>
      </c>
      <c r="K54" s="493"/>
      <c r="L54" s="203"/>
      <c r="M54" s="161"/>
    </row>
    <row r="55" spans="1:13" ht="15.75" customHeight="1">
      <c r="A55" s="198" t="s">
        <v>485</v>
      </c>
      <c r="B55" s="218" t="s">
        <v>874</v>
      </c>
      <c r="C55" s="202">
        <v>3</v>
      </c>
      <c r="D55" s="206">
        <v>1.5</v>
      </c>
      <c r="E55" s="202">
        <v>1</v>
      </c>
      <c r="F55" s="203">
        <v>1</v>
      </c>
      <c r="G55" s="202">
        <v>32</v>
      </c>
      <c r="H55" s="427">
        <f t="shared" si="20"/>
        <v>144</v>
      </c>
      <c r="I55" s="204">
        <f t="shared" si="21"/>
        <v>52.125</v>
      </c>
      <c r="J55" s="492">
        <f t="shared" si="22"/>
        <v>52.125</v>
      </c>
      <c r="K55" s="493"/>
      <c r="L55" s="203"/>
      <c r="M55" s="161"/>
    </row>
    <row r="56" spans="1:13" ht="15.75" customHeight="1">
      <c r="A56" s="198" t="s">
        <v>486</v>
      </c>
      <c r="B56" s="218" t="s">
        <v>875</v>
      </c>
      <c r="C56" s="202">
        <v>3</v>
      </c>
      <c r="D56" s="497">
        <v>1.5</v>
      </c>
      <c r="E56" s="202">
        <v>1</v>
      </c>
      <c r="F56" s="203">
        <v>1</v>
      </c>
      <c r="G56" s="202">
        <v>32</v>
      </c>
      <c r="H56" s="427">
        <f t="shared" si="20"/>
        <v>144</v>
      </c>
      <c r="I56" s="204">
        <f t="shared" si="21"/>
        <v>52.125</v>
      </c>
      <c r="J56" s="492">
        <f t="shared" si="22"/>
        <v>52.125</v>
      </c>
      <c r="K56" s="493"/>
      <c r="L56" s="203"/>
      <c r="M56" s="161"/>
    </row>
    <row r="57" spans="1:13" ht="15.75" customHeight="1">
      <c r="A57" s="494" t="s">
        <v>487</v>
      </c>
      <c r="B57" s="495" t="s">
        <v>876</v>
      </c>
      <c r="C57" s="496">
        <v>3</v>
      </c>
      <c r="D57" s="206">
        <v>1.5</v>
      </c>
      <c r="E57" s="496">
        <v>1</v>
      </c>
      <c r="F57" s="490">
        <v>1</v>
      </c>
      <c r="G57" s="496">
        <v>32</v>
      </c>
      <c r="H57" s="498">
        <f t="shared" si="20"/>
        <v>144</v>
      </c>
      <c r="I57" s="204">
        <f t="shared" si="21"/>
        <v>52.125</v>
      </c>
      <c r="J57" s="492"/>
      <c r="K57" s="493">
        <v>52.125</v>
      </c>
      <c r="L57" s="490"/>
      <c r="M57" s="1916"/>
    </row>
    <row r="58" spans="1:13" ht="15.75" customHeight="1">
      <c r="A58" s="198" t="s">
        <v>488</v>
      </c>
      <c r="B58" s="218" t="s">
        <v>877</v>
      </c>
      <c r="C58" s="202">
        <v>3</v>
      </c>
      <c r="D58" s="497">
        <v>1.5</v>
      </c>
      <c r="E58" s="202">
        <v>1</v>
      </c>
      <c r="F58" s="203">
        <v>1</v>
      </c>
      <c r="G58" s="202">
        <v>32</v>
      </c>
      <c r="H58" s="427">
        <f t="shared" si="20"/>
        <v>144</v>
      </c>
      <c r="I58" s="204">
        <f t="shared" si="21"/>
        <v>52.125</v>
      </c>
      <c r="J58" s="492">
        <f>J6258</f>
        <v>0</v>
      </c>
      <c r="K58" s="493"/>
      <c r="L58" s="203"/>
      <c r="M58" s="161"/>
    </row>
    <row r="59" spans="1:13" ht="15.75" customHeight="1">
      <c r="A59" s="219" t="s">
        <v>265</v>
      </c>
      <c r="B59" s="220" t="s">
        <v>512</v>
      </c>
      <c r="C59" s="194">
        <v>15</v>
      </c>
      <c r="D59" s="192">
        <v>1</v>
      </c>
      <c r="E59" s="194">
        <v>32</v>
      </c>
      <c r="F59" s="191">
        <v>1</v>
      </c>
      <c r="G59" s="194">
        <v>32</v>
      </c>
      <c r="H59" s="441">
        <f t="shared" ref="H59:I59" si="23">H60</f>
        <v>480</v>
      </c>
      <c r="I59" s="499">
        <f t="shared" si="23"/>
        <v>1120</v>
      </c>
      <c r="J59" s="487">
        <f>I59</f>
        <v>1120</v>
      </c>
      <c r="K59" s="488"/>
      <c r="L59" s="191"/>
      <c r="M59" s="161"/>
    </row>
    <row r="60" spans="1:13" ht="15.75" customHeight="1">
      <c r="A60" s="219"/>
      <c r="B60" s="439" t="s">
        <v>878</v>
      </c>
      <c r="C60" s="202">
        <v>15</v>
      </c>
      <c r="D60" s="206">
        <v>1</v>
      </c>
      <c r="E60" s="202">
        <v>32</v>
      </c>
      <c r="F60" s="203">
        <v>1</v>
      </c>
      <c r="G60" s="202">
        <v>32</v>
      </c>
      <c r="H60" s="427">
        <f>(C60*D60*G60)</f>
        <v>480</v>
      </c>
      <c r="I60" s="427">
        <f>E60*35</f>
        <v>1120</v>
      </c>
      <c r="J60" s="490">
        <f>J59</f>
        <v>1120</v>
      </c>
      <c r="K60" s="488"/>
      <c r="L60" s="191"/>
      <c r="M60" s="161"/>
    </row>
    <row r="61" spans="1:13" ht="44.25" customHeight="1">
      <c r="A61" s="208" t="s">
        <v>513</v>
      </c>
      <c r="B61" s="67" t="s">
        <v>493</v>
      </c>
      <c r="C61" s="209">
        <f t="shared" ref="C61:L61" si="24">SUM(C62:C76)</f>
        <v>45</v>
      </c>
      <c r="D61" s="209">
        <f t="shared" si="24"/>
        <v>22.5</v>
      </c>
      <c r="E61" s="209">
        <f t="shared" si="24"/>
        <v>15</v>
      </c>
      <c r="F61" s="209">
        <f t="shared" si="24"/>
        <v>15</v>
      </c>
      <c r="G61" s="209">
        <f t="shared" si="24"/>
        <v>160</v>
      </c>
      <c r="H61" s="209">
        <f t="shared" si="24"/>
        <v>720</v>
      </c>
      <c r="I61" s="209">
        <f t="shared" si="24"/>
        <v>781.875</v>
      </c>
      <c r="J61" s="209">
        <f t="shared" si="24"/>
        <v>573.375</v>
      </c>
      <c r="K61" s="209">
        <f t="shared" si="24"/>
        <v>104.25</v>
      </c>
      <c r="L61" s="209">
        <f t="shared" si="24"/>
        <v>104.25</v>
      </c>
      <c r="M61" s="161"/>
    </row>
    <row r="62" spans="1:13" ht="24" customHeight="1">
      <c r="A62" s="198" t="s">
        <v>489</v>
      </c>
      <c r="B62" s="218" t="s">
        <v>879</v>
      </c>
      <c r="C62" s="202">
        <v>3</v>
      </c>
      <c r="D62" s="206">
        <v>1.5</v>
      </c>
      <c r="E62" s="202">
        <v>1</v>
      </c>
      <c r="F62" s="203">
        <v>1</v>
      </c>
      <c r="G62" s="202">
        <v>6</v>
      </c>
      <c r="H62" s="427">
        <f t="shared" ref="H62:H76" si="25">(C62*D62*G62)</f>
        <v>27</v>
      </c>
      <c r="I62" s="204">
        <f t="shared" ref="I62:I76" si="26">D62*E62* 34.75</f>
        <v>52.125</v>
      </c>
      <c r="J62" s="492">
        <f>I62</f>
        <v>52.125</v>
      </c>
      <c r="K62" s="203"/>
      <c r="L62" s="203"/>
      <c r="M62" s="161"/>
    </row>
    <row r="63" spans="1:13" ht="15.75" customHeight="1">
      <c r="A63" s="198" t="s">
        <v>490</v>
      </c>
      <c r="B63" s="218" t="s">
        <v>880</v>
      </c>
      <c r="C63" s="202">
        <v>3</v>
      </c>
      <c r="D63" s="206">
        <v>1.5</v>
      </c>
      <c r="E63" s="202">
        <v>1</v>
      </c>
      <c r="F63" s="203">
        <v>1</v>
      </c>
      <c r="G63" s="202">
        <v>6</v>
      </c>
      <c r="H63" s="426">
        <f t="shared" si="25"/>
        <v>27</v>
      </c>
      <c r="I63" s="204">
        <f t="shared" si="26"/>
        <v>52.125</v>
      </c>
      <c r="J63" s="493"/>
      <c r="K63" s="493">
        <v>52.125</v>
      </c>
      <c r="L63" s="203"/>
      <c r="M63" s="161"/>
    </row>
    <row r="64" spans="1:13" ht="15.75" customHeight="1">
      <c r="A64" s="198" t="s">
        <v>491</v>
      </c>
      <c r="B64" s="218" t="s">
        <v>881</v>
      </c>
      <c r="C64" s="202">
        <v>3</v>
      </c>
      <c r="D64" s="206">
        <v>1.5</v>
      </c>
      <c r="E64" s="202">
        <v>1</v>
      </c>
      <c r="F64" s="203">
        <v>1</v>
      </c>
      <c r="G64" s="202">
        <v>6</v>
      </c>
      <c r="H64" s="426">
        <f t="shared" si="25"/>
        <v>27</v>
      </c>
      <c r="I64" s="204">
        <f t="shared" si="26"/>
        <v>52.125</v>
      </c>
      <c r="J64" s="493"/>
      <c r="K64" s="203"/>
      <c r="L64" s="493">
        <v>52.125</v>
      </c>
      <c r="M64" s="161"/>
    </row>
    <row r="65" spans="1:13" ht="15.75" customHeight="1">
      <c r="A65" s="198" t="s">
        <v>492</v>
      </c>
      <c r="B65" s="218" t="s">
        <v>882</v>
      </c>
      <c r="C65" s="202">
        <v>3</v>
      </c>
      <c r="D65" s="206">
        <v>1.5</v>
      </c>
      <c r="E65" s="202">
        <v>1</v>
      </c>
      <c r="F65" s="203">
        <v>1</v>
      </c>
      <c r="G65" s="202">
        <v>6</v>
      </c>
      <c r="H65" s="427">
        <f t="shared" si="25"/>
        <v>27</v>
      </c>
      <c r="I65" s="204">
        <f t="shared" si="26"/>
        <v>52.125</v>
      </c>
      <c r="J65" s="492">
        <f t="shared" ref="J65:J67" si="27">I65</f>
        <v>52.125</v>
      </c>
      <c r="K65" s="203"/>
      <c r="L65" s="203"/>
      <c r="M65" s="161"/>
    </row>
    <row r="66" spans="1:13" ht="15.75" customHeight="1">
      <c r="A66" s="198" t="s">
        <v>517</v>
      </c>
      <c r="B66" s="218" t="s">
        <v>883</v>
      </c>
      <c r="C66" s="202">
        <v>3</v>
      </c>
      <c r="D66" s="206">
        <v>1.5</v>
      </c>
      <c r="E66" s="202">
        <v>1</v>
      </c>
      <c r="F66" s="203">
        <v>1</v>
      </c>
      <c r="G66" s="202">
        <v>6</v>
      </c>
      <c r="H66" s="427">
        <f t="shared" si="25"/>
        <v>27</v>
      </c>
      <c r="I66" s="204">
        <f t="shared" si="26"/>
        <v>52.125</v>
      </c>
      <c r="J66" s="492">
        <f t="shared" si="27"/>
        <v>52.125</v>
      </c>
      <c r="K66" s="203"/>
      <c r="L66" s="203"/>
      <c r="M66" s="161"/>
    </row>
    <row r="67" spans="1:13" ht="33.75" customHeight="1">
      <c r="A67" s="198" t="s">
        <v>518</v>
      </c>
      <c r="B67" s="218" t="s">
        <v>884</v>
      </c>
      <c r="C67" s="202">
        <v>3</v>
      </c>
      <c r="D67" s="206">
        <v>1.5</v>
      </c>
      <c r="E67" s="202">
        <v>1</v>
      </c>
      <c r="F67" s="203">
        <v>1</v>
      </c>
      <c r="G67" s="202">
        <v>7</v>
      </c>
      <c r="H67" s="427">
        <f t="shared" si="25"/>
        <v>31.5</v>
      </c>
      <c r="I67" s="204">
        <f t="shared" si="26"/>
        <v>52.125</v>
      </c>
      <c r="J67" s="492">
        <f t="shared" si="27"/>
        <v>52.125</v>
      </c>
      <c r="K67" s="203"/>
      <c r="L67" s="203"/>
      <c r="M67" s="161"/>
    </row>
    <row r="68" spans="1:13" ht="15.75" customHeight="1">
      <c r="A68" s="198" t="s">
        <v>503</v>
      </c>
      <c r="B68" s="218" t="s">
        <v>885</v>
      </c>
      <c r="C68" s="202">
        <v>3</v>
      </c>
      <c r="D68" s="206">
        <v>1.5</v>
      </c>
      <c r="E68" s="202">
        <v>1</v>
      </c>
      <c r="F68" s="203">
        <v>1</v>
      </c>
      <c r="G68" s="202">
        <v>7</v>
      </c>
      <c r="H68" s="426">
        <f t="shared" si="25"/>
        <v>31.5</v>
      </c>
      <c r="I68" s="204">
        <f t="shared" si="26"/>
        <v>52.125</v>
      </c>
      <c r="J68" s="493"/>
      <c r="K68" s="203"/>
      <c r="L68" s="493">
        <v>52.125</v>
      </c>
      <c r="M68" s="161"/>
    </row>
    <row r="69" spans="1:13" ht="15.75" customHeight="1">
      <c r="A69" s="198" t="s">
        <v>659</v>
      </c>
      <c r="B69" s="218" t="s">
        <v>886</v>
      </c>
      <c r="C69" s="202">
        <v>3</v>
      </c>
      <c r="D69" s="206">
        <v>1.5</v>
      </c>
      <c r="E69" s="202">
        <v>1</v>
      </c>
      <c r="F69" s="203">
        <v>1</v>
      </c>
      <c r="G69" s="202">
        <v>7</v>
      </c>
      <c r="H69" s="427">
        <f t="shared" si="25"/>
        <v>31.5</v>
      </c>
      <c r="I69" s="204">
        <f t="shared" si="26"/>
        <v>52.125</v>
      </c>
      <c r="J69" s="492">
        <f t="shared" ref="J69:J73" si="28">I69</f>
        <v>52.125</v>
      </c>
      <c r="K69" s="203"/>
      <c r="L69" s="203"/>
      <c r="M69" s="161"/>
    </row>
    <row r="70" spans="1:13" ht="15.75" customHeight="1">
      <c r="A70" s="198" t="s">
        <v>662</v>
      </c>
      <c r="B70" s="218" t="s">
        <v>887</v>
      </c>
      <c r="C70" s="202">
        <v>3</v>
      </c>
      <c r="D70" s="206">
        <v>1.5</v>
      </c>
      <c r="E70" s="202">
        <v>1</v>
      </c>
      <c r="F70" s="203">
        <v>1</v>
      </c>
      <c r="G70" s="202">
        <v>7</v>
      </c>
      <c r="H70" s="427">
        <f t="shared" si="25"/>
        <v>31.5</v>
      </c>
      <c r="I70" s="204">
        <f t="shared" si="26"/>
        <v>52.125</v>
      </c>
      <c r="J70" s="492">
        <f t="shared" si="28"/>
        <v>52.125</v>
      </c>
      <c r="K70" s="203"/>
      <c r="L70" s="203"/>
      <c r="M70" s="161"/>
    </row>
    <row r="71" spans="1:13" ht="26.25" customHeight="1">
      <c r="A71" s="198" t="s">
        <v>664</v>
      </c>
      <c r="B71" s="218" t="s">
        <v>888</v>
      </c>
      <c r="C71" s="202">
        <v>3</v>
      </c>
      <c r="D71" s="206">
        <v>1.5</v>
      </c>
      <c r="E71" s="202">
        <v>1</v>
      </c>
      <c r="F71" s="203">
        <v>1</v>
      </c>
      <c r="G71" s="202">
        <v>7</v>
      </c>
      <c r="H71" s="427">
        <f t="shared" si="25"/>
        <v>31.5</v>
      </c>
      <c r="I71" s="204">
        <f t="shared" si="26"/>
        <v>52.125</v>
      </c>
      <c r="J71" s="492">
        <f t="shared" si="28"/>
        <v>52.125</v>
      </c>
      <c r="K71" s="203"/>
      <c r="L71" s="203"/>
      <c r="M71" s="161"/>
    </row>
    <row r="72" spans="1:13" ht="15.75" customHeight="1">
      <c r="A72" s="198" t="s">
        <v>667</v>
      </c>
      <c r="B72" s="218" t="s">
        <v>889</v>
      </c>
      <c r="C72" s="202">
        <v>3</v>
      </c>
      <c r="D72" s="206">
        <v>1.5</v>
      </c>
      <c r="E72" s="202">
        <v>1</v>
      </c>
      <c r="F72" s="203">
        <v>1</v>
      </c>
      <c r="G72" s="202">
        <v>19</v>
      </c>
      <c r="H72" s="427">
        <f t="shared" si="25"/>
        <v>85.5</v>
      </c>
      <c r="I72" s="204">
        <f t="shared" si="26"/>
        <v>52.125</v>
      </c>
      <c r="J72" s="492">
        <f t="shared" si="28"/>
        <v>52.125</v>
      </c>
      <c r="K72" s="203"/>
      <c r="L72" s="203"/>
      <c r="M72" s="161"/>
    </row>
    <row r="73" spans="1:13" ht="27.75" customHeight="1">
      <c r="A73" s="198" t="s">
        <v>505</v>
      </c>
      <c r="B73" s="218" t="s">
        <v>890</v>
      </c>
      <c r="C73" s="202">
        <v>3</v>
      </c>
      <c r="D73" s="206">
        <v>1.5</v>
      </c>
      <c r="E73" s="202">
        <v>1</v>
      </c>
      <c r="F73" s="203">
        <v>1</v>
      </c>
      <c r="G73" s="202">
        <v>19</v>
      </c>
      <c r="H73" s="427">
        <f t="shared" si="25"/>
        <v>85.5</v>
      </c>
      <c r="I73" s="204">
        <f t="shared" si="26"/>
        <v>52.125</v>
      </c>
      <c r="J73" s="492">
        <f t="shared" si="28"/>
        <v>52.125</v>
      </c>
      <c r="K73" s="203"/>
      <c r="L73" s="203"/>
      <c r="M73" s="161"/>
    </row>
    <row r="74" spans="1:13" ht="33.75" customHeight="1">
      <c r="A74" s="198" t="s">
        <v>668</v>
      </c>
      <c r="B74" s="218" t="s">
        <v>891</v>
      </c>
      <c r="C74" s="202">
        <v>3</v>
      </c>
      <c r="D74" s="206">
        <v>1.5</v>
      </c>
      <c r="E74" s="202">
        <v>1</v>
      </c>
      <c r="F74" s="203">
        <v>1</v>
      </c>
      <c r="G74" s="202">
        <v>19</v>
      </c>
      <c r="H74" s="426">
        <f t="shared" si="25"/>
        <v>85.5</v>
      </c>
      <c r="I74" s="204">
        <f t="shared" si="26"/>
        <v>52.125</v>
      </c>
      <c r="J74" s="493"/>
      <c r="K74" s="493">
        <v>52.125</v>
      </c>
      <c r="L74" s="203"/>
      <c r="M74" s="161"/>
    </row>
    <row r="75" spans="1:13" ht="15.75" customHeight="1">
      <c r="A75" s="198" t="s">
        <v>670</v>
      </c>
      <c r="B75" s="218" t="s">
        <v>892</v>
      </c>
      <c r="C75" s="202">
        <v>3</v>
      </c>
      <c r="D75" s="206">
        <v>1.5</v>
      </c>
      <c r="E75" s="202">
        <v>1</v>
      </c>
      <c r="F75" s="203">
        <v>1</v>
      </c>
      <c r="G75" s="202">
        <v>19</v>
      </c>
      <c r="H75" s="427">
        <f t="shared" si="25"/>
        <v>85.5</v>
      </c>
      <c r="I75" s="204">
        <f t="shared" si="26"/>
        <v>52.125</v>
      </c>
      <c r="J75" s="492">
        <f t="shared" ref="J75:J76" si="29">I75</f>
        <v>52.125</v>
      </c>
      <c r="K75" s="203"/>
      <c r="L75" s="203"/>
      <c r="M75" s="161"/>
    </row>
    <row r="76" spans="1:13" ht="15.75" customHeight="1">
      <c r="A76" s="198" t="s">
        <v>672</v>
      </c>
      <c r="B76" s="218" t="s">
        <v>893</v>
      </c>
      <c r="C76" s="202">
        <v>3</v>
      </c>
      <c r="D76" s="206">
        <v>1.5</v>
      </c>
      <c r="E76" s="202">
        <v>1</v>
      </c>
      <c r="F76" s="203">
        <v>1</v>
      </c>
      <c r="G76" s="202">
        <v>19</v>
      </c>
      <c r="H76" s="427">
        <f t="shared" si="25"/>
        <v>85.5</v>
      </c>
      <c r="I76" s="204">
        <f t="shared" si="26"/>
        <v>52.125</v>
      </c>
      <c r="J76" s="492">
        <f t="shared" si="29"/>
        <v>52.125</v>
      </c>
      <c r="K76" s="203"/>
      <c r="L76" s="203"/>
      <c r="M76" s="161"/>
    </row>
    <row r="77" spans="1:13" ht="15.75" customHeight="1">
      <c r="A77" s="189" t="s">
        <v>284</v>
      </c>
      <c r="B77" s="190" t="s">
        <v>514</v>
      </c>
      <c r="C77" s="194">
        <f>C78+C88</f>
        <v>0</v>
      </c>
      <c r="D77" s="192"/>
      <c r="E77" s="194">
        <f>E78+E88</f>
        <v>0</v>
      </c>
      <c r="F77" s="191"/>
      <c r="G77" s="194"/>
      <c r="H77" s="193">
        <f t="shared" ref="H77:L77" si="30">H78+H88</f>
        <v>0</v>
      </c>
      <c r="I77" s="193">
        <f t="shared" si="30"/>
        <v>0</v>
      </c>
      <c r="J77" s="487">
        <f t="shared" si="30"/>
        <v>0</v>
      </c>
      <c r="K77" s="191">
        <f t="shared" si="30"/>
        <v>0</v>
      </c>
      <c r="L77" s="191">
        <f t="shared" si="30"/>
        <v>0</v>
      </c>
      <c r="M77" s="161"/>
    </row>
    <row r="78" spans="1:13" ht="15.75" customHeight="1">
      <c r="A78" s="189">
        <v>1</v>
      </c>
      <c r="B78" s="107" t="s">
        <v>515</v>
      </c>
      <c r="C78" s="194">
        <f>C79+C84</f>
        <v>0</v>
      </c>
      <c r="D78" s="192"/>
      <c r="E78" s="194">
        <f>E79+E84</f>
        <v>0</v>
      </c>
      <c r="F78" s="191"/>
      <c r="G78" s="194"/>
      <c r="H78" s="193">
        <f t="shared" ref="H78:L78" si="31">H79+H84</f>
        <v>0</v>
      </c>
      <c r="I78" s="193">
        <f t="shared" si="31"/>
        <v>0</v>
      </c>
      <c r="J78" s="487">
        <f t="shared" si="31"/>
        <v>0</v>
      </c>
      <c r="K78" s="191">
        <f t="shared" si="31"/>
        <v>0</v>
      </c>
      <c r="L78" s="191">
        <f t="shared" si="31"/>
        <v>0</v>
      </c>
      <c r="M78" s="161"/>
    </row>
    <row r="79" spans="1:13" ht="38.25" customHeight="1">
      <c r="A79" s="106">
        <v>1.1000000000000001</v>
      </c>
      <c r="B79" s="107" t="s">
        <v>516</v>
      </c>
      <c r="C79" s="194">
        <f>SUM(C80:C83)</f>
        <v>0</v>
      </c>
      <c r="D79" s="192"/>
      <c r="E79" s="194">
        <f>SUM(E80:E83)</f>
        <v>0</v>
      </c>
      <c r="F79" s="191"/>
      <c r="G79" s="194"/>
      <c r="H79" s="193">
        <f t="shared" ref="H79:L79" si="32">SUM(H80:H83)</f>
        <v>0</v>
      </c>
      <c r="I79" s="193">
        <f t="shared" si="32"/>
        <v>0</v>
      </c>
      <c r="J79" s="487">
        <f t="shared" si="32"/>
        <v>0</v>
      </c>
      <c r="K79" s="191">
        <f t="shared" si="32"/>
        <v>0</v>
      </c>
      <c r="L79" s="191">
        <f t="shared" si="32"/>
        <v>0</v>
      </c>
      <c r="M79" s="161"/>
    </row>
    <row r="80" spans="1:13" ht="15.75" customHeight="1">
      <c r="A80" s="207" t="s">
        <v>479</v>
      </c>
      <c r="B80" s="67" t="s">
        <v>482</v>
      </c>
      <c r="C80" s="202"/>
      <c r="D80" s="206"/>
      <c r="E80" s="202"/>
      <c r="F80" s="203"/>
      <c r="G80" s="202"/>
      <c r="H80" s="427">
        <f t="shared" ref="H80:H83" si="33">C80*D80*G80</f>
        <v>0</v>
      </c>
      <c r="I80" s="204">
        <f t="shared" ref="I80:I83" si="34">C80*E80*F80*16.5</f>
        <v>0</v>
      </c>
      <c r="J80" s="490"/>
      <c r="K80" s="203"/>
      <c r="L80" s="203"/>
      <c r="M80" s="161"/>
    </row>
    <row r="81" spans="1:13" ht="15.75" customHeight="1">
      <c r="A81" s="207" t="s">
        <v>483</v>
      </c>
      <c r="B81" s="67" t="s">
        <v>482</v>
      </c>
      <c r="C81" s="202"/>
      <c r="D81" s="206"/>
      <c r="E81" s="202"/>
      <c r="F81" s="203"/>
      <c r="G81" s="202"/>
      <c r="H81" s="427">
        <f t="shared" si="33"/>
        <v>0</v>
      </c>
      <c r="I81" s="204">
        <f t="shared" si="34"/>
        <v>0</v>
      </c>
      <c r="J81" s="500"/>
      <c r="K81" s="203"/>
      <c r="L81" s="203"/>
      <c r="M81" s="161"/>
    </row>
    <row r="82" spans="1:13" ht="15.75" customHeight="1">
      <c r="A82" s="207" t="s">
        <v>484</v>
      </c>
      <c r="B82" s="67" t="s">
        <v>482</v>
      </c>
      <c r="C82" s="202"/>
      <c r="D82" s="206"/>
      <c r="E82" s="202"/>
      <c r="F82" s="203"/>
      <c r="G82" s="202"/>
      <c r="H82" s="427">
        <f t="shared" si="33"/>
        <v>0</v>
      </c>
      <c r="I82" s="204">
        <f t="shared" si="34"/>
        <v>0</v>
      </c>
      <c r="J82" s="500"/>
      <c r="K82" s="203"/>
      <c r="L82" s="203"/>
      <c r="M82" s="161"/>
    </row>
    <row r="83" spans="1:13" ht="15.75" customHeight="1">
      <c r="A83" s="207" t="s">
        <v>485</v>
      </c>
      <c r="B83" s="67" t="s">
        <v>482</v>
      </c>
      <c r="C83" s="202"/>
      <c r="D83" s="206"/>
      <c r="E83" s="202"/>
      <c r="F83" s="203"/>
      <c r="G83" s="202"/>
      <c r="H83" s="427">
        <f t="shared" si="33"/>
        <v>0</v>
      </c>
      <c r="I83" s="204">
        <f t="shared" si="34"/>
        <v>0</v>
      </c>
      <c r="J83" s="490"/>
      <c r="K83" s="203"/>
      <c r="L83" s="203"/>
      <c r="M83" s="161"/>
    </row>
    <row r="84" spans="1:13" ht="43.5" customHeight="1">
      <c r="A84" s="208">
        <v>1.2</v>
      </c>
      <c r="B84" s="67" t="s">
        <v>493</v>
      </c>
      <c r="C84" s="209">
        <f>SUM(C85:C87)</f>
        <v>0</v>
      </c>
      <c r="D84" s="425"/>
      <c r="E84" s="209">
        <f>SUM(E85:E87)</f>
        <v>0</v>
      </c>
      <c r="F84" s="426"/>
      <c r="G84" s="209"/>
      <c r="H84" s="441">
        <f t="shared" ref="H84:L84" si="35">SUM(H85:H87)</f>
        <v>0</v>
      </c>
      <c r="I84" s="441">
        <f t="shared" si="35"/>
        <v>0</v>
      </c>
      <c r="J84" s="501">
        <f t="shared" si="35"/>
        <v>0</v>
      </c>
      <c r="K84" s="442">
        <f t="shared" si="35"/>
        <v>0</v>
      </c>
      <c r="L84" s="442">
        <f t="shared" si="35"/>
        <v>0</v>
      </c>
      <c r="M84" s="161"/>
    </row>
    <row r="85" spans="1:13" ht="15.75" customHeight="1">
      <c r="A85" s="207" t="s">
        <v>481</v>
      </c>
      <c r="B85" s="67" t="s">
        <v>482</v>
      </c>
      <c r="C85" s="202"/>
      <c r="D85" s="206"/>
      <c r="E85" s="202"/>
      <c r="F85" s="203"/>
      <c r="G85" s="202"/>
      <c r="H85" s="427">
        <f t="shared" ref="H85:H87" si="36">C85*D85*G85</f>
        <v>0</v>
      </c>
      <c r="I85" s="204">
        <f t="shared" ref="I85:I87" si="37">C85*E85*F85*16.5</f>
        <v>0</v>
      </c>
      <c r="J85" s="490"/>
      <c r="K85" s="203"/>
      <c r="L85" s="203"/>
      <c r="M85" s="161"/>
    </row>
    <row r="86" spans="1:13" ht="15.75" customHeight="1">
      <c r="A86" s="207" t="s">
        <v>483</v>
      </c>
      <c r="B86" s="67" t="s">
        <v>482</v>
      </c>
      <c r="C86" s="202"/>
      <c r="D86" s="206"/>
      <c r="E86" s="202"/>
      <c r="F86" s="203"/>
      <c r="G86" s="202"/>
      <c r="H86" s="427">
        <f t="shared" si="36"/>
        <v>0</v>
      </c>
      <c r="I86" s="204">
        <f t="shared" si="37"/>
        <v>0</v>
      </c>
      <c r="J86" s="500"/>
      <c r="K86" s="203"/>
      <c r="L86" s="203"/>
      <c r="M86" s="161"/>
    </row>
    <row r="87" spans="1:13" ht="15.75" customHeight="1">
      <c r="A87" s="207" t="s">
        <v>486</v>
      </c>
      <c r="B87" s="67" t="s">
        <v>482</v>
      </c>
      <c r="C87" s="202"/>
      <c r="D87" s="206"/>
      <c r="E87" s="202"/>
      <c r="F87" s="203"/>
      <c r="G87" s="202"/>
      <c r="H87" s="427">
        <f t="shared" si="36"/>
        <v>0</v>
      </c>
      <c r="I87" s="204">
        <f t="shared" si="37"/>
        <v>0</v>
      </c>
      <c r="J87" s="490"/>
      <c r="K87" s="203"/>
      <c r="L87" s="203"/>
      <c r="M87" s="161"/>
    </row>
    <row r="88" spans="1:13" ht="15.75" customHeight="1">
      <c r="A88" s="189">
        <v>2</v>
      </c>
      <c r="B88" s="190" t="s">
        <v>519</v>
      </c>
      <c r="C88" s="194">
        <f>C89+C93</f>
        <v>0</v>
      </c>
      <c r="D88" s="192"/>
      <c r="E88" s="194">
        <f>E89+E93</f>
        <v>0</v>
      </c>
      <c r="F88" s="191"/>
      <c r="G88" s="194"/>
      <c r="H88" s="193">
        <f t="shared" ref="H88:L88" si="38">H89+H93</f>
        <v>0</v>
      </c>
      <c r="I88" s="193">
        <f t="shared" si="38"/>
        <v>0</v>
      </c>
      <c r="J88" s="487">
        <f t="shared" si="38"/>
        <v>0</v>
      </c>
      <c r="K88" s="191">
        <f t="shared" si="38"/>
        <v>0</v>
      </c>
      <c r="L88" s="191">
        <f t="shared" si="38"/>
        <v>0</v>
      </c>
      <c r="M88" s="161"/>
    </row>
    <row r="89" spans="1:13" ht="42" customHeight="1">
      <c r="A89" s="106" t="s">
        <v>520</v>
      </c>
      <c r="B89" s="107" t="s">
        <v>516</v>
      </c>
      <c r="C89" s="194">
        <f>SUM(C90:C92)</f>
        <v>0</v>
      </c>
      <c r="D89" s="192"/>
      <c r="E89" s="194">
        <f>SUM(E90:E92)</f>
        <v>0</v>
      </c>
      <c r="F89" s="191"/>
      <c r="G89" s="194"/>
      <c r="H89" s="193">
        <f t="shared" ref="H89:L89" si="39">SUM(H90:H92)</f>
        <v>0</v>
      </c>
      <c r="I89" s="193">
        <f t="shared" si="39"/>
        <v>0</v>
      </c>
      <c r="J89" s="487">
        <f t="shared" si="39"/>
        <v>0</v>
      </c>
      <c r="K89" s="191">
        <f t="shared" si="39"/>
        <v>0</v>
      </c>
      <c r="L89" s="191">
        <f t="shared" si="39"/>
        <v>0</v>
      </c>
      <c r="M89" s="161"/>
    </row>
    <row r="90" spans="1:13" ht="15.75" customHeight="1">
      <c r="A90" s="207" t="s">
        <v>479</v>
      </c>
      <c r="B90" s="67" t="s">
        <v>482</v>
      </c>
      <c r="C90" s="202"/>
      <c r="D90" s="206"/>
      <c r="E90" s="202"/>
      <c r="F90" s="203"/>
      <c r="G90" s="202"/>
      <c r="H90" s="427">
        <f t="shared" ref="H90:H92" si="40">C90*D90*G90</f>
        <v>0</v>
      </c>
      <c r="I90" s="204">
        <f t="shared" ref="I90:I92" si="41">C90*E90*F90*16.5</f>
        <v>0</v>
      </c>
      <c r="J90" s="490"/>
      <c r="K90" s="203"/>
      <c r="L90" s="203"/>
      <c r="M90" s="161"/>
    </row>
    <row r="91" spans="1:13" ht="15.75" customHeight="1">
      <c r="A91" s="207" t="s">
        <v>481</v>
      </c>
      <c r="B91" s="67" t="s">
        <v>482</v>
      </c>
      <c r="C91" s="202"/>
      <c r="D91" s="206"/>
      <c r="E91" s="202"/>
      <c r="F91" s="203"/>
      <c r="G91" s="202"/>
      <c r="H91" s="427">
        <f t="shared" si="40"/>
        <v>0</v>
      </c>
      <c r="I91" s="204">
        <f t="shared" si="41"/>
        <v>0</v>
      </c>
      <c r="J91" s="490"/>
      <c r="K91" s="203"/>
      <c r="L91" s="203"/>
      <c r="M91" s="161"/>
    </row>
    <row r="92" spans="1:13" ht="15.75" customHeight="1">
      <c r="A92" s="207" t="s">
        <v>483</v>
      </c>
      <c r="B92" s="67" t="s">
        <v>482</v>
      </c>
      <c r="C92" s="202"/>
      <c r="D92" s="206"/>
      <c r="E92" s="202"/>
      <c r="F92" s="203"/>
      <c r="G92" s="202"/>
      <c r="H92" s="427">
        <f t="shared" si="40"/>
        <v>0</v>
      </c>
      <c r="I92" s="204">
        <f t="shared" si="41"/>
        <v>0</v>
      </c>
      <c r="J92" s="490"/>
      <c r="K92" s="203"/>
      <c r="L92" s="203"/>
      <c r="M92" s="161"/>
    </row>
    <row r="93" spans="1:13" ht="56.25" customHeight="1">
      <c r="A93" s="198" t="s">
        <v>520</v>
      </c>
      <c r="B93" s="67" t="s">
        <v>493</v>
      </c>
      <c r="C93" s="209">
        <f>SUM(C94:C96)</f>
        <v>0</v>
      </c>
      <c r="D93" s="425"/>
      <c r="E93" s="209">
        <f>SUM(E94:E96)</f>
        <v>0</v>
      </c>
      <c r="F93" s="426"/>
      <c r="G93" s="209"/>
      <c r="H93" s="441">
        <f t="shared" ref="H93:L93" si="42">SUM(H94:H96)</f>
        <v>0</v>
      </c>
      <c r="I93" s="441">
        <f t="shared" si="42"/>
        <v>0</v>
      </c>
      <c r="J93" s="501">
        <f t="shared" si="42"/>
        <v>0</v>
      </c>
      <c r="K93" s="442">
        <f t="shared" si="42"/>
        <v>0</v>
      </c>
      <c r="L93" s="442">
        <f t="shared" si="42"/>
        <v>0</v>
      </c>
      <c r="M93" s="161"/>
    </row>
    <row r="94" spans="1:13" ht="15.75" customHeight="1">
      <c r="A94" s="207" t="s">
        <v>486</v>
      </c>
      <c r="B94" s="67" t="s">
        <v>482</v>
      </c>
      <c r="C94" s="202"/>
      <c r="D94" s="206"/>
      <c r="E94" s="202"/>
      <c r="F94" s="203"/>
      <c r="G94" s="202"/>
      <c r="H94" s="427">
        <f t="shared" ref="H94:H96" si="43">C94*D94*G94</f>
        <v>0</v>
      </c>
      <c r="I94" s="204">
        <f t="shared" ref="I94:I96" si="44">C94*E94*F94*16.5</f>
        <v>0</v>
      </c>
      <c r="J94" s="490"/>
      <c r="K94" s="203"/>
      <c r="L94" s="203"/>
      <c r="M94" s="161"/>
    </row>
    <row r="95" spans="1:13" ht="15.75" customHeight="1">
      <c r="A95" s="207" t="s">
        <v>487</v>
      </c>
      <c r="B95" s="67" t="s">
        <v>482</v>
      </c>
      <c r="C95" s="202"/>
      <c r="D95" s="206"/>
      <c r="E95" s="202"/>
      <c r="F95" s="203"/>
      <c r="G95" s="202"/>
      <c r="H95" s="427">
        <f t="shared" si="43"/>
        <v>0</v>
      </c>
      <c r="I95" s="204">
        <f t="shared" si="44"/>
        <v>0</v>
      </c>
      <c r="J95" s="490"/>
      <c r="K95" s="203"/>
      <c r="L95" s="203"/>
      <c r="M95" s="161"/>
    </row>
    <row r="96" spans="1:13" ht="12" customHeight="1">
      <c r="A96" s="207" t="s">
        <v>488</v>
      </c>
      <c r="B96" s="67" t="s">
        <v>482</v>
      </c>
      <c r="C96" s="202"/>
      <c r="D96" s="206"/>
      <c r="E96" s="202"/>
      <c r="F96" s="203"/>
      <c r="G96" s="202"/>
      <c r="H96" s="427">
        <f t="shared" si="43"/>
        <v>0</v>
      </c>
      <c r="I96" s="204">
        <f t="shared" si="44"/>
        <v>0</v>
      </c>
      <c r="J96" s="490"/>
      <c r="K96" s="203"/>
      <c r="L96" s="203"/>
      <c r="M96" s="161"/>
    </row>
  </sheetData>
  <mergeCells count="16">
    <mergeCell ref="A1:C1"/>
    <mergeCell ref="A2:C2"/>
    <mergeCell ref="B7:B8"/>
    <mergeCell ref="C7:C8"/>
    <mergeCell ref="D7:D8"/>
    <mergeCell ref="J2:L2"/>
    <mergeCell ref="A3:L3"/>
    <mergeCell ref="A4:L4"/>
    <mergeCell ref="A5:L5"/>
    <mergeCell ref="A7:A8"/>
    <mergeCell ref="J7:L7"/>
    <mergeCell ref="G7:G8"/>
    <mergeCell ref="H7:H8"/>
    <mergeCell ref="I7:I8"/>
    <mergeCell ref="E7:E8"/>
    <mergeCell ref="F7:F8"/>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97"/>
  <sheetViews>
    <sheetView workbookViewId="0">
      <pane xSplit="2" ySplit="10" topLeftCell="C11"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39.42578125" customWidth="1"/>
    <col min="3" max="3" width="6.140625" customWidth="1"/>
    <col min="4" max="4" width="22" customWidth="1"/>
    <col min="5" max="5" width="11.42578125" customWidth="1"/>
    <col min="8" max="8" width="15.140625" customWidth="1"/>
    <col min="9" max="9" width="12.7109375" customWidth="1"/>
    <col min="10" max="10" width="13.7109375" customWidth="1"/>
    <col min="11" max="11" width="8.42578125" customWidth="1"/>
    <col min="12" max="12" width="6.7109375" customWidth="1"/>
    <col min="13" max="26" width="8.7109375" customWidth="1"/>
  </cols>
  <sheetData>
    <row r="1" spans="1:13" ht="14.25" customHeight="1">
      <c r="A1" s="2823" t="s">
        <v>830</v>
      </c>
      <c r="B1" s="2732"/>
      <c r="C1" s="2732"/>
      <c r="D1" s="236"/>
      <c r="E1" s="139"/>
      <c r="F1" s="139"/>
      <c r="G1" s="139"/>
      <c r="H1" s="139"/>
      <c r="I1" s="95" t="s">
        <v>451</v>
      </c>
      <c r="J1" s="1864"/>
      <c r="K1" s="178"/>
      <c r="L1" s="178"/>
      <c r="M1" s="41"/>
    </row>
    <row r="2" spans="1:13">
      <c r="A2" s="2790" t="s">
        <v>894</v>
      </c>
      <c r="B2" s="2732"/>
      <c r="C2" s="2732"/>
      <c r="D2" s="238"/>
      <c r="E2" s="43"/>
      <c r="F2" s="43"/>
      <c r="G2" s="43"/>
      <c r="H2" s="43"/>
      <c r="I2" s="91"/>
      <c r="J2" s="2798"/>
      <c r="K2" s="2732"/>
      <c r="L2" s="2732"/>
      <c r="M2" s="41"/>
    </row>
    <row r="3" spans="1:13" ht="30" customHeight="1">
      <c r="A3" s="2773" t="s">
        <v>832</v>
      </c>
      <c r="B3" s="2732"/>
      <c r="C3" s="2732"/>
      <c r="D3" s="2732"/>
      <c r="E3" s="2732"/>
      <c r="F3" s="2732"/>
      <c r="G3" s="2732"/>
      <c r="H3" s="2732"/>
      <c r="I3" s="2732"/>
      <c r="J3" s="2732"/>
      <c r="K3" s="2732"/>
      <c r="L3" s="2732"/>
      <c r="M3" s="41"/>
    </row>
    <row r="4" spans="1:13" ht="21.75" customHeight="1">
      <c r="A4" s="2812" t="s">
        <v>431</v>
      </c>
      <c r="B4" s="2732"/>
      <c r="C4" s="2732"/>
      <c r="D4" s="2732"/>
      <c r="E4" s="2732"/>
      <c r="F4" s="2732"/>
      <c r="G4" s="2732"/>
      <c r="H4" s="2732"/>
      <c r="I4" s="2732"/>
      <c r="J4" s="2732"/>
      <c r="K4" s="2732"/>
      <c r="L4" s="2732"/>
      <c r="M4" s="41"/>
    </row>
    <row r="5" spans="1:13" ht="24" customHeight="1">
      <c r="A5" s="2813" t="s">
        <v>432</v>
      </c>
      <c r="B5" s="2732"/>
      <c r="C5" s="2732"/>
      <c r="D5" s="2732"/>
      <c r="E5" s="2732"/>
      <c r="F5" s="2732"/>
      <c r="G5" s="2732"/>
      <c r="H5" s="2732"/>
      <c r="I5" s="2732"/>
      <c r="J5" s="2732"/>
      <c r="K5" s="2732"/>
      <c r="L5" s="2732"/>
      <c r="M5" s="41"/>
    </row>
    <row r="6" spans="1:13" ht="4.5" customHeight="1">
      <c r="A6" s="46"/>
      <c r="B6" s="46"/>
      <c r="C6" s="46"/>
      <c r="D6" s="46"/>
      <c r="E6" s="46"/>
      <c r="F6" s="46"/>
      <c r="G6" s="46"/>
      <c r="H6" s="46"/>
      <c r="I6" s="46"/>
      <c r="J6" s="46"/>
      <c r="K6" s="46"/>
      <c r="L6" s="46"/>
      <c r="M6" s="41"/>
    </row>
    <row r="7" spans="1:13" ht="36.75" customHeight="1">
      <c r="A7" s="2842" t="s">
        <v>186</v>
      </c>
      <c r="B7" s="2828" t="s">
        <v>453</v>
      </c>
      <c r="C7" s="2828" t="s">
        <v>454</v>
      </c>
      <c r="D7" s="2824" t="s">
        <v>528</v>
      </c>
      <c r="E7" s="2819" t="s">
        <v>456</v>
      </c>
      <c r="F7" s="2819" t="s">
        <v>457</v>
      </c>
      <c r="G7" s="2819" t="s">
        <v>895</v>
      </c>
      <c r="H7" s="2821" t="s">
        <v>459</v>
      </c>
      <c r="I7" s="2822" t="s">
        <v>439</v>
      </c>
      <c r="J7" s="2816" t="s">
        <v>622</v>
      </c>
      <c r="K7" s="2817"/>
      <c r="L7" s="2818"/>
      <c r="M7" s="41"/>
    </row>
    <row r="8" spans="1:13" ht="24" customHeight="1">
      <c r="A8" s="2843"/>
      <c r="B8" s="2779"/>
      <c r="C8" s="2779"/>
      <c r="D8" s="2820"/>
      <c r="E8" s="2820"/>
      <c r="F8" s="2820"/>
      <c r="G8" s="2820"/>
      <c r="H8" s="2820"/>
      <c r="I8" s="2820"/>
      <c r="J8" s="122" t="s">
        <v>461</v>
      </c>
      <c r="K8" s="122" t="s">
        <v>462</v>
      </c>
      <c r="L8" s="122" t="s">
        <v>463</v>
      </c>
      <c r="M8" s="41"/>
    </row>
    <row r="9" spans="1:13" ht="26.25" customHeight="1">
      <c r="A9" s="444" t="s">
        <v>465</v>
      </c>
      <c r="B9" s="445" t="s">
        <v>466</v>
      </c>
      <c r="C9" s="445" t="s">
        <v>467</v>
      </c>
      <c r="D9" s="184" t="s">
        <v>468</v>
      </c>
      <c r="E9" s="185" t="s">
        <v>469</v>
      </c>
      <c r="F9" s="185" t="s">
        <v>470</v>
      </c>
      <c r="G9" s="185" t="s">
        <v>471</v>
      </c>
      <c r="H9" s="186" t="s">
        <v>472</v>
      </c>
      <c r="I9" s="419" t="s">
        <v>770</v>
      </c>
      <c r="J9" s="185" t="s">
        <v>474</v>
      </c>
      <c r="K9" s="185" t="s">
        <v>475</v>
      </c>
      <c r="L9" s="187">
        <v>-12</v>
      </c>
      <c r="M9" s="243"/>
    </row>
    <row r="10" spans="1:13" ht="27" customHeight="1">
      <c r="A10" s="446" t="s">
        <v>200</v>
      </c>
      <c r="B10" s="502" t="s">
        <v>548</v>
      </c>
      <c r="C10" s="503"/>
      <c r="D10" s="503"/>
      <c r="E10" s="503"/>
      <c r="F10" s="503"/>
      <c r="G10" s="503"/>
      <c r="H10" s="503"/>
      <c r="I10" s="503"/>
      <c r="J10" s="503"/>
      <c r="K10" s="503"/>
      <c r="L10" s="503"/>
      <c r="M10" s="41"/>
    </row>
    <row r="11" spans="1:13" ht="27" customHeight="1">
      <c r="A11" s="1895" t="s">
        <v>258</v>
      </c>
      <c r="B11" s="1896" t="s">
        <v>477</v>
      </c>
      <c r="C11" s="1917"/>
      <c r="D11" s="1917"/>
      <c r="E11" s="1917"/>
      <c r="F11" s="1917"/>
      <c r="G11" s="1917"/>
      <c r="H11" s="1917"/>
      <c r="I11" s="1917"/>
      <c r="J11" s="1917"/>
      <c r="K11" s="1917"/>
      <c r="L11" s="1917"/>
      <c r="M11" s="41"/>
    </row>
    <row r="12" spans="1:13" ht="17.25" customHeight="1">
      <c r="A12" s="449">
        <v>1</v>
      </c>
      <c r="B12" s="450" t="s">
        <v>441</v>
      </c>
      <c r="C12" s="504">
        <f t="shared" ref="C12:L12" si="0">SUM(C27+C20+C14)</f>
        <v>55</v>
      </c>
      <c r="D12" s="504">
        <f t="shared" si="0"/>
        <v>18.024999999999999</v>
      </c>
      <c r="E12" s="504">
        <f t="shared" si="0"/>
        <v>47</v>
      </c>
      <c r="F12" s="504">
        <f t="shared" si="0"/>
        <v>17.799999999999997</v>
      </c>
      <c r="G12" s="504">
        <f t="shared" si="0"/>
        <v>1830</v>
      </c>
      <c r="H12" s="504">
        <f t="shared" si="0"/>
        <v>5143</v>
      </c>
      <c r="I12" s="504">
        <f t="shared" si="0"/>
        <v>5423.35</v>
      </c>
      <c r="J12" s="504">
        <f t="shared" si="0"/>
        <v>5423.35</v>
      </c>
      <c r="K12" s="504">
        <f t="shared" si="0"/>
        <v>0</v>
      </c>
      <c r="L12" s="504">
        <f t="shared" si="0"/>
        <v>0</v>
      </c>
      <c r="M12" s="41"/>
    </row>
    <row r="13" spans="1:13" ht="15.75" customHeight="1">
      <c r="A13" s="452"/>
      <c r="B13" s="1898" t="s">
        <v>541</v>
      </c>
      <c r="C13" s="454"/>
      <c r="D13" s="454"/>
      <c r="E13" s="454"/>
      <c r="F13" s="454"/>
      <c r="G13" s="454"/>
      <c r="H13" s="454"/>
      <c r="I13" s="454"/>
      <c r="J13" s="455"/>
      <c r="K13" s="455"/>
      <c r="L13" s="455"/>
      <c r="M13" s="254"/>
    </row>
    <row r="14" spans="1:13" ht="15.75" customHeight="1">
      <c r="A14" s="452" t="s">
        <v>263</v>
      </c>
      <c r="B14" s="506" t="s">
        <v>896</v>
      </c>
      <c r="C14" s="454">
        <f t="shared" ref="C14:L14" si="1">SUM(C15:C19)</f>
        <v>17</v>
      </c>
      <c r="D14" s="454">
        <f t="shared" si="1"/>
        <v>5.4499999999999993</v>
      </c>
      <c r="E14" s="454">
        <f t="shared" si="1"/>
        <v>17</v>
      </c>
      <c r="F14" s="454">
        <f t="shared" si="1"/>
        <v>6.1999999999999993</v>
      </c>
      <c r="G14" s="454">
        <f t="shared" si="1"/>
        <v>330</v>
      </c>
      <c r="H14" s="454">
        <f t="shared" si="1"/>
        <v>1209</v>
      </c>
      <c r="I14" s="507">
        <f t="shared" si="1"/>
        <v>1547.85</v>
      </c>
      <c r="J14" s="507">
        <f t="shared" si="1"/>
        <v>1547.85</v>
      </c>
      <c r="K14" s="454">
        <f t="shared" si="1"/>
        <v>0</v>
      </c>
      <c r="L14" s="454">
        <f t="shared" si="1"/>
        <v>0</v>
      </c>
      <c r="M14" s="254"/>
    </row>
    <row r="15" spans="1:13" ht="15.75" customHeight="1">
      <c r="A15" s="1899" t="s">
        <v>479</v>
      </c>
      <c r="B15" s="1905" t="s">
        <v>897</v>
      </c>
      <c r="C15" s="1900">
        <v>4</v>
      </c>
      <c r="D15" s="1900">
        <v>1.075</v>
      </c>
      <c r="E15" s="1900">
        <v>1</v>
      </c>
      <c r="F15" s="1900">
        <v>1</v>
      </c>
      <c r="G15" s="1900">
        <v>50</v>
      </c>
      <c r="H15" s="458">
        <f t="shared" ref="H15:H19" si="2">C15*D15*G15</f>
        <v>215</v>
      </c>
      <c r="I15" s="508">
        <f>(C15-1)*F15*16.5*E15+1*15*E15*3</f>
        <v>94.5</v>
      </c>
      <c r="J15" s="509">
        <f t="shared" ref="J15:J19" si="3">I15</f>
        <v>94.5</v>
      </c>
      <c r="K15" s="461">
        <v>0</v>
      </c>
      <c r="L15" s="461">
        <v>0</v>
      </c>
      <c r="M15" s="254" t="s">
        <v>898</v>
      </c>
    </row>
    <row r="16" spans="1:13" ht="15.75" customHeight="1">
      <c r="A16" s="1899" t="s">
        <v>481</v>
      </c>
      <c r="B16" s="1905" t="s">
        <v>899</v>
      </c>
      <c r="C16" s="458">
        <v>3</v>
      </c>
      <c r="D16" s="458">
        <v>1.1000000000000001</v>
      </c>
      <c r="E16" s="458">
        <v>3</v>
      </c>
      <c r="F16" s="458">
        <v>1.3</v>
      </c>
      <c r="G16" s="458">
        <v>70</v>
      </c>
      <c r="H16" s="458">
        <f t="shared" si="2"/>
        <v>231.00000000000003</v>
      </c>
      <c r="I16" s="508">
        <f>(C16-1)*F16*16.5*E16+1*15*E16*4</f>
        <v>308.7</v>
      </c>
      <c r="J16" s="509">
        <f t="shared" si="3"/>
        <v>308.7</v>
      </c>
      <c r="K16" s="461">
        <v>0</v>
      </c>
      <c r="L16" s="461">
        <v>0</v>
      </c>
      <c r="M16" s="254" t="s">
        <v>900</v>
      </c>
    </row>
    <row r="17" spans="1:13" ht="15.75" customHeight="1">
      <c r="A17" s="1899" t="s">
        <v>483</v>
      </c>
      <c r="B17" s="1905" t="s">
        <v>901</v>
      </c>
      <c r="C17" s="458">
        <v>4</v>
      </c>
      <c r="D17" s="1900">
        <v>1.075</v>
      </c>
      <c r="E17" s="458">
        <v>9</v>
      </c>
      <c r="F17" s="458">
        <v>1.3</v>
      </c>
      <c r="G17" s="458">
        <v>70</v>
      </c>
      <c r="H17" s="458">
        <f t="shared" si="2"/>
        <v>301</v>
      </c>
      <c r="I17" s="508">
        <f>1*F17*16.5*E17+1*E17*4*15</f>
        <v>733.05</v>
      </c>
      <c r="J17" s="509">
        <f t="shared" si="3"/>
        <v>733.05</v>
      </c>
      <c r="K17" s="461">
        <v>0</v>
      </c>
      <c r="L17" s="461">
        <v>0</v>
      </c>
      <c r="M17" s="254" t="s">
        <v>902</v>
      </c>
    </row>
    <row r="18" spans="1:13" ht="15.75" customHeight="1">
      <c r="A18" s="456" t="s">
        <v>484</v>
      </c>
      <c r="B18" s="1905" t="s">
        <v>903</v>
      </c>
      <c r="C18" s="458">
        <v>3</v>
      </c>
      <c r="D18" s="458">
        <v>1.1000000000000001</v>
      </c>
      <c r="E18" s="458">
        <v>2</v>
      </c>
      <c r="F18" s="458">
        <v>1.3</v>
      </c>
      <c r="G18" s="458">
        <v>70</v>
      </c>
      <c r="H18" s="458">
        <f t="shared" si="2"/>
        <v>231.00000000000003</v>
      </c>
      <c r="I18" s="508">
        <f t="shared" ref="I18:I19" si="4">(C18-1)*F18*16.5*E18+1*15*E18*4</f>
        <v>205.8</v>
      </c>
      <c r="J18" s="509">
        <f t="shared" si="3"/>
        <v>205.8</v>
      </c>
      <c r="K18" s="461">
        <v>0</v>
      </c>
      <c r="L18" s="461">
        <v>0</v>
      </c>
      <c r="M18" s="254" t="s">
        <v>904</v>
      </c>
    </row>
    <row r="19" spans="1:13" ht="15.75" customHeight="1">
      <c r="A19" s="456" t="s">
        <v>485</v>
      </c>
      <c r="B19" s="510" t="s">
        <v>905</v>
      </c>
      <c r="C19" s="458">
        <v>3</v>
      </c>
      <c r="D19" s="458">
        <v>1.1000000000000001</v>
      </c>
      <c r="E19" s="458">
        <v>2</v>
      </c>
      <c r="F19" s="458">
        <v>1.3</v>
      </c>
      <c r="G19" s="458">
        <v>70</v>
      </c>
      <c r="H19" s="458">
        <f t="shared" si="2"/>
        <v>231.00000000000003</v>
      </c>
      <c r="I19" s="508">
        <f t="shared" si="4"/>
        <v>205.8</v>
      </c>
      <c r="J19" s="509">
        <f t="shared" si="3"/>
        <v>205.8</v>
      </c>
      <c r="K19" s="461">
        <v>0</v>
      </c>
      <c r="L19" s="461">
        <v>0</v>
      </c>
      <c r="M19" s="254" t="s">
        <v>906</v>
      </c>
    </row>
    <row r="20" spans="1:13" ht="15.75" customHeight="1">
      <c r="A20" s="452" t="s">
        <v>265</v>
      </c>
      <c r="B20" s="1898" t="s">
        <v>907</v>
      </c>
      <c r="C20" s="454">
        <f t="shared" ref="C20:L20" si="5">SUM(C21:C26)</f>
        <v>19</v>
      </c>
      <c r="D20" s="454">
        <f t="shared" si="5"/>
        <v>6.375</v>
      </c>
      <c r="E20" s="454">
        <f t="shared" si="5"/>
        <v>25</v>
      </c>
      <c r="F20" s="454">
        <f t="shared" si="5"/>
        <v>6.6</v>
      </c>
      <c r="G20" s="454">
        <f t="shared" si="5"/>
        <v>240</v>
      </c>
      <c r="H20" s="454">
        <f t="shared" si="5"/>
        <v>850</v>
      </c>
      <c r="I20" s="507">
        <f t="shared" si="5"/>
        <v>2095.5</v>
      </c>
      <c r="J20" s="507">
        <f t="shared" si="5"/>
        <v>2095.5</v>
      </c>
      <c r="K20" s="454">
        <f t="shared" si="5"/>
        <v>0</v>
      </c>
      <c r="L20" s="454">
        <f t="shared" si="5"/>
        <v>0</v>
      </c>
      <c r="M20" s="254"/>
    </row>
    <row r="21" spans="1:13" ht="15.75" customHeight="1">
      <c r="A21" s="456" t="s">
        <v>486</v>
      </c>
      <c r="B21" s="1905" t="s">
        <v>903</v>
      </c>
      <c r="C21" s="458">
        <v>3</v>
      </c>
      <c r="D21" s="458">
        <v>1.1000000000000001</v>
      </c>
      <c r="E21" s="458">
        <v>9</v>
      </c>
      <c r="F21" s="458">
        <v>1.3</v>
      </c>
      <c r="G21" s="458">
        <v>70</v>
      </c>
      <c r="H21" s="458">
        <f t="shared" ref="H21:H26" si="6">C21*D21*G21</f>
        <v>231.00000000000003</v>
      </c>
      <c r="I21" s="508">
        <f>(C21-1)*F21*16.5*E21+1*15*E21*4</f>
        <v>926.09999999999991</v>
      </c>
      <c r="J21" s="509">
        <f t="shared" ref="J21:J26" si="7">I21</f>
        <v>926.09999999999991</v>
      </c>
      <c r="K21" s="461">
        <v>0</v>
      </c>
      <c r="L21" s="461">
        <v>0</v>
      </c>
      <c r="M21" s="254" t="s">
        <v>908</v>
      </c>
    </row>
    <row r="22" spans="1:13" ht="15.75" customHeight="1">
      <c r="A22" s="456" t="s">
        <v>487</v>
      </c>
      <c r="B22" s="1905" t="s">
        <v>901</v>
      </c>
      <c r="C22" s="458">
        <v>4</v>
      </c>
      <c r="D22" s="1900">
        <v>1.075</v>
      </c>
      <c r="E22" s="458">
        <v>12</v>
      </c>
      <c r="F22" s="458">
        <v>1.3</v>
      </c>
      <c r="G22" s="458">
        <v>70</v>
      </c>
      <c r="H22" s="458">
        <f t="shared" si="6"/>
        <v>301</v>
      </c>
      <c r="I22" s="508">
        <f>1*F22*16.5*E22+1*15*E22*4</f>
        <v>977.4</v>
      </c>
      <c r="J22" s="509">
        <f t="shared" si="7"/>
        <v>977.4</v>
      </c>
      <c r="K22" s="461">
        <v>0</v>
      </c>
      <c r="L22" s="461">
        <v>0</v>
      </c>
      <c r="M22" s="254" t="s">
        <v>902</v>
      </c>
    </row>
    <row r="23" spans="1:13" ht="15.75" customHeight="1">
      <c r="A23" s="456" t="s">
        <v>488</v>
      </c>
      <c r="B23" s="1905" t="s">
        <v>909</v>
      </c>
      <c r="C23" s="458">
        <v>3</v>
      </c>
      <c r="D23" s="458">
        <v>1.1000000000000001</v>
      </c>
      <c r="E23" s="458">
        <v>1</v>
      </c>
      <c r="F23" s="458">
        <v>1</v>
      </c>
      <c r="G23" s="458">
        <v>40</v>
      </c>
      <c r="H23" s="458">
        <f t="shared" si="6"/>
        <v>132</v>
      </c>
      <c r="I23" s="508">
        <f t="shared" ref="I23:I24" si="8">(C23-1)*F23*16.5*E23+1*15*E23*2</f>
        <v>63</v>
      </c>
      <c r="J23" s="509">
        <f t="shared" si="7"/>
        <v>63</v>
      </c>
      <c r="K23" s="461">
        <v>0</v>
      </c>
      <c r="L23" s="461">
        <v>0</v>
      </c>
      <c r="M23" s="254" t="s">
        <v>900</v>
      </c>
    </row>
    <row r="24" spans="1:13" ht="15.75" customHeight="1">
      <c r="A24" s="456" t="s">
        <v>489</v>
      </c>
      <c r="B24" s="1905" t="s">
        <v>910</v>
      </c>
      <c r="C24" s="458">
        <v>3</v>
      </c>
      <c r="D24" s="458">
        <v>1.1000000000000001</v>
      </c>
      <c r="E24" s="458">
        <v>1</v>
      </c>
      <c r="F24" s="458">
        <v>1</v>
      </c>
      <c r="G24" s="458">
        <v>20</v>
      </c>
      <c r="H24" s="458">
        <f t="shared" si="6"/>
        <v>66</v>
      </c>
      <c r="I24" s="508">
        <f t="shared" si="8"/>
        <v>63</v>
      </c>
      <c r="J24" s="509">
        <f t="shared" si="7"/>
        <v>63</v>
      </c>
      <c r="K24" s="461">
        <v>0</v>
      </c>
      <c r="L24" s="461">
        <v>0</v>
      </c>
      <c r="M24" s="254" t="s">
        <v>911</v>
      </c>
    </row>
    <row r="25" spans="1:13" ht="15.75" customHeight="1">
      <c r="A25" s="456" t="s">
        <v>490</v>
      </c>
      <c r="B25" s="1905" t="s">
        <v>912</v>
      </c>
      <c r="C25" s="458">
        <v>3</v>
      </c>
      <c r="D25" s="458">
        <v>1</v>
      </c>
      <c r="E25" s="458">
        <v>1</v>
      </c>
      <c r="F25" s="458">
        <v>1</v>
      </c>
      <c r="G25" s="458">
        <v>20</v>
      </c>
      <c r="H25" s="458">
        <f t="shared" si="6"/>
        <v>60</v>
      </c>
      <c r="I25" s="508">
        <f>1*E25*F25*16.5</f>
        <v>16.5</v>
      </c>
      <c r="J25" s="509">
        <f t="shared" si="7"/>
        <v>16.5</v>
      </c>
      <c r="K25" s="461">
        <v>0</v>
      </c>
      <c r="L25" s="461">
        <v>0</v>
      </c>
      <c r="M25" s="254" t="s">
        <v>911</v>
      </c>
    </row>
    <row r="26" spans="1:13" ht="15.75" customHeight="1">
      <c r="A26" s="1903" t="s">
        <v>491</v>
      </c>
      <c r="B26" s="510" t="s">
        <v>913</v>
      </c>
      <c r="C26" s="458">
        <v>3</v>
      </c>
      <c r="D26" s="458">
        <v>1</v>
      </c>
      <c r="E26" s="458">
        <v>1</v>
      </c>
      <c r="F26" s="458">
        <v>1</v>
      </c>
      <c r="G26" s="458">
        <v>20</v>
      </c>
      <c r="H26" s="458">
        <f t="shared" si="6"/>
        <v>60</v>
      </c>
      <c r="I26" s="508">
        <f>C26*E26*F26*16.5</f>
        <v>49.5</v>
      </c>
      <c r="J26" s="509">
        <f t="shared" si="7"/>
        <v>49.5</v>
      </c>
      <c r="K26" s="461">
        <v>0</v>
      </c>
      <c r="L26" s="461">
        <v>0</v>
      </c>
      <c r="M26" s="254" t="s">
        <v>914</v>
      </c>
    </row>
    <row r="27" spans="1:13" ht="15.75" customHeight="1">
      <c r="A27" s="1911"/>
      <c r="B27" s="1912" t="s">
        <v>556</v>
      </c>
      <c r="C27" s="459">
        <f t="shared" ref="C27:K27" si="9">SUM(C28:C32)</f>
        <v>19</v>
      </c>
      <c r="D27" s="459">
        <f t="shared" si="9"/>
        <v>6.2</v>
      </c>
      <c r="E27" s="459">
        <f t="shared" si="9"/>
        <v>5</v>
      </c>
      <c r="F27" s="459">
        <f t="shared" si="9"/>
        <v>5</v>
      </c>
      <c r="G27" s="459">
        <f t="shared" si="9"/>
        <v>1260</v>
      </c>
      <c r="H27" s="459">
        <f t="shared" si="9"/>
        <v>3084</v>
      </c>
      <c r="I27" s="511">
        <f t="shared" si="9"/>
        <v>1780</v>
      </c>
      <c r="J27" s="511">
        <f t="shared" si="9"/>
        <v>1780</v>
      </c>
      <c r="K27" s="459">
        <f t="shared" si="9"/>
        <v>0</v>
      </c>
      <c r="L27" s="459">
        <f>SUM(L28:L31)</f>
        <v>0</v>
      </c>
      <c r="M27" s="254"/>
    </row>
    <row r="28" spans="1:13" ht="16.5" customHeight="1">
      <c r="A28" s="1918" t="s">
        <v>557</v>
      </c>
      <c r="B28" s="1919" t="s">
        <v>915</v>
      </c>
      <c r="C28" s="458">
        <v>8</v>
      </c>
      <c r="D28" s="458">
        <v>1.3</v>
      </c>
      <c r="E28" s="458">
        <v>1</v>
      </c>
      <c r="F28" s="458">
        <v>1</v>
      </c>
      <c r="G28" s="458">
        <v>40</v>
      </c>
      <c r="H28" s="458">
        <f t="shared" ref="H28:H32" si="10">C28*D28*G28</f>
        <v>416</v>
      </c>
      <c r="I28" s="508">
        <f>F28*12*E28*G28</f>
        <v>480</v>
      </c>
      <c r="J28" s="509">
        <f t="shared" ref="J28:J32" si="11">I28</f>
        <v>480</v>
      </c>
      <c r="K28" s="461">
        <v>0</v>
      </c>
      <c r="L28" s="461">
        <v>0</v>
      </c>
      <c r="M28" s="254"/>
    </row>
    <row r="29" spans="1:13" ht="16.5" customHeight="1">
      <c r="A29" s="1918" t="s">
        <v>572</v>
      </c>
      <c r="B29" s="1919" t="s">
        <v>916</v>
      </c>
      <c r="C29" s="458">
        <v>3</v>
      </c>
      <c r="D29" s="458">
        <v>1.3</v>
      </c>
      <c r="E29" s="458">
        <v>1</v>
      </c>
      <c r="F29" s="458">
        <v>1</v>
      </c>
      <c r="G29" s="458">
        <v>40</v>
      </c>
      <c r="H29" s="458">
        <f t="shared" si="10"/>
        <v>156</v>
      </c>
      <c r="I29" s="508">
        <f t="shared" ref="I29:I30" si="12">F29*E29*G29</f>
        <v>40</v>
      </c>
      <c r="J29" s="509">
        <f t="shared" si="11"/>
        <v>40</v>
      </c>
      <c r="K29" s="461">
        <v>0</v>
      </c>
      <c r="L29" s="461">
        <v>0</v>
      </c>
      <c r="M29" s="254"/>
    </row>
    <row r="30" spans="1:13" ht="16.5" customHeight="1">
      <c r="A30" s="1918" t="s">
        <v>573</v>
      </c>
      <c r="B30" s="1919" t="s">
        <v>917</v>
      </c>
      <c r="C30" s="458">
        <v>3</v>
      </c>
      <c r="D30" s="458">
        <v>1.3</v>
      </c>
      <c r="E30" s="458">
        <v>1</v>
      </c>
      <c r="F30" s="458">
        <v>1</v>
      </c>
      <c r="G30" s="458">
        <v>40</v>
      </c>
      <c r="H30" s="458">
        <f t="shared" si="10"/>
        <v>156</v>
      </c>
      <c r="I30" s="508">
        <f t="shared" si="12"/>
        <v>40</v>
      </c>
      <c r="J30" s="509">
        <f t="shared" si="11"/>
        <v>40</v>
      </c>
      <c r="K30" s="461">
        <v>0</v>
      </c>
      <c r="L30" s="461">
        <v>0</v>
      </c>
      <c r="M30" s="254"/>
    </row>
    <row r="31" spans="1:13" ht="16.5" customHeight="1">
      <c r="A31" s="1918" t="s">
        <v>574</v>
      </c>
      <c r="B31" s="1919" t="s">
        <v>918</v>
      </c>
      <c r="C31" s="458">
        <v>3</v>
      </c>
      <c r="D31" s="458">
        <v>1.3</v>
      </c>
      <c r="E31" s="458">
        <v>1</v>
      </c>
      <c r="F31" s="458">
        <v>1</v>
      </c>
      <c r="G31" s="458">
        <v>40</v>
      </c>
      <c r="H31" s="458">
        <f t="shared" si="10"/>
        <v>156</v>
      </c>
      <c r="I31" s="508">
        <f>F31*E31*G31*3</f>
        <v>120</v>
      </c>
      <c r="J31" s="509">
        <f t="shared" si="11"/>
        <v>120</v>
      </c>
      <c r="K31" s="461">
        <v>0</v>
      </c>
      <c r="L31" s="461">
        <v>0</v>
      </c>
      <c r="M31" s="254"/>
    </row>
    <row r="32" spans="1:13" ht="16.5" customHeight="1">
      <c r="A32" s="1918" t="s">
        <v>575</v>
      </c>
      <c r="B32" s="512" t="s">
        <v>919</v>
      </c>
      <c r="C32" s="458">
        <v>2</v>
      </c>
      <c r="D32" s="458">
        <v>1</v>
      </c>
      <c r="E32" s="458">
        <v>1</v>
      </c>
      <c r="F32" s="458">
        <v>1</v>
      </c>
      <c r="G32" s="458">
        <v>1100</v>
      </c>
      <c r="H32" s="458">
        <f t="shared" si="10"/>
        <v>2200</v>
      </c>
      <c r="I32" s="508">
        <f>F32*E32*G32</f>
        <v>1100</v>
      </c>
      <c r="J32" s="509">
        <f t="shared" si="11"/>
        <v>1100</v>
      </c>
      <c r="K32" s="461">
        <v>0</v>
      </c>
      <c r="L32" s="461">
        <v>0</v>
      </c>
      <c r="M32" s="254"/>
    </row>
    <row r="33" spans="1:13" ht="15.75" customHeight="1">
      <c r="A33" s="449">
        <v>2</v>
      </c>
      <c r="B33" s="450" t="s">
        <v>570</v>
      </c>
      <c r="C33" s="459">
        <f t="shared" ref="C33:L33" si="13">SUM(C35:C37)</f>
        <v>16</v>
      </c>
      <c r="D33" s="459">
        <f t="shared" si="13"/>
        <v>3</v>
      </c>
      <c r="E33" s="459">
        <f t="shared" si="13"/>
        <v>3</v>
      </c>
      <c r="F33" s="459">
        <f t="shared" si="13"/>
        <v>3</v>
      </c>
      <c r="G33" s="459">
        <f t="shared" si="13"/>
        <v>44</v>
      </c>
      <c r="H33" s="459">
        <f t="shared" si="13"/>
        <v>180</v>
      </c>
      <c r="I33" s="511">
        <f t="shared" si="13"/>
        <v>244.25</v>
      </c>
      <c r="J33" s="511">
        <f t="shared" si="13"/>
        <v>244.25</v>
      </c>
      <c r="K33" s="459">
        <f t="shared" si="13"/>
        <v>0</v>
      </c>
      <c r="L33" s="459">
        <f t="shared" si="13"/>
        <v>0</v>
      </c>
      <c r="M33" s="254"/>
    </row>
    <row r="34" spans="1:13" ht="15.75" customHeight="1">
      <c r="A34" s="452" t="s">
        <v>263</v>
      </c>
      <c r="B34" s="1898" t="s">
        <v>571</v>
      </c>
      <c r="C34" s="479">
        <f t="shared" ref="C34:L34" si="14">SUM(C35:C36)</f>
        <v>6</v>
      </c>
      <c r="D34" s="479">
        <f t="shared" si="14"/>
        <v>3</v>
      </c>
      <c r="E34" s="479">
        <f t="shared" si="14"/>
        <v>2</v>
      </c>
      <c r="F34" s="479">
        <f t="shared" si="14"/>
        <v>2</v>
      </c>
      <c r="G34" s="479">
        <f t="shared" si="14"/>
        <v>40</v>
      </c>
      <c r="H34" s="479">
        <f t="shared" si="14"/>
        <v>180</v>
      </c>
      <c r="I34" s="513">
        <f t="shared" si="14"/>
        <v>104.25</v>
      </c>
      <c r="J34" s="513">
        <f t="shared" si="14"/>
        <v>104.25</v>
      </c>
      <c r="K34" s="479">
        <f t="shared" si="14"/>
        <v>0</v>
      </c>
      <c r="L34" s="479">
        <f t="shared" si="14"/>
        <v>0</v>
      </c>
      <c r="M34" s="254"/>
    </row>
    <row r="35" spans="1:13" ht="18" customHeight="1">
      <c r="A35" s="514" t="s">
        <v>479</v>
      </c>
      <c r="B35" s="510" t="s">
        <v>920</v>
      </c>
      <c r="C35" s="1920">
        <v>3</v>
      </c>
      <c r="D35" s="1920">
        <v>1.5</v>
      </c>
      <c r="E35" s="1900">
        <v>1</v>
      </c>
      <c r="F35" s="1900">
        <v>1</v>
      </c>
      <c r="G35" s="1900">
        <v>20</v>
      </c>
      <c r="H35" s="1900">
        <f t="shared" ref="H35:H37" si="15">C35*D35*G35</f>
        <v>90</v>
      </c>
      <c r="I35" s="204">
        <f t="shared" ref="I35:I36" si="16">D35*E35* 34.75</f>
        <v>52.125</v>
      </c>
      <c r="J35" s="509">
        <f t="shared" ref="J35:J37" si="17">I35</f>
        <v>52.125</v>
      </c>
      <c r="K35" s="461">
        <v>0</v>
      </c>
      <c r="L35" s="461">
        <v>0</v>
      </c>
      <c r="M35" s="254"/>
    </row>
    <row r="36" spans="1:13" ht="15.75" customHeight="1">
      <c r="A36" s="514" t="s">
        <v>481</v>
      </c>
      <c r="B36" s="515" t="s">
        <v>921</v>
      </c>
      <c r="C36" s="1900">
        <v>3</v>
      </c>
      <c r="D36" s="1900">
        <v>1.5</v>
      </c>
      <c r="E36" s="1900">
        <v>1</v>
      </c>
      <c r="F36" s="1900">
        <v>1</v>
      </c>
      <c r="G36" s="1900">
        <v>20</v>
      </c>
      <c r="H36" s="1900">
        <f t="shared" si="15"/>
        <v>90</v>
      </c>
      <c r="I36" s="204">
        <f t="shared" si="16"/>
        <v>52.125</v>
      </c>
      <c r="J36" s="509">
        <f t="shared" si="17"/>
        <v>52.125</v>
      </c>
      <c r="K36" s="461">
        <v>0</v>
      </c>
      <c r="L36" s="461">
        <v>0</v>
      </c>
      <c r="M36" s="254"/>
    </row>
    <row r="37" spans="1:13" ht="15.75" customHeight="1">
      <c r="A37" s="1911" t="s">
        <v>265</v>
      </c>
      <c r="B37" s="1912" t="s">
        <v>512</v>
      </c>
      <c r="C37" s="479">
        <v>10</v>
      </c>
      <c r="D37" s="479"/>
      <c r="E37" s="479">
        <v>1</v>
      </c>
      <c r="F37" s="479">
        <v>1</v>
      </c>
      <c r="G37" s="479">
        <v>4</v>
      </c>
      <c r="H37" s="1900">
        <f t="shared" si="15"/>
        <v>0</v>
      </c>
      <c r="I37" s="1921">
        <f>G37*35</f>
        <v>140</v>
      </c>
      <c r="J37" s="509">
        <f t="shared" si="17"/>
        <v>140</v>
      </c>
      <c r="K37" s="461">
        <v>0</v>
      </c>
      <c r="L37" s="461">
        <v>0</v>
      </c>
      <c r="M37" s="254"/>
    </row>
    <row r="38" spans="1:13" ht="15.75" customHeight="1">
      <c r="A38" s="516"/>
      <c r="B38" s="1919"/>
      <c r="C38" s="479"/>
      <c r="D38" s="479"/>
      <c r="E38" s="479"/>
      <c r="F38" s="479"/>
      <c r="G38" s="479"/>
      <c r="H38" s="479"/>
      <c r="I38" s="508"/>
      <c r="J38" s="509"/>
      <c r="K38" s="461"/>
      <c r="L38" s="461"/>
      <c r="M38" s="254"/>
    </row>
    <row r="39" spans="1:13" ht="15.75" customHeight="1">
      <c r="A39" s="449">
        <v>3</v>
      </c>
      <c r="B39" s="450" t="s">
        <v>584</v>
      </c>
      <c r="C39" s="479"/>
      <c r="D39" s="479"/>
      <c r="E39" s="479"/>
      <c r="F39" s="479"/>
      <c r="G39" s="479"/>
      <c r="H39" s="479"/>
      <c r="I39" s="508"/>
      <c r="J39" s="509"/>
      <c r="K39" s="461"/>
      <c r="L39" s="461"/>
      <c r="M39" s="254"/>
    </row>
    <row r="40" spans="1:13" ht="15.75" customHeight="1">
      <c r="A40" s="452" t="s">
        <v>263</v>
      </c>
      <c r="B40" s="1898" t="s">
        <v>585</v>
      </c>
      <c r="C40" s="479"/>
      <c r="D40" s="479"/>
      <c r="E40" s="479"/>
      <c r="F40" s="479"/>
      <c r="G40" s="479"/>
      <c r="H40" s="479"/>
      <c r="I40" s="508"/>
      <c r="J40" s="509"/>
      <c r="K40" s="461"/>
      <c r="L40" s="461"/>
      <c r="M40" s="254"/>
    </row>
    <row r="41" spans="1:13" ht="15.75" customHeight="1">
      <c r="A41" s="456" t="s">
        <v>479</v>
      </c>
      <c r="B41" s="1905" t="s">
        <v>596</v>
      </c>
      <c r="C41" s="479"/>
      <c r="D41" s="479"/>
      <c r="E41" s="479"/>
      <c r="F41" s="479"/>
      <c r="G41" s="479"/>
      <c r="H41" s="479"/>
      <c r="I41" s="508"/>
      <c r="J41" s="509"/>
      <c r="K41" s="461"/>
      <c r="L41" s="461"/>
      <c r="M41" s="254"/>
    </row>
    <row r="42" spans="1:13" ht="15.75" customHeight="1">
      <c r="A42" s="1899" t="s">
        <v>481</v>
      </c>
      <c r="B42" s="1905" t="s">
        <v>596</v>
      </c>
      <c r="C42" s="479"/>
      <c r="D42" s="479"/>
      <c r="E42" s="479"/>
      <c r="F42" s="479"/>
      <c r="G42" s="479"/>
      <c r="H42" s="479"/>
      <c r="I42" s="508"/>
      <c r="J42" s="509"/>
      <c r="K42" s="461"/>
      <c r="L42" s="461"/>
      <c r="M42" s="254"/>
    </row>
    <row r="43" spans="1:13" ht="15.75" customHeight="1">
      <c r="A43" s="516"/>
      <c r="B43" s="1905" t="s">
        <v>596</v>
      </c>
      <c r="C43" s="479"/>
      <c r="D43" s="479"/>
      <c r="E43" s="479"/>
      <c r="F43" s="479"/>
      <c r="G43" s="479"/>
      <c r="H43" s="479"/>
      <c r="I43" s="508"/>
      <c r="J43" s="509"/>
      <c r="K43" s="461"/>
      <c r="L43" s="461"/>
      <c r="M43" s="254"/>
    </row>
    <row r="44" spans="1:13" ht="15.75" customHeight="1">
      <c r="A44" s="517" t="s">
        <v>265</v>
      </c>
      <c r="B44" s="1912" t="s">
        <v>589</v>
      </c>
      <c r="C44" s="479"/>
      <c r="D44" s="479"/>
      <c r="E44" s="479"/>
      <c r="F44" s="479"/>
      <c r="G44" s="479"/>
      <c r="H44" s="479"/>
      <c r="I44" s="508"/>
      <c r="J44" s="509"/>
      <c r="K44" s="461"/>
      <c r="L44" s="461"/>
      <c r="M44" s="254"/>
    </row>
    <row r="45" spans="1:13" ht="15.75" customHeight="1">
      <c r="A45" s="516"/>
      <c r="B45" s="1919" t="s">
        <v>922</v>
      </c>
      <c r="C45" s="479"/>
      <c r="D45" s="479"/>
      <c r="E45" s="479"/>
      <c r="F45" s="479"/>
      <c r="G45" s="479"/>
      <c r="H45" s="479"/>
      <c r="I45" s="508"/>
      <c r="J45" s="509"/>
      <c r="K45" s="461"/>
      <c r="L45" s="461"/>
      <c r="M45" s="254"/>
    </row>
    <row r="46" spans="1:13" ht="15.75" customHeight="1">
      <c r="A46" s="516"/>
      <c r="B46" s="1919" t="s">
        <v>922</v>
      </c>
      <c r="C46" s="479"/>
      <c r="D46" s="479"/>
      <c r="E46" s="479"/>
      <c r="F46" s="479"/>
      <c r="G46" s="479"/>
      <c r="H46" s="479"/>
      <c r="I46" s="508"/>
      <c r="J46" s="509"/>
      <c r="K46" s="461"/>
      <c r="L46" s="461"/>
      <c r="M46" s="254"/>
    </row>
    <row r="47" spans="1:13" ht="21.75" customHeight="1">
      <c r="A47" s="517" t="s">
        <v>267</v>
      </c>
      <c r="B47" s="1912" t="s">
        <v>590</v>
      </c>
      <c r="C47" s="479"/>
      <c r="D47" s="479"/>
      <c r="E47" s="479"/>
      <c r="F47" s="479"/>
      <c r="G47" s="479"/>
      <c r="H47" s="479"/>
      <c r="I47" s="508"/>
      <c r="J47" s="509"/>
      <c r="K47" s="461"/>
      <c r="L47" s="461"/>
      <c r="M47" s="254"/>
    </row>
    <row r="50" spans="1:12" ht="36" customHeight="1">
      <c r="A50" s="1895" t="s">
        <v>284</v>
      </c>
      <c r="B50" s="1896" t="s">
        <v>514</v>
      </c>
      <c r="C50" s="518"/>
      <c r="D50" s="518"/>
      <c r="E50" s="518"/>
      <c r="F50" s="518"/>
      <c r="G50" s="518"/>
      <c r="H50" s="518"/>
      <c r="I50" s="519"/>
      <c r="J50" s="520"/>
      <c r="K50" s="521"/>
      <c r="L50" s="521"/>
    </row>
    <row r="51" spans="1:12" ht="15.75" customHeight="1">
      <c r="A51" s="449">
        <v>1</v>
      </c>
      <c r="B51" s="1898" t="s">
        <v>515</v>
      </c>
      <c r="C51" s="168"/>
      <c r="D51" s="168"/>
      <c r="E51" s="168"/>
      <c r="F51" s="168"/>
      <c r="G51" s="168"/>
      <c r="H51" s="168"/>
      <c r="I51" s="508"/>
      <c r="J51" s="509"/>
      <c r="K51" s="461"/>
      <c r="L51" s="461"/>
    </row>
    <row r="52" spans="1:12" ht="15.75" customHeight="1">
      <c r="A52" s="449" t="s">
        <v>263</v>
      </c>
      <c r="B52" s="1898" t="s">
        <v>592</v>
      </c>
      <c r="C52" s="168"/>
      <c r="D52" s="168"/>
      <c r="E52" s="168"/>
      <c r="F52" s="168"/>
      <c r="G52" s="168"/>
      <c r="H52" s="168"/>
      <c r="I52" s="508"/>
      <c r="J52" s="509"/>
      <c r="K52" s="461"/>
      <c r="L52" s="461"/>
    </row>
    <row r="53" spans="1:12" ht="15.75" customHeight="1">
      <c r="A53" s="449"/>
      <c r="B53" s="506" t="s">
        <v>896</v>
      </c>
      <c r="C53" s="454">
        <f t="shared" ref="C53:L53" si="18">SUM(C54:C58)</f>
        <v>21</v>
      </c>
      <c r="D53" s="454">
        <f t="shared" si="18"/>
        <v>5</v>
      </c>
      <c r="E53" s="454">
        <f t="shared" si="18"/>
        <v>15</v>
      </c>
      <c r="F53" s="454">
        <f t="shared" si="18"/>
        <v>5</v>
      </c>
      <c r="G53" s="454">
        <f t="shared" si="18"/>
        <v>200</v>
      </c>
      <c r="H53" s="454">
        <f t="shared" si="18"/>
        <v>840</v>
      </c>
      <c r="I53" s="507">
        <f t="shared" si="18"/>
        <v>729.75</v>
      </c>
      <c r="J53" s="507">
        <f t="shared" si="18"/>
        <v>729.75</v>
      </c>
      <c r="K53" s="507">
        <f t="shared" si="18"/>
        <v>729.75</v>
      </c>
      <c r="L53" s="454">
        <f t="shared" si="18"/>
        <v>0</v>
      </c>
    </row>
    <row r="54" spans="1:12" ht="15.75" customHeight="1">
      <c r="A54" s="522" t="s">
        <v>479</v>
      </c>
      <c r="B54" s="1919" t="s">
        <v>923</v>
      </c>
      <c r="C54" s="458">
        <v>3</v>
      </c>
      <c r="D54" s="458">
        <v>1</v>
      </c>
      <c r="E54" s="458">
        <v>3</v>
      </c>
      <c r="F54" s="458">
        <v>1</v>
      </c>
      <c r="G54" s="458">
        <v>40</v>
      </c>
      <c r="H54" s="523">
        <v>120</v>
      </c>
      <c r="I54" s="524">
        <v>104.25</v>
      </c>
      <c r="J54" s="525">
        <v>104.25</v>
      </c>
      <c r="K54" s="509">
        <f t="shared" ref="K54:K58" si="19">J54</f>
        <v>104.25</v>
      </c>
      <c r="L54" s="461">
        <v>0</v>
      </c>
    </row>
    <row r="55" spans="1:12" ht="15.75" customHeight="1">
      <c r="A55" s="1922" t="s">
        <v>481</v>
      </c>
      <c r="B55" s="1919" t="s">
        <v>924</v>
      </c>
      <c r="C55" s="168">
        <v>5</v>
      </c>
      <c r="D55" s="168">
        <v>1</v>
      </c>
      <c r="E55" s="458">
        <v>3</v>
      </c>
      <c r="F55" s="458">
        <v>1</v>
      </c>
      <c r="G55" s="458">
        <v>40</v>
      </c>
      <c r="H55" s="523">
        <v>200</v>
      </c>
      <c r="I55" s="524">
        <v>168.75</v>
      </c>
      <c r="J55" s="525">
        <v>168.75</v>
      </c>
      <c r="K55" s="509">
        <f t="shared" si="19"/>
        <v>168.75</v>
      </c>
      <c r="L55" s="461">
        <v>0</v>
      </c>
    </row>
    <row r="56" spans="1:12" ht="15.75" customHeight="1">
      <c r="A56" s="1918" t="s">
        <v>483</v>
      </c>
      <c r="B56" s="1919" t="s">
        <v>925</v>
      </c>
      <c r="C56" s="168">
        <v>4</v>
      </c>
      <c r="D56" s="168">
        <v>1</v>
      </c>
      <c r="E56" s="458">
        <v>3</v>
      </c>
      <c r="F56" s="458">
        <v>1</v>
      </c>
      <c r="G56" s="458">
        <v>40</v>
      </c>
      <c r="H56" s="523">
        <v>160</v>
      </c>
      <c r="I56" s="524">
        <v>144</v>
      </c>
      <c r="J56" s="525">
        <v>144</v>
      </c>
      <c r="K56" s="509">
        <f t="shared" si="19"/>
        <v>144</v>
      </c>
      <c r="L56" s="461">
        <v>0</v>
      </c>
    </row>
    <row r="57" spans="1:12" ht="15.75" customHeight="1">
      <c r="A57" s="516" t="s">
        <v>484</v>
      </c>
      <c r="B57" s="1919" t="s">
        <v>926</v>
      </c>
      <c r="C57" s="168">
        <v>4</v>
      </c>
      <c r="D57" s="168">
        <v>1</v>
      </c>
      <c r="E57" s="458">
        <v>3</v>
      </c>
      <c r="F57" s="458">
        <v>1</v>
      </c>
      <c r="G57" s="458">
        <v>40</v>
      </c>
      <c r="H57" s="523">
        <v>160</v>
      </c>
      <c r="I57" s="524">
        <v>144</v>
      </c>
      <c r="J57" s="525">
        <v>144</v>
      </c>
      <c r="K57" s="509">
        <f t="shared" si="19"/>
        <v>144</v>
      </c>
      <c r="L57" s="461">
        <v>0</v>
      </c>
    </row>
    <row r="58" spans="1:12" ht="15.75" customHeight="1">
      <c r="A58" s="1922" t="s">
        <v>485</v>
      </c>
      <c r="B58" s="1919" t="s">
        <v>927</v>
      </c>
      <c r="C58" s="168">
        <v>5</v>
      </c>
      <c r="D58" s="168">
        <v>1</v>
      </c>
      <c r="E58" s="458">
        <v>3</v>
      </c>
      <c r="F58" s="458">
        <v>1</v>
      </c>
      <c r="G58" s="458">
        <v>40</v>
      </c>
      <c r="H58" s="523">
        <v>200</v>
      </c>
      <c r="I58" s="524">
        <v>168.75</v>
      </c>
      <c r="J58" s="525">
        <v>168.75</v>
      </c>
      <c r="K58" s="509">
        <f t="shared" si="19"/>
        <v>168.75</v>
      </c>
      <c r="L58" s="461">
        <v>0</v>
      </c>
    </row>
    <row r="59" spans="1:12" ht="15.75" customHeight="1">
      <c r="A59" s="452"/>
      <c r="B59" s="1898" t="s">
        <v>907</v>
      </c>
      <c r="C59" s="454">
        <f t="shared" ref="C59:L59" si="20">SUM(C60:C62)</f>
        <v>9</v>
      </c>
      <c r="D59" s="454">
        <f t="shared" si="20"/>
        <v>3</v>
      </c>
      <c r="E59" s="454">
        <f t="shared" si="20"/>
        <v>9</v>
      </c>
      <c r="F59" s="454">
        <f t="shared" si="20"/>
        <v>3</v>
      </c>
      <c r="G59" s="454">
        <f t="shared" si="20"/>
        <v>120</v>
      </c>
      <c r="H59" s="454">
        <f t="shared" si="20"/>
        <v>360</v>
      </c>
      <c r="I59" s="507">
        <f t="shared" si="20"/>
        <v>312.75</v>
      </c>
      <c r="J59" s="507">
        <f t="shared" si="20"/>
        <v>312.75</v>
      </c>
      <c r="K59" s="454">
        <f t="shared" si="20"/>
        <v>0</v>
      </c>
      <c r="L59" s="454">
        <f t="shared" si="20"/>
        <v>0</v>
      </c>
    </row>
    <row r="60" spans="1:12" ht="15.75" customHeight="1">
      <c r="A60" s="1918" t="s">
        <v>486</v>
      </c>
      <c r="B60" s="1919" t="s">
        <v>928</v>
      </c>
      <c r="C60" s="168">
        <v>3</v>
      </c>
      <c r="D60" s="168">
        <v>1</v>
      </c>
      <c r="E60" s="458">
        <v>3</v>
      </c>
      <c r="F60" s="458">
        <v>1</v>
      </c>
      <c r="G60" s="458">
        <v>40</v>
      </c>
      <c r="H60" s="523">
        <v>120</v>
      </c>
      <c r="I60" s="524">
        <v>104.25</v>
      </c>
      <c r="J60" s="525">
        <v>104.25</v>
      </c>
      <c r="K60" s="461">
        <v>0</v>
      </c>
      <c r="L60" s="461">
        <v>0</v>
      </c>
    </row>
    <row r="61" spans="1:12" ht="15.75" customHeight="1">
      <c r="A61" s="1922" t="s">
        <v>487</v>
      </c>
      <c r="B61" s="1919" t="s">
        <v>929</v>
      </c>
      <c r="C61" s="168">
        <v>3</v>
      </c>
      <c r="D61" s="168">
        <v>1</v>
      </c>
      <c r="E61" s="458">
        <v>3</v>
      </c>
      <c r="F61" s="458">
        <v>1</v>
      </c>
      <c r="G61" s="458">
        <v>40</v>
      </c>
      <c r="H61" s="523">
        <v>120</v>
      </c>
      <c r="I61" s="524">
        <v>104.25</v>
      </c>
      <c r="J61" s="525">
        <v>104.25</v>
      </c>
      <c r="K61" s="461">
        <v>0</v>
      </c>
      <c r="L61" s="461">
        <v>0</v>
      </c>
    </row>
    <row r="62" spans="1:12" ht="15.75" customHeight="1">
      <c r="A62" s="1918" t="s">
        <v>488</v>
      </c>
      <c r="B62" s="1919" t="s">
        <v>930</v>
      </c>
      <c r="C62" s="168">
        <v>3</v>
      </c>
      <c r="D62" s="168">
        <v>1</v>
      </c>
      <c r="E62" s="458">
        <v>3</v>
      </c>
      <c r="F62" s="458">
        <v>1</v>
      </c>
      <c r="G62" s="458">
        <v>40</v>
      </c>
      <c r="H62" s="523">
        <v>120</v>
      </c>
      <c r="I62" s="524">
        <v>104.25</v>
      </c>
      <c r="J62" s="525">
        <v>104.25</v>
      </c>
      <c r="K62" s="461">
        <v>0</v>
      </c>
      <c r="L62" s="461">
        <v>0</v>
      </c>
    </row>
    <row r="63" spans="1:12" ht="15.75" customHeight="1">
      <c r="A63" s="1911" t="s">
        <v>265</v>
      </c>
      <c r="B63" s="1912" t="s">
        <v>593</v>
      </c>
      <c r="C63" s="168"/>
      <c r="D63" s="168"/>
      <c r="E63" s="168"/>
      <c r="F63" s="168"/>
      <c r="G63" s="168"/>
      <c r="H63" s="168"/>
      <c r="I63" s="508"/>
      <c r="J63" s="509"/>
      <c r="K63" s="461"/>
      <c r="L63" s="461"/>
    </row>
    <row r="64" spans="1:12" ht="15.75" customHeight="1">
      <c r="A64" s="1918" t="s">
        <v>557</v>
      </c>
      <c r="B64" s="1919"/>
      <c r="C64" s="454"/>
      <c r="D64" s="454"/>
      <c r="E64" s="454"/>
      <c r="F64" s="454"/>
      <c r="G64" s="454"/>
      <c r="H64" s="454"/>
      <c r="I64" s="508"/>
      <c r="J64" s="509"/>
      <c r="K64" s="461"/>
      <c r="L64" s="461"/>
    </row>
    <row r="65" spans="1:12" ht="15.75" customHeight="1">
      <c r="A65" s="1918" t="s">
        <v>572</v>
      </c>
      <c r="B65" s="1919"/>
      <c r="C65" s="168"/>
      <c r="D65" s="168"/>
      <c r="E65" s="168"/>
      <c r="F65" s="168"/>
      <c r="G65" s="168"/>
      <c r="H65" s="168"/>
      <c r="I65" s="508"/>
      <c r="J65" s="509"/>
      <c r="K65" s="461"/>
      <c r="L65" s="461"/>
    </row>
    <row r="66" spans="1:12" ht="15.75" customHeight="1">
      <c r="A66" s="1918"/>
      <c r="B66" s="1919"/>
      <c r="C66" s="168"/>
      <c r="D66" s="168"/>
      <c r="E66" s="168"/>
      <c r="F66" s="168"/>
      <c r="G66" s="168"/>
      <c r="H66" s="168"/>
      <c r="I66" s="508"/>
      <c r="J66" s="509"/>
      <c r="K66" s="461"/>
      <c r="L66" s="461"/>
    </row>
    <row r="67" spans="1:12" ht="15.75" hidden="1" customHeight="1">
      <c r="A67" s="449">
        <v>2</v>
      </c>
      <c r="B67" s="450" t="s">
        <v>519</v>
      </c>
      <c r="C67" s="168"/>
      <c r="D67" s="168"/>
      <c r="E67" s="168"/>
      <c r="F67" s="168"/>
      <c r="G67" s="168"/>
      <c r="H67" s="168"/>
      <c r="I67" s="508"/>
      <c r="J67" s="509"/>
      <c r="K67" s="461"/>
      <c r="L67" s="461"/>
    </row>
    <row r="68" spans="1:12" ht="15.75" hidden="1" customHeight="1">
      <c r="A68" s="449" t="s">
        <v>263</v>
      </c>
      <c r="B68" s="1898" t="s">
        <v>595</v>
      </c>
      <c r="C68" s="168"/>
      <c r="D68" s="168"/>
      <c r="E68" s="168"/>
      <c r="F68" s="168"/>
      <c r="G68" s="168"/>
      <c r="H68" s="168"/>
      <c r="I68" s="508"/>
      <c r="J68" s="509"/>
      <c r="K68" s="461"/>
      <c r="L68" s="461"/>
    </row>
    <row r="69" spans="1:12" ht="15.75" hidden="1" customHeight="1">
      <c r="A69" s="522" t="s">
        <v>479</v>
      </c>
      <c r="B69" s="1905" t="s">
        <v>596</v>
      </c>
      <c r="C69" s="168"/>
      <c r="D69" s="168"/>
      <c r="E69" s="168"/>
      <c r="F69" s="168"/>
      <c r="G69" s="168"/>
      <c r="H69" s="168"/>
      <c r="I69" s="508"/>
      <c r="J69" s="509"/>
      <c r="K69" s="461"/>
      <c r="L69" s="461"/>
    </row>
    <row r="70" spans="1:12" ht="15.75" hidden="1" customHeight="1">
      <c r="A70" s="1922" t="s">
        <v>481</v>
      </c>
      <c r="B70" s="1905" t="s">
        <v>596</v>
      </c>
      <c r="C70" s="168"/>
      <c r="D70" s="168"/>
      <c r="E70" s="168"/>
      <c r="F70" s="168"/>
      <c r="G70" s="168"/>
      <c r="H70" s="168"/>
      <c r="I70" s="508"/>
      <c r="J70" s="509"/>
      <c r="K70" s="461"/>
      <c r="L70" s="461"/>
    </row>
    <row r="71" spans="1:12" ht="15.75" hidden="1" customHeight="1">
      <c r="A71" s="1918" t="s">
        <v>483</v>
      </c>
      <c r="B71" s="1905" t="s">
        <v>596</v>
      </c>
      <c r="C71" s="168"/>
      <c r="D71" s="168"/>
      <c r="E71" s="168"/>
      <c r="F71" s="168"/>
      <c r="G71" s="168"/>
      <c r="H71" s="168"/>
      <c r="I71" s="508"/>
      <c r="J71" s="509"/>
      <c r="K71" s="461"/>
      <c r="L71" s="461"/>
    </row>
    <row r="72" spans="1:12" ht="15.75" hidden="1" customHeight="1">
      <c r="A72" s="516" t="s">
        <v>484</v>
      </c>
      <c r="B72" s="1905" t="s">
        <v>596</v>
      </c>
      <c r="C72" s="168"/>
      <c r="D72" s="168"/>
      <c r="E72" s="168"/>
      <c r="F72" s="168"/>
      <c r="G72" s="168"/>
      <c r="H72" s="168"/>
      <c r="I72" s="508"/>
      <c r="J72" s="509"/>
      <c r="K72" s="461"/>
      <c r="L72" s="461"/>
    </row>
    <row r="73" spans="1:12" ht="15.75" hidden="1" customHeight="1">
      <c r="A73" s="1922" t="s">
        <v>485</v>
      </c>
      <c r="B73" s="1905" t="s">
        <v>596</v>
      </c>
      <c r="C73" s="168"/>
      <c r="D73" s="168"/>
      <c r="E73" s="168"/>
      <c r="F73" s="168"/>
      <c r="G73" s="168"/>
      <c r="H73" s="168"/>
      <c r="I73" s="508"/>
      <c r="J73" s="509"/>
      <c r="K73" s="461"/>
      <c r="L73" s="461"/>
    </row>
    <row r="74" spans="1:12" ht="15.75" hidden="1" customHeight="1">
      <c r="A74" s="1923" t="s">
        <v>265</v>
      </c>
      <c r="B74" s="1919"/>
      <c r="C74" s="168"/>
      <c r="D74" s="168"/>
      <c r="E74" s="168"/>
      <c r="F74" s="168"/>
      <c r="G74" s="168"/>
      <c r="H74" s="168"/>
      <c r="I74" s="508"/>
      <c r="J74" s="509"/>
      <c r="K74" s="461"/>
      <c r="L74" s="461"/>
    </row>
    <row r="75" spans="1:12" ht="27" customHeight="1">
      <c r="A75" s="526" t="s">
        <v>206</v>
      </c>
      <c r="B75" s="447" t="s">
        <v>597</v>
      </c>
      <c r="C75" s="168"/>
      <c r="D75" s="168"/>
      <c r="E75" s="168"/>
      <c r="F75" s="168"/>
      <c r="G75" s="168"/>
      <c r="H75" s="168"/>
      <c r="I75" s="508"/>
      <c r="J75" s="509"/>
      <c r="K75" s="461"/>
      <c r="L75" s="461"/>
    </row>
    <row r="76" spans="1:12" ht="15.75" customHeight="1">
      <c r="A76" s="1924"/>
      <c r="B76" s="1925"/>
      <c r="C76" s="1900"/>
      <c r="D76" s="1900"/>
      <c r="E76" s="1900"/>
      <c r="F76" s="1900"/>
      <c r="G76" s="1900"/>
      <c r="H76" s="1900"/>
      <c r="I76" s="1926"/>
      <c r="J76" s="1921"/>
      <c r="K76" s="1927"/>
      <c r="L76" s="1927"/>
    </row>
    <row r="77" spans="1:12" ht="15.75" customHeight="1">
      <c r="A77" s="1924"/>
      <c r="B77" s="1925"/>
      <c r="C77" s="1900"/>
      <c r="D77" s="1900"/>
      <c r="E77" s="1900"/>
      <c r="F77" s="1900"/>
      <c r="G77" s="1900"/>
      <c r="H77" s="1900"/>
      <c r="I77" s="1926"/>
      <c r="J77" s="1921"/>
      <c r="K77" s="1927"/>
      <c r="L77" s="1927"/>
    </row>
    <row r="78" spans="1:12" ht="26.25" customHeight="1">
      <c r="A78" s="527" t="s">
        <v>931</v>
      </c>
      <c r="B78" s="1928" t="s">
        <v>932</v>
      </c>
      <c r="C78" s="528">
        <f t="shared" ref="C78:L78" si="21">C59+C53+C33+C27+C20+C14</f>
        <v>101</v>
      </c>
      <c r="D78" s="528">
        <f t="shared" si="21"/>
        <v>29.024999999999999</v>
      </c>
      <c r="E78" s="528">
        <f t="shared" si="21"/>
        <v>74</v>
      </c>
      <c r="F78" s="528">
        <f t="shared" si="21"/>
        <v>28.8</v>
      </c>
      <c r="G78" s="528">
        <f t="shared" si="21"/>
        <v>2194</v>
      </c>
      <c r="H78" s="528">
        <f t="shared" si="21"/>
        <v>6523</v>
      </c>
      <c r="I78" s="528">
        <f t="shared" si="21"/>
        <v>6710.1</v>
      </c>
      <c r="J78" s="528">
        <f t="shared" si="21"/>
        <v>6710.1</v>
      </c>
      <c r="K78" s="528">
        <f t="shared" si="21"/>
        <v>729.75</v>
      </c>
      <c r="L78" s="528">
        <f t="shared" si="21"/>
        <v>0</v>
      </c>
    </row>
    <row r="79" spans="1:12" ht="27" customHeight="1">
      <c r="A79" s="1929" t="s">
        <v>258</v>
      </c>
      <c r="B79" s="1930" t="s">
        <v>933</v>
      </c>
      <c r="C79" s="529">
        <f t="shared" ref="C79:L79" si="22">C14+C20+C27</f>
        <v>55</v>
      </c>
      <c r="D79" s="529">
        <f t="shared" si="22"/>
        <v>18.024999999999999</v>
      </c>
      <c r="E79" s="529">
        <f t="shared" si="22"/>
        <v>47</v>
      </c>
      <c r="F79" s="529">
        <f t="shared" si="22"/>
        <v>17.799999999999997</v>
      </c>
      <c r="G79" s="529">
        <f t="shared" si="22"/>
        <v>1830</v>
      </c>
      <c r="H79" s="529">
        <f t="shared" si="22"/>
        <v>5143</v>
      </c>
      <c r="I79" s="530">
        <f t="shared" si="22"/>
        <v>5423.35</v>
      </c>
      <c r="J79" s="530">
        <f t="shared" si="22"/>
        <v>5423.35</v>
      </c>
      <c r="K79" s="529">
        <f t="shared" si="22"/>
        <v>0</v>
      </c>
      <c r="L79" s="529">
        <f t="shared" si="22"/>
        <v>0</v>
      </c>
    </row>
    <row r="80" spans="1:12" ht="30.75" customHeight="1">
      <c r="A80" s="527" t="s">
        <v>284</v>
      </c>
      <c r="B80" s="1930" t="s">
        <v>600</v>
      </c>
      <c r="C80" s="529">
        <f t="shared" ref="C80:L80" si="23">SUM(C36:C37)</f>
        <v>13</v>
      </c>
      <c r="D80" s="529">
        <f t="shared" si="23"/>
        <v>1.5</v>
      </c>
      <c r="E80" s="529">
        <f t="shared" si="23"/>
        <v>2</v>
      </c>
      <c r="F80" s="529">
        <f t="shared" si="23"/>
        <v>2</v>
      </c>
      <c r="G80" s="529">
        <f t="shared" si="23"/>
        <v>24</v>
      </c>
      <c r="H80" s="529">
        <f t="shared" si="23"/>
        <v>90</v>
      </c>
      <c r="I80" s="530">
        <f t="shared" si="23"/>
        <v>192.125</v>
      </c>
      <c r="J80" s="530">
        <f t="shared" si="23"/>
        <v>192.125</v>
      </c>
      <c r="K80" s="529">
        <f t="shared" si="23"/>
        <v>0</v>
      </c>
      <c r="L80" s="529">
        <f t="shared" si="23"/>
        <v>0</v>
      </c>
    </row>
    <row r="81" spans="1:12" ht="24" customHeight="1">
      <c r="A81" s="527" t="s">
        <v>345</v>
      </c>
      <c r="B81" s="1928" t="s">
        <v>584</v>
      </c>
      <c r="C81" s="529"/>
      <c r="D81" s="529"/>
      <c r="E81" s="529"/>
      <c r="F81" s="529"/>
      <c r="G81" s="529"/>
      <c r="H81" s="529"/>
      <c r="I81" s="530"/>
      <c r="J81" s="530"/>
      <c r="K81" s="529"/>
      <c r="L81" s="529"/>
    </row>
    <row r="82" spans="1:12" ht="20.25" customHeight="1">
      <c r="A82" s="531"/>
      <c r="B82" s="1931"/>
      <c r="C82" s="529"/>
      <c r="D82" s="529"/>
      <c r="E82" s="529"/>
      <c r="F82" s="529"/>
      <c r="G82" s="529"/>
      <c r="H82" s="529"/>
      <c r="I82" s="530"/>
      <c r="J82" s="530"/>
      <c r="K82" s="529"/>
      <c r="L82" s="529"/>
    </row>
    <row r="83" spans="1:12" ht="30.75" customHeight="1">
      <c r="A83" s="1929"/>
      <c r="B83" s="1930" t="s">
        <v>934</v>
      </c>
      <c r="C83" s="529">
        <f t="shared" ref="C83:L83" si="24">C59+C53</f>
        <v>30</v>
      </c>
      <c r="D83" s="529">
        <f t="shared" si="24"/>
        <v>8</v>
      </c>
      <c r="E83" s="529">
        <f t="shared" si="24"/>
        <v>24</v>
      </c>
      <c r="F83" s="529">
        <f t="shared" si="24"/>
        <v>8</v>
      </c>
      <c r="G83" s="529">
        <f t="shared" si="24"/>
        <v>320</v>
      </c>
      <c r="H83" s="529">
        <f t="shared" si="24"/>
        <v>1200</v>
      </c>
      <c r="I83" s="530">
        <f t="shared" si="24"/>
        <v>1042.5</v>
      </c>
      <c r="J83" s="530">
        <f t="shared" si="24"/>
        <v>1042.5</v>
      </c>
      <c r="K83" s="530">
        <f t="shared" si="24"/>
        <v>729.75</v>
      </c>
      <c r="L83" s="529">
        <f t="shared" si="24"/>
        <v>0</v>
      </c>
    </row>
    <row r="84" spans="1:12" ht="20.25" hidden="1" customHeight="1">
      <c r="A84" s="1929"/>
      <c r="B84" s="1930" t="s">
        <v>935</v>
      </c>
      <c r="C84" s="529" t="s">
        <v>936</v>
      </c>
      <c r="D84" s="529"/>
      <c r="E84" s="529"/>
      <c r="F84" s="529"/>
      <c r="G84" s="529"/>
      <c r="H84" s="529"/>
      <c r="I84" s="530"/>
      <c r="J84" s="532"/>
      <c r="K84" s="533"/>
      <c r="L84" s="533"/>
    </row>
    <row r="85" spans="1:12" ht="20.25" customHeight="1">
      <c r="A85" s="531"/>
      <c r="B85" s="1930" t="s">
        <v>602</v>
      </c>
      <c r="C85" s="529"/>
      <c r="D85" s="529"/>
      <c r="E85" s="529"/>
      <c r="F85" s="529"/>
      <c r="G85" s="529"/>
      <c r="H85" s="529"/>
      <c r="I85" s="530"/>
      <c r="J85" s="532"/>
      <c r="K85" s="533"/>
      <c r="L85" s="533"/>
    </row>
    <row r="86" spans="1:12" ht="20.25" customHeight="1">
      <c r="A86" s="531"/>
      <c r="B86" s="1930" t="s">
        <v>603</v>
      </c>
      <c r="C86" s="529"/>
      <c r="D86" s="529"/>
      <c r="E86" s="529"/>
      <c r="F86" s="529"/>
      <c r="G86" s="529"/>
      <c r="H86" s="529"/>
      <c r="I86" s="530"/>
      <c r="J86" s="532"/>
      <c r="K86" s="533"/>
      <c r="L86" s="533"/>
    </row>
    <row r="87" spans="1:12" ht="20.25" customHeight="1">
      <c r="A87" s="1922"/>
      <c r="B87" s="534"/>
      <c r="C87" s="1932"/>
      <c r="D87" s="1932"/>
      <c r="E87" s="1932"/>
      <c r="F87" s="1932"/>
      <c r="G87" s="1932"/>
      <c r="H87" s="1932"/>
      <c r="I87" s="1926"/>
      <c r="J87" s="1921"/>
      <c r="K87" s="1927"/>
      <c r="L87" s="1927"/>
    </row>
    <row r="88" spans="1:12" ht="12" customHeight="1">
      <c r="A88" s="535"/>
      <c r="B88" s="536"/>
      <c r="C88" s="537"/>
      <c r="D88" s="537"/>
      <c r="E88" s="537"/>
      <c r="F88" s="537"/>
      <c r="G88" s="537"/>
      <c r="H88" s="537"/>
      <c r="I88" s="538"/>
      <c r="J88" s="539"/>
      <c r="K88" s="539"/>
      <c r="L88" s="539"/>
    </row>
    <row r="89" spans="1:12" ht="25.5" customHeight="1">
      <c r="A89" s="85"/>
      <c r="B89" s="85"/>
      <c r="C89" s="40"/>
      <c r="D89" s="40"/>
      <c r="E89" s="40"/>
      <c r="F89" s="40"/>
      <c r="G89" s="40"/>
      <c r="H89" s="40"/>
      <c r="I89" s="40"/>
      <c r="J89" s="40"/>
      <c r="K89" s="40"/>
      <c r="L89" s="40"/>
    </row>
    <row r="90" spans="1:12" ht="21" customHeight="1">
      <c r="A90" s="85"/>
      <c r="B90" s="85"/>
      <c r="C90" s="40"/>
      <c r="D90" s="40"/>
      <c r="E90" s="40"/>
      <c r="F90" s="40"/>
      <c r="G90" s="40"/>
      <c r="H90" s="40"/>
      <c r="I90" s="40"/>
      <c r="J90" s="40"/>
      <c r="K90" s="40"/>
      <c r="L90" s="40"/>
    </row>
    <row r="91" spans="1:12" ht="21" customHeight="1">
      <c r="A91" s="85"/>
      <c r="B91" s="2846"/>
      <c r="C91" s="2732"/>
      <c r="D91" s="2732"/>
      <c r="E91" s="2732"/>
      <c r="F91" s="2732"/>
      <c r="G91" s="2732"/>
      <c r="H91" s="2732"/>
      <c r="I91" s="2732"/>
      <c r="J91" s="2732"/>
      <c r="K91" s="2732"/>
      <c r="L91" s="2732"/>
    </row>
    <row r="92" spans="1:12" ht="39.75" customHeight="1">
      <c r="A92" s="85"/>
      <c r="B92" s="2845" t="s">
        <v>611</v>
      </c>
      <c r="C92" s="2732"/>
      <c r="D92" s="2732"/>
      <c r="E92" s="2732"/>
      <c r="F92" s="2732"/>
      <c r="G92" s="2732"/>
      <c r="H92" s="2732"/>
      <c r="I92" s="2732"/>
      <c r="J92" s="2732"/>
      <c r="K92" s="2732"/>
      <c r="L92" s="2732"/>
    </row>
    <row r="93" spans="1:12" ht="20.25" customHeight="1">
      <c r="A93" s="85"/>
      <c r="B93" s="2832" t="s">
        <v>612</v>
      </c>
      <c r="C93" s="2732"/>
      <c r="D93" s="2732"/>
      <c r="E93" s="2732"/>
      <c r="F93" s="2732"/>
      <c r="G93" s="2732"/>
      <c r="H93" s="2732"/>
      <c r="I93" s="2732"/>
      <c r="J93" s="2732"/>
      <c r="K93" s="2732"/>
      <c r="L93" s="2732"/>
    </row>
    <row r="94" spans="1:12" ht="15" customHeight="1">
      <c r="A94" s="85"/>
      <c r="B94" s="302" t="s">
        <v>613</v>
      </c>
      <c r="C94" s="304"/>
      <c r="D94" s="304"/>
      <c r="E94" s="304"/>
      <c r="F94" s="304"/>
      <c r="G94" s="304"/>
      <c r="H94" s="304"/>
      <c r="I94" s="304"/>
      <c r="J94" s="304"/>
      <c r="K94" s="304"/>
      <c r="L94" s="304"/>
    </row>
    <row r="95" spans="1:12" ht="15.75" customHeight="1">
      <c r="A95" s="85"/>
      <c r="B95" s="302" t="s">
        <v>614</v>
      </c>
      <c r="C95" s="40"/>
      <c r="D95" s="40"/>
      <c r="E95" s="40"/>
      <c r="F95" s="40"/>
      <c r="G95" s="40"/>
      <c r="H95" s="40"/>
      <c r="I95" s="40"/>
      <c r="J95" s="40"/>
      <c r="K95" s="40"/>
      <c r="L95" s="40"/>
    </row>
    <row r="96" spans="1:12" ht="15.75" customHeight="1">
      <c r="A96" s="85"/>
      <c r="B96" s="302" t="s">
        <v>615</v>
      </c>
      <c r="C96" s="40"/>
      <c r="D96" s="40"/>
      <c r="E96" s="40"/>
      <c r="F96" s="40"/>
      <c r="G96" s="40"/>
      <c r="H96" s="40"/>
      <c r="I96" s="40"/>
      <c r="J96" s="40"/>
      <c r="K96" s="40"/>
      <c r="L96" s="40"/>
    </row>
    <row r="97" spans="2:12" ht="15.75" customHeight="1">
      <c r="B97" s="302" t="s">
        <v>616</v>
      </c>
      <c r="C97" s="40"/>
      <c r="D97" s="40"/>
      <c r="E97" s="40"/>
      <c r="F97" s="40"/>
      <c r="G97" s="40"/>
      <c r="H97" s="40"/>
      <c r="I97" s="40"/>
      <c r="J97" s="40"/>
      <c r="K97" s="40"/>
      <c r="L97" s="40"/>
    </row>
  </sheetData>
  <mergeCells count="19">
    <mergeCell ref="B93:L93"/>
    <mergeCell ref="A1:C1"/>
    <mergeCell ref="A2:C2"/>
    <mergeCell ref="J2:L2"/>
    <mergeCell ref="A3:L3"/>
    <mergeCell ref="A4:L4"/>
    <mergeCell ref="A5:L5"/>
    <mergeCell ref="A7:A8"/>
    <mergeCell ref="J7:L7"/>
    <mergeCell ref="G7:G8"/>
    <mergeCell ref="H7:H8"/>
    <mergeCell ref="I7:I8"/>
    <mergeCell ref="B91:L91"/>
    <mergeCell ref="B92:L92"/>
    <mergeCell ref="B7:B8"/>
    <mergeCell ref="C7:C8"/>
    <mergeCell ref="D7:D8"/>
    <mergeCell ref="E7:E8"/>
    <mergeCell ref="F7:F8"/>
  </mergeCells>
  <pageMargins left="0.7" right="0.7" top="0.75" bottom="0.75"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97"/>
  <sheetViews>
    <sheetView workbookViewId="0">
      <pane xSplit="2" ySplit="8" topLeftCell="C9"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37.7109375" customWidth="1"/>
    <col min="3" max="3" width="13.42578125" customWidth="1"/>
    <col min="4" max="4" width="16" customWidth="1"/>
    <col min="5" max="5" width="7.7109375" customWidth="1"/>
    <col min="6" max="6" width="6.28515625" customWidth="1"/>
    <col min="7" max="7" width="6.7109375" customWidth="1"/>
    <col min="8" max="8" width="12" customWidth="1"/>
    <col min="9" max="9" width="27.7109375" customWidth="1"/>
    <col min="10" max="10" width="9" customWidth="1"/>
    <col min="11" max="11" width="6.7109375" customWidth="1"/>
    <col min="12" max="12" width="8.140625" customWidth="1"/>
    <col min="13" max="13" width="27.7109375" customWidth="1"/>
    <col min="14" max="26" width="8.7109375" customWidth="1"/>
  </cols>
  <sheetData>
    <row r="1" spans="1:13" ht="14.25" customHeight="1">
      <c r="A1" s="2823" t="s">
        <v>450</v>
      </c>
      <c r="B1" s="2732"/>
      <c r="C1" s="2732"/>
      <c r="D1" s="176"/>
      <c r="E1" s="177"/>
      <c r="F1" s="177"/>
      <c r="G1" s="177"/>
      <c r="H1" s="177"/>
      <c r="I1" s="91" t="s">
        <v>451</v>
      </c>
      <c r="J1" s="178"/>
      <c r="K1" s="178"/>
      <c r="L1" s="178"/>
      <c r="M1" s="95"/>
    </row>
    <row r="2" spans="1:13" ht="2.25" customHeight="1">
      <c r="A2" s="2790"/>
      <c r="B2" s="2732"/>
      <c r="C2" s="2732"/>
      <c r="D2" s="179"/>
      <c r="E2" s="86"/>
      <c r="F2" s="86"/>
      <c r="G2" s="86"/>
      <c r="H2" s="86"/>
      <c r="I2" s="91"/>
      <c r="J2" s="2798"/>
      <c r="K2" s="2732"/>
      <c r="L2" s="2732"/>
      <c r="M2" s="95"/>
    </row>
    <row r="3" spans="1:13" ht="30" customHeight="1">
      <c r="A3" s="2773" t="s">
        <v>452</v>
      </c>
      <c r="B3" s="2732"/>
      <c r="C3" s="2732"/>
      <c r="D3" s="2732"/>
      <c r="E3" s="2732"/>
      <c r="F3" s="2732"/>
      <c r="G3" s="2732"/>
      <c r="H3" s="2732"/>
      <c r="I3" s="2732"/>
      <c r="J3" s="2732"/>
      <c r="K3" s="2732"/>
      <c r="L3" s="2732"/>
      <c r="M3" s="95"/>
    </row>
    <row r="4" spans="1:13" ht="30" customHeight="1">
      <c r="A4" s="2812" t="s">
        <v>431</v>
      </c>
      <c r="B4" s="2732"/>
      <c r="C4" s="2732"/>
      <c r="D4" s="2732"/>
      <c r="E4" s="2732"/>
      <c r="F4" s="2732"/>
      <c r="G4" s="2732"/>
      <c r="H4" s="2732"/>
      <c r="I4" s="2732"/>
      <c r="J4" s="2732"/>
      <c r="K4" s="2732"/>
      <c r="L4" s="2732"/>
      <c r="M4" s="95"/>
    </row>
    <row r="5" spans="1:13" ht="21.75" customHeight="1">
      <c r="A5" s="2813" t="s">
        <v>432</v>
      </c>
      <c r="B5" s="2732"/>
      <c r="C5" s="2732"/>
      <c r="D5" s="2732"/>
      <c r="E5" s="2732"/>
      <c r="F5" s="2732"/>
      <c r="G5" s="2732"/>
      <c r="H5" s="2732"/>
      <c r="I5" s="2732"/>
      <c r="J5" s="2732"/>
      <c r="K5" s="2732"/>
      <c r="L5" s="2732"/>
      <c r="M5" s="180"/>
    </row>
    <row r="6" spans="1:13" ht="41.25" customHeight="1">
      <c r="A6" s="2814" t="s">
        <v>186</v>
      </c>
      <c r="B6" s="2819" t="s">
        <v>453</v>
      </c>
      <c r="C6" s="2819" t="s">
        <v>454</v>
      </c>
      <c r="D6" s="2824" t="s">
        <v>455</v>
      </c>
      <c r="E6" s="2819" t="s">
        <v>456</v>
      </c>
      <c r="F6" s="2819" t="s">
        <v>457</v>
      </c>
      <c r="G6" s="2819" t="s">
        <v>833</v>
      </c>
      <c r="H6" s="2821" t="s">
        <v>459</v>
      </c>
      <c r="I6" s="2822" t="s">
        <v>439</v>
      </c>
      <c r="J6" s="2816" t="s">
        <v>460</v>
      </c>
      <c r="K6" s="2817"/>
      <c r="L6" s="2818"/>
      <c r="M6" s="95" t="s">
        <v>32</v>
      </c>
    </row>
    <row r="7" spans="1:13" ht="22.5" customHeight="1">
      <c r="A7" s="2815"/>
      <c r="B7" s="2820"/>
      <c r="C7" s="2820"/>
      <c r="D7" s="2820"/>
      <c r="E7" s="2820"/>
      <c r="F7" s="2820"/>
      <c r="G7" s="2820"/>
      <c r="H7" s="2820"/>
      <c r="I7" s="2820"/>
      <c r="J7" s="122" t="s">
        <v>461</v>
      </c>
      <c r="K7" s="122" t="s">
        <v>462</v>
      </c>
      <c r="L7" s="122" t="s">
        <v>463</v>
      </c>
      <c r="M7" s="181" t="s">
        <v>464</v>
      </c>
    </row>
    <row r="8" spans="1:13" ht="39.75" customHeight="1">
      <c r="A8" s="182" t="s">
        <v>465</v>
      </c>
      <c r="B8" s="183" t="s">
        <v>466</v>
      </c>
      <c r="C8" s="183" t="s">
        <v>467</v>
      </c>
      <c r="D8" s="184" t="s">
        <v>468</v>
      </c>
      <c r="E8" s="185" t="s">
        <v>469</v>
      </c>
      <c r="F8" s="185" t="s">
        <v>470</v>
      </c>
      <c r="G8" s="185" t="s">
        <v>471</v>
      </c>
      <c r="H8" s="186" t="s">
        <v>472</v>
      </c>
      <c r="I8" s="186" t="s">
        <v>473</v>
      </c>
      <c r="J8" s="185" t="s">
        <v>474</v>
      </c>
      <c r="K8" s="185" t="s">
        <v>475</v>
      </c>
      <c r="L8" s="187">
        <v>-12</v>
      </c>
      <c r="M8" s="188"/>
    </row>
    <row r="9" spans="1:13" ht="17.25" customHeight="1">
      <c r="A9" s="195" t="s">
        <v>200</v>
      </c>
      <c r="B9" s="196" t="s">
        <v>549</v>
      </c>
      <c r="C9" s="540">
        <f t="shared" ref="C9:L9" si="0">C10+C79+C90</f>
        <v>273</v>
      </c>
      <c r="D9" s="540">
        <f t="shared" si="0"/>
        <v>74.435000000000002</v>
      </c>
      <c r="E9" s="540">
        <f t="shared" si="0"/>
        <v>126</v>
      </c>
      <c r="F9" s="540">
        <f t="shared" si="0"/>
        <v>44.900000000000006</v>
      </c>
      <c r="G9" s="540">
        <f t="shared" si="0"/>
        <v>4899</v>
      </c>
      <c r="H9" s="540">
        <f t="shared" si="0"/>
        <v>19949.5</v>
      </c>
      <c r="I9" s="540">
        <f t="shared" si="0"/>
        <v>10677.216666666669</v>
      </c>
      <c r="J9" s="540">
        <f t="shared" si="0"/>
        <v>10677.216666666669</v>
      </c>
      <c r="K9" s="540">
        <f t="shared" si="0"/>
        <v>0</v>
      </c>
      <c r="L9" s="540">
        <f t="shared" si="0"/>
        <v>0</v>
      </c>
      <c r="M9" s="180"/>
    </row>
    <row r="10" spans="1:13" ht="27" customHeight="1">
      <c r="A10" s="195" t="s">
        <v>258</v>
      </c>
      <c r="B10" s="196" t="s">
        <v>627</v>
      </c>
      <c r="C10" s="541">
        <f t="shared" ref="C10:L10" si="1">C11+C45+C73</f>
        <v>249</v>
      </c>
      <c r="D10" s="541">
        <f t="shared" si="1"/>
        <v>67.435000000000002</v>
      </c>
      <c r="E10" s="541">
        <f t="shared" si="1"/>
        <v>119</v>
      </c>
      <c r="F10" s="541">
        <f t="shared" si="1"/>
        <v>37.900000000000006</v>
      </c>
      <c r="G10" s="541">
        <f t="shared" si="1"/>
        <v>4558</v>
      </c>
      <c r="H10" s="541">
        <f t="shared" si="1"/>
        <v>18782.5</v>
      </c>
      <c r="I10" s="541">
        <f t="shared" si="1"/>
        <v>10135.016666666668</v>
      </c>
      <c r="J10" s="541">
        <f t="shared" si="1"/>
        <v>10135.016666666668</v>
      </c>
      <c r="K10" s="541">
        <f t="shared" si="1"/>
        <v>0</v>
      </c>
      <c r="L10" s="541">
        <f t="shared" si="1"/>
        <v>0</v>
      </c>
      <c r="M10" s="180"/>
    </row>
    <row r="11" spans="1:13" ht="17.25" customHeight="1">
      <c r="A11" s="195">
        <v>1</v>
      </c>
      <c r="B11" s="196" t="s">
        <v>441</v>
      </c>
      <c r="C11" s="191">
        <f t="shared" ref="C11:L11" si="2">C12+C26</f>
        <v>180</v>
      </c>
      <c r="D11" s="191">
        <f t="shared" si="2"/>
        <v>32.935000000000002</v>
      </c>
      <c r="E11" s="191">
        <f t="shared" si="2"/>
        <v>95</v>
      </c>
      <c r="F11" s="191">
        <f t="shared" si="2"/>
        <v>31.900000000000002</v>
      </c>
      <c r="G11" s="191">
        <f t="shared" si="2"/>
        <v>4187</v>
      </c>
      <c r="H11" s="487">
        <f t="shared" si="2"/>
        <v>17143</v>
      </c>
      <c r="I11" s="487">
        <f t="shared" si="2"/>
        <v>8126.0666666666675</v>
      </c>
      <c r="J11" s="191">
        <f t="shared" si="2"/>
        <v>8126.0666666666675</v>
      </c>
      <c r="K11" s="191">
        <f t="shared" si="2"/>
        <v>0</v>
      </c>
      <c r="L11" s="191">
        <f t="shared" si="2"/>
        <v>0</v>
      </c>
      <c r="M11" s="95"/>
    </row>
    <row r="12" spans="1:13" ht="37.5" customHeight="1">
      <c r="A12" s="542">
        <v>44562</v>
      </c>
      <c r="B12" s="107" t="s">
        <v>628</v>
      </c>
      <c r="C12" s="194">
        <f t="shared" ref="C12:L12" si="3">SUM(C13:C25)</f>
        <v>96</v>
      </c>
      <c r="D12" s="194">
        <f t="shared" si="3"/>
        <v>13.7</v>
      </c>
      <c r="E12" s="194">
        <f t="shared" si="3"/>
        <v>39</v>
      </c>
      <c r="F12" s="194">
        <f t="shared" si="3"/>
        <v>13.600000000000001</v>
      </c>
      <c r="G12" s="194">
        <f t="shared" si="3"/>
        <v>1865</v>
      </c>
      <c r="H12" s="194">
        <f t="shared" si="3"/>
        <v>8165.6</v>
      </c>
      <c r="I12" s="194">
        <f t="shared" si="3"/>
        <v>3928.9500000000003</v>
      </c>
      <c r="J12" s="194">
        <f t="shared" si="3"/>
        <v>3928.9500000000003</v>
      </c>
      <c r="K12" s="194">
        <f t="shared" si="3"/>
        <v>0</v>
      </c>
      <c r="L12" s="194">
        <f t="shared" si="3"/>
        <v>0</v>
      </c>
      <c r="M12" s="161"/>
    </row>
    <row r="13" spans="1:13" ht="14.25" customHeight="1">
      <c r="A13" s="198" t="s">
        <v>479</v>
      </c>
      <c r="B13" s="67" t="s">
        <v>937</v>
      </c>
      <c r="C13" s="200">
        <v>4</v>
      </c>
      <c r="D13" s="206">
        <v>1</v>
      </c>
      <c r="E13" s="202">
        <v>2</v>
      </c>
      <c r="F13" s="203">
        <v>1</v>
      </c>
      <c r="G13" s="202">
        <v>90</v>
      </c>
      <c r="H13" s="490">
        <f t="shared" ref="H13:H25" si="4">C13*D13*G13</f>
        <v>360</v>
      </c>
      <c r="I13" s="490">
        <f t="shared" ref="I13:I16" si="5">C13*E13*F13*16.5</f>
        <v>132</v>
      </c>
      <c r="J13" s="203">
        <f t="shared" ref="J13:J25" si="6">I13</f>
        <v>132</v>
      </c>
      <c r="K13" s="203">
        <v>0</v>
      </c>
      <c r="L13" s="203">
        <v>0</v>
      </c>
      <c r="M13" s="161" t="s">
        <v>938</v>
      </c>
    </row>
    <row r="14" spans="1:13" ht="15.75" customHeight="1">
      <c r="A14" s="198" t="s">
        <v>481</v>
      </c>
      <c r="B14" s="67" t="s">
        <v>939</v>
      </c>
      <c r="C14" s="200">
        <v>4</v>
      </c>
      <c r="D14" s="206">
        <v>1</v>
      </c>
      <c r="E14" s="202">
        <v>2</v>
      </c>
      <c r="F14" s="203">
        <v>1</v>
      </c>
      <c r="G14" s="202">
        <v>90</v>
      </c>
      <c r="H14" s="490">
        <f t="shared" si="4"/>
        <v>360</v>
      </c>
      <c r="I14" s="490">
        <f t="shared" si="5"/>
        <v>132</v>
      </c>
      <c r="J14" s="203">
        <f t="shared" si="6"/>
        <v>132</v>
      </c>
      <c r="K14" s="203">
        <v>0</v>
      </c>
      <c r="L14" s="203">
        <v>0</v>
      </c>
      <c r="M14" s="161" t="s">
        <v>938</v>
      </c>
    </row>
    <row r="15" spans="1:13" ht="29.25" customHeight="1">
      <c r="A15" s="198" t="s">
        <v>483</v>
      </c>
      <c r="B15" s="67" t="s">
        <v>940</v>
      </c>
      <c r="C15" s="200">
        <v>5</v>
      </c>
      <c r="D15" s="206">
        <v>1</v>
      </c>
      <c r="E15" s="202">
        <v>2</v>
      </c>
      <c r="F15" s="203">
        <v>1</v>
      </c>
      <c r="G15" s="202">
        <v>90</v>
      </c>
      <c r="H15" s="490">
        <f t="shared" si="4"/>
        <v>450</v>
      </c>
      <c r="I15" s="490">
        <f t="shared" si="5"/>
        <v>165</v>
      </c>
      <c r="J15" s="203">
        <f t="shared" si="6"/>
        <v>165</v>
      </c>
      <c r="K15" s="203">
        <v>0</v>
      </c>
      <c r="L15" s="203">
        <v>0</v>
      </c>
      <c r="M15" s="161" t="s">
        <v>938</v>
      </c>
    </row>
    <row r="16" spans="1:13" ht="27" customHeight="1">
      <c r="A16" s="198" t="s">
        <v>484</v>
      </c>
      <c r="B16" s="67" t="s">
        <v>941</v>
      </c>
      <c r="C16" s="200">
        <v>5</v>
      </c>
      <c r="D16" s="206">
        <v>1</v>
      </c>
      <c r="E16" s="202">
        <v>2</v>
      </c>
      <c r="F16" s="203">
        <v>1</v>
      </c>
      <c r="G16" s="202">
        <v>90</v>
      </c>
      <c r="H16" s="490">
        <f t="shared" si="4"/>
        <v>450</v>
      </c>
      <c r="I16" s="490">
        <f t="shared" si="5"/>
        <v>165</v>
      </c>
      <c r="J16" s="203">
        <f t="shared" si="6"/>
        <v>165</v>
      </c>
      <c r="K16" s="203">
        <v>0</v>
      </c>
      <c r="L16" s="203">
        <v>0</v>
      </c>
      <c r="M16" s="161" t="s">
        <v>938</v>
      </c>
    </row>
    <row r="17" spans="1:13" ht="27" customHeight="1">
      <c r="A17" s="198" t="s">
        <v>485</v>
      </c>
      <c r="B17" s="67" t="s">
        <v>942</v>
      </c>
      <c r="C17" s="200">
        <v>5</v>
      </c>
      <c r="D17" s="206">
        <v>1.1000000000000001</v>
      </c>
      <c r="E17" s="202">
        <v>5</v>
      </c>
      <c r="F17" s="203">
        <v>1</v>
      </c>
      <c r="G17" s="202">
        <v>214</v>
      </c>
      <c r="H17" s="490">
        <f t="shared" si="4"/>
        <v>1177</v>
      </c>
      <c r="I17" s="490">
        <f>C17*E17*F17*16.5*0.8+C17*15*F17*15*0.2</f>
        <v>555</v>
      </c>
      <c r="J17" s="203">
        <f t="shared" si="6"/>
        <v>555</v>
      </c>
      <c r="K17" s="203">
        <v>0</v>
      </c>
      <c r="L17" s="203">
        <v>0</v>
      </c>
      <c r="M17" s="161" t="s">
        <v>943</v>
      </c>
    </row>
    <row r="18" spans="1:13" ht="24" customHeight="1">
      <c r="A18" s="198" t="s">
        <v>486</v>
      </c>
      <c r="B18" s="67" t="s">
        <v>944</v>
      </c>
      <c r="C18" s="200">
        <v>4</v>
      </c>
      <c r="D18" s="206">
        <v>1</v>
      </c>
      <c r="E18" s="202">
        <v>5</v>
      </c>
      <c r="F18" s="203">
        <v>1</v>
      </c>
      <c r="G18" s="202">
        <v>214</v>
      </c>
      <c r="H18" s="490">
        <f t="shared" si="4"/>
        <v>856</v>
      </c>
      <c r="I18" s="490">
        <f>C18*E18*F18*16.5</f>
        <v>330</v>
      </c>
      <c r="J18" s="203">
        <f t="shared" si="6"/>
        <v>330</v>
      </c>
      <c r="K18" s="203">
        <v>0</v>
      </c>
      <c r="L18" s="203">
        <v>0</v>
      </c>
      <c r="M18" s="161" t="s">
        <v>943</v>
      </c>
    </row>
    <row r="19" spans="1:13" ht="27" customHeight="1">
      <c r="A19" s="198" t="s">
        <v>487</v>
      </c>
      <c r="B19" s="67" t="s">
        <v>945</v>
      </c>
      <c r="C19" s="200">
        <v>5</v>
      </c>
      <c r="D19" s="206">
        <v>1.3</v>
      </c>
      <c r="E19" s="202">
        <v>5</v>
      </c>
      <c r="F19" s="203">
        <v>1</v>
      </c>
      <c r="G19" s="202">
        <v>214</v>
      </c>
      <c r="H19" s="490">
        <f t="shared" si="4"/>
        <v>1391</v>
      </c>
      <c r="I19" s="490">
        <f>C19*E19*F19*15*3/5+C19*G19*0.8*2/5</f>
        <v>567.4</v>
      </c>
      <c r="J19" s="203">
        <f t="shared" si="6"/>
        <v>567.4</v>
      </c>
      <c r="K19" s="203">
        <v>0</v>
      </c>
      <c r="L19" s="203">
        <v>0</v>
      </c>
      <c r="M19" s="161" t="s">
        <v>946</v>
      </c>
    </row>
    <row r="20" spans="1:13" ht="31.5" customHeight="1">
      <c r="A20" s="198" t="s">
        <v>488</v>
      </c>
      <c r="B20" s="67" t="s">
        <v>947</v>
      </c>
      <c r="C20" s="200">
        <v>2</v>
      </c>
      <c r="D20" s="206">
        <v>1</v>
      </c>
      <c r="E20" s="202">
        <v>5</v>
      </c>
      <c r="F20" s="203">
        <v>1.3</v>
      </c>
      <c r="G20" s="202">
        <v>214</v>
      </c>
      <c r="H20" s="490">
        <f t="shared" si="4"/>
        <v>428</v>
      </c>
      <c r="I20" s="490">
        <f t="shared" ref="I20:I21" si="7">C20*E20*F20*16.5</f>
        <v>214.5</v>
      </c>
      <c r="J20" s="203">
        <f t="shared" si="6"/>
        <v>214.5</v>
      </c>
      <c r="K20" s="203">
        <v>0</v>
      </c>
      <c r="L20" s="203">
        <v>0</v>
      </c>
      <c r="M20" s="161" t="s">
        <v>943</v>
      </c>
    </row>
    <row r="21" spans="1:13" ht="15.75" customHeight="1">
      <c r="A21" s="198" t="s">
        <v>489</v>
      </c>
      <c r="B21" s="67" t="s">
        <v>948</v>
      </c>
      <c r="C21" s="200">
        <v>3</v>
      </c>
      <c r="D21" s="206">
        <v>1</v>
      </c>
      <c r="E21" s="202">
        <v>5</v>
      </c>
      <c r="F21" s="203">
        <v>1.3</v>
      </c>
      <c r="G21" s="202">
        <v>350</v>
      </c>
      <c r="H21" s="490">
        <f t="shared" si="4"/>
        <v>1050</v>
      </c>
      <c r="I21" s="490">
        <f t="shared" si="7"/>
        <v>321.75</v>
      </c>
      <c r="J21" s="203">
        <f t="shared" si="6"/>
        <v>321.75</v>
      </c>
      <c r="K21" s="203">
        <v>0</v>
      </c>
      <c r="L21" s="203">
        <v>0</v>
      </c>
      <c r="M21" s="161" t="s">
        <v>949</v>
      </c>
    </row>
    <row r="22" spans="1:13" ht="27" customHeight="1">
      <c r="A22" s="198" t="s">
        <v>490</v>
      </c>
      <c r="B22" s="67" t="s">
        <v>950</v>
      </c>
      <c r="C22" s="200">
        <v>4</v>
      </c>
      <c r="D22" s="206">
        <v>1.3</v>
      </c>
      <c r="E22" s="202">
        <v>2</v>
      </c>
      <c r="F22" s="203">
        <v>1</v>
      </c>
      <c r="G22" s="202">
        <v>113</v>
      </c>
      <c r="H22" s="490">
        <f t="shared" si="4"/>
        <v>587.6</v>
      </c>
      <c r="I22" s="490">
        <f>C22*E22*F22*15*1/2+C22*G22*0.8*1/2</f>
        <v>240.8</v>
      </c>
      <c r="J22" s="203">
        <f t="shared" si="6"/>
        <v>240.8</v>
      </c>
      <c r="K22" s="203">
        <v>0</v>
      </c>
      <c r="L22" s="203">
        <v>0</v>
      </c>
      <c r="M22" s="161" t="s">
        <v>951</v>
      </c>
    </row>
    <row r="23" spans="1:13" ht="15.75" customHeight="1">
      <c r="A23" s="207" t="s">
        <v>491</v>
      </c>
      <c r="B23" s="67" t="s">
        <v>952</v>
      </c>
      <c r="C23" s="200">
        <v>2</v>
      </c>
      <c r="D23" s="206">
        <v>1</v>
      </c>
      <c r="E23" s="202">
        <v>2</v>
      </c>
      <c r="F23" s="203">
        <v>1</v>
      </c>
      <c r="G23" s="202">
        <v>113</v>
      </c>
      <c r="H23" s="490">
        <f t="shared" si="4"/>
        <v>226</v>
      </c>
      <c r="I23" s="490">
        <f>C23*E23*F23*16.5</f>
        <v>66</v>
      </c>
      <c r="J23" s="203">
        <f t="shared" si="6"/>
        <v>66</v>
      </c>
      <c r="K23" s="203">
        <v>0</v>
      </c>
      <c r="L23" s="203">
        <v>0</v>
      </c>
      <c r="M23" s="161" t="s">
        <v>949</v>
      </c>
    </row>
    <row r="24" spans="1:13" ht="15.75" customHeight="1">
      <c r="A24" s="207" t="s">
        <v>492</v>
      </c>
      <c r="B24" s="67" t="s">
        <v>953</v>
      </c>
      <c r="C24" s="200">
        <v>50</v>
      </c>
      <c r="D24" s="206">
        <v>1</v>
      </c>
      <c r="E24" s="202">
        <v>1</v>
      </c>
      <c r="F24" s="203">
        <v>1</v>
      </c>
      <c r="G24" s="202">
        <v>13</v>
      </c>
      <c r="H24" s="490">
        <f t="shared" si="4"/>
        <v>650</v>
      </c>
      <c r="I24" s="490">
        <f>C24*E24*F24*16.5*1.2</f>
        <v>990</v>
      </c>
      <c r="J24" s="203">
        <f t="shared" si="6"/>
        <v>990</v>
      </c>
      <c r="K24" s="203">
        <v>0</v>
      </c>
      <c r="L24" s="203">
        <v>0</v>
      </c>
      <c r="M24" s="161"/>
    </row>
    <row r="25" spans="1:13" ht="34.5" customHeight="1">
      <c r="A25" s="198" t="s">
        <v>517</v>
      </c>
      <c r="B25" s="67" t="s">
        <v>948</v>
      </c>
      <c r="C25" s="200">
        <v>3</v>
      </c>
      <c r="D25" s="206">
        <v>1</v>
      </c>
      <c r="E25" s="202">
        <v>1</v>
      </c>
      <c r="F25" s="203">
        <v>1</v>
      </c>
      <c r="G25" s="202">
        <v>60</v>
      </c>
      <c r="H25" s="490">
        <f t="shared" si="4"/>
        <v>180</v>
      </c>
      <c r="I25" s="490">
        <f>C25*E25*F25*16.5</f>
        <v>49.5</v>
      </c>
      <c r="J25" s="203">
        <f t="shared" si="6"/>
        <v>49.5</v>
      </c>
      <c r="K25" s="203">
        <v>0</v>
      </c>
      <c r="L25" s="203">
        <v>0</v>
      </c>
      <c r="M25" s="161" t="s">
        <v>954</v>
      </c>
    </row>
    <row r="26" spans="1:13" ht="38.25" customHeight="1">
      <c r="A26" s="543">
        <v>44593</v>
      </c>
      <c r="B26" s="67" t="s">
        <v>493</v>
      </c>
      <c r="C26" s="209">
        <f t="shared" ref="C26:L26" si="8">SUM(C27:C44)</f>
        <v>84</v>
      </c>
      <c r="D26" s="209">
        <f t="shared" si="8"/>
        <v>19.234999999999999</v>
      </c>
      <c r="E26" s="209">
        <f t="shared" si="8"/>
        <v>56</v>
      </c>
      <c r="F26" s="209">
        <f t="shared" si="8"/>
        <v>18.3</v>
      </c>
      <c r="G26" s="209">
        <f t="shared" si="8"/>
        <v>2322</v>
      </c>
      <c r="H26" s="487">
        <f t="shared" si="8"/>
        <v>8977.4</v>
      </c>
      <c r="I26" s="487">
        <f t="shared" si="8"/>
        <v>4197.1166666666668</v>
      </c>
      <c r="J26" s="191">
        <f t="shared" si="8"/>
        <v>4197.1166666666668</v>
      </c>
      <c r="K26" s="191">
        <f t="shared" si="8"/>
        <v>0</v>
      </c>
      <c r="L26" s="191">
        <f t="shared" si="8"/>
        <v>0</v>
      </c>
      <c r="M26" s="161"/>
    </row>
    <row r="27" spans="1:13" ht="27" customHeight="1">
      <c r="A27" s="198" t="s">
        <v>479</v>
      </c>
      <c r="B27" s="67" t="s">
        <v>955</v>
      </c>
      <c r="C27" s="200">
        <v>2</v>
      </c>
      <c r="D27" s="206">
        <v>1</v>
      </c>
      <c r="E27" s="202">
        <v>1</v>
      </c>
      <c r="F27" s="203">
        <v>1</v>
      </c>
      <c r="G27" s="202">
        <v>22</v>
      </c>
      <c r="H27" s="490">
        <f t="shared" ref="H27:H44" si="9">C27*D27*G27</f>
        <v>44</v>
      </c>
      <c r="I27" s="490">
        <f t="shared" ref="I27:I30" si="10">C27*E27*F27*16.5</f>
        <v>33</v>
      </c>
      <c r="J27" s="203">
        <f t="shared" ref="J27:J44" si="11">I27</f>
        <v>33</v>
      </c>
      <c r="K27" s="203">
        <v>0</v>
      </c>
      <c r="L27" s="203">
        <v>0</v>
      </c>
      <c r="M27" s="161" t="s">
        <v>938</v>
      </c>
    </row>
    <row r="28" spans="1:13" ht="26.25" customHeight="1">
      <c r="A28" s="198" t="s">
        <v>481</v>
      </c>
      <c r="B28" s="67" t="s">
        <v>956</v>
      </c>
      <c r="C28" s="200">
        <v>2</v>
      </c>
      <c r="D28" s="206">
        <v>1</v>
      </c>
      <c r="E28" s="202">
        <v>1</v>
      </c>
      <c r="F28" s="203">
        <v>1</v>
      </c>
      <c r="G28" s="202">
        <v>22</v>
      </c>
      <c r="H28" s="490">
        <f t="shared" si="9"/>
        <v>44</v>
      </c>
      <c r="I28" s="490">
        <f t="shared" si="10"/>
        <v>33</v>
      </c>
      <c r="J28" s="203">
        <f t="shared" si="11"/>
        <v>33</v>
      </c>
      <c r="K28" s="203">
        <v>0</v>
      </c>
      <c r="L28" s="203">
        <v>0</v>
      </c>
      <c r="M28" s="161" t="s">
        <v>938</v>
      </c>
    </row>
    <row r="29" spans="1:13" ht="30" customHeight="1">
      <c r="A29" s="198" t="s">
        <v>484</v>
      </c>
      <c r="B29" s="67" t="s">
        <v>957</v>
      </c>
      <c r="C29" s="200">
        <v>2</v>
      </c>
      <c r="D29" s="206">
        <v>1</v>
      </c>
      <c r="E29" s="202">
        <v>1</v>
      </c>
      <c r="F29" s="203">
        <v>1</v>
      </c>
      <c r="G29" s="202">
        <v>22</v>
      </c>
      <c r="H29" s="490">
        <f t="shared" si="9"/>
        <v>44</v>
      </c>
      <c r="I29" s="490">
        <f t="shared" si="10"/>
        <v>33</v>
      </c>
      <c r="J29" s="203">
        <f t="shared" si="11"/>
        <v>33</v>
      </c>
      <c r="K29" s="203">
        <v>0</v>
      </c>
      <c r="L29" s="203">
        <v>0</v>
      </c>
      <c r="M29" s="161" t="s">
        <v>938</v>
      </c>
    </row>
    <row r="30" spans="1:13" ht="33.75" customHeight="1">
      <c r="A30" s="198" t="s">
        <v>485</v>
      </c>
      <c r="B30" s="67" t="s">
        <v>958</v>
      </c>
      <c r="C30" s="200">
        <v>2</v>
      </c>
      <c r="D30" s="206">
        <v>1</v>
      </c>
      <c r="E30" s="202">
        <v>1</v>
      </c>
      <c r="F30" s="203">
        <v>1</v>
      </c>
      <c r="G30" s="202">
        <v>22</v>
      </c>
      <c r="H30" s="490">
        <f t="shared" si="9"/>
        <v>44</v>
      </c>
      <c r="I30" s="490">
        <f t="shared" si="10"/>
        <v>33</v>
      </c>
      <c r="J30" s="203">
        <f t="shared" si="11"/>
        <v>33</v>
      </c>
      <c r="K30" s="203">
        <v>0</v>
      </c>
      <c r="L30" s="203">
        <v>0</v>
      </c>
      <c r="M30" s="161" t="s">
        <v>938</v>
      </c>
    </row>
    <row r="31" spans="1:13" ht="25.5" customHeight="1">
      <c r="A31" s="198" t="s">
        <v>486</v>
      </c>
      <c r="B31" s="67" t="s">
        <v>959</v>
      </c>
      <c r="C31" s="200">
        <v>5</v>
      </c>
      <c r="D31" s="206">
        <v>1.06</v>
      </c>
      <c r="E31" s="202">
        <v>2</v>
      </c>
      <c r="F31" s="203">
        <v>1</v>
      </c>
      <c r="G31" s="202">
        <v>90</v>
      </c>
      <c r="H31" s="490">
        <f t="shared" si="9"/>
        <v>477.00000000000006</v>
      </c>
      <c r="I31" s="490">
        <f>C31*E31*F31*16.5*0.8+C31*6*F31*15*0.2</f>
        <v>222</v>
      </c>
      <c r="J31" s="203">
        <f t="shared" si="11"/>
        <v>222</v>
      </c>
      <c r="K31" s="203">
        <v>0</v>
      </c>
      <c r="L31" s="203">
        <v>0</v>
      </c>
      <c r="M31" s="161" t="s">
        <v>938</v>
      </c>
    </row>
    <row r="32" spans="1:13" ht="33" customHeight="1">
      <c r="A32" s="198" t="s">
        <v>487</v>
      </c>
      <c r="B32" s="67" t="s">
        <v>960</v>
      </c>
      <c r="C32" s="200">
        <v>4</v>
      </c>
      <c r="D32" s="206">
        <v>1</v>
      </c>
      <c r="E32" s="202">
        <v>2</v>
      </c>
      <c r="F32" s="203">
        <v>1</v>
      </c>
      <c r="G32" s="202">
        <v>90</v>
      </c>
      <c r="H32" s="490">
        <f t="shared" si="9"/>
        <v>360</v>
      </c>
      <c r="I32" s="490">
        <f>C32*E32*F32*16.5</f>
        <v>132</v>
      </c>
      <c r="J32" s="203">
        <f t="shared" si="11"/>
        <v>132</v>
      </c>
      <c r="K32" s="203">
        <v>0</v>
      </c>
      <c r="L32" s="203">
        <v>0</v>
      </c>
      <c r="M32" s="161" t="s">
        <v>938</v>
      </c>
    </row>
    <row r="33" spans="1:13" ht="15.75" customHeight="1">
      <c r="A33" s="198" t="s">
        <v>488</v>
      </c>
      <c r="B33" s="67" t="s">
        <v>961</v>
      </c>
      <c r="C33" s="200">
        <v>2</v>
      </c>
      <c r="D33" s="206">
        <v>1.3</v>
      </c>
      <c r="E33" s="202">
        <v>6</v>
      </c>
      <c r="F33" s="203">
        <v>1</v>
      </c>
      <c r="G33" s="202">
        <v>90</v>
      </c>
      <c r="H33" s="490">
        <f t="shared" si="9"/>
        <v>234</v>
      </c>
      <c r="I33" s="490">
        <f>C33*E33*F33*15</f>
        <v>180</v>
      </c>
      <c r="J33" s="203">
        <f t="shared" si="11"/>
        <v>180</v>
      </c>
      <c r="K33" s="203">
        <v>0</v>
      </c>
      <c r="L33" s="203">
        <v>0</v>
      </c>
      <c r="M33" s="161" t="s">
        <v>938</v>
      </c>
    </row>
    <row r="34" spans="1:13" ht="28.5" customHeight="1">
      <c r="A34" s="198" t="s">
        <v>490</v>
      </c>
      <c r="B34" s="67" t="s">
        <v>962</v>
      </c>
      <c r="C34" s="200">
        <v>4</v>
      </c>
      <c r="D34" s="206">
        <v>1.075</v>
      </c>
      <c r="E34" s="202">
        <v>4</v>
      </c>
      <c r="F34" s="203">
        <v>1</v>
      </c>
      <c r="G34" s="202">
        <v>90</v>
      </c>
      <c r="H34" s="490">
        <f t="shared" si="9"/>
        <v>387</v>
      </c>
      <c r="I34" s="490">
        <f>C34*E34*F34*16.5*0.75+C34*6*F34*15*0.25</f>
        <v>288</v>
      </c>
      <c r="J34" s="203">
        <f t="shared" si="11"/>
        <v>288</v>
      </c>
      <c r="K34" s="203">
        <v>0</v>
      </c>
      <c r="L34" s="203">
        <v>0</v>
      </c>
      <c r="M34" s="161" t="s">
        <v>938</v>
      </c>
    </row>
    <row r="35" spans="1:13" ht="27" customHeight="1">
      <c r="A35" s="198" t="s">
        <v>491</v>
      </c>
      <c r="B35" s="67" t="s">
        <v>963</v>
      </c>
      <c r="C35" s="200">
        <v>4</v>
      </c>
      <c r="D35" s="206">
        <v>1</v>
      </c>
      <c r="E35" s="202">
        <v>2</v>
      </c>
      <c r="F35" s="203">
        <v>1</v>
      </c>
      <c r="G35" s="202">
        <v>90</v>
      </c>
      <c r="H35" s="490">
        <f t="shared" si="9"/>
        <v>360</v>
      </c>
      <c r="I35" s="490">
        <f t="shared" ref="I35:I36" si="12">C35*E35*F35*16.5</f>
        <v>132</v>
      </c>
      <c r="J35" s="203">
        <f t="shared" si="11"/>
        <v>132</v>
      </c>
      <c r="K35" s="203">
        <v>0</v>
      </c>
      <c r="L35" s="203">
        <v>0</v>
      </c>
      <c r="M35" s="161" t="s">
        <v>938</v>
      </c>
    </row>
    <row r="36" spans="1:13" ht="33" customHeight="1">
      <c r="A36" s="198" t="s">
        <v>503</v>
      </c>
      <c r="B36" s="67" t="s">
        <v>964</v>
      </c>
      <c r="C36" s="200">
        <v>4</v>
      </c>
      <c r="D36" s="206">
        <v>1</v>
      </c>
      <c r="E36" s="202">
        <v>5</v>
      </c>
      <c r="F36" s="203">
        <v>1</v>
      </c>
      <c r="G36" s="202">
        <v>214</v>
      </c>
      <c r="H36" s="490">
        <f t="shared" si="9"/>
        <v>856</v>
      </c>
      <c r="I36" s="490">
        <f t="shared" si="12"/>
        <v>330</v>
      </c>
      <c r="J36" s="203">
        <f t="shared" si="11"/>
        <v>330</v>
      </c>
      <c r="K36" s="203">
        <v>0</v>
      </c>
      <c r="L36" s="203">
        <v>0</v>
      </c>
      <c r="M36" s="161" t="s">
        <v>943</v>
      </c>
    </row>
    <row r="37" spans="1:13" ht="22.5" customHeight="1">
      <c r="A37" s="198" t="s">
        <v>505</v>
      </c>
      <c r="B37" s="67" t="s">
        <v>965</v>
      </c>
      <c r="C37" s="200">
        <v>3</v>
      </c>
      <c r="D37" s="206">
        <v>1.1000000000000001</v>
      </c>
      <c r="E37" s="202">
        <v>5</v>
      </c>
      <c r="F37" s="203">
        <v>1</v>
      </c>
      <c r="G37" s="202">
        <v>214</v>
      </c>
      <c r="H37" s="490">
        <f t="shared" si="9"/>
        <v>706.2</v>
      </c>
      <c r="I37" s="490">
        <f t="shared" ref="I37:I38" si="13">C37*E37*F37*16.5*0.7+C37*6*F37*15*0.3</f>
        <v>254.25</v>
      </c>
      <c r="J37" s="203">
        <f t="shared" si="11"/>
        <v>254.25</v>
      </c>
      <c r="K37" s="203">
        <v>0</v>
      </c>
      <c r="L37" s="203">
        <v>0</v>
      </c>
      <c r="M37" s="161" t="s">
        <v>943</v>
      </c>
    </row>
    <row r="38" spans="1:13" ht="15.75" customHeight="1">
      <c r="A38" s="198" t="s">
        <v>668</v>
      </c>
      <c r="B38" s="67" t="s">
        <v>966</v>
      </c>
      <c r="C38" s="200">
        <v>3</v>
      </c>
      <c r="D38" s="206">
        <v>1.1000000000000001</v>
      </c>
      <c r="E38" s="202">
        <v>5</v>
      </c>
      <c r="F38" s="203">
        <v>1</v>
      </c>
      <c r="G38" s="202">
        <v>214</v>
      </c>
      <c r="H38" s="490">
        <f t="shared" si="9"/>
        <v>706.2</v>
      </c>
      <c r="I38" s="490">
        <f t="shared" si="13"/>
        <v>254.25</v>
      </c>
      <c r="J38" s="203">
        <f t="shared" si="11"/>
        <v>254.25</v>
      </c>
      <c r="K38" s="203">
        <v>0</v>
      </c>
      <c r="L38" s="203">
        <v>0</v>
      </c>
      <c r="M38" s="161" t="s">
        <v>943</v>
      </c>
    </row>
    <row r="39" spans="1:13" ht="15.75" customHeight="1">
      <c r="A39" s="198" t="s">
        <v>670</v>
      </c>
      <c r="B39" s="67" t="s">
        <v>967</v>
      </c>
      <c r="C39" s="200">
        <v>5</v>
      </c>
      <c r="D39" s="206">
        <v>1.3</v>
      </c>
      <c r="E39" s="202">
        <v>5</v>
      </c>
      <c r="F39" s="203">
        <v>1</v>
      </c>
      <c r="G39" s="202">
        <v>214</v>
      </c>
      <c r="H39" s="490">
        <f t="shared" si="9"/>
        <v>1391</v>
      </c>
      <c r="I39" s="490">
        <f>C39*E39*F39*15*1/3+C39*G39*0.8*2/3</f>
        <v>695.66666666666663</v>
      </c>
      <c r="J39" s="203">
        <f t="shared" si="11"/>
        <v>695.66666666666663</v>
      </c>
      <c r="K39" s="203">
        <v>0</v>
      </c>
      <c r="L39" s="203">
        <v>0</v>
      </c>
      <c r="M39" s="161" t="s">
        <v>943</v>
      </c>
    </row>
    <row r="40" spans="1:13" ht="34.5" customHeight="1">
      <c r="A40" s="198" t="s">
        <v>672</v>
      </c>
      <c r="B40" s="67" t="s">
        <v>968</v>
      </c>
      <c r="C40" s="200">
        <v>3</v>
      </c>
      <c r="D40" s="206">
        <v>1</v>
      </c>
      <c r="E40" s="202">
        <v>2</v>
      </c>
      <c r="F40" s="203">
        <v>1</v>
      </c>
      <c r="G40" s="202">
        <v>113</v>
      </c>
      <c r="H40" s="490">
        <f t="shared" si="9"/>
        <v>339</v>
      </c>
      <c r="I40" s="490">
        <f>C40*E40*F40*16.5</f>
        <v>99</v>
      </c>
      <c r="J40" s="203">
        <f t="shared" si="11"/>
        <v>99</v>
      </c>
      <c r="K40" s="203">
        <v>0</v>
      </c>
      <c r="L40" s="203">
        <v>0</v>
      </c>
      <c r="M40" s="161" t="s">
        <v>949</v>
      </c>
    </row>
    <row r="41" spans="1:13" ht="34.5" customHeight="1">
      <c r="A41" s="198" t="s">
        <v>706</v>
      </c>
      <c r="B41" s="67" t="s">
        <v>969</v>
      </c>
      <c r="C41" s="200">
        <v>3</v>
      </c>
      <c r="D41" s="206">
        <v>1.3</v>
      </c>
      <c r="E41" s="202">
        <v>3</v>
      </c>
      <c r="F41" s="203">
        <v>1</v>
      </c>
      <c r="G41" s="202">
        <v>150</v>
      </c>
      <c r="H41" s="490">
        <f t="shared" si="9"/>
        <v>585</v>
      </c>
      <c r="I41" s="490">
        <f>C41*E41*F41*15*1/3+C41*G41*0.8*2/3</f>
        <v>285</v>
      </c>
      <c r="J41" s="203">
        <f t="shared" si="11"/>
        <v>285</v>
      </c>
      <c r="K41" s="203">
        <v>0</v>
      </c>
      <c r="L41" s="203">
        <v>0</v>
      </c>
      <c r="M41" s="161" t="s">
        <v>970</v>
      </c>
    </row>
    <row r="42" spans="1:13" ht="34.5" customHeight="1">
      <c r="A42" s="198" t="s">
        <v>708</v>
      </c>
      <c r="B42" s="67" t="s">
        <v>971</v>
      </c>
      <c r="C42" s="200">
        <v>3</v>
      </c>
      <c r="D42" s="206">
        <v>1</v>
      </c>
      <c r="E42" s="202">
        <v>3</v>
      </c>
      <c r="F42" s="203">
        <v>1</v>
      </c>
      <c r="G42" s="202">
        <v>150</v>
      </c>
      <c r="H42" s="490">
        <f t="shared" si="9"/>
        <v>450</v>
      </c>
      <c r="I42" s="490">
        <f t="shared" ref="I42:I43" si="14">C42*E42*F42*16.5</f>
        <v>148.5</v>
      </c>
      <c r="J42" s="203">
        <f t="shared" si="11"/>
        <v>148.5</v>
      </c>
      <c r="K42" s="203">
        <v>0</v>
      </c>
      <c r="L42" s="203">
        <v>0</v>
      </c>
      <c r="M42" s="161" t="s">
        <v>972</v>
      </c>
    </row>
    <row r="43" spans="1:13" ht="34.5" customHeight="1">
      <c r="A43" s="198" t="s">
        <v>710</v>
      </c>
      <c r="B43" s="67" t="s">
        <v>948</v>
      </c>
      <c r="C43" s="200">
        <v>3</v>
      </c>
      <c r="D43" s="206">
        <v>1</v>
      </c>
      <c r="E43" s="202">
        <v>7</v>
      </c>
      <c r="F43" s="203">
        <v>1.3</v>
      </c>
      <c r="G43" s="202">
        <v>500</v>
      </c>
      <c r="H43" s="490">
        <f t="shared" si="9"/>
        <v>1500</v>
      </c>
      <c r="I43" s="490">
        <f t="shared" si="14"/>
        <v>450.45</v>
      </c>
      <c r="J43" s="203">
        <f t="shared" si="11"/>
        <v>450.45</v>
      </c>
      <c r="K43" s="203">
        <v>0</v>
      </c>
      <c r="L43" s="203">
        <v>0</v>
      </c>
      <c r="M43" s="161" t="s">
        <v>973</v>
      </c>
    </row>
    <row r="44" spans="1:13" ht="31.5" customHeight="1">
      <c r="A44" s="198" t="s">
        <v>712</v>
      </c>
      <c r="B44" s="67" t="s">
        <v>974</v>
      </c>
      <c r="C44" s="200">
        <v>30</v>
      </c>
      <c r="D44" s="206">
        <v>1</v>
      </c>
      <c r="E44" s="202">
        <v>1</v>
      </c>
      <c r="F44" s="203">
        <v>1</v>
      </c>
      <c r="G44" s="202">
        <v>15</v>
      </c>
      <c r="H44" s="490">
        <f t="shared" si="9"/>
        <v>450</v>
      </c>
      <c r="I44" s="490">
        <f>C44*E44*F44*16.5*1.2</f>
        <v>594</v>
      </c>
      <c r="J44" s="203">
        <f t="shared" si="11"/>
        <v>594</v>
      </c>
      <c r="K44" s="203">
        <v>0</v>
      </c>
      <c r="L44" s="203">
        <v>0</v>
      </c>
      <c r="M44" s="161"/>
    </row>
    <row r="45" spans="1:13" ht="15.75" customHeight="1">
      <c r="A45" s="195">
        <v>2</v>
      </c>
      <c r="B45" s="196" t="s">
        <v>570</v>
      </c>
      <c r="C45" s="544">
        <f t="shared" ref="C45:L45" si="15">C46+C67</f>
        <v>60</v>
      </c>
      <c r="D45" s="544">
        <f t="shared" si="15"/>
        <v>31.5</v>
      </c>
      <c r="E45" s="544">
        <f t="shared" si="15"/>
        <v>21</v>
      </c>
      <c r="F45" s="544">
        <f t="shared" si="15"/>
        <v>3</v>
      </c>
      <c r="G45" s="544">
        <f t="shared" si="15"/>
        <v>368</v>
      </c>
      <c r="H45" s="545">
        <f t="shared" si="15"/>
        <v>1630.5</v>
      </c>
      <c r="I45" s="545">
        <f t="shared" si="15"/>
        <v>1830.75</v>
      </c>
      <c r="J45" s="544">
        <f t="shared" si="15"/>
        <v>1830.75</v>
      </c>
      <c r="K45" s="544">
        <f t="shared" si="15"/>
        <v>0</v>
      </c>
      <c r="L45" s="544">
        <f t="shared" si="15"/>
        <v>0</v>
      </c>
      <c r="M45" s="161"/>
    </row>
    <row r="46" spans="1:13" ht="39" customHeight="1">
      <c r="A46" s="542">
        <v>44563</v>
      </c>
      <c r="B46" s="107" t="s">
        <v>516</v>
      </c>
      <c r="C46" s="194">
        <f t="shared" ref="C46:L46" si="16">C47+C66</f>
        <v>54</v>
      </c>
      <c r="D46" s="194">
        <f t="shared" si="16"/>
        <v>27</v>
      </c>
      <c r="E46" s="194">
        <f t="shared" si="16"/>
        <v>18</v>
      </c>
      <c r="F46" s="194">
        <f t="shared" si="16"/>
        <v>0</v>
      </c>
      <c r="G46" s="194">
        <f t="shared" si="16"/>
        <v>351</v>
      </c>
      <c r="H46" s="546">
        <f t="shared" si="16"/>
        <v>1579.5</v>
      </c>
      <c r="I46" s="546">
        <f t="shared" si="16"/>
        <v>938.25</v>
      </c>
      <c r="J46" s="194">
        <f t="shared" si="16"/>
        <v>938.25</v>
      </c>
      <c r="K46" s="194">
        <f t="shared" si="16"/>
        <v>0</v>
      </c>
      <c r="L46" s="194">
        <f t="shared" si="16"/>
        <v>0</v>
      </c>
      <c r="M46" s="161"/>
    </row>
    <row r="47" spans="1:13" ht="15.75" customHeight="1">
      <c r="A47" s="106" t="s">
        <v>263</v>
      </c>
      <c r="B47" s="107" t="s">
        <v>571</v>
      </c>
      <c r="C47" s="194">
        <f>SUM(C48:C65)</f>
        <v>54</v>
      </c>
      <c r="D47" s="194">
        <f>SUM(D48:D66)</f>
        <v>27</v>
      </c>
      <c r="E47" s="194">
        <f>SUM(E48:E65)</f>
        <v>18</v>
      </c>
      <c r="F47" s="194"/>
      <c r="G47" s="194">
        <f t="shared" ref="G47:L47" si="17">SUM(G48:G65)</f>
        <v>351</v>
      </c>
      <c r="H47" s="546">
        <f t="shared" si="17"/>
        <v>1579.5</v>
      </c>
      <c r="I47" s="546">
        <f t="shared" si="17"/>
        <v>938.25</v>
      </c>
      <c r="J47" s="194">
        <f t="shared" si="17"/>
        <v>938.25</v>
      </c>
      <c r="K47" s="194">
        <f t="shared" si="17"/>
        <v>0</v>
      </c>
      <c r="L47" s="194">
        <f t="shared" si="17"/>
        <v>0</v>
      </c>
      <c r="M47" s="161"/>
    </row>
    <row r="48" spans="1:13" ht="15.75" customHeight="1">
      <c r="A48" s="198" t="s">
        <v>479</v>
      </c>
      <c r="B48" s="218" t="s">
        <v>975</v>
      </c>
      <c r="C48" s="202">
        <v>3</v>
      </c>
      <c r="D48" s="206">
        <v>1.5</v>
      </c>
      <c r="E48" s="202">
        <v>1</v>
      </c>
      <c r="F48" s="203">
        <v>1</v>
      </c>
      <c r="G48" s="202">
        <v>27</v>
      </c>
      <c r="H48" s="490">
        <f t="shared" ref="H48:H65" si="18">C48*D48*G48</f>
        <v>121.5</v>
      </c>
      <c r="I48" s="490">
        <f t="shared" ref="I48:I65" si="19">D48*E48*F48*34.75</f>
        <v>52.125</v>
      </c>
      <c r="J48" s="203">
        <f t="shared" ref="J48:J65" si="20">I48</f>
        <v>52.125</v>
      </c>
      <c r="K48" s="203">
        <v>0</v>
      </c>
      <c r="L48" s="203">
        <v>0</v>
      </c>
      <c r="M48" s="161"/>
    </row>
    <row r="49" spans="1:13" ht="15.75" customHeight="1">
      <c r="A49" s="198" t="s">
        <v>481</v>
      </c>
      <c r="B49" s="218" t="s">
        <v>976</v>
      </c>
      <c r="C49" s="202">
        <v>3</v>
      </c>
      <c r="D49" s="206">
        <v>1.5</v>
      </c>
      <c r="E49" s="202">
        <v>1</v>
      </c>
      <c r="F49" s="203">
        <v>1</v>
      </c>
      <c r="G49" s="202">
        <v>27</v>
      </c>
      <c r="H49" s="490">
        <f t="shared" si="18"/>
        <v>121.5</v>
      </c>
      <c r="I49" s="490">
        <f t="shared" si="19"/>
        <v>52.125</v>
      </c>
      <c r="J49" s="203">
        <f t="shared" si="20"/>
        <v>52.125</v>
      </c>
      <c r="K49" s="203">
        <v>0</v>
      </c>
      <c r="L49" s="203">
        <v>0</v>
      </c>
      <c r="M49" s="161"/>
    </row>
    <row r="50" spans="1:13" ht="27" customHeight="1">
      <c r="A50" s="198" t="s">
        <v>483</v>
      </c>
      <c r="B50" s="218" t="s">
        <v>977</v>
      </c>
      <c r="C50" s="202">
        <v>3</v>
      </c>
      <c r="D50" s="206">
        <v>1.5</v>
      </c>
      <c r="E50" s="202">
        <v>1</v>
      </c>
      <c r="F50" s="203">
        <v>1</v>
      </c>
      <c r="G50" s="202">
        <v>27</v>
      </c>
      <c r="H50" s="490">
        <f t="shared" si="18"/>
        <v>121.5</v>
      </c>
      <c r="I50" s="490">
        <f t="shared" si="19"/>
        <v>52.125</v>
      </c>
      <c r="J50" s="203">
        <f t="shared" si="20"/>
        <v>52.125</v>
      </c>
      <c r="K50" s="203">
        <v>0</v>
      </c>
      <c r="L50" s="203">
        <v>0</v>
      </c>
      <c r="M50" s="161"/>
    </row>
    <row r="51" spans="1:13" ht="30" customHeight="1">
      <c r="A51" s="198" t="s">
        <v>484</v>
      </c>
      <c r="B51" s="218" t="s">
        <v>978</v>
      </c>
      <c r="C51" s="202">
        <v>3</v>
      </c>
      <c r="D51" s="206">
        <v>1.5</v>
      </c>
      <c r="E51" s="202">
        <v>1</v>
      </c>
      <c r="F51" s="203">
        <v>1</v>
      </c>
      <c r="G51" s="202">
        <v>27</v>
      </c>
      <c r="H51" s="490">
        <f t="shared" si="18"/>
        <v>121.5</v>
      </c>
      <c r="I51" s="490">
        <f t="shared" si="19"/>
        <v>52.125</v>
      </c>
      <c r="J51" s="203">
        <f t="shared" si="20"/>
        <v>52.125</v>
      </c>
      <c r="K51" s="203">
        <v>0</v>
      </c>
      <c r="L51" s="203">
        <v>0</v>
      </c>
      <c r="M51" s="161"/>
    </row>
    <row r="52" spans="1:13" ht="24" customHeight="1">
      <c r="A52" s="198" t="s">
        <v>485</v>
      </c>
      <c r="B52" s="218" t="s">
        <v>979</v>
      </c>
      <c r="C52" s="202">
        <v>3</v>
      </c>
      <c r="D52" s="206">
        <v>1.5</v>
      </c>
      <c r="E52" s="202">
        <v>1</v>
      </c>
      <c r="F52" s="203">
        <v>1</v>
      </c>
      <c r="G52" s="202">
        <v>27</v>
      </c>
      <c r="H52" s="490">
        <f t="shared" si="18"/>
        <v>121.5</v>
      </c>
      <c r="I52" s="490">
        <f t="shared" si="19"/>
        <v>52.125</v>
      </c>
      <c r="J52" s="203">
        <f t="shared" si="20"/>
        <v>52.125</v>
      </c>
      <c r="K52" s="203">
        <v>0</v>
      </c>
      <c r="L52" s="203">
        <v>0</v>
      </c>
      <c r="M52" s="161"/>
    </row>
    <row r="53" spans="1:13" ht="28.5" customHeight="1">
      <c r="A53" s="198" t="s">
        <v>486</v>
      </c>
      <c r="B53" s="218" t="s">
        <v>980</v>
      </c>
      <c r="C53" s="202">
        <v>3</v>
      </c>
      <c r="D53" s="206">
        <v>1.5</v>
      </c>
      <c r="E53" s="202">
        <v>1</v>
      </c>
      <c r="F53" s="203">
        <v>1</v>
      </c>
      <c r="G53" s="202">
        <v>27</v>
      </c>
      <c r="H53" s="490">
        <f t="shared" si="18"/>
        <v>121.5</v>
      </c>
      <c r="I53" s="490">
        <f t="shared" si="19"/>
        <v>52.125</v>
      </c>
      <c r="J53" s="203">
        <f t="shared" si="20"/>
        <v>52.125</v>
      </c>
      <c r="K53" s="203">
        <v>0</v>
      </c>
      <c r="L53" s="203">
        <v>0</v>
      </c>
      <c r="M53" s="161"/>
    </row>
    <row r="54" spans="1:13" ht="30" customHeight="1">
      <c r="A54" s="198" t="s">
        <v>487</v>
      </c>
      <c r="B54" s="218" t="s">
        <v>981</v>
      </c>
      <c r="C54" s="202">
        <v>3</v>
      </c>
      <c r="D54" s="206">
        <v>1.5</v>
      </c>
      <c r="E54" s="202">
        <v>1</v>
      </c>
      <c r="F54" s="203">
        <v>1</v>
      </c>
      <c r="G54" s="202">
        <v>27</v>
      </c>
      <c r="H54" s="490">
        <f t="shared" si="18"/>
        <v>121.5</v>
      </c>
      <c r="I54" s="490">
        <f t="shared" si="19"/>
        <v>52.125</v>
      </c>
      <c r="J54" s="203">
        <f t="shared" si="20"/>
        <v>52.125</v>
      </c>
      <c r="K54" s="203">
        <v>0</v>
      </c>
      <c r="L54" s="203">
        <v>0</v>
      </c>
      <c r="M54" s="161"/>
    </row>
    <row r="55" spans="1:13" ht="35.25" customHeight="1">
      <c r="A55" s="198" t="s">
        <v>488</v>
      </c>
      <c r="B55" s="218" t="s">
        <v>982</v>
      </c>
      <c r="C55" s="202">
        <v>3</v>
      </c>
      <c r="D55" s="206">
        <v>1.5</v>
      </c>
      <c r="E55" s="202">
        <v>1</v>
      </c>
      <c r="F55" s="203">
        <v>1</v>
      </c>
      <c r="G55" s="202">
        <v>27</v>
      </c>
      <c r="H55" s="490">
        <f t="shared" si="18"/>
        <v>121.5</v>
      </c>
      <c r="I55" s="490">
        <f t="shared" si="19"/>
        <v>52.125</v>
      </c>
      <c r="J55" s="203">
        <f t="shared" si="20"/>
        <v>52.125</v>
      </c>
      <c r="K55" s="203">
        <v>0</v>
      </c>
      <c r="L55" s="203">
        <v>0</v>
      </c>
      <c r="M55" s="161"/>
    </row>
    <row r="56" spans="1:13" ht="41.25" customHeight="1">
      <c r="A56" s="198" t="s">
        <v>489</v>
      </c>
      <c r="B56" s="218" t="s">
        <v>983</v>
      </c>
      <c r="C56" s="202">
        <v>3</v>
      </c>
      <c r="D56" s="206">
        <v>1.5</v>
      </c>
      <c r="E56" s="202">
        <v>1</v>
      </c>
      <c r="F56" s="203">
        <v>1</v>
      </c>
      <c r="G56" s="202">
        <v>17</v>
      </c>
      <c r="H56" s="490">
        <f t="shared" si="18"/>
        <v>76.5</v>
      </c>
      <c r="I56" s="490">
        <f t="shared" si="19"/>
        <v>52.125</v>
      </c>
      <c r="J56" s="203">
        <f t="shared" si="20"/>
        <v>52.125</v>
      </c>
      <c r="K56" s="203">
        <v>0</v>
      </c>
      <c r="L56" s="203">
        <v>0</v>
      </c>
      <c r="M56" s="161"/>
    </row>
    <row r="57" spans="1:13" ht="27" customHeight="1">
      <c r="A57" s="198" t="s">
        <v>490</v>
      </c>
      <c r="B57" s="218" t="s">
        <v>984</v>
      </c>
      <c r="C57" s="202">
        <v>3</v>
      </c>
      <c r="D57" s="206">
        <v>1.5</v>
      </c>
      <c r="E57" s="202">
        <v>1</v>
      </c>
      <c r="F57" s="203">
        <v>1</v>
      </c>
      <c r="G57" s="202">
        <v>17</v>
      </c>
      <c r="H57" s="490">
        <f t="shared" si="18"/>
        <v>76.5</v>
      </c>
      <c r="I57" s="490">
        <f t="shared" si="19"/>
        <v>52.125</v>
      </c>
      <c r="J57" s="203">
        <f t="shared" si="20"/>
        <v>52.125</v>
      </c>
      <c r="K57" s="203">
        <v>0</v>
      </c>
      <c r="L57" s="203">
        <v>0</v>
      </c>
      <c r="M57" s="161"/>
    </row>
    <row r="58" spans="1:13" ht="31.5" customHeight="1">
      <c r="A58" s="198" t="s">
        <v>491</v>
      </c>
      <c r="B58" s="218" t="s">
        <v>985</v>
      </c>
      <c r="C58" s="202">
        <v>3</v>
      </c>
      <c r="D58" s="206">
        <v>1.5</v>
      </c>
      <c r="E58" s="202">
        <v>1</v>
      </c>
      <c r="F58" s="203">
        <v>1</v>
      </c>
      <c r="G58" s="202">
        <v>17</v>
      </c>
      <c r="H58" s="490">
        <f t="shared" si="18"/>
        <v>76.5</v>
      </c>
      <c r="I58" s="490">
        <f t="shared" si="19"/>
        <v>52.125</v>
      </c>
      <c r="J58" s="203">
        <f t="shared" si="20"/>
        <v>52.125</v>
      </c>
      <c r="K58" s="203">
        <v>0</v>
      </c>
      <c r="L58" s="203">
        <v>0</v>
      </c>
      <c r="M58" s="161"/>
    </row>
    <row r="59" spans="1:13" ht="40.5" customHeight="1">
      <c r="A59" s="198" t="s">
        <v>492</v>
      </c>
      <c r="B59" s="218" t="s">
        <v>986</v>
      </c>
      <c r="C59" s="202">
        <v>3</v>
      </c>
      <c r="D59" s="206">
        <v>1.5</v>
      </c>
      <c r="E59" s="202">
        <v>1</v>
      </c>
      <c r="F59" s="203">
        <v>1</v>
      </c>
      <c r="G59" s="202">
        <v>17</v>
      </c>
      <c r="H59" s="490">
        <f t="shared" si="18"/>
        <v>76.5</v>
      </c>
      <c r="I59" s="490">
        <f t="shared" si="19"/>
        <v>52.125</v>
      </c>
      <c r="J59" s="203">
        <f t="shared" si="20"/>
        <v>52.125</v>
      </c>
      <c r="K59" s="203">
        <v>0</v>
      </c>
      <c r="L59" s="203">
        <v>0</v>
      </c>
      <c r="M59" s="161"/>
    </row>
    <row r="60" spans="1:13" ht="30.75" customHeight="1">
      <c r="A60" s="198" t="s">
        <v>517</v>
      </c>
      <c r="B60" s="218" t="s">
        <v>987</v>
      </c>
      <c r="C60" s="202">
        <v>3</v>
      </c>
      <c r="D60" s="206">
        <v>1.5</v>
      </c>
      <c r="E60" s="202">
        <v>1</v>
      </c>
      <c r="F60" s="203">
        <v>1</v>
      </c>
      <c r="G60" s="202">
        <v>17</v>
      </c>
      <c r="H60" s="490">
        <f t="shared" si="18"/>
        <v>76.5</v>
      </c>
      <c r="I60" s="490">
        <f t="shared" si="19"/>
        <v>52.125</v>
      </c>
      <c r="J60" s="203">
        <f t="shared" si="20"/>
        <v>52.125</v>
      </c>
      <c r="K60" s="203">
        <v>0</v>
      </c>
      <c r="L60" s="203">
        <v>0</v>
      </c>
      <c r="M60" s="161"/>
    </row>
    <row r="61" spans="1:13" ht="30.75" customHeight="1">
      <c r="A61" s="198" t="s">
        <v>518</v>
      </c>
      <c r="B61" s="218" t="s">
        <v>988</v>
      </c>
      <c r="C61" s="202">
        <v>3</v>
      </c>
      <c r="D61" s="206">
        <v>1.5</v>
      </c>
      <c r="E61" s="202">
        <v>1</v>
      </c>
      <c r="F61" s="203">
        <v>1</v>
      </c>
      <c r="G61" s="202">
        <v>10</v>
      </c>
      <c r="H61" s="490">
        <f t="shared" si="18"/>
        <v>45</v>
      </c>
      <c r="I61" s="490">
        <f t="shared" si="19"/>
        <v>52.125</v>
      </c>
      <c r="J61" s="203">
        <f t="shared" si="20"/>
        <v>52.125</v>
      </c>
      <c r="K61" s="203">
        <v>0</v>
      </c>
      <c r="L61" s="203">
        <v>0</v>
      </c>
      <c r="M61" s="161"/>
    </row>
    <row r="62" spans="1:13" ht="21.75" customHeight="1">
      <c r="A62" s="438" t="s">
        <v>503</v>
      </c>
      <c r="B62" s="218" t="s">
        <v>989</v>
      </c>
      <c r="C62" s="202">
        <v>3</v>
      </c>
      <c r="D62" s="206">
        <v>1.5</v>
      </c>
      <c r="E62" s="202">
        <v>1</v>
      </c>
      <c r="F62" s="203">
        <v>1</v>
      </c>
      <c r="G62" s="202">
        <v>10</v>
      </c>
      <c r="H62" s="490">
        <f t="shared" si="18"/>
        <v>45</v>
      </c>
      <c r="I62" s="490">
        <f t="shared" si="19"/>
        <v>52.125</v>
      </c>
      <c r="J62" s="203">
        <f t="shared" si="20"/>
        <v>52.125</v>
      </c>
      <c r="K62" s="203">
        <v>0</v>
      </c>
      <c r="L62" s="203">
        <v>0</v>
      </c>
      <c r="M62" s="161"/>
    </row>
    <row r="63" spans="1:13" ht="44.25" customHeight="1">
      <c r="A63" s="198" t="s">
        <v>659</v>
      </c>
      <c r="B63" s="218" t="s">
        <v>990</v>
      </c>
      <c r="C63" s="202">
        <v>3</v>
      </c>
      <c r="D63" s="206">
        <v>1.5</v>
      </c>
      <c r="E63" s="202">
        <v>1</v>
      </c>
      <c r="F63" s="203">
        <v>1</v>
      </c>
      <c r="G63" s="202">
        <v>10</v>
      </c>
      <c r="H63" s="490">
        <f t="shared" si="18"/>
        <v>45</v>
      </c>
      <c r="I63" s="490">
        <f t="shared" si="19"/>
        <v>52.125</v>
      </c>
      <c r="J63" s="203">
        <f t="shared" si="20"/>
        <v>52.125</v>
      </c>
      <c r="K63" s="203">
        <v>0</v>
      </c>
      <c r="L63" s="203">
        <v>0</v>
      </c>
      <c r="M63" s="161"/>
    </row>
    <row r="64" spans="1:13" ht="28.5" customHeight="1">
      <c r="A64" s="198" t="s">
        <v>662</v>
      </c>
      <c r="B64" s="218" t="s">
        <v>991</v>
      </c>
      <c r="C64" s="202">
        <v>3</v>
      </c>
      <c r="D64" s="206">
        <v>1.5</v>
      </c>
      <c r="E64" s="202">
        <v>1</v>
      </c>
      <c r="F64" s="203">
        <v>1</v>
      </c>
      <c r="G64" s="202">
        <v>10</v>
      </c>
      <c r="H64" s="490">
        <f t="shared" si="18"/>
        <v>45</v>
      </c>
      <c r="I64" s="490">
        <f t="shared" si="19"/>
        <v>52.125</v>
      </c>
      <c r="J64" s="203">
        <f t="shared" si="20"/>
        <v>52.125</v>
      </c>
      <c r="K64" s="203">
        <v>0</v>
      </c>
      <c r="L64" s="203">
        <v>0</v>
      </c>
      <c r="M64" s="161"/>
    </row>
    <row r="65" spans="1:13" ht="29.25" customHeight="1">
      <c r="A65" s="198" t="s">
        <v>664</v>
      </c>
      <c r="B65" s="218" t="s">
        <v>992</v>
      </c>
      <c r="C65" s="202">
        <v>3</v>
      </c>
      <c r="D65" s="206">
        <v>1.5</v>
      </c>
      <c r="E65" s="202">
        <v>1</v>
      </c>
      <c r="F65" s="203">
        <v>1</v>
      </c>
      <c r="G65" s="202">
        <v>10</v>
      </c>
      <c r="H65" s="490">
        <f t="shared" si="18"/>
        <v>45</v>
      </c>
      <c r="I65" s="490">
        <f t="shared" si="19"/>
        <v>52.125</v>
      </c>
      <c r="J65" s="203">
        <f t="shared" si="20"/>
        <v>52.125</v>
      </c>
      <c r="K65" s="203">
        <v>0</v>
      </c>
      <c r="L65" s="203">
        <v>0</v>
      </c>
      <c r="M65" s="161"/>
    </row>
    <row r="66" spans="1:13" ht="29.25" customHeight="1">
      <c r="A66" s="432" t="s">
        <v>265</v>
      </c>
      <c r="B66" s="547" t="s">
        <v>993</v>
      </c>
      <c r="C66" s="194">
        <v>0</v>
      </c>
      <c r="D66" s="194">
        <v>0</v>
      </c>
      <c r="E66" s="194">
        <v>0</v>
      </c>
      <c r="F66" s="194">
        <v>0</v>
      </c>
      <c r="G66" s="194">
        <v>0</v>
      </c>
      <c r="H66" s="546">
        <v>0</v>
      </c>
      <c r="I66" s="546">
        <v>0</v>
      </c>
      <c r="J66" s="194">
        <v>0</v>
      </c>
      <c r="K66" s="194">
        <v>0</v>
      </c>
      <c r="L66" s="194">
        <v>0</v>
      </c>
      <c r="M66" s="161"/>
    </row>
    <row r="67" spans="1:13" ht="29.25" customHeight="1">
      <c r="A67" s="208" t="s">
        <v>513</v>
      </c>
      <c r="B67" s="107" t="s">
        <v>994</v>
      </c>
      <c r="C67" s="194">
        <f t="shared" ref="C67:L67" si="21">C68+C69</f>
        <v>6</v>
      </c>
      <c r="D67" s="194">
        <f t="shared" si="21"/>
        <v>4.5</v>
      </c>
      <c r="E67" s="194">
        <f t="shared" si="21"/>
        <v>3</v>
      </c>
      <c r="F67" s="194">
        <f t="shared" si="21"/>
        <v>3</v>
      </c>
      <c r="G67" s="194">
        <f t="shared" si="21"/>
        <v>17</v>
      </c>
      <c r="H67" s="546">
        <f t="shared" si="21"/>
        <v>51</v>
      </c>
      <c r="I67" s="546">
        <f t="shared" si="21"/>
        <v>892.5</v>
      </c>
      <c r="J67" s="194">
        <f t="shared" si="21"/>
        <v>892.5</v>
      </c>
      <c r="K67" s="194">
        <f t="shared" si="21"/>
        <v>0</v>
      </c>
      <c r="L67" s="194">
        <f t="shared" si="21"/>
        <v>0</v>
      </c>
      <c r="M67" s="161"/>
    </row>
    <row r="68" spans="1:13" ht="29.25" customHeight="1">
      <c r="A68" s="106" t="s">
        <v>263</v>
      </c>
      <c r="B68" s="107" t="s">
        <v>571</v>
      </c>
      <c r="C68" s="194">
        <v>0</v>
      </c>
      <c r="D68" s="194">
        <v>0</v>
      </c>
      <c r="E68" s="194">
        <v>0</v>
      </c>
      <c r="F68" s="194">
        <v>0</v>
      </c>
      <c r="G68" s="194">
        <v>0</v>
      </c>
      <c r="H68" s="546">
        <v>0</v>
      </c>
      <c r="I68" s="546">
        <v>0</v>
      </c>
      <c r="J68" s="194">
        <v>0</v>
      </c>
      <c r="K68" s="194">
        <v>0</v>
      </c>
      <c r="L68" s="194">
        <v>0</v>
      </c>
      <c r="M68" s="161"/>
    </row>
    <row r="69" spans="1:13" ht="29.25" customHeight="1">
      <c r="A69" s="432" t="s">
        <v>265</v>
      </c>
      <c r="B69" s="547" t="s">
        <v>993</v>
      </c>
      <c r="C69" s="194">
        <f t="shared" ref="C69:L69" si="22">SUM(C70:C72)</f>
        <v>6</v>
      </c>
      <c r="D69" s="191">
        <f t="shared" si="22"/>
        <v>4.5</v>
      </c>
      <c r="E69" s="194">
        <f t="shared" si="22"/>
        <v>3</v>
      </c>
      <c r="F69" s="194">
        <f t="shared" si="22"/>
        <v>3</v>
      </c>
      <c r="G69" s="194">
        <f t="shared" si="22"/>
        <v>17</v>
      </c>
      <c r="H69" s="546">
        <f t="shared" si="22"/>
        <v>51</v>
      </c>
      <c r="I69" s="546">
        <f t="shared" si="22"/>
        <v>892.5</v>
      </c>
      <c r="J69" s="194">
        <f t="shared" si="22"/>
        <v>892.5</v>
      </c>
      <c r="K69" s="194">
        <f t="shared" si="22"/>
        <v>0</v>
      </c>
      <c r="L69" s="194">
        <f t="shared" si="22"/>
        <v>0</v>
      </c>
      <c r="M69" s="161"/>
    </row>
    <row r="70" spans="1:13" ht="29.25" customHeight="1">
      <c r="A70" s="198" t="s">
        <v>557</v>
      </c>
      <c r="B70" s="67" t="s">
        <v>995</v>
      </c>
      <c r="C70" s="202">
        <v>2</v>
      </c>
      <c r="D70" s="203">
        <v>1.5</v>
      </c>
      <c r="E70" s="202">
        <v>1</v>
      </c>
      <c r="F70" s="202">
        <v>1</v>
      </c>
      <c r="G70" s="202">
        <v>1</v>
      </c>
      <c r="H70" s="490">
        <f t="shared" ref="H70:H72" si="23">C70*D70*G70</f>
        <v>3</v>
      </c>
      <c r="I70" s="496">
        <f t="shared" ref="I70:I72" si="24">35*G70*D70</f>
        <v>52.5</v>
      </c>
      <c r="J70" s="203">
        <f t="shared" ref="J70:J77" si="25">I70</f>
        <v>52.5</v>
      </c>
      <c r="K70" s="203">
        <v>0</v>
      </c>
      <c r="L70" s="203">
        <v>0</v>
      </c>
      <c r="M70" s="161"/>
    </row>
    <row r="71" spans="1:13" ht="29.25" customHeight="1">
      <c r="A71" s="198" t="s">
        <v>572</v>
      </c>
      <c r="B71" s="67" t="s">
        <v>996</v>
      </c>
      <c r="C71" s="202">
        <v>2</v>
      </c>
      <c r="D71" s="203">
        <v>1.5</v>
      </c>
      <c r="E71" s="202">
        <v>1</v>
      </c>
      <c r="F71" s="202">
        <v>1</v>
      </c>
      <c r="G71" s="202">
        <v>6</v>
      </c>
      <c r="H71" s="490">
        <f t="shared" si="23"/>
        <v>18</v>
      </c>
      <c r="I71" s="496">
        <f t="shared" si="24"/>
        <v>315</v>
      </c>
      <c r="J71" s="203">
        <f t="shared" si="25"/>
        <v>315</v>
      </c>
      <c r="K71" s="203">
        <v>0</v>
      </c>
      <c r="L71" s="203">
        <v>0</v>
      </c>
      <c r="M71" s="161"/>
    </row>
    <row r="72" spans="1:13" ht="29.25" customHeight="1">
      <c r="A72" s="198" t="s">
        <v>573</v>
      </c>
      <c r="B72" s="67" t="s">
        <v>997</v>
      </c>
      <c r="C72" s="202">
        <v>2</v>
      </c>
      <c r="D72" s="203">
        <v>1.5</v>
      </c>
      <c r="E72" s="202">
        <v>1</v>
      </c>
      <c r="F72" s="202">
        <v>1</v>
      </c>
      <c r="G72" s="202">
        <v>10</v>
      </c>
      <c r="H72" s="490">
        <f t="shared" si="23"/>
        <v>30</v>
      </c>
      <c r="I72" s="496">
        <f t="shared" si="24"/>
        <v>525</v>
      </c>
      <c r="J72" s="203">
        <f t="shared" si="25"/>
        <v>525</v>
      </c>
      <c r="K72" s="203">
        <v>0</v>
      </c>
      <c r="L72" s="203">
        <v>0</v>
      </c>
      <c r="M72" s="161"/>
    </row>
    <row r="73" spans="1:13" ht="15.75" customHeight="1">
      <c r="A73" s="548" t="s">
        <v>998</v>
      </c>
      <c r="B73" s="549" t="s">
        <v>999</v>
      </c>
      <c r="C73" s="541">
        <f t="shared" ref="C73:I73" si="26">C74+C78</f>
        <v>9</v>
      </c>
      <c r="D73" s="541">
        <f t="shared" si="26"/>
        <v>3</v>
      </c>
      <c r="E73" s="541">
        <f t="shared" si="26"/>
        <v>3</v>
      </c>
      <c r="F73" s="541">
        <f t="shared" si="26"/>
        <v>3</v>
      </c>
      <c r="G73" s="541">
        <f t="shared" si="26"/>
        <v>3</v>
      </c>
      <c r="H73" s="550">
        <f t="shared" si="26"/>
        <v>9</v>
      </c>
      <c r="I73" s="550">
        <f t="shared" si="26"/>
        <v>178.2</v>
      </c>
      <c r="J73" s="540">
        <f t="shared" si="25"/>
        <v>178.2</v>
      </c>
      <c r="K73" s="540">
        <v>0</v>
      </c>
      <c r="L73" s="540">
        <v>0</v>
      </c>
      <c r="M73" s="161"/>
    </row>
    <row r="74" spans="1:13" ht="28.5" customHeight="1">
      <c r="A74" s="551">
        <v>44564</v>
      </c>
      <c r="B74" s="107" t="s">
        <v>516</v>
      </c>
      <c r="C74" s="194">
        <f t="shared" ref="C74:I74" si="27">SUM(C75:C77)</f>
        <v>9</v>
      </c>
      <c r="D74" s="194">
        <f t="shared" si="27"/>
        <v>3</v>
      </c>
      <c r="E74" s="194">
        <f t="shared" si="27"/>
        <v>3</v>
      </c>
      <c r="F74" s="194">
        <f t="shared" si="27"/>
        <v>3</v>
      </c>
      <c r="G74" s="194">
        <f t="shared" si="27"/>
        <v>3</v>
      </c>
      <c r="H74" s="546">
        <f t="shared" si="27"/>
        <v>9</v>
      </c>
      <c r="I74" s="546">
        <f t="shared" si="27"/>
        <v>178.2</v>
      </c>
      <c r="J74" s="191">
        <f t="shared" si="25"/>
        <v>178.2</v>
      </c>
      <c r="K74" s="191">
        <v>0</v>
      </c>
      <c r="L74" s="191">
        <v>0</v>
      </c>
      <c r="M74" s="161"/>
    </row>
    <row r="75" spans="1:13" ht="32.25" customHeight="1">
      <c r="A75" s="198" t="s">
        <v>483</v>
      </c>
      <c r="B75" s="218" t="s">
        <v>1000</v>
      </c>
      <c r="C75" s="552">
        <v>3</v>
      </c>
      <c r="D75" s="206">
        <v>1</v>
      </c>
      <c r="E75" s="202">
        <v>1</v>
      </c>
      <c r="F75" s="203">
        <v>1</v>
      </c>
      <c r="G75" s="202">
        <v>1</v>
      </c>
      <c r="H75" s="490">
        <f t="shared" ref="H75:H77" si="28">C75*D75*G75</f>
        <v>3</v>
      </c>
      <c r="I75" s="490">
        <f t="shared" ref="I75:I77" si="29">C75*E75*F75*16.5*1.2</f>
        <v>59.4</v>
      </c>
      <c r="J75" s="203">
        <f t="shared" si="25"/>
        <v>59.4</v>
      </c>
      <c r="K75" s="203">
        <v>0</v>
      </c>
      <c r="L75" s="203">
        <v>0</v>
      </c>
      <c r="M75" s="161"/>
    </row>
    <row r="76" spans="1:13" ht="29.25" customHeight="1">
      <c r="A76" s="198" t="s">
        <v>484</v>
      </c>
      <c r="B76" s="218" t="s">
        <v>1001</v>
      </c>
      <c r="C76" s="202">
        <v>3</v>
      </c>
      <c r="D76" s="206">
        <v>1</v>
      </c>
      <c r="E76" s="202">
        <v>1</v>
      </c>
      <c r="F76" s="203">
        <v>1</v>
      </c>
      <c r="G76" s="202">
        <v>1</v>
      </c>
      <c r="H76" s="490">
        <f t="shared" si="28"/>
        <v>3</v>
      </c>
      <c r="I76" s="490">
        <f t="shared" si="29"/>
        <v>59.4</v>
      </c>
      <c r="J76" s="203">
        <f t="shared" si="25"/>
        <v>59.4</v>
      </c>
      <c r="K76" s="203">
        <v>0</v>
      </c>
      <c r="L76" s="203">
        <v>0</v>
      </c>
      <c r="M76" s="161"/>
    </row>
    <row r="77" spans="1:13" ht="27.75" customHeight="1">
      <c r="A77" s="198" t="s">
        <v>485</v>
      </c>
      <c r="B77" s="218" t="s">
        <v>1002</v>
      </c>
      <c r="C77" s="202">
        <v>3</v>
      </c>
      <c r="D77" s="206">
        <v>1</v>
      </c>
      <c r="E77" s="202">
        <v>1</v>
      </c>
      <c r="F77" s="203">
        <v>1</v>
      </c>
      <c r="G77" s="202">
        <v>1</v>
      </c>
      <c r="H77" s="490">
        <f t="shared" si="28"/>
        <v>3</v>
      </c>
      <c r="I77" s="490">
        <f t="shared" si="29"/>
        <v>59.4</v>
      </c>
      <c r="J77" s="203">
        <f t="shared" si="25"/>
        <v>59.4</v>
      </c>
      <c r="K77" s="203">
        <v>0</v>
      </c>
      <c r="L77" s="203">
        <v>0</v>
      </c>
      <c r="M77" s="161"/>
    </row>
    <row r="78" spans="1:13" ht="27.75" customHeight="1">
      <c r="A78" s="208">
        <v>3.2</v>
      </c>
      <c r="B78" s="107" t="s">
        <v>994</v>
      </c>
      <c r="C78" s="194">
        <v>0</v>
      </c>
      <c r="D78" s="194">
        <v>0</v>
      </c>
      <c r="E78" s="194">
        <v>0</v>
      </c>
      <c r="F78" s="194">
        <v>0</v>
      </c>
      <c r="G78" s="194">
        <v>0</v>
      </c>
      <c r="H78" s="546">
        <v>0</v>
      </c>
      <c r="I78" s="546">
        <v>0</v>
      </c>
      <c r="J78" s="194">
        <v>0</v>
      </c>
      <c r="K78" s="194">
        <v>0</v>
      </c>
      <c r="L78" s="194">
        <v>0</v>
      </c>
      <c r="M78" s="161"/>
    </row>
    <row r="79" spans="1:13" ht="32.25" customHeight="1">
      <c r="A79" s="195" t="s">
        <v>284</v>
      </c>
      <c r="B79" s="196" t="s">
        <v>514</v>
      </c>
      <c r="C79" s="541">
        <f t="shared" ref="C79:I79" si="30">C80</f>
        <v>24</v>
      </c>
      <c r="D79" s="541">
        <f t="shared" si="30"/>
        <v>7</v>
      </c>
      <c r="E79" s="541">
        <f t="shared" si="30"/>
        <v>7</v>
      </c>
      <c r="F79" s="541">
        <f t="shared" si="30"/>
        <v>7</v>
      </c>
      <c r="G79" s="541">
        <f t="shared" si="30"/>
        <v>341</v>
      </c>
      <c r="H79" s="550">
        <f t="shared" si="30"/>
        <v>1167</v>
      </c>
      <c r="I79" s="550">
        <f t="shared" si="30"/>
        <v>283</v>
      </c>
      <c r="J79" s="541">
        <f>I79</f>
        <v>283</v>
      </c>
      <c r="K79" s="541">
        <f t="shared" ref="K79:L79" si="31">K80</f>
        <v>0</v>
      </c>
      <c r="L79" s="541">
        <f t="shared" si="31"/>
        <v>0</v>
      </c>
      <c r="M79" s="553"/>
    </row>
    <row r="80" spans="1:13" ht="15.75" customHeight="1">
      <c r="A80" s="189">
        <v>1</v>
      </c>
      <c r="B80" s="554" t="s">
        <v>515</v>
      </c>
      <c r="C80" s="194">
        <f t="shared" ref="C80:L80" si="32">C81+C85</f>
        <v>24</v>
      </c>
      <c r="D80" s="194">
        <f t="shared" si="32"/>
        <v>7</v>
      </c>
      <c r="E80" s="194">
        <f t="shared" si="32"/>
        <v>7</v>
      </c>
      <c r="F80" s="194">
        <f t="shared" si="32"/>
        <v>7</v>
      </c>
      <c r="G80" s="194">
        <f t="shared" si="32"/>
        <v>341</v>
      </c>
      <c r="H80" s="546">
        <f t="shared" si="32"/>
        <v>1167</v>
      </c>
      <c r="I80" s="546">
        <f t="shared" si="32"/>
        <v>283</v>
      </c>
      <c r="J80" s="546">
        <f t="shared" si="32"/>
        <v>283</v>
      </c>
      <c r="K80" s="546">
        <f t="shared" si="32"/>
        <v>0</v>
      </c>
      <c r="L80" s="546">
        <f t="shared" si="32"/>
        <v>0</v>
      </c>
      <c r="M80" s="161"/>
    </row>
    <row r="81" spans="1:13" ht="25.5" customHeight="1">
      <c r="A81" s="106">
        <v>1.1000000000000001</v>
      </c>
      <c r="B81" s="107" t="s">
        <v>516</v>
      </c>
      <c r="C81" s="194">
        <f t="shared" ref="C81:I81" si="33">SUM(C82:C84)</f>
        <v>11</v>
      </c>
      <c r="D81" s="194">
        <f t="shared" si="33"/>
        <v>3</v>
      </c>
      <c r="E81" s="194">
        <f t="shared" si="33"/>
        <v>3</v>
      </c>
      <c r="F81" s="194">
        <f t="shared" si="33"/>
        <v>3</v>
      </c>
      <c r="G81" s="194">
        <f t="shared" si="33"/>
        <v>141</v>
      </c>
      <c r="H81" s="546">
        <f t="shared" si="33"/>
        <v>517</v>
      </c>
      <c r="I81" s="546">
        <f t="shared" si="33"/>
        <v>130.75</v>
      </c>
      <c r="J81" s="194">
        <f t="shared" ref="J81:J90" si="34">I81</f>
        <v>130.75</v>
      </c>
      <c r="K81" s="194">
        <f t="shared" ref="K81:L81" si="35">SUM(K82:K84)</f>
        <v>0</v>
      </c>
      <c r="L81" s="194">
        <f t="shared" si="35"/>
        <v>0</v>
      </c>
      <c r="M81" s="161"/>
    </row>
    <row r="82" spans="1:13" ht="43.5" customHeight="1">
      <c r="A82" s="207" t="s">
        <v>479</v>
      </c>
      <c r="B82" s="67" t="s">
        <v>1003</v>
      </c>
      <c r="C82" s="202">
        <v>4</v>
      </c>
      <c r="D82" s="206">
        <v>1</v>
      </c>
      <c r="E82" s="202">
        <v>1</v>
      </c>
      <c r="F82" s="203">
        <v>1</v>
      </c>
      <c r="G82" s="202">
        <v>47</v>
      </c>
      <c r="H82" s="490">
        <f t="shared" ref="H82:H84" si="36">C82*D82*G82</f>
        <v>188</v>
      </c>
      <c r="I82" s="490">
        <v>48</v>
      </c>
      <c r="J82" s="203">
        <f t="shared" si="34"/>
        <v>48</v>
      </c>
      <c r="K82" s="203">
        <f t="shared" ref="K82:L82" si="37">SUM(K83:K86)</f>
        <v>0</v>
      </c>
      <c r="L82" s="203">
        <f t="shared" si="37"/>
        <v>0</v>
      </c>
      <c r="M82" s="161"/>
    </row>
    <row r="83" spans="1:13" ht="15.75" customHeight="1">
      <c r="A83" s="207" t="s">
        <v>483</v>
      </c>
      <c r="B83" s="67" t="s">
        <v>941</v>
      </c>
      <c r="C83" s="202">
        <v>4</v>
      </c>
      <c r="D83" s="206">
        <v>1</v>
      </c>
      <c r="E83" s="202">
        <v>1</v>
      </c>
      <c r="F83" s="203">
        <v>1</v>
      </c>
      <c r="G83" s="202">
        <v>47</v>
      </c>
      <c r="H83" s="490">
        <f t="shared" si="36"/>
        <v>188</v>
      </c>
      <c r="I83" s="490">
        <v>48</v>
      </c>
      <c r="J83" s="203">
        <f t="shared" si="34"/>
        <v>48</v>
      </c>
      <c r="K83" s="203">
        <f t="shared" ref="K83:L83" si="38">SUM(K84:K87)</f>
        <v>0</v>
      </c>
      <c r="L83" s="203">
        <f t="shared" si="38"/>
        <v>0</v>
      </c>
      <c r="M83" s="161"/>
    </row>
    <row r="84" spans="1:13" ht="38.25" customHeight="1">
      <c r="A84" s="207" t="s">
        <v>484</v>
      </c>
      <c r="B84" s="67" t="s">
        <v>963</v>
      </c>
      <c r="C84" s="202">
        <v>3</v>
      </c>
      <c r="D84" s="206">
        <v>1</v>
      </c>
      <c r="E84" s="202">
        <v>1</v>
      </c>
      <c r="F84" s="203">
        <v>1</v>
      </c>
      <c r="G84" s="202">
        <v>47</v>
      </c>
      <c r="H84" s="490">
        <f t="shared" si="36"/>
        <v>141</v>
      </c>
      <c r="I84" s="490">
        <v>34.75</v>
      </c>
      <c r="J84" s="203">
        <f t="shared" si="34"/>
        <v>34.75</v>
      </c>
      <c r="K84" s="203">
        <f t="shared" ref="K84:L84" si="39">SUM(K85:K88)</f>
        <v>0</v>
      </c>
      <c r="L84" s="203">
        <f t="shared" si="39"/>
        <v>0</v>
      </c>
      <c r="M84" s="161"/>
    </row>
    <row r="85" spans="1:13" ht="33" customHeight="1">
      <c r="A85" s="543">
        <v>44593</v>
      </c>
      <c r="B85" s="67" t="s">
        <v>493</v>
      </c>
      <c r="C85" s="209">
        <f t="shared" ref="C85:I85" si="40">SUM(C86:C89)</f>
        <v>13</v>
      </c>
      <c r="D85" s="209">
        <f t="shared" si="40"/>
        <v>4</v>
      </c>
      <c r="E85" s="209">
        <f t="shared" si="40"/>
        <v>4</v>
      </c>
      <c r="F85" s="209">
        <f t="shared" si="40"/>
        <v>4</v>
      </c>
      <c r="G85" s="209">
        <f t="shared" si="40"/>
        <v>200</v>
      </c>
      <c r="H85" s="555">
        <f t="shared" si="40"/>
        <v>650</v>
      </c>
      <c r="I85" s="555">
        <f t="shared" si="40"/>
        <v>152.25</v>
      </c>
      <c r="J85" s="191">
        <f t="shared" si="34"/>
        <v>152.25</v>
      </c>
      <c r="K85" s="555">
        <f t="shared" ref="K85:L85" si="41">SUM(K86:K89)</f>
        <v>0</v>
      </c>
      <c r="L85" s="555">
        <f t="shared" si="41"/>
        <v>0</v>
      </c>
      <c r="M85" s="161"/>
    </row>
    <row r="86" spans="1:13" ht="15.75" customHeight="1">
      <c r="A86" s="207" t="s">
        <v>481</v>
      </c>
      <c r="B86" s="67" t="s">
        <v>1004</v>
      </c>
      <c r="C86" s="202">
        <v>4</v>
      </c>
      <c r="D86" s="206">
        <v>1</v>
      </c>
      <c r="E86" s="202">
        <v>1</v>
      </c>
      <c r="F86" s="203">
        <v>1</v>
      </c>
      <c r="G86" s="202">
        <v>50</v>
      </c>
      <c r="H86" s="490">
        <f t="shared" ref="H86:H89" si="42">C86*D86*G86</f>
        <v>200</v>
      </c>
      <c r="I86" s="490">
        <v>48</v>
      </c>
      <c r="J86" s="200">
        <f t="shared" si="34"/>
        <v>48</v>
      </c>
      <c r="K86" s="200">
        <f t="shared" ref="K86:L86" si="43">SUM(K87:K90)</f>
        <v>0</v>
      </c>
      <c r="L86" s="200">
        <f t="shared" si="43"/>
        <v>0</v>
      </c>
      <c r="M86" s="161"/>
    </row>
    <row r="87" spans="1:13" ht="15.75" customHeight="1">
      <c r="A87" s="207" t="s">
        <v>483</v>
      </c>
      <c r="B87" s="67" t="s">
        <v>1005</v>
      </c>
      <c r="C87" s="202">
        <v>3</v>
      </c>
      <c r="D87" s="206">
        <v>1</v>
      </c>
      <c r="E87" s="202">
        <v>1</v>
      </c>
      <c r="F87" s="203">
        <v>1</v>
      </c>
      <c r="G87" s="202">
        <v>50</v>
      </c>
      <c r="H87" s="490">
        <f t="shared" si="42"/>
        <v>150</v>
      </c>
      <c r="I87" s="490">
        <v>34.75</v>
      </c>
      <c r="J87" s="200">
        <f t="shared" si="34"/>
        <v>34.75</v>
      </c>
      <c r="K87" s="200">
        <f t="shared" ref="K87:L87" si="44">SUM(K88:K91)</f>
        <v>0</v>
      </c>
      <c r="L87" s="200">
        <f t="shared" si="44"/>
        <v>0</v>
      </c>
      <c r="M87" s="95"/>
    </row>
    <row r="88" spans="1:13" ht="13.5" customHeight="1">
      <c r="A88" s="207" t="s">
        <v>486</v>
      </c>
      <c r="B88" s="67" t="s">
        <v>964</v>
      </c>
      <c r="C88" s="202">
        <v>3</v>
      </c>
      <c r="D88" s="206">
        <v>1</v>
      </c>
      <c r="E88" s="202">
        <v>1</v>
      </c>
      <c r="F88" s="203">
        <v>1</v>
      </c>
      <c r="G88" s="202">
        <v>50</v>
      </c>
      <c r="H88" s="490">
        <f t="shared" si="42"/>
        <v>150</v>
      </c>
      <c r="I88" s="490">
        <v>34.75</v>
      </c>
      <c r="J88" s="200">
        <f t="shared" si="34"/>
        <v>34.75</v>
      </c>
      <c r="K88" s="200">
        <f t="shared" ref="K88:L88" si="45">SUM(K89:K92)</f>
        <v>0</v>
      </c>
      <c r="L88" s="200">
        <f t="shared" si="45"/>
        <v>0</v>
      </c>
      <c r="M88" s="95"/>
    </row>
    <row r="89" spans="1:13" ht="15.75" customHeight="1">
      <c r="A89" s="207" t="s">
        <v>487</v>
      </c>
      <c r="B89" s="67" t="s">
        <v>1006</v>
      </c>
      <c r="C89" s="202">
        <v>3</v>
      </c>
      <c r="D89" s="206">
        <v>1</v>
      </c>
      <c r="E89" s="202">
        <v>1</v>
      </c>
      <c r="F89" s="203">
        <v>1</v>
      </c>
      <c r="G89" s="202">
        <v>50</v>
      </c>
      <c r="H89" s="490">
        <f t="shared" si="42"/>
        <v>150</v>
      </c>
      <c r="I89" s="490">
        <v>34.75</v>
      </c>
      <c r="J89" s="200">
        <f t="shared" si="34"/>
        <v>34.75</v>
      </c>
      <c r="K89" s="200">
        <f t="shared" ref="K89:L89" si="46">SUM(K90:K93)</f>
        <v>0</v>
      </c>
      <c r="L89" s="200">
        <f t="shared" si="46"/>
        <v>0</v>
      </c>
      <c r="M89" s="95"/>
    </row>
    <row r="90" spans="1:13" ht="15.75" customHeight="1">
      <c r="A90" s="556" t="s">
        <v>345</v>
      </c>
      <c r="B90" s="557" t="s">
        <v>222</v>
      </c>
      <c r="C90" s="558"/>
      <c r="D90" s="559"/>
      <c r="E90" s="560"/>
      <c r="F90" s="560"/>
      <c r="G90" s="560"/>
      <c r="H90" s="560"/>
      <c r="I90" s="561">
        <f>SUM(I91,I95)</f>
        <v>259.20000000000005</v>
      </c>
      <c r="J90" s="544">
        <f t="shared" si="34"/>
        <v>259.20000000000005</v>
      </c>
      <c r="K90" s="544">
        <f t="shared" ref="K90:L90" si="47">SUM(K91:K94)</f>
        <v>0</v>
      </c>
      <c r="L90" s="544">
        <f t="shared" si="47"/>
        <v>0</v>
      </c>
      <c r="M90" s="161"/>
    </row>
    <row r="91" spans="1:13" ht="36" customHeight="1">
      <c r="A91" s="562">
        <v>44562</v>
      </c>
      <c r="B91" s="107" t="s">
        <v>1007</v>
      </c>
      <c r="C91" s="558">
        <f t="shared" ref="C91:L91" si="48">C92+C93+C94</f>
        <v>0</v>
      </c>
      <c r="D91" s="563">
        <f t="shared" si="48"/>
        <v>0</v>
      </c>
      <c r="E91" s="558">
        <f t="shared" si="48"/>
        <v>3</v>
      </c>
      <c r="F91" s="558">
        <f t="shared" si="48"/>
        <v>2.4000000000000004</v>
      </c>
      <c r="G91" s="558">
        <f t="shared" si="48"/>
        <v>0</v>
      </c>
      <c r="H91" s="558">
        <f t="shared" si="48"/>
        <v>0</v>
      </c>
      <c r="I91" s="558">
        <f t="shared" si="48"/>
        <v>158.4</v>
      </c>
      <c r="J91" s="558">
        <f t="shared" si="48"/>
        <v>158.4</v>
      </c>
      <c r="K91" s="558">
        <f t="shared" si="48"/>
        <v>0</v>
      </c>
      <c r="L91" s="558">
        <f t="shared" si="48"/>
        <v>0</v>
      </c>
      <c r="M91" s="95"/>
    </row>
    <row r="92" spans="1:13" ht="15.75" customHeight="1">
      <c r="A92" s="564" t="s">
        <v>479</v>
      </c>
      <c r="B92" s="565" t="s">
        <v>1008</v>
      </c>
      <c r="C92" s="565"/>
      <c r="D92" s="566"/>
      <c r="E92" s="567">
        <v>1</v>
      </c>
      <c r="F92" s="567">
        <v>0.8</v>
      </c>
      <c r="G92" s="67"/>
      <c r="H92" s="568"/>
      <c r="I92" s="568">
        <f>54*0.8</f>
        <v>43.2</v>
      </c>
      <c r="J92" s="568">
        <f t="shared" ref="J92:J94" si="49">I92</f>
        <v>43.2</v>
      </c>
      <c r="K92" s="568">
        <v>0</v>
      </c>
      <c r="L92" s="568">
        <v>0</v>
      </c>
      <c r="M92" s="568"/>
    </row>
    <row r="93" spans="1:13" ht="15.75" customHeight="1">
      <c r="A93" s="564" t="s">
        <v>481</v>
      </c>
      <c r="B93" s="565" t="s">
        <v>1009</v>
      </c>
      <c r="C93" s="568"/>
      <c r="D93" s="569"/>
      <c r="E93" s="567">
        <v>1</v>
      </c>
      <c r="F93" s="567">
        <v>0.8</v>
      </c>
      <c r="G93" s="568"/>
      <c r="H93" s="568"/>
      <c r="I93" s="568">
        <f t="shared" ref="I93:I94" si="50">72*0.8</f>
        <v>57.6</v>
      </c>
      <c r="J93" s="568">
        <f t="shared" si="49"/>
        <v>57.6</v>
      </c>
      <c r="K93" s="568">
        <v>0</v>
      </c>
      <c r="L93" s="568">
        <v>0</v>
      </c>
      <c r="M93" s="95"/>
    </row>
    <row r="94" spans="1:13" ht="26.25" customHeight="1">
      <c r="A94" s="64" t="s">
        <v>483</v>
      </c>
      <c r="B94" s="67" t="s">
        <v>1010</v>
      </c>
      <c r="C94" s="568"/>
      <c r="D94" s="569"/>
      <c r="E94" s="567">
        <v>1</v>
      </c>
      <c r="F94" s="567">
        <v>0.8</v>
      </c>
      <c r="G94" s="568"/>
      <c r="H94" s="568"/>
      <c r="I94" s="568">
        <f t="shared" si="50"/>
        <v>57.6</v>
      </c>
      <c r="J94" s="568">
        <f t="shared" si="49"/>
        <v>57.6</v>
      </c>
      <c r="K94" s="568">
        <v>0</v>
      </c>
      <c r="L94" s="568">
        <v>0</v>
      </c>
      <c r="M94" s="95"/>
    </row>
    <row r="95" spans="1:13" ht="26.25" customHeight="1">
      <c r="A95" s="570">
        <v>44593</v>
      </c>
      <c r="B95" s="67" t="s">
        <v>493</v>
      </c>
      <c r="C95" s="560">
        <f t="shared" ref="C95:L95" si="51">C96+C97</f>
        <v>0</v>
      </c>
      <c r="D95" s="559">
        <f t="shared" si="51"/>
        <v>0</v>
      </c>
      <c r="E95" s="560">
        <f t="shared" si="51"/>
        <v>2</v>
      </c>
      <c r="F95" s="560">
        <f t="shared" si="51"/>
        <v>1.6</v>
      </c>
      <c r="G95" s="560">
        <f t="shared" si="51"/>
        <v>0</v>
      </c>
      <c r="H95" s="560">
        <f t="shared" si="51"/>
        <v>0</v>
      </c>
      <c r="I95" s="560">
        <f t="shared" si="51"/>
        <v>100.80000000000001</v>
      </c>
      <c r="J95" s="560">
        <f t="shared" si="51"/>
        <v>100.80000000000001</v>
      </c>
      <c r="K95" s="560">
        <f t="shared" si="51"/>
        <v>0</v>
      </c>
      <c r="L95" s="560">
        <f t="shared" si="51"/>
        <v>0</v>
      </c>
      <c r="M95" s="95"/>
    </row>
    <row r="96" spans="1:13" ht="15.75" customHeight="1">
      <c r="A96" s="564" t="s">
        <v>479</v>
      </c>
      <c r="B96" s="565" t="s">
        <v>1011</v>
      </c>
      <c r="C96" s="568"/>
      <c r="D96" s="569"/>
      <c r="E96" s="567">
        <v>1</v>
      </c>
      <c r="F96" s="568">
        <v>0.8</v>
      </c>
      <c r="G96" s="568"/>
      <c r="H96" s="568"/>
      <c r="I96" s="568">
        <f>54*0.8</f>
        <v>43.2</v>
      </c>
      <c r="J96" s="568">
        <f t="shared" ref="J96:J97" si="52">I96</f>
        <v>43.2</v>
      </c>
      <c r="K96" s="568">
        <v>0</v>
      </c>
      <c r="L96" s="568">
        <v>0</v>
      </c>
      <c r="M96" s="95"/>
    </row>
    <row r="97" spans="1:13" ht="15.75" customHeight="1">
      <c r="A97" s="564" t="s">
        <v>481</v>
      </c>
      <c r="B97" s="565" t="s">
        <v>1009</v>
      </c>
      <c r="C97" s="568"/>
      <c r="D97" s="569"/>
      <c r="E97" s="567">
        <v>1</v>
      </c>
      <c r="F97" s="568">
        <v>0.8</v>
      </c>
      <c r="G97" s="568"/>
      <c r="H97" s="568"/>
      <c r="I97" s="568">
        <f>72*0.8</f>
        <v>57.6</v>
      </c>
      <c r="J97" s="568">
        <f t="shared" si="52"/>
        <v>57.6</v>
      </c>
      <c r="K97" s="568">
        <v>0</v>
      </c>
      <c r="L97" s="568">
        <v>0</v>
      </c>
      <c r="M97" s="95"/>
    </row>
  </sheetData>
  <mergeCells count="16">
    <mergeCell ref="A1:C1"/>
    <mergeCell ref="A2:C2"/>
    <mergeCell ref="B6:B7"/>
    <mergeCell ref="C6:C7"/>
    <mergeCell ref="D6:D7"/>
    <mergeCell ref="J2:L2"/>
    <mergeCell ref="A3:L3"/>
    <mergeCell ref="A4:L4"/>
    <mergeCell ref="A5:L5"/>
    <mergeCell ref="A6:A7"/>
    <mergeCell ref="J6:L6"/>
    <mergeCell ref="G6:G7"/>
    <mergeCell ref="H6:H7"/>
    <mergeCell ref="I6:I7"/>
    <mergeCell ref="E6:E7"/>
    <mergeCell ref="F6:F7"/>
  </mergeCells>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124"/>
  <sheetViews>
    <sheetView workbookViewId="0">
      <pane xSplit="2" ySplit="10" topLeftCell="C11"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39.42578125" customWidth="1"/>
    <col min="3" max="3" width="10.7109375" customWidth="1"/>
    <col min="4" max="4" width="11.140625" customWidth="1"/>
    <col min="5" max="5" width="8" customWidth="1"/>
    <col min="6" max="6" width="10.28515625" customWidth="1"/>
    <col min="7" max="7" width="9.7109375" customWidth="1"/>
    <col min="8" max="8" width="10.7109375" customWidth="1"/>
    <col min="9" max="9" width="12.7109375" customWidth="1"/>
    <col min="10" max="10" width="10.28515625" customWidth="1"/>
    <col min="11" max="11" width="8.7109375" customWidth="1"/>
    <col min="12" max="12" width="7" customWidth="1"/>
    <col min="13" max="13" width="22" customWidth="1"/>
    <col min="14" max="26" width="8.7109375" customWidth="1"/>
  </cols>
  <sheetData>
    <row r="1" spans="1:13" ht="14.25" customHeight="1">
      <c r="A1" s="2858" t="s">
        <v>450</v>
      </c>
      <c r="B1" s="2796"/>
      <c r="C1" s="2796"/>
      <c r="D1" s="1933"/>
      <c r="E1" s="1933"/>
      <c r="F1" s="1933"/>
      <c r="G1" s="1933"/>
      <c r="H1" s="1933"/>
      <c r="I1" s="1934"/>
      <c r="J1" s="2859"/>
      <c r="K1" s="2796"/>
      <c r="L1" s="2796"/>
      <c r="M1" s="1936"/>
    </row>
    <row r="2" spans="1:13" ht="14.25" customHeight="1">
      <c r="A2" s="2860" t="s">
        <v>1012</v>
      </c>
      <c r="B2" s="2796"/>
      <c r="C2" s="2796"/>
      <c r="D2" s="1938"/>
      <c r="E2" s="1938"/>
      <c r="F2" s="1938"/>
      <c r="G2" s="1938"/>
      <c r="H2" s="1938"/>
      <c r="I2" s="1934"/>
      <c r="J2" s="2859"/>
      <c r="K2" s="2796"/>
      <c r="L2" s="2796"/>
      <c r="M2" s="1936"/>
    </row>
    <row r="3" spans="1:13" ht="30" customHeight="1">
      <c r="A3" s="2861" t="s">
        <v>1013</v>
      </c>
      <c r="B3" s="2796"/>
      <c r="C3" s="2796"/>
      <c r="D3" s="2796"/>
      <c r="E3" s="2796"/>
      <c r="F3" s="2796"/>
      <c r="G3" s="2796"/>
      <c r="H3" s="2796"/>
      <c r="I3" s="2796"/>
      <c r="J3" s="2796"/>
      <c r="K3" s="2796"/>
      <c r="L3" s="2796"/>
      <c r="M3" s="1936"/>
    </row>
    <row r="4" spans="1:13" ht="30" hidden="1" customHeight="1">
      <c r="A4" s="2854" t="s">
        <v>431</v>
      </c>
      <c r="B4" s="2796"/>
      <c r="C4" s="2796"/>
      <c r="D4" s="2796"/>
      <c r="E4" s="2796"/>
      <c r="F4" s="2796"/>
      <c r="G4" s="2796"/>
      <c r="H4" s="2796"/>
      <c r="I4" s="2796"/>
      <c r="J4" s="2796"/>
      <c r="K4" s="2796"/>
      <c r="L4" s="2796"/>
      <c r="M4" s="1936"/>
    </row>
    <row r="5" spans="1:13" ht="30" hidden="1" customHeight="1">
      <c r="A5" s="2855" t="s">
        <v>432</v>
      </c>
      <c r="B5" s="2796"/>
      <c r="C5" s="2796"/>
      <c r="D5" s="2796"/>
      <c r="E5" s="2796"/>
      <c r="F5" s="2796"/>
      <c r="G5" s="2796"/>
      <c r="H5" s="2796"/>
      <c r="I5" s="2796"/>
      <c r="J5" s="2796"/>
      <c r="K5" s="2796"/>
      <c r="L5" s="2796"/>
      <c r="M5" s="1936"/>
    </row>
    <row r="6" spans="1:13" ht="1.5" customHeight="1">
      <c r="A6" s="1939"/>
      <c r="B6" s="1939"/>
      <c r="C6" s="1940"/>
      <c r="D6" s="1940"/>
      <c r="E6" s="1940"/>
      <c r="F6" s="1940"/>
      <c r="G6" s="1940"/>
      <c r="H6" s="1940"/>
      <c r="I6" s="1940"/>
      <c r="J6" s="1939"/>
      <c r="K6" s="1939"/>
      <c r="L6" s="1939"/>
      <c r="M6" s="1936"/>
    </row>
    <row r="7" spans="1:13" ht="32.25" customHeight="1">
      <c r="A7" s="2850" t="s">
        <v>186</v>
      </c>
      <c r="B7" s="2851" t="s">
        <v>453</v>
      </c>
      <c r="C7" s="2851" t="s">
        <v>454</v>
      </c>
      <c r="D7" s="2852" t="s">
        <v>528</v>
      </c>
      <c r="E7" s="2853" t="s">
        <v>1014</v>
      </c>
      <c r="F7" s="2853" t="s">
        <v>457</v>
      </c>
      <c r="G7" s="2853" t="s">
        <v>621</v>
      </c>
      <c r="H7" s="2856" t="s">
        <v>459</v>
      </c>
      <c r="I7" s="2853" t="s">
        <v>439</v>
      </c>
      <c r="J7" s="2857" t="s">
        <v>622</v>
      </c>
      <c r="K7" s="2817"/>
      <c r="L7" s="2818"/>
      <c r="M7" s="1936"/>
    </row>
    <row r="8" spans="1:13" ht="51">
      <c r="A8" s="2843"/>
      <c r="B8" s="2779"/>
      <c r="C8" s="2779"/>
      <c r="D8" s="2820"/>
      <c r="E8" s="2820"/>
      <c r="F8" s="2820"/>
      <c r="G8" s="2820"/>
      <c r="H8" s="2820"/>
      <c r="I8" s="2820"/>
      <c r="J8" s="484" t="s">
        <v>461</v>
      </c>
      <c r="K8" s="484" t="s">
        <v>462</v>
      </c>
      <c r="L8" s="484" t="s">
        <v>463</v>
      </c>
      <c r="M8" s="1936"/>
    </row>
    <row r="9" spans="1:13" ht="50.25" customHeight="1">
      <c r="A9" s="571" t="s">
        <v>465</v>
      </c>
      <c r="B9" s="309" t="s">
        <v>466</v>
      </c>
      <c r="C9" s="309" t="s">
        <v>467</v>
      </c>
      <c r="D9" s="572" t="s">
        <v>468</v>
      </c>
      <c r="E9" s="485" t="s">
        <v>469</v>
      </c>
      <c r="F9" s="485" t="s">
        <v>470</v>
      </c>
      <c r="G9" s="485" t="s">
        <v>471</v>
      </c>
      <c r="H9" s="573" t="s">
        <v>472</v>
      </c>
      <c r="I9" s="574" t="s">
        <v>770</v>
      </c>
      <c r="J9" s="485" t="s">
        <v>474</v>
      </c>
      <c r="K9" s="485" t="s">
        <v>475</v>
      </c>
      <c r="L9" s="575">
        <v>-12</v>
      </c>
      <c r="M9" s="1941"/>
    </row>
    <row r="10" spans="1:13" ht="17.25" customHeight="1">
      <c r="A10" s="576" t="s">
        <v>200</v>
      </c>
      <c r="B10" s="577" t="s">
        <v>1015</v>
      </c>
      <c r="C10" s="578"/>
      <c r="D10" s="578"/>
      <c r="E10" s="578"/>
      <c r="F10" s="578"/>
      <c r="G10" s="578"/>
      <c r="H10" s="578"/>
      <c r="I10" s="578"/>
      <c r="J10" s="579"/>
      <c r="K10" s="579"/>
      <c r="L10" s="579"/>
      <c r="M10" s="1936"/>
    </row>
    <row r="11" spans="1:13" ht="30" customHeight="1">
      <c r="A11" s="1942" t="s">
        <v>258</v>
      </c>
      <c r="B11" s="1943" t="s">
        <v>477</v>
      </c>
      <c r="C11" s="1944">
        <f t="shared" ref="C11:L11" si="0">C12+C43+C68</f>
        <v>161</v>
      </c>
      <c r="D11" s="1944">
        <f t="shared" si="0"/>
        <v>62.2</v>
      </c>
      <c r="E11" s="1944">
        <f t="shared" si="0"/>
        <v>54</v>
      </c>
      <c r="F11" s="1944">
        <f t="shared" si="0"/>
        <v>48</v>
      </c>
      <c r="G11" s="1944">
        <f t="shared" si="0"/>
        <v>1187</v>
      </c>
      <c r="H11" s="1945">
        <f t="shared" si="0"/>
        <v>4297.8</v>
      </c>
      <c r="I11" s="1945">
        <f t="shared" si="0"/>
        <v>3972.85</v>
      </c>
      <c r="J11" s="1945">
        <f t="shared" si="0"/>
        <v>3426.4749999999999</v>
      </c>
      <c r="K11" s="1945">
        <f t="shared" si="0"/>
        <v>587</v>
      </c>
      <c r="L11" s="1945">
        <f t="shared" si="0"/>
        <v>60</v>
      </c>
      <c r="M11" s="1946">
        <f>SUM(J11:L11)</f>
        <v>4073.4749999999999</v>
      </c>
    </row>
    <row r="12" spans="1:13" ht="17.25" customHeight="1">
      <c r="A12" s="1947">
        <v>1</v>
      </c>
      <c r="B12" s="1948" t="s">
        <v>441</v>
      </c>
      <c r="C12" s="1949">
        <f t="shared" ref="C12:L12" si="1">C13+C41</f>
        <v>95</v>
      </c>
      <c r="D12" s="1949">
        <f t="shared" si="1"/>
        <v>27.200000000000003</v>
      </c>
      <c r="E12" s="1949">
        <f t="shared" si="1"/>
        <v>32</v>
      </c>
      <c r="F12" s="1949">
        <f t="shared" si="1"/>
        <v>26</v>
      </c>
      <c r="G12" s="1949">
        <f t="shared" si="1"/>
        <v>996</v>
      </c>
      <c r="H12" s="1950">
        <f t="shared" si="1"/>
        <v>3442.8</v>
      </c>
      <c r="I12" s="1950">
        <f t="shared" si="1"/>
        <v>1948.6</v>
      </c>
      <c r="J12" s="1950">
        <f t="shared" si="1"/>
        <v>1809.1</v>
      </c>
      <c r="K12" s="1950">
        <f t="shared" si="1"/>
        <v>129.5</v>
      </c>
      <c r="L12" s="1950">
        <f t="shared" si="1"/>
        <v>0</v>
      </c>
      <c r="M12" s="1951"/>
    </row>
    <row r="13" spans="1:13" ht="15.75" customHeight="1">
      <c r="A13" s="580" t="s">
        <v>263</v>
      </c>
      <c r="B13" s="581" t="s">
        <v>1016</v>
      </c>
      <c r="C13" s="582">
        <f t="shared" ref="C13:L13" si="2">SUM(C14,C25)</f>
        <v>94</v>
      </c>
      <c r="D13" s="582">
        <f t="shared" si="2"/>
        <v>26.200000000000003</v>
      </c>
      <c r="E13" s="582">
        <f t="shared" si="2"/>
        <v>31</v>
      </c>
      <c r="F13" s="582">
        <f t="shared" si="2"/>
        <v>25</v>
      </c>
      <c r="G13" s="582">
        <f t="shared" si="2"/>
        <v>986</v>
      </c>
      <c r="H13" s="583">
        <f t="shared" si="2"/>
        <v>3432.8</v>
      </c>
      <c r="I13" s="584">
        <f t="shared" si="2"/>
        <v>1932.1</v>
      </c>
      <c r="J13" s="584">
        <f t="shared" si="2"/>
        <v>1792.6</v>
      </c>
      <c r="K13" s="585">
        <f t="shared" si="2"/>
        <v>129.5</v>
      </c>
      <c r="L13" s="585">
        <f t="shared" si="2"/>
        <v>0</v>
      </c>
      <c r="M13" s="1952"/>
    </row>
    <row r="14" spans="1:13" ht="14.25" customHeight="1">
      <c r="A14" s="586"/>
      <c r="B14" s="587" t="s">
        <v>1017</v>
      </c>
      <c r="C14" s="588">
        <f t="shared" ref="C14:L14" si="3">SUM(C15:C24)</f>
        <v>40</v>
      </c>
      <c r="D14" s="588">
        <f t="shared" si="3"/>
        <v>10.600000000000001</v>
      </c>
      <c r="E14" s="588">
        <f t="shared" si="3"/>
        <v>11</v>
      </c>
      <c r="F14" s="588">
        <f t="shared" si="3"/>
        <v>10</v>
      </c>
      <c r="G14" s="588">
        <f t="shared" si="3"/>
        <v>278</v>
      </c>
      <c r="H14" s="589">
        <f t="shared" si="3"/>
        <v>1038.8</v>
      </c>
      <c r="I14" s="590">
        <f t="shared" si="3"/>
        <v>723</v>
      </c>
      <c r="J14" s="591">
        <f t="shared" si="3"/>
        <v>723</v>
      </c>
      <c r="K14" s="592">
        <f t="shared" si="3"/>
        <v>0</v>
      </c>
      <c r="L14" s="592">
        <f t="shared" si="3"/>
        <v>0</v>
      </c>
      <c r="M14" s="1952"/>
    </row>
    <row r="15" spans="1:13" ht="14.25" customHeight="1">
      <c r="A15" s="593" t="s">
        <v>479</v>
      </c>
      <c r="B15" s="1953" t="s">
        <v>1018</v>
      </c>
      <c r="C15" s="594">
        <v>2</v>
      </c>
      <c r="D15" s="594">
        <v>1</v>
      </c>
      <c r="E15" s="594">
        <v>1</v>
      </c>
      <c r="F15" s="594">
        <v>1</v>
      </c>
      <c r="G15" s="594">
        <v>30</v>
      </c>
      <c r="H15" s="1954">
        <f t="shared" ref="H15:H24" si="4">C15*D15*G15</f>
        <v>60</v>
      </c>
      <c r="I15" s="1955">
        <f t="shared" ref="I15:I16" si="5">C15*E15*F15*16.5</f>
        <v>33</v>
      </c>
      <c r="J15" s="595">
        <f t="shared" ref="J15:J19" si="6">I15</f>
        <v>33</v>
      </c>
      <c r="K15" s="596"/>
      <c r="L15" s="596"/>
      <c r="M15" s="1952"/>
    </row>
    <row r="16" spans="1:13" ht="15.75" customHeight="1">
      <c r="A16" s="597" t="s">
        <v>481</v>
      </c>
      <c r="B16" s="598" t="s">
        <v>1019</v>
      </c>
      <c r="C16" s="599">
        <v>5</v>
      </c>
      <c r="D16" s="599">
        <v>1</v>
      </c>
      <c r="E16" s="599">
        <v>1</v>
      </c>
      <c r="F16" s="594">
        <v>1</v>
      </c>
      <c r="G16" s="599">
        <v>26</v>
      </c>
      <c r="H16" s="1954">
        <f t="shared" si="4"/>
        <v>130</v>
      </c>
      <c r="I16" s="1955">
        <f t="shared" si="5"/>
        <v>82.5</v>
      </c>
      <c r="J16" s="595">
        <f t="shared" si="6"/>
        <v>82.5</v>
      </c>
      <c r="K16" s="596"/>
      <c r="L16" s="596"/>
      <c r="M16" s="1952"/>
    </row>
    <row r="17" spans="1:13" ht="15.75" customHeight="1">
      <c r="A17" s="600" t="s">
        <v>483</v>
      </c>
      <c r="B17" s="598" t="s">
        <v>1020</v>
      </c>
      <c r="C17" s="594">
        <v>1</v>
      </c>
      <c r="D17" s="594">
        <v>1.3</v>
      </c>
      <c r="E17" s="594">
        <v>1</v>
      </c>
      <c r="F17" s="594">
        <v>1</v>
      </c>
      <c r="G17" s="594">
        <v>26</v>
      </c>
      <c r="H17" s="1954">
        <f t="shared" si="4"/>
        <v>33.800000000000004</v>
      </c>
      <c r="I17" s="1955">
        <f>C17*E17*F17*15</f>
        <v>15</v>
      </c>
      <c r="J17" s="595">
        <f t="shared" si="6"/>
        <v>15</v>
      </c>
      <c r="K17" s="596"/>
      <c r="L17" s="596"/>
      <c r="M17" s="1956" t="s">
        <v>1021</v>
      </c>
    </row>
    <row r="18" spans="1:13" ht="15.75" customHeight="1">
      <c r="A18" s="1957" t="s">
        <v>484</v>
      </c>
      <c r="B18" s="601" t="s">
        <v>1022</v>
      </c>
      <c r="C18" s="594">
        <v>4</v>
      </c>
      <c r="D18" s="594">
        <v>1</v>
      </c>
      <c r="E18" s="594">
        <v>1</v>
      </c>
      <c r="F18" s="594">
        <v>1</v>
      </c>
      <c r="G18" s="594">
        <v>10</v>
      </c>
      <c r="H18" s="1954">
        <f t="shared" si="4"/>
        <v>40</v>
      </c>
      <c r="I18" s="1955">
        <f t="shared" ref="I18:I23" si="7">C18*E18*F18*16.5</f>
        <v>66</v>
      </c>
      <c r="J18" s="595">
        <f t="shared" si="6"/>
        <v>66</v>
      </c>
      <c r="K18" s="596"/>
      <c r="L18" s="596"/>
      <c r="M18" s="1937"/>
    </row>
    <row r="19" spans="1:13" ht="15.75" customHeight="1">
      <c r="A19" s="597" t="s">
        <v>485</v>
      </c>
      <c r="B19" s="602" t="s">
        <v>1023</v>
      </c>
      <c r="C19" s="594">
        <v>5</v>
      </c>
      <c r="D19" s="594">
        <v>1</v>
      </c>
      <c r="E19" s="594">
        <v>1</v>
      </c>
      <c r="F19" s="594">
        <v>1</v>
      </c>
      <c r="G19" s="594">
        <v>10</v>
      </c>
      <c r="H19" s="1954">
        <f t="shared" si="4"/>
        <v>50</v>
      </c>
      <c r="I19" s="1955">
        <f t="shared" si="7"/>
        <v>82.5</v>
      </c>
      <c r="J19" s="595">
        <f t="shared" si="6"/>
        <v>82.5</v>
      </c>
      <c r="K19" s="603"/>
      <c r="L19" s="603"/>
      <c r="M19" s="1952"/>
    </row>
    <row r="20" spans="1:13" ht="15.75" customHeight="1">
      <c r="A20" s="600" t="s">
        <v>486</v>
      </c>
      <c r="B20" s="604" t="s">
        <v>1024</v>
      </c>
      <c r="C20" s="594">
        <v>5</v>
      </c>
      <c r="D20" s="594">
        <v>1</v>
      </c>
      <c r="E20" s="594">
        <v>1</v>
      </c>
      <c r="F20" s="594">
        <v>1</v>
      </c>
      <c r="G20" s="594">
        <v>10</v>
      </c>
      <c r="H20" s="1954">
        <f t="shared" si="4"/>
        <v>50</v>
      </c>
      <c r="I20" s="1955">
        <f t="shared" si="7"/>
        <v>82.5</v>
      </c>
      <c r="J20" s="603">
        <v>82.5</v>
      </c>
      <c r="K20" s="603"/>
      <c r="L20" s="603"/>
      <c r="M20" s="1952"/>
    </row>
    <row r="21" spans="1:13" ht="15.75" customHeight="1">
      <c r="A21" s="600" t="s">
        <v>487</v>
      </c>
      <c r="B21" s="605" t="s">
        <v>1025</v>
      </c>
      <c r="C21" s="594">
        <v>5</v>
      </c>
      <c r="D21" s="594">
        <v>1</v>
      </c>
      <c r="E21" s="594">
        <v>1</v>
      </c>
      <c r="F21" s="594">
        <v>1</v>
      </c>
      <c r="G21" s="594">
        <v>10</v>
      </c>
      <c r="H21" s="1954">
        <f t="shared" si="4"/>
        <v>50</v>
      </c>
      <c r="I21" s="1955">
        <f t="shared" si="7"/>
        <v>82.5</v>
      </c>
      <c r="J21" s="595">
        <f t="shared" ref="J21:J24" si="8">I21</f>
        <v>82.5</v>
      </c>
      <c r="K21" s="603"/>
      <c r="L21" s="603"/>
      <c r="M21" s="1952"/>
    </row>
    <row r="22" spans="1:13" ht="15.75" customHeight="1">
      <c r="A22" s="600" t="s">
        <v>488</v>
      </c>
      <c r="B22" s="605" t="s">
        <v>1026</v>
      </c>
      <c r="C22" s="594">
        <v>3</v>
      </c>
      <c r="D22" s="594">
        <v>1</v>
      </c>
      <c r="E22" s="594">
        <v>2</v>
      </c>
      <c r="F22" s="594">
        <v>1</v>
      </c>
      <c r="G22" s="594">
        <v>100</v>
      </c>
      <c r="H22" s="1954">
        <f t="shared" si="4"/>
        <v>300</v>
      </c>
      <c r="I22" s="1955">
        <f t="shared" si="7"/>
        <v>99</v>
      </c>
      <c r="J22" s="595">
        <f t="shared" si="8"/>
        <v>99</v>
      </c>
      <c r="K22" s="603"/>
      <c r="L22" s="603"/>
      <c r="M22" s="1952"/>
    </row>
    <row r="23" spans="1:13" ht="15.75" customHeight="1">
      <c r="A23" s="606" t="s">
        <v>489</v>
      </c>
      <c r="B23" s="607" t="s">
        <v>1027</v>
      </c>
      <c r="C23" s="594">
        <v>5</v>
      </c>
      <c r="D23" s="594">
        <v>1</v>
      </c>
      <c r="E23" s="594">
        <v>1</v>
      </c>
      <c r="F23" s="594">
        <v>1</v>
      </c>
      <c r="G23" s="594">
        <v>26</v>
      </c>
      <c r="H23" s="1954">
        <f t="shared" si="4"/>
        <v>130</v>
      </c>
      <c r="I23" s="1955">
        <f t="shared" si="7"/>
        <v>82.5</v>
      </c>
      <c r="J23" s="595">
        <f t="shared" si="8"/>
        <v>82.5</v>
      </c>
      <c r="K23" s="603"/>
      <c r="L23" s="603"/>
      <c r="M23" s="1952"/>
    </row>
    <row r="24" spans="1:13" ht="15.75" customHeight="1">
      <c r="A24" s="606" t="s">
        <v>490</v>
      </c>
      <c r="B24" s="604" t="s">
        <v>1028</v>
      </c>
      <c r="C24" s="594">
        <v>5</v>
      </c>
      <c r="D24" s="594">
        <v>1.3</v>
      </c>
      <c r="E24" s="594">
        <v>1</v>
      </c>
      <c r="F24" s="594">
        <v>1</v>
      </c>
      <c r="G24" s="594">
        <v>30</v>
      </c>
      <c r="H24" s="1954">
        <f t="shared" si="4"/>
        <v>195</v>
      </c>
      <c r="I24" s="1955">
        <f>3*E24*F24*16.5+2*G24*0.8</f>
        <v>97.5</v>
      </c>
      <c r="J24" s="595">
        <f t="shared" si="8"/>
        <v>97.5</v>
      </c>
      <c r="K24" s="603"/>
      <c r="L24" s="603"/>
      <c r="M24" s="1956" t="s">
        <v>1029</v>
      </c>
    </row>
    <row r="25" spans="1:13" ht="15.75" customHeight="1">
      <c r="A25" s="606"/>
      <c r="B25" s="1958" t="s">
        <v>907</v>
      </c>
      <c r="C25" s="588">
        <f t="shared" ref="C25:L25" si="9">SUM(C26:C40)</f>
        <v>54</v>
      </c>
      <c r="D25" s="588">
        <f t="shared" si="9"/>
        <v>15.6</v>
      </c>
      <c r="E25" s="588">
        <f t="shared" si="9"/>
        <v>20</v>
      </c>
      <c r="F25" s="588">
        <f t="shared" si="9"/>
        <v>15</v>
      </c>
      <c r="G25" s="588">
        <f t="shared" si="9"/>
        <v>708</v>
      </c>
      <c r="H25" s="589">
        <f t="shared" si="9"/>
        <v>2394</v>
      </c>
      <c r="I25" s="589">
        <f t="shared" si="9"/>
        <v>1209.0999999999999</v>
      </c>
      <c r="J25" s="591">
        <f t="shared" si="9"/>
        <v>1069.5999999999999</v>
      </c>
      <c r="K25" s="592">
        <f t="shared" si="9"/>
        <v>129.5</v>
      </c>
      <c r="L25" s="592">
        <f t="shared" si="9"/>
        <v>0</v>
      </c>
      <c r="M25" s="1952"/>
    </row>
    <row r="26" spans="1:13" ht="15.75" customHeight="1">
      <c r="A26" s="606" t="s">
        <v>491</v>
      </c>
      <c r="B26" s="1953" t="s">
        <v>1030</v>
      </c>
      <c r="C26" s="594">
        <v>3</v>
      </c>
      <c r="D26" s="594">
        <v>1.3</v>
      </c>
      <c r="E26" s="594">
        <v>1</v>
      </c>
      <c r="F26" s="594">
        <v>1</v>
      </c>
      <c r="G26" s="594">
        <v>30</v>
      </c>
      <c r="H26" s="1954">
        <f t="shared" ref="H26:H42" si="10">C26*D26*G26</f>
        <v>117.00000000000001</v>
      </c>
      <c r="I26" s="1955">
        <f>1*E26*F26*16.5+2*G26*0.8</f>
        <v>64.5</v>
      </c>
      <c r="J26" s="595">
        <f t="shared" ref="J26:J28" si="11">I26</f>
        <v>64.5</v>
      </c>
      <c r="K26" s="603"/>
      <c r="L26" s="603"/>
      <c r="M26" s="1956" t="s">
        <v>1029</v>
      </c>
    </row>
    <row r="27" spans="1:13" ht="15.75" customHeight="1">
      <c r="A27" s="606" t="s">
        <v>492</v>
      </c>
      <c r="B27" s="407" t="s">
        <v>1031</v>
      </c>
      <c r="C27" s="594">
        <v>4</v>
      </c>
      <c r="D27" s="594">
        <v>1</v>
      </c>
      <c r="E27" s="594">
        <v>1</v>
      </c>
      <c r="F27" s="594">
        <v>1</v>
      </c>
      <c r="G27" s="594">
        <v>26</v>
      </c>
      <c r="H27" s="1954">
        <f t="shared" si="10"/>
        <v>104</v>
      </c>
      <c r="I27" s="1955">
        <f t="shared" ref="I27:I28" si="12">C27*E27*F27*16.5</f>
        <v>66</v>
      </c>
      <c r="J27" s="595">
        <f t="shared" si="11"/>
        <v>66</v>
      </c>
      <c r="K27" s="603"/>
      <c r="L27" s="603"/>
      <c r="M27" s="1952"/>
    </row>
    <row r="28" spans="1:13" ht="15.75" customHeight="1">
      <c r="A28" s="606" t="s">
        <v>517</v>
      </c>
      <c r="B28" s="607" t="s">
        <v>1032</v>
      </c>
      <c r="C28" s="594">
        <v>3</v>
      </c>
      <c r="D28" s="594">
        <v>1</v>
      </c>
      <c r="E28" s="594">
        <v>6</v>
      </c>
      <c r="F28" s="594">
        <v>1</v>
      </c>
      <c r="G28" s="594">
        <v>400</v>
      </c>
      <c r="H28" s="1954">
        <f t="shared" si="10"/>
        <v>1200</v>
      </c>
      <c r="I28" s="1955">
        <f t="shared" si="12"/>
        <v>297</v>
      </c>
      <c r="J28" s="595">
        <f t="shared" si="11"/>
        <v>297</v>
      </c>
      <c r="K28" s="603"/>
      <c r="L28" s="603"/>
      <c r="M28" s="1952"/>
    </row>
    <row r="29" spans="1:13" ht="15.75" customHeight="1">
      <c r="A29" s="606" t="s">
        <v>518</v>
      </c>
      <c r="B29" s="607" t="s">
        <v>1033</v>
      </c>
      <c r="C29" s="594">
        <v>5</v>
      </c>
      <c r="D29" s="594">
        <f t="shared" ref="D29:D31" si="13">(C29*1+0+0)/C29</f>
        <v>1</v>
      </c>
      <c r="E29" s="594">
        <v>1</v>
      </c>
      <c r="F29" s="594">
        <v>1</v>
      </c>
      <c r="G29" s="594">
        <v>26</v>
      </c>
      <c r="H29" s="1954">
        <f t="shared" si="10"/>
        <v>130</v>
      </c>
      <c r="I29" s="1955">
        <f>3*E29*F29*16.5+2*G29*0.8</f>
        <v>91.1</v>
      </c>
      <c r="J29" s="603">
        <v>91</v>
      </c>
      <c r="K29" s="603"/>
      <c r="L29" s="603">
        <v>0</v>
      </c>
      <c r="M29" s="1956" t="s">
        <v>1029</v>
      </c>
    </row>
    <row r="30" spans="1:13" ht="15.75" customHeight="1">
      <c r="A30" s="606" t="s">
        <v>503</v>
      </c>
      <c r="B30" s="607" t="s">
        <v>1034</v>
      </c>
      <c r="C30" s="594">
        <v>2</v>
      </c>
      <c r="D30" s="594">
        <f t="shared" si="13"/>
        <v>1</v>
      </c>
      <c r="E30" s="594">
        <v>1</v>
      </c>
      <c r="F30" s="594">
        <v>1</v>
      </c>
      <c r="G30" s="594">
        <v>30</v>
      </c>
      <c r="H30" s="1954">
        <f t="shared" si="10"/>
        <v>60</v>
      </c>
      <c r="I30" s="1955">
        <f t="shared" ref="I30:I31" si="14">C30*E30*F30*16.5</f>
        <v>33</v>
      </c>
      <c r="J30" s="603"/>
      <c r="K30" s="603">
        <v>33</v>
      </c>
      <c r="L30" s="603">
        <v>0</v>
      </c>
      <c r="M30" s="1952"/>
    </row>
    <row r="31" spans="1:13" ht="15.75" customHeight="1">
      <c r="A31" s="606" t="s">
        <v>659</v>
      </c>
      <c r="B31" s="607" t="s">
        <v>1035</v>
      </c>
      <c r="C31" s="594">
        <v>3</v>
      </c>
      <c r="D31" s="594">
        <f t="shared" si="13"/>
        <v>1</v>
      </c>
      <c r="E31" s="594">
        <v>1</v>
      </c>
      <c r="F31" s="594">
        <v>1</v>
      </c>
      <c r="G31" s="594">
        <v>26</v>
      </c>
      <c r="H31" s="1954">
        <f t="shared" si="10"/>
        <v>78</v>
      </c>
      <c r="I31" s="1955">
        <f t="shared" si="14"/>
        <v>49.5</v>
      </c>
      <c r="J31" s="603">
        <v>49.5</v>
      </c>
      <c r="K31" s="603"/>
      <c r="L31" s="603">
        <v>0</v>
      </c>
      <c r="M31" s="1952"/>
    </row>
    <row r="32" spans="1:13" ht="15.75" customHeight="1">
      <c r="A32" s="606" t="s">
        <v>662</v>
      </c>
      <c r="B32" s="607" t="s">
        <v>1036</v>
      </c>
      <c r="C32" s="594">
        <v>3</v>
      </c>
      <c r="D32" s="594">
        <v>1.3</v>
      </c>
      <c r="E32" s="594">
        <v>1</v>
      </c>
      <c r="F32" s="594">
        <v>1</v>
      </c>
      <c r="G32" s="594">
        <v>50</v>
      </c>
      <c r="H32" s="1954">
        <f t="shared" si="10"/>
        <v>195.00000000000003</v>
      </c>
      <c r="I32" s="1955">
        <f>1*E32*F32*16.5+2*G32*0.8</f>
        <v>96.5</v>
      </c>
      <c r="J32" s="603"/>
      <c r="K32" s="595">
        <f>I32</f>
        <v>96.5</v>
      </c>
      <c r="L32" s="603">
        <v>0</v>
      </c>
      <c r="M32" s="1956" t="s">
        <v>1029</v>
      </c>
    </row>
    <row r="33" spans="1:13" ht="15.75" customHeight="1">
      <c r="A33" s="606" t="s">
        <v>664</v>
      </c>
      <c r="B33" s="607" t="s">
        <v>1037</v>
      </c>
      <c r="C33" s="594">
        <v>5</v>
      </c>
      <c r="D33" s="594">
        <f t="shared" ref="D33:D40" si="15">(C33*1+0+0)/C33</f>
        <v>1</v>
      </c>
      <c r="E33" s="594">
        <v>1</v>
      </c>
      <c r="F33" s="594">
        <v>1</v>
      </c>
      <c r="G33" s="594">
        <v>50</v>
      </c>
      <c r="H33" s="1954">
        <f t="shared" si="10"/>
        <v>250</v>
      </c>
      <c r="I33" s="1955">
        <f t="shared" ref="I33:I41" si="16">C33*E33*F33*16.5</f>
        <v>82.5</v>
      </c>
      <c r="J33" s="603">
        <v>82.5</v>
      </c>
      <c r="K33" s="603"/>
      <c r="L33" s="603">
        <v>0</v>
      </c>
      <c r="M33" s="1952"/>
    </row>
    <row r="34" spans="1:13" ht="15.75" customHeight="1">
      <c r="A34" s="606" t="s">
        <v>667</v>
      </c>
      <c r="B34" s="608" t="s">
        <v>1038</v>
      </c>
      <c r="C34" s="594">
        <v>4</v>
      </c>
      <c r="D34" s="594">
        <f t="shared" si="15"/>
        <v>1</v>
      </c>
      <c r="E34" s="594">
        <v>1</v>
      </c>
      <c r="F34" s="594">
        <v>1</v>
      </c>
      <c r="G34" s="594">
        <v>10</v>
      </c>
      <c r="H34" s="1954">
        <f t="shared" si="10"/>
        <v>40</v>
      </c>
      <c r="I34" s="1955">
        <f t="shared" si="16"/>
        <v>66</v>
      </c>
      <c r="J34" s="603">
        <v>66</v>
      </c>
      <c r="K34" s="603"/>
      <c r="L34" s="603">
        <v>0</v>
      </c>
      <c r="M34" s="1952"/>
    </row>
    <row r="35" spans="1:13" ht="15.75" customHeight="1">
      <c r="A35" s="606" t="s">
        <v>505</v>
      </c>
      <c r="B35" s="600" t="s">
        <v>1039</v>
      </c>
      <c r="C35" s="594">
        <v>5</v>
      </c>
      <c r="D35" s="594">
        <f t="shared" si="15"/>
        <v>1</v>
      </c>
      <c r="E35" s="594">
        <v>1</v>
      </c>
      <c r="F35" s="594">
        <v>1</v>
      </c>
      <c r="G35" s="594">
        <v>10</v>
      </c>
      <c r="H35" s="1954">
        <f t="shared" si="10"/>
        <v>50</v>
      </c>
      <c r="I35" s="1955">
        <f t="shared" si="16"/>
        <v>82.5</v>
      </c>
      <c r="J35" s="603">
        <v>82.5</v>
      </c>
      <c r="K35" s="603"/>
      <c r="L35" s="603">
        <v>0</v>
      </c>
      <c r="M35" s="1952"/>
    </row>
    <row r="36" spans="1:13" ht="15.75" customHeight="1">
      <c r="A36" s="606" t="s">
        <v>668</v>
      </c>
      <c r="B36" s="608" t="s">
        <v>1040</v>
      </c>
      <c r="C36" s="594">
        <v>4</v>
      </c>
      <c r="D36" s="594">
        <f t="shared" si="15"/>
        <v>1</v>
      </c>
      <c r="E36" s="594">
        <v>1</v>
      </c>
      <c r="F36" s="594">
        <v>1</v>
      </c>
      <c r="G36" s="594">
        <v>10</v>
      </c>
      <c r="H36" s="1954">
        <f t="shared" si="10"/>
        <v>40</v>
      </c>
      <c r="I36" s="1955">
        <f t="shared" si="16"/>
        <v>66</v>
      </c>
      <c r="J36" s="603">
        <v>66</v>
      </c>
      <c r="K36" s="603"/>
      <c r="L36" s="603">
        <v>0</v>
      </c>
      <c r="M36" s="1952"/>
    </row>
    <row r="37" spans="1:13" ht="15.75" customHeight="1">
      <c r="A37" s="606" t="s">
        <v>670</v>
      </c>
      <c r="B37" s="600" t="s">
        <v>1041</v>
      </c>
      <c r="C37" s="594">
        <v>3</v>
      </c>
      <c r="D37" s="594">
        <f t="shared" si="15"/>
        <v>1</v>
      </c>
      <c r="E37" s="594">
        <v>1</v>
      </c>
      <c r="F37" s="594">
        <v>1</v>
      </c>
      <c r="G37" s="594">
        <v>10</v>
      </c>
      <c r="H37" s="1954">
        <f t="shared" si="10"/>
        <v>30</v>
      </c>
      <c r="I37" s="1955">
        <f t="shared" si="16"/>
        <v>49.5</v>
      </c>
      <c r="J37" s="603">
        <v>49.5</v>
      </c>
      <c r="K37" s="603"/>
      <c r="L37" s="603">
        <v>0</v>
      </c>
      <c r="M37" s="1952"/>
    </row>
    <row r="38" spans="1:13" ht="15.75" customHeight="1">
      <c r="A38" s="606" t="s">
        <v>672</v>
      </c>
      <c r="B38" s="600" t="s">
        <v>1042</v>
      </c>
      <c r="C38" s="594">
        <v>2</v>
      </c>
      <c r="D38" s="594">
        <f t="shared" si="15"/>
        <v>1</v>
      </c>
      <c r="E38" s="594">
        <v>1</v>
      </c>
      <c r="F38" s="594">
        <v>1</v>
      </c>
      <c r="G38" s="594">
        <v>10</v>
      </c>
      <c r="H38" s="1954">
        <f t="shared" si="10"/>
        <v>20</v>
      </c>
      <c r="I38" s="1955">
        <f t="shared" si="16"/>
        <v>33</v>
      </c>
      <c r="J38" s="603">
        <v>33</v>
      </c>
      <c r="K38" s="603"/>
      <c r="L38" s="603">
        <v>0</v>
      </c>
      <c r="M38" s="1952"/>
    </row>
    <row r="39" spans="1:13" ht="15.75" customHeight="1">
      <c r="A39" s="606" t="s">
        <v>706</v>
      </c>
      <c r="B39" s="609" t="s">
        <v>1043</v>
      </c>
      <c r="C39" s="594">
        <v>5</v>
      </c>
      <c r="D39" s="594">
        <f t="shared" si="15"/>
        <v>1</v>
      </c>
      <c r="E39" s="594">
        <v>1</v>
      </c>
      <c r="F39" s="594">
        <v>1</v>
      </c>
      <c r="G39" s="594">
        <v>10</v>
      </c>
      <c r="H39" s="1954">
        <f t="shared" si="10"/>
        <v>50</v>
      </c>
      <c r="I39" s="1955">
        <f t="shared" si="16"/>
        <v>82.5</v>
      </c>
      <c r="J39" s="603">
        <v>82.5</v>
      </c>
      <c r="K39" s="603"/>
      <c r="L39" s="603">
        <v>0</v>
      </c>
      <c r="M39" s="1952"/>
    </row>
    <row r="40" spans="1:13" ht="15.75" customHeight="1">
      <c r="A40" s="606" t="s">
        <v>708</v>
      </c>
      <c r="B40" s="609" t="s">
        <v>1044</v>
      </c>
      <c r="C40" s="594">
        <v>3</v>
      </c>
      <c r="D40" s="594">
        <f t="shared" si="15"/>
        <v>1</v>
      </c>
      <c r="E40" s="594">
        <v>1</v>
      </c>
      <c r="F40" s="594">
        <v>1</v>
      </c>
      <c r="G40" s="594">
        <v>10</v>
      </c>
      <c r="H40" s="1954">
        <f t="shared" si="10"/>
        <v>30</v>
      </c>
      <c r="I40" s="1955">
        <f t="shared" si="16"/>
        <v>49.5</v>
      </c>
      <c r="J40" s="603">
        <v>39.6</v>
      </c>
      <c r="K40" s="603"/>
      <c r="L40" s="603">
        <v>0</v>
      </c>
      <c r="M40" s="1952"/>
    </row>
    <row r="41" spans="1:13" ht="15.75" customHeight="1">
      <c r="A41" s="610" t="s">
        <v>265</v>
      </c>
      <c r="B41" s="611" t="s">
        <v>556</v>
      </c>
      <c r="C41" s="588">
        <f t="shared" ref="C41:G41" si="17">C42</f>
        <v>1</v>
      </c>
      <c r="D41" s="588">
        <f t="shared" si="17"/>
        <v>1</v>
      </c>
      <c r="E41" s="588">
        <f t="shared" si="17"/>
        <v>1</v>
      </c>
      <c r="F41" s="588">
        <f t="shared" si="17"/>
        <v>1</v>
      </c>
      <c r="G41" s="588">
        <f t="shared" si="17"/>
        <v>10</v>
      </c>
      <c r="H41" s="1954">
        <f t="shared" si="10"/>
        <v>10</v>
      </c>
      <c r="I41" s="1955">
        <f t="shared" si="16"/>
        <v>16.5</v>
      </c>
      <c r="J41" s="592">
        <f t="shared" ref="J41:L41" si="18">J42</f>
        <v>16.5</v>
      </c>
      <c r="K41" s="592">
        <f t="shared" si="18"/>
        <v>0</v>
      </c>
      <c r="L41" s="592">
        <f t="shared" si="18"/>
        <v>0</v>
      </c>
      <c r="M41" s="1952"/>
    </row>
    <row r="42" spans="1:13" ht="16.5" customHeight="1">
      <c r="A42" s="606" t="s">
        <v>557</v>
      </c>
      <c r="B42" s="612" t="s">
        <v>1045</v>
      </c>
      <c r="C42" s="594">
        <v>1</v>
      </c>
      <c r="D42" s="594">
        <v>1</v>
      </c>
      <c r="E42" s="594">
        <v>1</v>
      </c>
      <c r="F42" s="594">
        <v>1</v>
      </c>
      <c r="G42" s="594">
        <v>10</v>
      </c>
      <c r="H42" s="1954">
        <f t="shared" si="10"/>
        <v>10</v>
      </c>
      <c r="I42" s="1955">
        <f>C42*E42*F42*15</f>
        <v>15</v>
      </c>
      <c r="J42" s="603">
        <v>16.5</v>
      </c>
      <c r="K42" s="603"/>
      <c r="L42" s="603"/>
      <c r="M42" s="1952"/>
    </row>
    <row r="43" spans="1:13" ht="15.75" customHeight="1">
      <c r="A43" s="1947">
        <v>2</v>
      </c>
      <c r="B43" s="1948" t="s">
        <v>570</v>
      </c>
      <c r="C43" s="613">
        <f t="shared" ref="C43:L43" si="19">C44+C65</f>
        <v>54</v>
      </c>
      <c r="D43" s="613">
        <f t="shared" si="19"/>
        <v>27</v>
      </c>
      <c r="E43" s="613">
        <f t="shared" si="19"/>
        <v>18</v>
      </c>
      <c r="F43" s="613">
        <f t="shared" si="19"/>
        <v>18</v>
      </c>
      <c r="G43" s="614">
        <f t="shared" si="19"/>
        <v>182</v>
      </c>
      <c r="H43" s="614">
        <f t="shared" si="19"/>
        <v>819</v>
      </c>
      <c r="I43" s="615">
        <f t="shared" si="19"/>
        <v>1428.25</v>
      </c>
      <c r="J43" s="614">
        <f t="shared" si="19"/>
        <v>1220.375</v>
      </c>
      <c r="K43" s="614">
        <f t="shared" si="19"/>
        <v>318.5</v>
      </c>
      <c r="L43" s="614">
        <f t="shared" si="19"/>
        <v>0</v>
      </c>
      <c r="M43" s="1959"/>
    </row>
    <row r="44" spans="1:13" ht="15.75" customHeight="1">
      <c r="A44" s="580" t="s">
        <v>263</v>
      </c>
      <c r="B44" s="581" t="s">
        <v>571</v>
      </c>
      <c r="C44" s="1960">
        <f t="shared" ref="C44:L44" si="20">SUM(C45+C58)</f>
        <v>54</v>
      </c>
      <c r="D44" s="1960">
        <f t="shared" si="20"/>
        <v>27</v>
      </c>
      <c r="E44" s="1960">
        <f t="shared" si="20"/>
        <v>18</v>
      </c>
      <c r="F44" s="1960">
        <f t="shared" si="20"/>
        <v>18</v>
      </c>
      <c r="G44" s="1960">
        <f t="shared" si="20"/>
        <v>182</v>
      </c>
      <c r="H44" s="1961">
        <f t="shared" si="20"/>
        <v>819</v>
      </c>
      <c r="I44" s="1961">
        <f t="shared" si="20"/>
        <v>938.25</v>
      </c>
      <c r="J44" s="1961">
        <f t="shared" si="20"/>
        <v>870.375</v>
      </c>
      <c r="K44" s="1962">
        <f t="shared" si="20"/>
        <v>178.5</v>
      </c>
      <c r="L44" s="1962">
        <f t="shared" si="20"/>
        <v>0</v>
      </c>
      <c r="M44" s="1952"/>
    </row>
    <row r="45" spans="1:13" ht="15.75" customHeight="1">
      <c r="A45" s="593"/>
      <c r="B45" s="616" t="s">
        <v>1017</v>
      </c>
      <c r="C45" s="1960">
        <f t="shared" ref="C45:L45" si="21">SUM(C46:C57)</f>
        <v>36</v>
      </c>
      <c r="D45" s="1960">
        <f t="shared" si="21"/>
        <v>18</v>
      </c>
      <c r="E45" s="1960">
        <f t="shared" si="21"/>
        <v>12</v>
      </c>
      <c r="F45" s="1960">
        <f t="shared" si="21"/>
        <v>12</v>
      </c>
      <c r="G45" s="1960">
        <f t="shared" si="21"/>
        <v>133</v>
      </c>
      <c r="H45" s="1961">
        <f t="shared" si="21"/>
        <v>598.5</v>
      </c>
      <c r="I45" s="1961">
        <f t="shared" si="21"/>
        <v>625.5</v>
      </c>
      <c r="J45" s="1961">
        <f t="shared" si="21"/>
        <v>521.25</v>
      </c>
      <c r="K45" s="1962">
        <f t="shared" si="21"/>
        <v>126.375</v>
      </c>
      <c r="L45" s="1962">
        <f t="shared" si="21"/>
        <v>0</v>
      </c>
      <c r="M45" s="1952"/>
    </row>
    <row r="46" spans="1:13" ht="15.75" customHeight="1">
      <c r="A46" s="593" t="s">
        <v>479</v>
      </c>
      <c r="B46" s="604" t="s">
        <v>1046</v>
      </c>
      <c r="C46" s="1963">
        <v>3</v>
      </c>
      <c r="D46" s="1963">
        <v>1.5</v>
      </c>
      <c r="E46" s="1963">
        <v>1</v>
      </c>
      <c r="F46" s="1963">
        <v>1</v>
      </c>
      <c r="G46" s="1963">
        <v>14</v>
      </c>
      <c r="H46" s="1954">
        <f t="shared" ref="H46:H57" si="22">C46*D46*G46</f>
        <v>63</v>
      </c>
      <c r="I46" s="204">
        <f t="shared" ref="I46:I57" si="23">D46*E46* 34.75</f>
        <v>52.125</v>
      </c>
      <c r="J46" s="617">
        <f t="shared" ref="J46:J50" si="24">I46</f>
        <v>52.125</v>
      </c>
      <c r="K46" s="603"/>
      <c r="L46" s="603"/>
      <c r="M46" s="1952"/>
    </row>
    <row r="47" spans="1:13" ht="15.75" customHeight="1">
      <c r="A47" s="597" t="s">
        <v>481</v>
      </c>
      <c r="B47" s="607" t="s">
        <v>1047</v>
      </c>
      <c r="C47" s="1963">
        <v>3</v>
      </c>
      <c r="D47" s="1963">
        <v>1.5</v>
      </c>
      <c r="E47" s="1963">
        <v>1</v>
      </c>
      <c r="F47" s="1963">
        <v>1</v>
      </c>
      <c r="G47" s="1963">
        <v>14</v>
      </c>
      <c r="H47" s="1954">
        <f t="shared" si="22"/>
        <v>63</v>
      </c>
      <c r="I47" s="204">
        <f t="shared" si="23"/>
        <v>52.125</v>
      </c>
      <c r="J47" s="617">
        <f t="shared" si="24"/>
        <v>52.125</v>
      </c>
      <c r="K47" s="603"/>
      <c r="L47" s="603"/>
      <c r="M47" s="1952"/>
    </row>
    <row r="48" spans="1:13" ht="15.75" customHeight="1">
      <c r="A48" s="593" t="s">
        <v>483</v>
      </c>
      <c r="B48" s="604" t="s">
        <v>1048</v>
      </c>
      <c r="C48" s="1963">
        <v>3</v>
      </c>
      <c r="D48" s="1963">
        <v>1.5</v>
      </c>
      <c r="E48" s="1963">
        <v>1</v>
      </c>
      <c r="F48" s="1963">
        <v>1</v>
      </c>
      <c r="G48" s="1963">
        <v>14</v>
      </c>
      <c r="H48" s="1954">
        <f t="shared" si="22"/>
        <v>63</v>
      </c>
      <c r="I48" s="204">
        <f t="shared" si="23"/>
        <v>52.125</v>
      </c>
      <c r="J48" s="617">
        <f t="shared" si="24"/>
        <v>52.125</v>
      </c>
      <c r="K48" s="603"/>
      <c r="L48" s="603"/>
      <c r="M48" s="1952"/>
    </row>
    <row r="49" spans="1:13" ht="15.75" customHeight="1">
      <c r="A49" s="597" t="s">
        <v>484</v>
      </c>
      <c r="B49" s="604" t="s">
        <v>1049</v>
      </c>
      <c r="C49" s="1963">
        <v>3</v>
      </c>
      <c r="D49" s="1963">
        <v>1.5</v>
      </c>
      <c r="E49" s="1963">
        <v>1</v>
      </c>
      <c r="F49" s="1963">
        <v>1</v>
      </c>
      <c r="G49" s="1963">
        <v>7</v>
      </c>
      <c r="H49" s="1954">
        <f t="shared" si="22"/>
        <v>31.5</v>
      </c>
      <c r="I49" s="204">
        <f t="shared" si="23"/>
        <v>52.125</v>
      </c>
      <c r="J49" s="617">
        <f t="shared" si="24"/>
        <v>52.125</v>
      </c>
      <c r="K49" s="603"/>
      <c r="L49" s="603"/>
      <c r="M49" s="1952"/>
    </row>
    <row r="50" spans="1:13" ht="15.75" customHeight="1">
      <c r="A50" s="593" t="s">
        <v>485</v>
      </c>
      <c r="B50" s="605" t="s">
        <v>1050</v>
      </c>
      <c r="C50" s="1963">
        <v>3</v>
      </c>
      <c r="D50" s="1963">
        <v>1.5</v>
      </c>
      <c r="E50" s="1963">
        <v>1</v>
      </c>
      <c r="F50" s="1963">
        <v>1</v>
      </c>
      <c r="G50" s="1963">
        <v>7</v>
      </c>
      <c r="H50" s="1954">
        <f t="shared" si="22"/>
        <v>31.5</v>
      </c>
      <c r="I50" s="204">
        <f t="shared" si="23"/>
        <v>52.125</v>
      </c>
      <c r="J50" s="617">
        <f t="shared" si="24"/>
        <v>52.125</v>
      </c>
      <c r="K50" s="603"/>
      <c r="L50" s="603"/>
      <c r="M50" s="1952"/>
    </row>
    <row r="51" spans="1:13" ht="15.75" customHeight="1">
      <c r="A51" s="597" t="s">
        <v>486</v>
      </c>
      <c r="B51" s="605" t="s">
        <v>1051</v>
      </c>
      <c r="C51" s="1963">
        <v>3</v>
      </c>
      <c r="D51" s="1963">
        <v>1.5</v>
      </c>
      <c r="E51" s="1963">
        <v>1</v>
      </c>
      <c r="F51" s="1963">
        <v>1</v>
      </c>
      <c r="G51" s="1963">
        <v>7</v>
      </c>
      <c r="H51" s="1954">
        <f t="shared" si="22"/>
        <v>31.5</v>
      </c>
      <c r="I51" s="204">
        <f t="shared" si="23"/>
        <v>52.125</v>
      </c>
      <c r="J51" s="603"/>
      <c r="K51" s="618">
        <f>I51</f>
        <v>52.125</v>
      </c>
      <c r="L51" s="603"/>
      <c r="M51" s="1952"/>
    </row>
    <row r="52" spans="1:13" ht="15.75" customHeight="1">
      <c r="A52" s="593" t="s">
        <v>487</v>
      </c>
      <c r="B52" s="605" t="s">
        <v>1052</v>
      </c>
      <c r="C52" s="1963">
        <v>3</v>
      </c>
      <c r="D52" s="1963">
        <v>1.5</v>
      </c>
      <c r="E52" s="1963">
        <v>1</v>
      </c>
      <c r="F52" s="1963">
        <v>1</v>
      </c>
      <c r="G52" s="1963">
        <v>7</v>
      </c>
      <c r="H52" s="1954">
        <f t="shared" si="22"/>
        <v>31.5</v>
      </c>
      <c r="I52" s="204">
        <f t="shared" si="23"/>
        <v>52.125</v>
      </c>
      <c r="J52" s="617">
        <f t="shared" ref="J52:J53" si="25">I52</f>
        <v>52.125</v>
      </c>
      <c r="K52" s="603"/>
      <c r="L52" s="603"/>
      <c r="M52" s="1952"/>
    </row>
    <row r="53" spans="1:13" ht="15.75" customHeight="1">
      <c r="A53" s="597" t="s">
        <v>488</v>
      </c>
      <c r="B53" s="605" t="s">
        <v>1053</v>
      </c>
      <c r="C53" s="1963">
        <v>3</v>
      </c>
      <c r="D53" s="1963">
        <v>1.5</v>
      </c>
      <c r="E53" s="1963">
        <v>1</v>
      </c>
      <c r="F53" s="1963">
        <v>1</v>
      </c>
      <c r="G53" s="1963">
        <v>7</v>
      </c>
      <c r="H53" s="1954">
        <f t="shared" si="22"/>
        <v>31.5</v>
      </c>
      <c r="I53" s="204">
        <f t="shared" si="23"/>
        <v>52.125</v>
      </c>
      <c r="J53" s="617">
        <f t="shared" si="25"/>
        <v>52.125</v>
      </c>
      <c r="K53" s="603"/>
      <c r="L53" s="603"/>
      <c r="M53" s="1952"/>
    </row>
    <row r="54" spans="1:13" ht="24.75" customHeight="1">
      <c r="A54" s="593" t="s">
        <v>489</v>
      </c>
      <c r="B54" s="1874" t="s">
        <v>1054</v>
      </c>
      <c r="C54" s="1963">
        <v>3</v>
      </c>
      <c r="D54" s="1963">
        <v>1.5</v>
      </c>
      <c r="E54" s="1963">
        <v>1</v>
      </c>
      <c r="F54" s="1963">
        <v>1</v>
      </c>
      <c r="G54" s="1963">
        <v>14</v>
      </c>
      <c r="H54" s="1954">
        <f t="shared" si="22"/>
        <v>63</v>
      </c>
      <c r="I54" s="204">
        <f t="shared" si="23"/>
        <v>52.125</v>
      </c>
      <c r="J54" s="603"/>
      <c r="K54" s="603">
        <v>74.25</v>
      </c>
      <c r="L54" s="603"/>
      <c r="M54" s="1952"/>
    </row>
    <row r="55" spans="1:13" ht="23.25" customHeight="1">
      <c r="A55" s="597" t="s">
        <v>490</v>
      </c>
      <c r="B55" s="1936" t="s">
        <v>1055</v>
      </c>
      <c r="C55" s="1963">
        <v>3</v>
      </c>
      <c r="D55" s="1963">
        <v>1.5</v>
      </c>
      <c r="E55" s="1963">
        <v>1</v>
      </c>
      <c r="F55" s="1963">
        <v>1</v>
      </c>
      <c r="G55" s="1963">
        <v>14</v>
      </c>
      <c r="H55" s="1954">
        <f t="shared" si="22"/>
        <v>63</v>
      </c>
      <c r="I55" s="204">
        <f t="shared" si="23"/>
        <v>52.125</v>
      </c>
      <c r="J55" s="617">
        <f t="shared" ref="J55:J57" si="26">I55</f>
        <v>52.125</v>
      </c>
      <c r="K55" s="603"/>
      <c r="L55" s="603"/>
      <c r="M55" s="1952"/>
    </row>
    <row r="56" spans="1:13" ht="30" customHeight="1">
      <c r="A56" s="593" t="s">
        <v>491</v>
      </c>
      <c r="B56" s="1874" t="s">
        <v>1056</v>
      </c>
      <c r="C56" s="1963">
        <v>3</v>
      </c>
      <c r="D56" s="1963">
        <v>1.5</v>
      </c>
      <c r="E56" s="1963">
        <v>1</v>
      </c>
      <c r="F56" s="1963">
        <v>1</v>
      </c>
      <c r="G56" s="1963">
        <v>14</v>
      </c>
      <c r="H56" s="1954">
        <f t="shared" si="22"/>
        <v>63</v>
      </c>
      <c r="I56" s="204">
        <f t="shared" si="23"/>
        <v>52.125</v>
      </c>
      <c r="J56" s="617">
        <f t="shared" si="26"/>
        <v>52.125</v>
      </c>
      <c r="K56" s="603"/>
      <c r="L56" s="603"/>
      <c r="M56" s="1952"/>
    </row>
    <row r="57" spans="1:13" ht="30" customHeight="1">
      <c r="A57" s="597" t="s">
        <v>492</v>
      </c>
      <c r="B57" s="1865" t="s">
        <v>1057</v>
      </c>
      <c r="C57" s="1963">
        <v>3</v>
      </c>
      <c r="D57" s="1963">
        <v>1.5</v>
      </c>
      <c r="E57" s="1963">
        <v>1</v>
      </c>
      <c r="F57" s="1963">
        <v>1</v>
      </c>
      <c r="G57" s="1963">
        <v>14</v>
      </c>
      <c r="H57" s="1954">
        <f t="shared" si="22"/>
        <v>63</v>
      </c>
      <c r="I57" s="204">
        <f t="shared" si="23"/>
        <v>52.125</v>
      </c>
      <c r="J57" s="617">
        <f t="shared" si="26"/>
        <v>52.125</v>
      </c>
      <c r="K57" s="603"/>
      <c r="L57" s="603"/>
      <c r="M57" s="1952"/>
    </row>
    <row r="58" spans="1:13" ht="15.75" customHeight="1">
      <c r="A58" s="597"/>
      <c r="B58" s="1964" t="s">
        <v>907</v>
      </c>
      <c r="C58" s="1960">
        <f t="shared" ref="C58:L58" si="27">SUM(C59:C64)</f>
        <v>18</v>
      </c>
      <c r="D58" s="1960">
        <f t="shared" si="27"/>
        <v>9</v>
      </c>
      <c r="E58" s="1960">
        <f t="shared" si="27"/>
        <v>6</v>
      </c>
      <c r="F58" s="1960">
        <f t="shared" si="27"/>
        <v>6</v>
      </c>
      <c r="G58" s="1962">
        <f t="shared" si="27"/>
        <v>49</v>
      </c>
      <c r="H58" s="1961">
        <f t="shared" si="27"/>
        <v>220.5</v>
      </c>
      <c r="I58" s="1945">
        <f t="shared" si="27"/>
        <v>312.75</v>
      </c>
      <c r="J58" s="1962">
        <f t="shared" si="27"/>
        <v>349.125</v>
      </c>
      <c r="K58" s="1962">
        <f t="shared" si="27"/>
        <v>52.125</v>
      </c>
      <c r="L58" s="1962">
        <f t="shared" si="27"/>
        <v>0</v>
      </c>
      <c r="M58" s="1952"/>
    </row>
    <row r="59" spans="1:13" ht="15.75" customHeight="1">
      <c r="A59" s="593" t="s">
        <v>517</v>
      </c>
      <c r="B59" s="1936" t="s">
        <v>1058</v>
      </c>
      <c r="C59" s="1963">
        <v>3</v>
      </c>
      <c r="D59" s="1963">
        <v>1.5</v>
      </c>
      <c r="E59" s="1963">
        <v>1</v>
      </c>
      <c r="F59" s="1963">
        <v>1</v>
      </c>
      <c r="G59" s="1963">
        <v>14</v>
      </c>
      <c r="H59" s="1954">
        <f t="shared" ref="H59:H64" si="28">C59*D59*G59</f>
        <v>63</v>
      </c>
      <c r="I59" s="204">
        <f t="shared" ref="I59:I64" si="29">D59*E59* 34.75</f>
        <v>52.125</v>
      </c>
      <c r="J59" s="603">
        <v>74.25</v>
      </c>
      <c r="K59" s="603"/>
      <c r="L59" s="603"/>
      <c r="M59" s="1952"/>
    </row>
    <row r="60" spans="1:13" ht="27" customHeight="1">
      <c r="A60" s="597" t="s">
        <v>518</v>
      </c>
      <c r="B60" s="1965" t="s">
        <v>1059</v>
      </c>
      <c r="C60" s="1963">
        <v>3</v>
      </c>
      <c r="D60" s="1963">
        <v>1.5</v>
      </c>
      <c r="E60" s="1963">
        <v>1</v>
      </c>
      <c r="F60" s="1963">
        <v>1</v>
      </c>
      <c r="G60" s="1963">
        <v>7</v>
      </c>
      <c r="H60" s="1954">
        <f t="shared" si="28"/>
        <v>31.5</v>
      </c>
      <c r="I60" s="204">
        <f t="shared" si="29"/>
        <v>52.125</v>
      </c>
      <c r="J60" s="603">
        <v>74.25</v>
      </c>
      <c r="K60" s="603"/>
      <c r="L60" s="603"/>
      <c r="M60" s="1952"/>
    </row>
    <row r="61" spans="1:13" ht="27.75" customHeight="1">
      <c r="A61" s="593" t="s">
        <v>503</v>
      </c>
      <c r="B61" s="1965" t="s">
        <v>1060</v>
      </c>
      <c r="C61" s="1963">
        <v>3</v>
      </c>
      <c r="D61" s="1963">
        <v>1.5</v>
      </c>
      <c r="E61" s="1963">
        <v>1</v>
      </c>
      <c r="F61" s="1963">
        <v>1</v>
      </c>
      <c r="G61" s="1963">
        <v>7</v>
      </c>
      <c r="H61" s="1954">
        <f t="shared" si="28"/>
        <v>31.5</v>
      </c>
      <c r="I61" s="204">
        <f t="shared" si="29"/>
        <v>52.125</v>
      </c>
      <c r="J61" s="603">
        <v>74.25</v>
      </c>
      <c r="K61" s="603"/>
      <c r="L61" s="603"/>
      <c r="M61" s="1952"/>
    </row>
    <row r="62" spans="1:13" ht="29.25" customHeight="1">
      <c r="A62" s="597" t="s">
        <v>659</v>
      </c>
      <c r="B62" s="1874" t="s">
        <v>1061</v>
      </c>
      <c r="C62" s="1963">
        <v>3</v>
      </c>
      <c r="D62" s="1963">
        <v>1.5</v>
      </c>
      <c r="E62" s="1963">
        <v>1</v>
      </c>
      <c r="F62" s="1963">
        <v>1</v>
      </c>
      <c r="G62" s="1963">
        <v>7</v>
      </c>
      <c r="H62" s="1954">
        <f t="shared" si="28"/>
        <v>31.5</v>
      </c>
      <c r="I62" s="204">
        <f t="shared" si="29"/>
        <v>52.125</v>
      </c>
      <c r="J62" s="603">
        <v>74.25</v>
      </c>
      <c r="K62" s="603"/>
      <c r="L62" s="603"/>
      <c r="M62" s="1952"/>
    </row>
    <row r="63" spans="1:13" ht="26.25" customHeight="1">
      <c r="A63" s="593" t="s">
        <v>662</v>
      </c>
      <c r="B63" s="1874" t="s">
        <v>1062</v>
      </c>
      <c r="C63" s="1963">
        <v>3</v>
      </c>
      <c r="D63" s="1963">
        <v>1.5</v>
      </c>
      <c r="E63" s="1963">
        <v>1</v>
      </c>
      <c r="F63" s="1963">
        <v>1</v>
      </c>
      <c r="G63" s="1963">
        <v>7</v>
      </c>
      <c r="H63" s="1954">
        <f t="shared" si="28"/>
        <v>31.5</v>
      </c>
      <c r="I63" s="204">
        <f t="shared" si="29"/>
        <v>52.125</v>
      </c>
      <c r="J63" s="1966"/>
      <c r="K63" s="619">
        <f>I63</f>
        <v>52.125</v>
      </c>
      <c r="L63" s="603"/>
      <c r="M63" s="1952"/>
    </row>
    <row r="64" spans="1:13" ht="27" customHeight="1">
      <c r="A64" s="597" t="s">
        <v>664</v>
      </c>
      <c r="B64" s="1874" t="s">
        <v>1063</v>
      </c>
      <c r="C64" s="1963">
        <v>3</v>
      </c>
      <c r="D64" s="1963">
        <v>1.5</v>
      </c>
      <c r="E64" s="1963">
        <v>1</v>
      </c>
      <c r="F64" s="1963">
        <v>1</v>
      </c>
      <c r="G64" s="1963">
        <v>7</v>
      </c>
      <c r="H64" s="1954">
        <f t="shared" si="28"/>
        <v>31.5</v>
      </c>
      <c r="I64" s="204">
        <f t="shared" si="29"/>
        <v>52.125</v>
      </c>
      <c r="J64" s="619">
        <f>I64</f>
        <v>52.125</v>
      </c>
      <c r="K64" s="603"/>
      <c r="L64" s="603"/>
      <c r="M64" s="1952"/>
    </row>
    <row r="65" spans="1:13" ht="15.75" customHeight="1">
      <c r="A65" s="610" t="s">
        <v>265</v>
      </c>
      <c r="B65" s="611" t="s">
        <v>512</v>
      </c>
      <c r="C65" s="1963"/>
      <c r="D65" s="1963"/>
      <c r="E65" s="1963"/>
      <c r="F65" s="1963"/>
      <c r="G65" s="1963"/>
      <c r="H65" s="1954"/>
      <c r="I65" s="1945">
        <f t="shared" ref="I65:K65" si="30">SUM(I66:I67)</f>
        <v>490</v>
      </c>
      <c r="J65" s="585">
        <f t="shared" si="30"/>
        <v>350</v>
      </c>
      <c r="K65" s="585">
        <f t="shared" si="30"/>
        <v>140</v>
      </c>
      <c r="L65" s="596"/>
      <c r="M65" s="1952"/>
    </row>
    <row r="66" spans="1:13" ht="15.75" customHeight="1">
      <c r="A66" s="610"/>
      <c r="B66" s="620" t="s">
        <v>1064</v>
      </c>
      <c r="C66" s="1963"/>
      <c r="D66" s="1963"/>
      <c r="E66" s="1963"/>
      <c r="F66" s="1963"/>
      <c r="G66" s="1963">
        <v>7</v>
      </c>
      <c r="H66" s="1954">
        <f t="shared" ref="H66:H67" si="31">C66*D66*G66</f>
        <v>0</v>
      </c>
      <c r="I66" s="1955">
        <f t="shared" ref="I66:I67" si="32">G66*35</f>
        <v>245</v>
      </c>
      <c r="J66" s="603">
        <v>175</v>
      </c>
      <c r="K66" s="603">
        <v>70</v>
      </c>
      <c r="L66" s="603"/>
      <c r="M66" s="1952"/>
    </row>
    <row r="67" spans="1:13" ht="15.75" customHeight="1">
      <c r="A67" s="1967"/>
      <c r="B67" s="620" t="s">
        <v>1065</v>
      </c>
      <c r="C67" s="1963"/>
      <c r="D67" s="1963"/>
      <c r="E67" s="1963"/>
      <c r="F67" s="1963"/>
      <c r="G67" s="1963">
        <v>7</v>
      </c>
      <c r="H67" s="1954">
        <f t="shared" si="31"/>
        <v>0</v>
      </c>
      <c r="I67" s="1955">
        <f t="shared" si="32"/>
        <v>245</v>
      </c>
      <c r="J67" s="603">
        <v>175</v>
      </c>
      <c r="K67" s="603">
        <v>70</v>
      </c>
      <c r="L67" s="603"/>
      <c r="M67" s="1952"/>
    </row>
    <row r="68" spans="1:13" ht="15.75" customHeight="1">
      <c r="A68" s="1947">
        <v>3</v>
      </c>
      <c r="B68" s="1948" t="s">
        <v>584</v>
      </c>
      <c r="C68" s="1968">
        <f t="shared" ref="C68:L68" si="33">SUM(C69+C73+C75)</f>
        <v>12</v>
      </c>
      <c r="D68" s="1968">
        <f t="shared" si="33"/>
        <v>8</v>
      </c>
      <c r="E68" s="1968">
        <f t="shared" si="33"/>
        <v>4</v>
      </c>
      <c r="F68" s="1968">
        <f t="shared" si="33"/>
        <v>4</v>
      </c>
      <c r="G68" s="1968">
        <f t="shared" si="33"/>
        <v>9</v>
      </c>
      <c r="H68" s="1969">
        <f t="shared" si="33"/>
        <v>36</v>
      </c>
      <c r="I68" s="1970">
        <f t="shared" si="33"/>
        <v>596</v>
      </c>
      <c r="J68" s="1971">
        <f t="shared" si="33"/>
        <v>397</v>
      </c>
      <c r="K68" s="1971">
        <f t="shared" si="33"/>
        <v>139</v>
      </c>
      <c r="L68" s="1971">
        <f t="shared" si="33"/>
        <v>60</v>
      </c>
      <c r="M68" s="1959"/>
    </row>
    <row r="69" spans="1:13" ht="15.75" customHeight="1">
      <c r="A69" s="580" t="s">
        <v>263</v>
      </c>
      <c r="B69" s="581" t="s">
        <v>585</v>
      </c>
      <c r="C69" s="1963">
        <f t="shared" ref="C69:L69" si="34">SUM(C70:C72)</f>
        <v>9</v>
      </c>
      <c r="D69" s="1963">
        <f t="shared" si="34"/>
        <v>6</v>
      </c>
      <c r="E69" s="1963">
        <f t="shared" si="34"/>
        <v>3</v>
      </c>
      <c r="F69" s="1963">
        <f t="shared" si="34"/>
        <v>3</v>
      </c>
      <c r="G69" s="1963">
        <f t="shared" si="34"/>
        <v>3</v>
      </c>
      <c r="H69" s="1954">
        <f t="shared" si="34"/>
        <v>18</v>
      </c>
      <c r="I69" s="1955">
        <f t="shared" si="34"/>
        <v>297</v>
      </c>
      <c r="J69" s="1972">
        <f t="shared" si="34"/>
        <v>198</v>
      </c>
      <c r="K69" s="1972">
        <f t="shared" si="34"/>
        <v>99</v>
      </c>
      <c r="L69" s="1972">
        <f t="shared" si="34"/>
        <v>0</v>
      </c>
      <c r="M69" s="1952"/>
    </row>
    <row r="70" spans="1:13" ht="15.75" customHeight="1">
      <c r="A70" s="593" t="s">
        <v>479</v>
      </c>
      <c r="B70" s="607" t="s">
        <v>1066</v>
      </c>
      <c r="C70" s="1963">
        <v>3</v>
      </c>
      <c r="D70" s="1963">
        <v>2</v>
      </c>
      <c r="E70" s="1963">
        <v>1</v>
      </c>
      <c r="F70" s="1963">
        <v>1</v>
      </c>
      <c r="G70" s="1963">
        <v>1</v>
      </c>
      <c r="H70" s="1954">
        <f t="shared" ref="H70:H72" si="35">C70*D70*G70</f>
        <v>6</v>
      </c>
      <c r="I70" s="1955">
        <f t="shared" ref="I70:I72" si="36">C70*E70*F70*16.5*2</f>
        <v>99</v>
      </c>
      <c r="J70" s="603">
        <v>99</v>
      </c>
      <c r="K70" s="603"/>
      <c r="L70" s="603"/>
      <c r="M70" s="1952"/>
    </row>
    <row r="71" spans="1:13" ht="15.75" customHeight="1">
      <c r="A71" s="597" t="s">
        <v>481</v>
      </c>
      <c r="B71" s="607" t="s">
        <v>1067</v>
      </c>
      <c r="C71" s="1963">
        <v>3</v>
      </c>
      <c r="D71" s="1963">
        <v>2</v>
      </c>
      <c r="E71" s="1963">
        <v>1</v>
      </c>
      <c r="F71" s="1963">
        <v>1</v>
      </c>
      <c r="G71" s="1963">
        <v>1</v>
      </c>
      <c r="H71" s="1954">
        <f t="shared" si="35"/>
        <v>6</v>
      </c>
      <c r="I71" s="1955">
        <f t="shared" si="36"/>
        <v>99</v>
      </c>
      <c r="J71" s="603">
        <v>99</v>
      </c>
      <c r="K71" s="603"/>
      <c r="L71" s="603"/>
      <c r="M71" s="1952"/>
    </row>
    <row r="72" spans="1:13" ht="15.75" customHeight="1">
      <c r="A72" s="610" t="s">
        <v>483</v>
      </c>
      <c r="B72" s="607" t="s">
        <v>1068</v>
      </c>
      <c r="C72" s="1963">
        <v>3</v>
      </c>
      <c r="D72" s="1963">
        <v>2</v>
      </c>
      <c r="E72" s="1963">
        <v>1</v>
      </c>
      <c r="F72" s="1963">
        <v>1</v>
      </c>
      <c r="G72" s="1963">
        <v>1</v>
      </c>
      <c r="H72" s="1954">
        <f t="shared" si="35"/>
        <v>6</v>
      </c>
      <c r="I72" s="1955">
        <f t="shared" si="36"/>
        <v>99</v>
      </c>
      <c r="J72" s="603"/>
      <c r="K72" s="603">
        <v>99</v>
      </c>
      <c r="L72" s="603"/>
      <c r="M72" s="1952"/>
    </row>
    <row r="73" spans="1:13" ht="15.75" customHeight="1">
      <c r="A73" s="1973" t="s">
        <v>265</v>
      </c>
      <c r="B73" s="611" t="s">
        <v>589</v>
      </c>
      <c r="C73" s="1960">
        <f t="shared" ref="C73:L73" si="37">C74</f>
        <v>3</v>
      </c>
      <c r="D73" s="1960">
        <f t="shared" si="37"/>
        <v>2</v>
      </c>
      <c r="E73" s="1960">
        <f t="shared" si="37"/>
        <v>1</v>
      </c>
      <c r="F73" s="1960">
        <f t="shared" si="37"/>
        <v>1</v>
      </c>
      <c r="G73" s="1960">
        <f t="shared" si="37"/>
        <v>3</v>
      </c>
      <c r="H73" s="1961">
        <f t="shared" si="37"/>
        <v>18</v>
      </c>
      <c r="I73" s="1945">
        <f t="shared" si="37"/>
        <v>99</v>
      </c>
      <c r="J73" s="1962">
        <f t="shared" si="37"/>
        <v>99</v>
      </c>
      <c r="K73" s="1962">
        <f t="shared" si="37"/>
        <v>0</v>
      </c>
      <c r="L73" s="1962">
        <f t="shared" si="37"/>
        <v>0</v>
      </c>
      <c r="M73" s="1952"/>
    </row>
    <row r="74" spans="1:13" ht="15.75" customHeight="1">
      <c r="A74" s="1967"/>
      <c r="B74" s="612" t="s">
        <v>1069</v>
      </c>
      <c r="C74" s="1963">
        <v>3</v>
      </c>
      <c r="D74" s="1963">
        <v>2</v>
      </c>
      <c r="E74" s="1963">
        <v>1</v>
      </c>
      <c r="F74" s="1963">
        <v>1</v>
      </c>
      <c r="G74" s="1963">
        <v>3</v>
      </c>
      <c r="H74" s="1954">
        <f>C74*D74*G74</f>
        <v>18</v>
      </c>
      <c r="I74" s="1955">
        <f>C74*E74*F74*16.5*2</f>
        <v>99</v>
      </c>
      <c r="J74" s="603">
        <v>99</v>
      </c>
      <c r="K74" s="603">
        <v>0</v>
      </c>
      <c r="L74" s="603"/>
      <c r="M74" s="1952"/>
    </row>
    <row r="75" spans="1:13" ht="16.5" customHeight="1">
      <c r="A75" s="1973" t="s">
        <v>267</v>
      </c>
      <c r="B75" s="611" t="s">
        <v>590</v>
      </c>
      <c r="C75" s="1960">
        <f t="shared" ref="C75:L75" si="38">SUM(C76:C77)</f>
        <v>0</v>
      </c>
      <c r="D75" s="1960">
        <f t="shared" si="38"/>
        <v>0</v>
      </c>
      <c r="E75" s="1960">
        <f t="shared" si="38"/>
        <v>0</v>
      </c>
      <c r="F75" s="1960">
        <f t="shared" si="38"/>
        <v>0</v>
      </c>
      <c r="G75" s="1960">
        <f t="shared" si="38"/>
        <v>3</v>
      </c>
      <c r="H75" s="1961">
        <f t="shared" si="38"/>
        <v>0</v>
      </c>
      <c r="I75" s="1962">
        <f t="shared" si="38"/>
        <v>200</v>
      </c>
      <c r="J75" s="1962">
        <f t="shared" si="38"/>
        <v>100</v>
      </c>
      <c r="K75" s="1962">
        <f t="shared" si="38"/>
        <v>40</v>
      </c>
      <c r="L75" s="1962">
        <f t="shared" si="38"/>
        <v>60</v>
      </c>
      <c r="M75" s="1952"/>
    </row>
    <row r="76" spans="1:13" ht="15.75" customHeight="1">
      <c r="A76" s="1967"/>
      <c r="B76" s="612" t="s">
        <v>1070</v>
      </c>
      <c r="C76" s="1963"/>
      <c r="D76" s="1963"/>
      <c r="E76" s="1963"/>
      <c r="F76" s="1963"/>
      <c r="G76" s="1963">
        <v>2</v>
      </c>
      <c r="H76" s="1954">
        <f t="shared" ref="H76:H77" si="39">C76*D76*G76</f>
        <v>0</v>
      </c>
      <c r="I76" s="621">
        <v>100</v>
      </c>
      <c r="J76" s="622">
        <v>40</v>
      </c>
      <c r="K76" s="622"/>
      <c r="L76" s="622">
        <v>60</v>
      </c>
      <c r="M76" s="1952"/>
    </row>
    <row r="77" spans="1:13" ht="15.75" customHeight="1">
      <c r="A77" s="1967"/>
      <c r="B77" s="612" t="s">
        <v>1071</v>
      </c>
      <c r="C77" s="1963"/>
      <c r="D77" s="1963"/>
      <c r="E77" s="1963"/>
      <c r="F77" s="1963"/>
      <c r="G77" s="1963">
        <v>1</v>
      </c>
      <c r="H77" s="1954">
        <f t="shared" si="39"/>
        <v>0</v>
      </c>
      <c r="I77" s="623">
        <v>100</v>
      </c>
      <c r="J77" s="624">
        <v>60</v>
      </c>
      <c r="K77" s="624">
        <v>40</v>
      </c>
      <c r="L77" s="624"/>
      <c r="M77" s="1952"/>
    </row>
    <row r="78" spans="1:13" ht="36" customHeight="1">
      <c r="A78" s="1942" t="s">
        <v>284</v>
      </c>
      <c r="B78" s="1974" t="s">
        <v>514</v>
      </c>
      <c r="C78" s="625">
        <f t="shared" ref="C78:G78" si="40">C79+C103</f>
        <v>67</v>
      </c>
      <c r="D78" s="625">
        <f t="shared" si="40"/>
        <v>15</v>
      </c>
      <c r="E78" s="625">
        <f t="shared" si="40"/>
        <v>15</v>
      </c>
      <c r="F78" s="625">
        <f t="shared" si="40"/>
        <v>15</v>
      </c>
      <c r="G78" s="625">
        <f t="shared" si="40"/>
        <v>300</v>
      </c>
      <c r="H78" s="626">
        <v>1340</v>
      </c>
      <c r="I78" s="627">
        <f t="shared" ref="I78:L78" si="41">I79+I103</f>
        <v>772.75</v>
      </c>
      <c r="J78" s="627">
        <f t="shared" si="41"/>
        <v>516.25</v>
      </c>
      <c r="K78" s="625">
        <f t="shared" si="41"/>
        <v>0</v>
      </c>
      <c r="L78" s="625">
        <f t="shared" si="41"/>
        <v>0</v>
      </c>
      <c r="M78" s="1952"/>
    </row>
    <row r="79" spans="1:13" ht="15.75" customHeight="1">
      <c r="A79" s="1942">
        <v>1</v>
      </c>
      <c r="B79" s="628" t="s">
        <v>1072</v>
      </c>
      <c r="C79" s="629">
        <v>67</v>
      </c>
      <c r="D79" s="629">
        <v>15</v>
      </c>
      <c r="E79" s="629">
        <f t="shared" ref="E79:J79" si="42">E80+E93</f>
        <v>15</v>
      </c>
      <c r="F79" s="629">
        <f t="shared" si="42"/>
        <v>15</v>
      </c>
      <c r="G79" s="629">
        <f t="shared" si="42"/>
        <v>300</v>
      </c>
      <c r="H79" s="618">
        <f t="shared" si="42"/>
        <v>1340</v>
      </c>
      <c r="I79" s="619">
        <f t="shared" si="42"/>
        <v>772.75</v>
      </c>
      <c r="J79" s="619">
        <f t="shared" si="42"/>
        <v>516.25</v>
      </c>
      <c r="K79" s="630">
        <v>0</v>
      </c>
      <c r="L79" s="630">
        <f>L80+L93</f>
        <v>0</v>
      </c>
      <c r="M79" s="1952"/>
    </row>
    <row r="80" spans="1:13" ht="15.75" customHeight="1">
      <c r="A80" s="1942" t="s">
        <v>263</v>
      </c>
      <c r="B80" s="581" t="s">
        <v>592</v>
      </c>
      <c r="C80" s="582">
        <v>67</v>
      </c>
      <c r="D80" s="582">
        <v>15</v>
      </c>
      <c r="E80" s="582">
        <v>15</v>
      </c>
      <c r="F80" s="582">
        <v>15</v>
      </c>
      <c r="G80" s="582">
        <v>300</v>
      </c>
      <c r="H80" s="585">
        <v>1340</v>
      </c>
      <c r="I80" s="584">
        <v>772.75</v>
      </c>
      <c r="J80" s="584">
        <v>516.25</v>
      </c>
      <c r="K80" s="585">
        <v>0</v>
      </c>
      <c r="L80" s="585">
        <f>SUM(L82:L92)</f>
        <v>0</v>
      </c>
      <c r="M80" s="1952"/>
    </row>
    <row r="81" spans="1:13" ht="15.75" customHeight="1">
      <c r="A81" s="1967"/>
      <c r="B81" s="581" t="s">
        <v>1073</v>
      </c>
      <c r="C81" s="1945">
        <f t="shared" ref="C81:L81" si="43">SUM(C82:C86)</f>
        <v>23</v>
      </c>
      <c r="D81" s="1945">
        <f t="shared" si="43"/>
        <v>5</v>
      </c>
      <c r="E81" s="1945">
        <f t="shared" si="43"/>
        <v>5</v>
      </c>
      <c r="F81" s="1945">
        <f t="shared" si="43"/>
        <v>5</v>
      </c>
      <c r="G81" s="1945">
        <f t="shared" si="43"/>
        <v>100</v>
      </c>
      <c r="H81" s="1945">
        <f t="shared" si="43"/>
        <v>460</v>
      </c>
      <c r="I81" s="1945">
        <f t="shared" si="43"/>
        <v>259.75</v>
      </c>
      <c r="J81" s="1945">
        <f t="shared" si="43"/>
        <v>259.75</v>
      </c>
      <c r="K81" s="1945">
        <f t="shared" si="43"/>
        <v>0</v>
      </c>
      <c r="L81" s="1945">
        <f t="shared" si="43"/>
        <v>0</v>
      </c>
      <c r="M81" s="1952"/>
    </row>
    <row r="82" spans="1:13" ht="15.75" customHeight="1">
      <c r="A82" s="631" t="s">
        <v>479</v>
      </c>
      <c r="B82" s="607" t="s">
        <v>1074</v>
      </c>
      <c r="C82" s="629">
        <v>5</v>
      </c>
      <c r="D82" s="629">
        <v>1</v>
      </c>
      <c r="E82" s="629">
        <v>1</v>
      </c>
      <c r="F82" s="629">
        <v>1</v>
      </c>
      <c r="G82" s="629">
        <v>20</v>
      </c>
      <c r="H82" s="1975">
        <v>100</v>
      </c>
      <c r="I82" s="1975">
        <v>56.25</v>
      </c>
      <c r="J82" s="632">
        <v>56.25</v>
      </c>
      <c r="K82" s="603"/>
      <c r="L82" s="603"/>
      <c r="M82" s="1952"/>
    </row>
    <row r="83" spans="1:13" ht="15.75" customHeight="1">
      <c r="A83" s="633" t="s">
        <v>481</v>
      </c>
      <c r="B83" s="607" t="s">
        <v>1075</v>
      </c>
      <c r="C83" s="629">
        <v>5</v>
      </c>
      <c r="D83" s="629">
        <v>1</v>
      </c>
      <c r="E83" s="629">
        <v>1</v>
      </c>
      <c r="F83" s="629">
        <v>1</v>
      </c>
      <c r="G83" s="629">
        <v>20</v>
      </c>
      <c r="H83" s="1975">
        <v>100</v>
      </c>
      <c r="I83" s="1975">
        <v>56.25</v>
      </c>
      <c r="J83" s="632">
        <v>56.25</v>
      </c>
      <c r="K83" s="603"/>
      <c r="L83" s="603"/>
      <c r="M83" s="1952"/>
    </row>
    <row r="84" spans="1:13" ht="15.75" customHeight="1">
      <c r="A84" s="631" t="s">
        <v>483</v>
      </c>
      <c r="B84" s="607" t="s">
        <v>1076</v>
      </c>
      <c r="C84" s="629">
        <v>5</v>
      </c>
      <c r="D84" s="629">
        <v>1</v>
      </c>
      <c r="E84" s="629">
        <v>1</v>
      </c>
      <c r="F84" s="629">
        <v>1</v>
      </c>
      <c r="G84" s="629">
        <v>20</v>
      </c>
      <c r="H84" s="1975">
        <v>100</v>
      </c>
      <c r="I84" s="1975">
        <v>56.25</v>
      </c>
      <c r="J84" s="632">
        <v>56.25</v>
      </c>
      <c r="K84" s="603"/>
      <c r="L84" s="603"/>
      <c r="M84" s="1952"/>
    </row>
    <row r="85" spans="1:13" ht="15.75" customHeight="1">
      <c r="A85" s="633" t="s">
        <v>484</v>
      </c>
      <c r="B85" s="607" t="s">
        <v>1077</v>
      </c>
      <c r="C85" s="629">
        <v>5</v>
      </c>
      <c r="D85" s="629">
        <v>1</v>
      </c>
      <c r="E85" s="629">
        <v>1</v>
      </c>
      <c r="F85" s="629">
        <v>1</v>
      </c>
      <c r="G85" s="629">
        <v>20</v>
      </c>
      <c r="H85" s="1975">
        <v>100</v>
      </c>
      <c r="I85" s="1975">
        <v>56.25</v>
      </c>
      <c r="J85" s="632">
        <v>56.25</v>
      </c>
      <c r="K85" s="603">
        <v>0</v>
      </c>
      <c r="L85" s="603">
        <v>0</v>
      </c>
      <c r="M85" s="1952"/>
    </row>
    <row r="86" spans="1:13" ht="15.75" customHeight="1">
      <c r="A86" s="631" t="s">
        <v>485</v>
      </c>
      <c r="B86" s="607" t="s">
        <v>1078</v>
      </c>
      <c r="C86" s="629">
        <v>3</v>
      </c>
      <c r="D86" s="629">
        <v>1</v>
      </c>
      <c r="E86" s="629">
        <v>1</v>
      </c>
      <c r="F86" s="629">
        <v>1</v>
      </c>
      <c r="G86" s="629">
        <v>20</v>
      </c>
      <c r="H86" s="1975">
        <v>60</v>
      </c>
      <c r="I86" s="1975">
        <v>34.75</v>
      </c>
      <c r="J86" s="632">
        <v>34.75</v>
      </c>
      <c r="K86" s="603">
        <v>0</v>
      </c>
      <c r="L86" s="603">
        <v>0</v>
      </c>
      <c r="M86" s="1952"/>
    </row>
    <row r="87" spans="1:13" ht="15.75" customHeight="1">
      <c r="A87" s="633"/>
      <c r="B87" s="581" t="s">
        <v>1079</v>
      </c>
      <c r="C87" s="1945">
        <f t="shared" ref="C87:L87" si="44">SUM(C88:C92)</f>
        <v>22</v>
      </c>
      <c r="D87" s="1945">
        <f t="shared" si="44"/>
        <v>5</v>
      </c>
      <c r="E87" s="1945">
        <f t="shared" si="44"/>
        <v>5</v>
      </c>
      <c r="F87" s="1945">
        <f t="shared" si="44"/>
        <v>5</v>
      </c>
      <c r="G87" s="1945">
        <f t="shared" si="44"/>
        <v>100</v>
      </c>
      <c r="H87" s="1945">
        <f t="shared" si="44"/>
        <v>440</v>
      </c>
      <c r="I87" s="1945">
        <f t="shared" si="44"/>
        <v>256.5</v>
      </c>
      <c r="J87" s="1945">
        <f t="shared" si="44"/>
        <v>256.5</v>
      </c>
      <c r="K87" s="1945">
        <f t="shared" si="44"/>
        <v>0</v>
      </c>
      <c r="L87" s="1945">
        <f t="shared" si="44"/>
        <v>0</v>
      </c>
      <c r="M87" s="1952"/>
    </row>
    <row r="88" spans="1:13" ht="15.75" customHeight="1">
      <c r="A88" s="633" t="s">
        <v>486</v>
      </c>
      <c r="B88" s="607" t="s">
        <v>1080</v>
      </c>
      <c r="C88" s="629">
        <v>4</v>
      </c>
      <c r="D88" s="629">
        <v>1</v>
      </c>
      <c r="E88" s="629">
        <v>1</v>
      </c>
      <c r="F88" s="629">
        <v>1</v>
      </c>
      <c r="G88" s="629">
        <v>20</v>
      </c>
      <c r="H88" s="1975">
        <v>80</v>
      </c>
      <c r="I88" s="1975">
        <v>48</v>
      </c>
      <c r="J88" s="634">
        <v>48</v>
      </c>
      <c r="K88" s="603">
        <v>0</v>
      </c>
      <c r="L88" s="603">
        <v>0</v>
      </c>
      <c r="M88" s="1952"/>
    </row>
    <row r="89" spans="1:13" ht="15.75" customHeight="1">
      <c r="A89" s="631" t="s">
        <v>487</v>
      </c>
      <c r="B89" s="607" t="s">
        <v>1081</v>
      </c>
      <c r="C89" s="629">
        <v>5</v>
      </c>
      <c r="D89" s="629">
        <v>1</v>
      </c>
      <c r="E89" s="629">
        <v>1</v>
      </c>
      <c r="F89" s="629">
        <v>1</v>
      </c>
      <c r="G89" s="629">
        <v>20</v>
      </c>
      <c r="H89" s="1975">
        <v>100</v>
      </c>
      <c r="I89" s="1975">
        <v>56.25</v>
      </c>
      <c r="J89" s="634">
        <v>56.25</v>
      </c>
      <c r="K89" s="603">
        <v>0</v>
      </c>
      <c r="L89" s="603">
        <v>0</v>
      </c>
      <c r="M89" s="1952"/>
    </row>
    <row r="90" spans="1:13" ht="15.75" customHeight="1">
      <c r="A90" s="633" t="s">
        <v>488</v>
      </c>
      <c r="B90" s="607" t="s">
        <v>1082</v>
      </c>
      <c r="C90" s="629">
        <v>4</v>
      </c>
      <c r="D90" s="629">
        <v>1</v>
      </c>
      <c r="E90" s="629">
        <v>1</v>
      </c>
      <c r="F90" s="629">
        <v>1</v>
      </c>
      <c r="G90" s="629">
        <v>20</v>
      </c>
      <c r="H90" s="1975">
        <v>80</v>
      </c>
      <c r="I90" s="1975">
        <v>48</v>
      </c>
      <c r="J90" s="634">
        <v>48</v>
      </c>
      <c r="K90" s="603">
        <v>0</v>
      </c>
      <c r="L90" s="603">
        <v>0</v>
      </c>
      <c r="M90" s="1952"/>
    </row>
    <row r="91" spans="1:13" ht="15.75" customHeight="1">
      <c r="A91" s="631" t="s">
        <v>489</v>
      </c>
      <c r="B91" s="607" t="s">
        <v>1083</v>
      </c>
      <c r="C91" s="629">
        <v>5</v>
      </c>
      <c r="D91" s="629">
        <v>1</v>
      </c>
      <c r="E91" s="629">
        <v>1</v>
      </c>
      <c r="F91" s="629">
        <v>1</v>
      </c>
      <c r="G91" s="629">
        <v>20</v>
      </c>
      <c r="H91" s="1975">
        <v>100</v>
      </c>
      <c r="I91" s="1975">
        <v>56.25</v>
      </c>
      <c r="J91" s="634">
        <v>56.25</v>
      </c>
      <c r="K91" s="603">
        <v>0</v>
      </c>
      <c r="L91" s="603">
        <v>0</v>
      </c>
      <c r="M91" s="1952"/>
    </row>
    <row r="92" spans="1:13" ht="15.75" customHeight="1">
      <c r="A92" s="633" t="s">
        <v>490</v>
      </c>
      <c r="B92" s="607" t="s">
        <v>1084</v>
      </c>
      <c r="C92" s="629">
        <v>4</v>
      </c>
      <c r="D92" s="629">
        <v>1</v>
      </c>
      <c r="E92" s="629">
        <v>1</v>
      </c>
      <c r="F92" s="629">
        <v>1</v>
      </c>
      <c r="G92" s="629">
        <v>20</v>
      </c>
      <c r="H92" s="1975">
        <v>80</v>
      </c>
      <c r="I92" s="1975">
        <v>48</v>
      </c>
      <c r="J92" s="634">
        <v>48</v>
      </c>
      <c r="K92" s="603">
        <v>0</v>
      </c>
      <c r="L92" s="603">
        <v>0</v>
      </c>
      <c r="M92" s="1952"/>
    </row>
    <row r="93" spans="1:13" ht="15.75" customHeight="1">
      <c r="A93" s="610" t="s">
        <v>265</v>
      </c>
      <c r="B93" s="611" t="s">
        <v>593</v>
      </c>
      <c r="C93" s="629">
        <v>0</v>
      </c>
      <c r="D93" s="629">
        <v>0</v>
      </c>
      <c r="E93" s="629">
        <v>0</v>
      </c>
      <c r="F93" s="629">
        <v>0</v>
      </c>
      <c r="G93" s="629">
        <v>0</v>
      </c>
      <c r="H93" s="1954">
        <f t="shared" ref="H93:H105" si="45">C93*D93*G93</f>
        <v>0</v>
      </c>
      <c r="I93" s="1955">
        <f t="shared" ref="I93:I105" si="46">C93*E93*F93*16.5</f>
        <v>0</v>
      </c>
      <c r="J93" s="630">
        <v>0</v>
      </c>
      <c r="K93" s="630">
        <v>0</v>
      </c>
      <c r="L93" s="630">
        <v>0</v>
      </c>
      <c r="M93" s="1952"/>
    </row>
    <row r="94" spans="1:13" ht="15.75" customHeight="1">
      <c r="A94" s="606" t="s">
        <v>557</v>
      </c>
      <c r="B94" s="612"/>
      <c r="C94" s="582"/>
      <c r="D94" s="582"/>
      <c r="E94" s="582"/>
      <c r="F94" s="582"/>
      <c r="G94" s="582"/>
      <c r="H94" s="1954">
        <f t="shared" si="45"/>
        <v>0</v>
      </c>
      <c r="I94" s="1955">
        <f t="shared" si="46"/>
        <v>0</v>
      </c>
      <c r="J94" s="603"/>
      <c r="K94" s="603"/>
      <c r="L94" s="603"/>
      <c r="M94" s="1952"/>
    </row>
    <row r="95" spans="1:13" ht="15.75" hidden="1" customHeight="1">
      <c r="A95" s="1942">
        <v>2</v>
      </c>
      <c r="B95" s="1943" t="s">
        <v>519</v>
      </c>
      <c r="C95" s="629"/>
      <c r="D95" s="629"/>
      <c r="E95" s="629"/>
      <c r="F95" s="629"/>
      <c r="G95" s="629"/>
      <c r="H95" s="1954">
        <f t="shared" si="45"/>
        <v>0</v>
      </c>
      <c r="I95" s="1955">
        <f t="shared" si="46"/>
        <v>0</v>
      </c>
      <c r="J95" s="603"/>
      <c r="K95" s="603"/>
      <c r="L95" s="603"/>
      <c r="M95" s="1952"/>
    </row>
    <row r="96" spans="1:13" ht="15.75" hidden="1" customHeight="1">
      <c r="A96" s="1942" t="s">
        <v>263</v>
      </c>
      <c r="B96" s="581" t="s">
        <v>595</v>
      </c>
      <c r="C96" s="629"/>
      <c r="D96" s="629"/>
      <c r="E96" s="629"/>
      <c r="F96" s="629"/>
      <c r="G96" s="629"/>
      <c r="H96" s="1954">
        <f t="shared" si="45"/>
        <v>0</v>
      </c>
      <c r="I96" s="1955">
        <f t="shared" si="46"/>
        <v>0</v>
      </c>
      <c r="J96" s="603"/>
      <c r="K96" s="603"/>
      <c r="L96" s="603"/>
      <c r="M96" s="1952"/>
    </row>
    <row r="97" spans="1:13" ht="15.75" hidden="1" customHeight="1">
      <c r="A97" s="631" t="s">
        <v>479</v>
      </c>
      <c r="B97" s="607" t="s">
        <v>596</v>
      </c>
      <c r="C97" s="629"/>
      <c r="D97" s="629"/>
      <c r="E97" s="629"/>
      <c r="F97" s="629"/>
      <c r="G97" s="629"/>
      <c r="H97" s="1954">
        <f t="shared" si="45"/>
        <v>0</v>
      </c>
      <c r="I97" s="1955">
        <f t="shared" si="46"/>
        <v>0</v>
      </c>
      <c r="J97" s="603"/>
      <c r="K97" s="603"/>
      <c r="L97" s="603"/>
      <c r="M97" s="1952"/>
    </row>
    <row r="98" spans="1:13" ht="15.75" hidden="1" customHeight="1">
      <c r="A98" s="633" t="s">
        <v>481</v>
      </c>
      <c r="B98" s="607" t="s">
        <v>596</v>
      </c>
      <c r="C98" s="629"/>
      <c r="D98" s="629"/>
      <c r="E98" s="629"/>
      <c r="F98" s="629"/>
      <c r="G98" s="629"/>
      <c r="H98" s="1954">
        <f t="shared" si="45"/>
        <v>0</v>
      </c>
      <c r="I98" s="1955">
        <f t="shared" si="46"/>
        <v>0</v>
      </c>
      <c r="J98" s="603"/>
      <c r="K98" s="603"/>
      <c r="L98" s="603"/>
      <c r="M98" s="1952"/>
    </row>
    <row r="99" spans="1:13" ht="15.75" hidden="1" customHeight="1">
      <c r="A99" s="606" t="s">
        <v>483</v>
      </c>
      <c r="B99" s="607" t="s">
        <v>596</v>
      </c>
      <c r="C99" s="629"/>
      <c r="D99" s="629"/>
      <c r="E99" s="629"/>
      <c r="F99" s="629"/>
      <c r="G99" s="629"/>
      <c r="H99" s="1954">
        <f t="shared" si="45"/>
        <v>0</v>
      </c>
      <c r="I99" s="1955">
        <f t="shared" si="46"/>
        <v>0</v>
      </c>
      <c r="J99" s="603"/>
      <c r="K99" s="603"/>
      <c r="L99" s="603"/>
      <c r="M99" s="1952"/>
    </row>
    <row r="100" spans="1:13" ht="15.75" hidden="1" customHeight="1">
      <c r="A100" s="1967" t="s">
        <v>484</v>
      </c>
      <c r="B100" s="607" t="s">
        <v>596</v>
      </c>
      <c r="C100" s="629"/>
      <c r="D100" s="629"/>
      <c r="E100" s="629"/>
      <c r="F100" s="629"/>
      <c r="G100" s="629"/>
      <c r="H100" s="1954">
        <f t="shared" si="45"/>
        <v>0</v>
      </c>
      <c r="I100" s="1955">
        <f t="shared" si="46"/>
        <v>0</v>
      </c>
      <c r="J100" s="603"/>
      <c r="K100" s="603"/>
      <c r="L100" s="603"/>
      <c r="M100" s="1952"/>
    </row>
    <row r="101" spans="1:13" ht="15.75" hidden="1" customHeight="1">
      <c r="A101" s="633" t="s">
        <v>485</v>
      </c>
      <c r="B101" s="607" t="s">
        <v>596</v>
      </c>
      <c r="C101" s="629"/>
      <c r="D101" s="629"/>
      <c r="E101" s="629"/>
      <c r="F101" s="629"/>
      <c r="G101" s="629"/>
      <c r="H101" s="1954">
        <f t="shared" si="45"/>
        <v>0</v>
      </c>
      <c r="I101" s="1955">
        <f t="shared" si="46"/>
        <v>0</v>
      </c>
      <c r="J101" s="603"/>
      <c r="K101" s="603"/>
      <c r="L101" s="603"/>
      <c r="M101" s="1952"/>
    </row>
    <row r="102" spans="1:13" ht="15.75" hidden="1" customHeight="1">
      <c r="A102" s="635" t="s">
        <v>265</v>
      </c>
      <c r="B102" s="612"/>
      <c r="C102" s="629"/>
      <c r="D102" s="629"/>
      <c r="E102" s="629"/>
      <c r="F102" s="629"/>
      <c r="G102" s="629"/>
      <c r="H102" s="1954">
        <f t="shared" si="45"/>
        <v>0</v>
      </c>
      <c r="I102" s="1955">
        <f t="shared" si="46"/>
        <v>0</v>
      </c>
      <c r="J102" s="603"/>
      <c r="K102" s="603"/>
      <c r="L102" s="603"/>
      <c r="M102" s="1952"/>
    </row>
    <row r="103" spans="1:13" ht="26.25" customHeight="1">
      <c r="A103" s="576" t="s">
        <v>206</v>
      </c>
      <c r="B103" s="577" t="s">
        <v>597</v>
      </c>
      <c r="C103" s="629">
        <v>0</v>
      </c>
      <c r="D103" s="629">
        <v>0</v>
      </c>
      <c r="E103" s="629">
        <v>0</v>
      </c>
      <c r="F103" s="629">
        <v>0</v>
      </c>
      <c r="G103" s="629">
        <v>0</v>
      </c>
      <c r="H103" s="1954">
        <f t="shared" si="45"/>
        <v>0</v>
      </c>
      <c r="I103" s="1955">
        <f t="shared" si="46"/>
        <v>0</v>
      </c>
      <c r="J103" s="630">
        <v>0</v>
      </c>
      <c r="K103" s="630">
        <v>0</v>
      </c>
      <c r="L103" s="630">
        <v>0</v>
      </c>
      <c r="M103" s="1952"/>
    </row>
    <row r="104" spans="1:13" ht="15.75" customHeight="1">
      <c r="A104" s="636"/>
      <c r="B104" s="637"/>
      <c r="C104" s="599"/>
      <c r="D104" s="599"/>
      <c r="E104" s="599"/>
      <c r="F104" s="599"/>
      <c r="G104" s="599"/>
      <c r="H104" s="1954">
        <f t="shared" si="45"/>
        <v>0</v>
      </c>
      <c r="I104" s="1955">
        <f t="shared" si="46"/>
        <v>0</v>
      </c>
      <c r="J104" s="638"/>
      <c r="K104" s="638"/>
      <c r="L104" s="638"/>
      <c r="M104" s="1952"/>
    </row>
    <row r="105" spans="1:13" ht="15.75" customHeight="1">
      <c r="A105" s="636"/>
      <c r="B105" s="637"/>
      <c r="C105" s="599"/>
      <c r="D105" s="599"/>
      <c r="E105" s="599"/>
      <c r="F105" s="599"/>
      <c r="G105" s="599"/>
      <c r="H105" s="1954">
        <f t="shared" si="45"/>
        <v>0</v>
      </c>
      <c r="I105" s="1955">
        <f t="shared" si="46"/>
        <v>0</v>
      </c>
      <c r="J105" s="638"/>
      <c r="K105" s="638"/>
      <c r="L105" s="638"/>
      <c r="M105" s="1952"/>
    </row>
    <row r="106" spans="1:13" ht="20.25" customHeight="1">
      <c r="A106" s="639" t="s">
        <v>931</v>
      </c>
      <c r="B106" s="640" t="s">
        <v>932</v>
      </c>
      <c r="C106" s="307">
        <f t="shared" ref="C106:H106" si="47">SUM(C107:C113)</f>
        <v>228</v>
      </c>
      <c r="D106" s="307">
        <f t="shared" si="47"/>
        <v>77.2</v>
      </c>
      <c r="E106" s="307">
        <f t="shared" si="47"/>
        <v>69</v>
      </c>
      <c r="F106" s="307">
        <f t="shared" si="47"/>
        <v>63</v>
      </c>
      <c r="G106" s="307">
        <f t="shared" si="47"/>
        <v>1487</v>
      </c>
      <c r="H106" s="307">
        <f t="shared" si="47"/>
        <v>5637.8</v>
      </c>
      <c r="I106" s="307">
        <f t="shared" ref="I106:J106" si="48">SUM(I107:I114)</f>
        <v>5405.6</v>
      </c>
      <c r="J106" s="307">
        <f t="shared" si="48"/>
        <v>4602.7250000000004</v>
      </c>
      <c r="K106" s="307">
        <f t="shared" ref="K106:L106" si="49">SUM(K107:K113)</f>
        <v>587</v>
      </c>
      <c r="L106" s="307">
        <f t="shared" si="49"/>
        <v>60</v>
      </c>
      <c r="M106" s="1976"/>
    </row>
    <row r="107" spans="1:13" ht="31.5" customHeight="1">
      <c r="A107" s="308" t="s">
        <v>258</v>
      </c>
      <c r="B107" s="308" t="s">
        <v>933</v>
      </c>
      <c r="C107" s="641">
        <f t="shared" ref="C107:L107" si="50">C12</f>
        <v>95</v>
      </c>
      <c r="D107" s="642">
        <f t="shared" si="50"/>
        <v>27.200000000000003</v>
      </c>
      <c r="E107" s="641">
        <f t="shared" si="50"/>
        <v>32</v>
      </c>
      <c r="F107" s="641">
        <f t="shared" si="50"/>
        <v>26</v>
      </c>
      <c r="G107" s="641">
        <f t="shared" si="50"/>
        <v>996</v>
      </c>
      <c r="H107" s="641">
        <f t="shared" si="50"/>
        <v>3442.8</v>
      </c>
      <c r="I107" s="641">
        <f t="shared" si="50"/>
        <v>1948.6</v>
      </c>
      <c r="J107" s="641">
        <f t="shared" si="50"/>
        <v>1809.1</v>
      </c>
      <c r="K107" s="641">
        <f t="shared" si="50"/>
        <v>129.5</v>
      </c>
      <c r="L107" s="641">
        <f t="shared" si="50"/>
        <v>0</v>
      </c>
      <c r="M107" s="1977"/>
    </row>
    <row r="108" spans="1:13" ht="31.5" customHeight="1">
      <c r="A108" s="639" t="s">
        <v>284</v>
      </c>
      <c r="B108" s="308" t="s">
        <v>600</v>
      </c>
      <c r="C108" s="643">
        <f t="shared" ref="C108:L108" si="51">C43</f>
        <v>54</v>
      </c>
      <c r="D108" s="643">
        <f t="shared" si="51"/>
        <v>27</v>
      </c>
      <c r="E108" s="643">
        <f t="shared" si="51"/>
        <v>18</v>
      </c>
      <c r="F108" s="643">
        <f t="shared" si="51"/>
        <v>18</v>
      </c>
      <c r="G108" s="644">
        <f t="shared" si="51"/>
        <v>182</v>
      </c>
      <c r="H108" s="644">
        <f t="shared" si="51"/>
        <v>819</v>
      </c>
      <c r="I108" s="641">
        <f t="shared" si="51"/>
        <v>1428.25</v>
      </c>
      <c r="J108" s="644">
        <f t="shared" si="51"/>
        <v>1220.375</v>
      </c>
      <c r="K108" s="644">
        <f t="shared" si="51"/>
        <v>318.5</v>
      </c>
      <c r="L108" s="644">
        <f t="shared" si="51"/>
        <v>0</v>
      </c>
      <c r="M108" s="1977"/>
    </row>
    <row r="109" spans="1:13" ht="20.25" customHeight="1">
      <c r="A109" s="639" t="s">
        <v>345</v>
      </c>
      <c r="B109" s="640" t="s">
        <v>584</v>
      </c>
      <c r="C109" s="643">
        <f t="shared" ref="C109:L109" si="52">C68</f>
        <v>12</v>
      </c>
      <c r="D109" s="643">
        <f t="shared" si="52"/>
        <v>8</v>
      </c>
      <c r="E109" s="643">
        <f t="shared" si="52"/>
        <v>4</v>
      </c>
      <c r="F109" s="643">
        <f t="shared" si="52"/>
        <v>4</v>
      </c>
      <c r="G109" s="643">
        <f t="shared" si="52"/>
        <v>9</v>
      </c>
      <c r="H109" s="644">
        <f t="shared" si="52"/>
        <v>36</v>
      </c>
      <c r="I109" s="641">
        <f t="shared" si="52"/>
        <v>596</v>
      </c>
      <c r="J109" s="643">
        <f t="shared" si="52"/>
        <v>397</v>
      </c>
      <c r="K109" s="643">
        <f t="shared" si="52"/>
        <v>139</v>
      </c>
      <c r="L109" s="643">
        <f t="shared" si="52"/>
        <v>60</v>
      </c>
      <c r="M109" s="1977"/>
    </row>
    <row r="110" spans="1:13" ht="33.75" customHeight="1">
      <c r="A110" s="308"/>
      <c r="B110" s="308" t="s">
        <v>934</v>
      </c>
      <c r="C110" s="643">
        <f t="shared" ref="C110:L110" si="53">C78</f>
        <v>67</v>
      </c>
      <c r="D110" s="643">
        <f t="shared" si="53"/>
        <v>15</v>
      </c>
      <c r="E110" s="643">
        <f t="shared" si="53"/>
        <v>15</v>
      </c>
      <c r="F110" s="643">
        <f t="shared" si="53"/>
        <v>15</v>
      </c>
      <c r="G110" s="643">
        <f t="shared" si="53"/>
        <v>300</v>
      </c>
      <c r="H110" s="644">
        <f t="shared" si="53"/>
        <v>1340</v>
      </c>
      <c r="I110" s="641">
        <f t="shared" si="53"/>
        <v>772.75</v>
      </c>
      <c r="J110" s="641">
        <f t="shared" si="53"/>
        <v>516.25</v>
      </c>
      <c r="K110" s="643">
        <f t="shared" si="53"/>
        <v>0</v>
      </c>
      <c r="L110" s="643">
        <f t="shared" si="53"/>
        <v>0</v>
      </c>
      <c r="M110" s="1977"/>
    </row>
    <row r="111" spans="1:13" ht="20.25" hidden="1" customHeight="1">
      <c r="A111" s="308"/>
      <c r="B111" s="308" t="s">
        <v>935</v>
      </c>
      <c r="C111" s="643" t="s">
        <v>936</v>
      </c>
      <c r="D111" s="643"/>
      <c r="E111" s="643"/>
      <c r="F111" s="643"/>
      <c r="G111" s="643"/>
      <c r="H111" s="643"/>
      <c r="I111" s="643"/>
      <c r="J111" s="645"/>
      <c r="K111" s="645"/>
      <c r="L111" s="645"/>
      <c r="M111" s="1977"/>
    </row>
    <row r="112" spans="1:13" ht="20.25" customHeight="1">
      <c r="A112" s="646"/>
      <c r="B112" s="308" t="s">
        <v>602</v>
      </c>
      <c r="C112" s="643"/>
      <c r="D112" s="643"/>
      <c r="E112" s="643"/>
      <c r="F112" s="643"/>
      <c r="G112" s="643"/>
      <c r="H112" s="643"/>
      <c r="I112" s="643"/>
      <c r="J112" s="645"/>
      <c r="K112" s="645"/>
      <c r="L112" s="645"/>
      <c r="M112" s="1977"/>
    </row>
    <row r="113" spans="1:13" ht="20.25" customHeight="1">
      <c r="A113" s="646"/>
      <c r="B113" s="308" t="s">
        <v>603</v>
      </c>
      <c r="C113" s="643"/>
      <c r="D113" s="643"/>
      <c r="E113" s="643"/>
      <c r="F113" s="643"/>
      <c r="G113" s="643"/>
      <c r="H113" s="643"/>
      <c r="I113" s="643">
        <v>100</v>
      </c>
      <c r="J113" s="647">
        <v>100</v>
      </c>
      <c r="K113" s="647"/>
      <c r="L113" s="647"/>
      <c r="M113" s="1978" t="s">
        <v>1085</v>
      </c>
    </row>
    <row r="114" spans="1:13" ht="20.25" customHeight="1">
      <c r="A114" s="606"/>
      <c r="B114" s="648" t="s">
        <v>1086</v>
      </c>
      <c r="C114" s="1979"/>
      <c r="D114" s="1979"/>
      <c r="E114" s="1979"/>
      <c r="F114" s="1979"/>
      <c r="G114" s="1979"/>
      <c r="H114" s="1979"/>
      <c r="I114" s="1979">
        <v>560</v>
      </c>
      <c r="J114" s="1980">
        <v>560</v>
      </c>
      <c r="K114" s="1980"/>
      <c r="L114" s="1980"/>
      <c r="M114" s="1978" t="s">
        <v>1087</v>
      </c>
    </row>
    <row r="115" spans="1:13" ht="20.25" customHeight="1">
      <c r="A115" s="649"/>
      <c r="B115" s="650"/>
      <c r="C115" s="651"/>
      <c r="D115" s="651"/>
      <c r="E115" s="651"/>
      <c r="F115" s="651"/>
      <c r="G115" s="651"/>
      <c r="H115" s="651"/>
      <c r="I115" s="651"/>
      <c r="J115" s="652"/>
      <c r="K115" s="652"/>
      <c r="L115" s="652"/>
      <c r="M115" s="1977"/>
    </row>
    <row r="116" spans="1:13" ht="21" customHeight="1">
      <c r="A116" s="1872"/>
      <c r="B116" s="1872"/>
      <c r="C116" s="1934"/>
      <c r="D116" s="1934"/>
      <c r="E116" s="1934"/>
      <c r="F116" s="1934"/>
      <c r="G116" s="1934"/>
      <c r="H116" s="1934"/>
      <c r="I116" s="1934"/>
      <c r="J116" s="1874"/>
      <c r="K116" s="1874"/>
      <c r="L116" s="1874"/>
      <c r="M116" s="1936"/>
    </row>
    <row r="117" spans="1:13" ht="21" customHeight="1">
      <c r="A117" s="1872"/>
      <c r="B117" s="2847"/>
      <c r="C117" s="2796"/>
      <c r="D117" s="2796"/>
      <c r="E117" s="2796"/>
      <c r="F117" s="2796"/>
      <c r="G117" s="2796"/>
      <c r="H117" s="2796"/>
      <c r="I117" s="2796"/>
      <c r="J117" s="2796"/>
      <c r="K117" s="2796"/>
      <c r="L117" s="2796"/>
      <c r="M117" s="1936"/>
    </row>
    <row r="118" spans="1:13" ht="21" customHeight="1">
      <c r="A118" s="1872"/>
      <c r="B118" s="1872"/>
      <c r="C118" s="1934"/>
      <c r="D118" s="1934"/>
      <c r="E118" s="1934"/>
      <c r="F118" s="1934"/>
      <c r="G118" s="1934"/>
      <c r="H118" s="1934"/>
      <c r="I118" s="1934"/>
      <c r="J118" s="1874"/>
      <c r="K118" s="1874"/>
      <c r="L118" s="1874"/>
      <c r="M118" s="1936"/>
    </row>
    <row r="119" spans="1:13" ht="39.75" customHeight="1">
      <c r="A119" s="1872"/>
      <c r="B119" s="2848" t="s">
        <v>611</v>
      </c>
      <c r="C119" s="2796"/>
      <c r="D119" s="2796"/>
      <c r="E119" s="2796"/>
      <c r="F119" s="2796"/>
      <c r="G119" s="2796"/>
      <c r="H119" s="2796"/>
      <c r="I119" s="2796"/>
      <c r="J119" s="2796"/>
      <c r="K119" s="2796"/>
      <c r="L119" s="2796"/>
      <c r="M119" s="1936"/>
    </row>
    <row r="120" spans="1:13" ht="20.25" customHeight="1">
      <c r="A120" s="1872"/>
      <c r="B120" s="2849" t="s">
        <v>612</v>
      </c>
      <c r="C120" s="2796"/>
      <c r="D120" s="2796"/>
      <c r="E120" s="2796"/>
      <c r="F120" s="2796"/>
      <c r="G120" s="2796"/>
      <c r="H120" s="2796"/>
      <c r="I120" s="2796"/>
      <c r="J120" s="2796"/>
      <c r="K120" s="2796"/>
      <c r="L120" s="2796"/>
      <c r="M120" s="1936"/>
    </row>
    <row r="121" spans="1:13" ht="15" customHeight="1">
      <c r="A121" s="1872"/>
      <c r="B121" s="1981" t="s">
        <v>613</v>
      </c>
      <c r="C121" s="1982"/>
      <c r="D121" s="1982"/>
      <c r="E121" s="1982"/>
      <c r="F121" s="1982"/>
      <c r="G121" s="1982"/>
      <c r="H121" s="1982"/>
      <c r="I121" s="1982"/>
      <c r="J121" s="1983"/>
      <c r="K121" s="1983"/>
      <c r="L121" s="1983"/>
      <c r="M121" s="1936"/>
    </row>
    <row r="122" spans="1:13" ht="15.75" customHeight="1">
      <c r="A122" s="1872"/>
      <c r="B122" s="1981" t="s">
        <v>614</v>
      </c>
      <c r="C122" s="1934"/>
      <c r="D122" s="1934"/>
      <c r="E122" s="1934"/>
      <c r="F122" s="1934"/>
      <c r="G122" s="1934"/>
      <c r="H122" s="1934"/>
      <c r="I122" s="1934"/>
      <c r="J122" s="1874"/>
      <c r="K122" s="1874"/>
      <c r="L122" s="1874"/>
      <c r="M122" s="1936"/>
    </row>
    <row r="123" spans="1:13" ht="15.75" customHeight="1">
      <c r="A123" s="1872"/>
      <c r="B123" s="1981" t="s">
        <v>615</v>
      </c>
      <c r="C123" s="1934"/>
      <c r="D123" s="1934"/>
      <c r="E123" s="1934"/>
      <c r="F123" s="1934"/>
      <c r="G123" s="1934"/>
      <c r="H123" s="1934"/>
      <c r="I123" s="1934"/>
      <c r="J123" s="1874"/>
      <c r="K123" s="1874"/>
      <c r="L123" s="1874"/>
      <c r="M123" s="1936"/>
    </row>
    <row r="124" spans="1:13" ht="15.75" customHeight="1">
      <c r="A124" s="1872"/>
      <c r="B124" s="1981" t="s">
        <v>616</v>
      </c>
      <c r="C124" s="1934"/>
      <c r="D124" s="1934"/>
      <c r="E124" s="1934"/>
      <c r="F124" s="1934"/>
      <c r="G124" s="1934"/>
      <c r="H124" s="1934"/>
      <c r="I124" s="1934"/>
      <c r="J124" s="1874"/>
      <c r="K124" s="1874"/>
      <c r="L124" s="1874"/>
      <c r="M124" s="1936"/>
    </row>
  </sheetData>
  <mergeCells count="20">
    <mergeCell ref="A1:C1"/>
    <mergeCell ref="J1:L1"/>
    <mergeCell ref="A2:C2"/>
    <mergeCell ref="J2:L2"/>
    <mergeCell ref="A3:L3"/>
    <mergeCell ref="A4:L4"/>
    <mergeCell ref="A5:L5"/>
    <mergeCell ref="H7:H8"/>
    <mergeCell ref="I7:I8"/>
    <mergeCell ref="J7:L7"/>
    <mergeCell ref="B117:L117"/>
    <mergeCell ref="B119:L119"/>
    <mergeCell ref="B120:L120"/>
    <mergeCell ref="A7:A8"/>
    <mergeCell ref="B7:B8"/>
    <mergeCell ref="C7:C8"/>
    <mergeCell ref="D7:D8"/>
    <mergeCell ref="E7:E8"/>
    <mergeCell ref="F7:F8"/>
    <mergeCell ref="G7:G8"/>
  </mergeCell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5"/>
  <sheetViews>
    <sheetView workbookViewId="0">
      <pane xSplit="2" ySplit="2" topLeftCell="C3"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11.42578125" customWidth="1"/>
    <col min="2" max="2" width="40" customWidth="1"/>
    <col min="3" max="26" width="11.42578125" customWidth="1"/>
  </cols>
  <sheetData>
    <row r="1" spans="1:15" ht="15.75" customHeight="1">
      <c r="A1" s="2837" t="s">
        <v>450</v>
      </c>
      <c r="B1" s="2732"/>
      <c r="C1" s="2732"/>
      <c r="D1" s="235"/>
      <c r="E1" s="235"/>
      <c r="F1" s="235"/>
      <c r="G1" s="235"/>
      <c r="H1" s="235"/>
      <c r="I1" s="296"/>
      <c r="J1" s="2829"/>
      <c r="K1" s="2732"/>
      <c r="L1" s="2732"/>
      <c r="M1" s="233" t="s">
        <v>522</v>
      </c>
      <c r="N1" s="653"/>
      <c r="O1" s="296"/>
    </row>
    <row r="2" spans="1:15" ht="15.75" customHeight="1">
      <c r="A2" s="2830" t="s">
        <v>1088</v>
      </c>
      <c r="B2" s="2732"/>
      <c r="C2" s="2732"/>
      <c r="D2" s="295"/>
      <c r="E2" s="295"/>
      <c r="F2" s="295"/>
      <c r="G2" s="295"/>
      <c r="H2" s="295"/>
      <c r="I2" s="296"/>
      <c r="J2" s="2829"/>
      <c r="K2" s="2732"/>
      <c r="L2" s="2732"/>
      <c r="M2" s="296"/>
      <c r="N2" s="653"/>
      <c r="O2" s="296"/>
    </row>
    <row r="3" spans="1:15" ht="15.75" customHeight="1">
      <c r="A3" s="2830" t="s">
        <v>527</v>
      </c>
      <c r="B3" s="2732"/>
      <c r="C3" s="2732"/>
      <c r="D3" s="2732"/>
      <c r="E3" s="2732"/>
      <c r="F3" s="2732"/>
      <c r="G3" s="2732"/>
      <c r="H3" s="2732"/>
      <c r="I3" s="2732"/>
      <c r="J3" s="2732"/>
      <c r="K3" s="2732"/>
      <c r="L3" s="2732"/>
      <c r="M3" s="2732"/>
      <c r="N3" s="653"/>
      <c r="O3" s="296"/>
    </row>
    <row r="4" spans="1:15" ht="15.75" customHeight="1">
      <c r="A4" s="2864" t="s">
        <v>431</v>
      </c>
      <c r="B4" s="2732"/>
      <c r="C4" s="2732"/>
      <c r="D4" s="2732"/>
      <c r="E4" s="2732"/>
      <c r="F4" s="2732"/>
      <c r="G4" s="2732"/>
      <c r="H4" s="2732"/>
      <c r="I4" s="2732"/>
      <c r="J4" s="2732"/>
      <c r="K4" s="2732"/>
      <c r="L4" s="2732"/>
      <c r="M4" s="2732"/>
      <c r="N4" s="653"/>
      <c r="O4" s="296"/>
    </row>
    <row r="5" spans="1:15" ht="15.75" customHeight="1">
      <c r="A5" s="2865" t="s">
        <v>432</v>
      </c>
      <c r="B5" s="2732"/>
      <c r="C5" s="2732"/>
      <c r="D5" s="2732"/>
      <c r="E5" s="2732"/>
      <c r="F5" s="2732"/>
      <c r="G5" s="2732"/>
      <c r="H5" s="2732"/>
      <c r="I5" s="2732"/>
      <c r="J5" s="2732"/>
      <c r="K5" s="2732"/>
      <c r="L5" s="2732"/>
      <c r="M5" s="2732"/>
      <c r="N5" s="653"/>
      <c r="O5" s="296"/>
    </row>
    <row r="6" spans="1:15" ht="15.75" customHeight="1">
      <c r="A6" s="654"/>
      <c r="B6" s="655"/>
      <c r="C6" s="654"/>
      <c r="D6" s="654"/>
      <c r="E6" s="656"/>
      <c r="F6" s="654"/>
      <c r="G6" s="654"/>
      <c r="H6" s="654"/>
      <c r="I6" s="654"/>
      <c r="J6" s="656"/>
      <c r="K6" s="656"/>
      <c r="L6" s="654"/>
      <c r="M6" s="654"/>
      <c r="N6" s="653"/>
      <c r="O6" s="296"/>
    </row>
    <row r="7" spans="1:15" ht="15" customHeight="1">
      <c r="A7" s="2863" t="s">
        <v>186</v>
      </c>
      <c r="B7" s="2863" t="s">
        <v>1089</v>
      </c>
      <c r="C7" s="2863" t="s">
        <v>454</v>
      </c>
      <c r="D7" s="2824" t="s">
        <v>528</v>
      </c>
      <c r="E7" s="2819" t="s">
        <v>456</v>
      </c>
      <c r="F7" s="2819" t="s">
        <v>518</v>
      </c>
      <c r="G7" s="2819" t="s">
        <v>1090</v>
      </c>
      <c r="H7" s="2821" t="s">
        <v>459</v>
      </c>
      <c r="I7" s="2822" t="s">
        <v>439</v>
      </c>
      <c r="J7" s="2816" t="s">
        <v>622</v>
      </c>
      <c r="K7" s="2817"/>
      <c r="L7" s="2818"/>
      <c r="M7" s="2866" t="s">
        <v>32</v>
      </c>
      <c r="N7" s="653"/>
      <c r="O7" s="296"/>
    </row>
    <row r="8" spans="1:15" ht="57" customHeight="1">
      <c r="A8" s="2779"/>
      <c r="B8" s="2779"/>
      <c r="C8" s="2779"/>
      <c r="D8" s="2820"/>
      <c r="E8" s="2820"/>
      <c r="F8" s="2820"/>
      <c r="G8" s="2820"/>
      <c r="H8" s="2820"/>
      <c r="I8" s="2820"/>
      <c r="J8" s="122" t="s">
        <v>461</v>
      </c>
      <c r="K8" s="122" t="s">
        <v>462</v>
      </c>
      <c r="L8" s="122" t="s">
        <v>463</v>
      </c>
      <c r="M8" s="2826"/>
      <c r="N8" s="653" t="s">
        <v>1091</v>
      </c>
      <c r="O8" s="296"/>
    </row>
    <row r="9" spans="1:15" ht="47.25" customHeight="1">
      <c r="A9" s="657" t="s">
        <v>465</v>
      </c>
      <c r="B9" s="658" t="s">
        <v>466</v>
      </c>
      <c r="C9" s="657" t="s">
        <v>467</v>
      </c>
      <c r="D9" s="184" t="s">
        <v>468</v>
      </c>
      <c r="E9" s="185" t="s">
        <v>469</v>
      </c>
      <c r="F9" s="185" t="s">
        <v>470</v>
      </c>
      <c r="G9" s="185" t="s">
        <v>471</v>
      </c>
      <c r="H9" s="186" t="s">
        <v>472</v>
      </c>
      <c r="I9" s="419" t="s">
        <v>770</v>
      </c>
      <c r="J9" s="185" t="s">
        <v>474</v>
      </c>
      <c r="K9" s="185" t="s">
        <v>475</v>
      </c>
      <c r="L9" s="187">
        <v>-12</v>
      </c>
      <c r="M9" s="657" t="s">
        <v>539</v>
      </c>
      <c r="N9" s="659"/>
      <c r="O9" s="660"/>
    </row>
    <row r="10" spans="1:15" ht="15.75" customHeight="1">
      <c r="A10" s="661" t="s">
        <v>200</v>
      </c>
      <c r="B10" s="662" t="s">
        <v>1015</v>
      </c>
      <c r="C10" s="663">
        <f t="shared" ref="C10:L10" si="0">C11+C73</f>
        <v>131</v>
      </c>
      <c r="D10" s="663">
        <f t="shared" si="0"/>
        <v>56.879999999999995</v>
      </c>
      <c r="E10" s="663">
        <f t="shared" si="0"/>
        <v>79</v>
      </c>
      <c r="F10" s="663">
        <f t="shared" si="0"/>
        <v>41</v>
      </c>
      <c r="G10" s="663">
        <f t="shared" si="0"/>
        <v>1011</v>
      </c>
      <c r="H10" s="663">
        <f t="shared" si="0"/>
        <v>4321.7</v>
      </c>
      <c r="I10" s="663">
        <f t="shared" si="0"/>
        <v>5105.67</v>
      </c>
      <c r="J10" s="663">
        <f t="shared" si="0"/>
        <v>3982.7325000000001</v>
      </c>
      <c r="K10" s="664">
        <f t="shared" si="0"/>
        <v>1383.5625</v>
      </c>
      <c r="L10" s="663">
        <f t="shared" si="0"/>
        <v>0</v>
      </c>
      <c r="M10" s="665"/>
      <c r="N10" s="666"/>
      <c r="O10" s="667"/>
    </row>
    <row r="11" spans="1:15" ht="15.75" customHeight="1">
      <c r="A11" s="668" t="s">
        <v>258</v>
      </c>
      <c r="B11" s="1984" t="s">
        <v>477</v>
      </c>
      <c r="C11" s="1985">
        <f t="shared" ref="C11:L11" si="1">C12+C36</f>
        <v>131</v>
      </c>
      <c r="D11" s="1985">
        <f t="shared" si="1"/>
        <v>56.879999999999995</v>
      </c>
      <c r="E11" s="1985">
        <f t="shared" si="1"/>
        <v>79</v>
      </c>
      <c r="F11" s="1985">
        <f t="shared" si="1"/>
        <v>41</v>
      </c>
      <c r="G11" s="1985">
        <f t="shared" si="1"/>
        <v>1011</v>
      </c>
      <c r="H11" s="1986">
        <f t="shared" si="1"/>
        <v>4321.7</v>
      </c>
      <c r="I11" s="1986">
        <f t="shared" si="1"/>
        <v>5105.67</v>
      </c>
      <c r="J11" s="1987">
        <f t="shared" si="1"/>
        <v>3982.7325000000001</v>
      </c>
      <c r="K11" s="1987">
        <f t="shared" si="1"/>
        <v>1383.5625</v>
      </c>
      <c r="L11" s="1987">
        <f t="shared" si="1"/>
        <v>0</v>
      </c>
      <c r="M11" s="1988"/>
      <c r="N11" s="669"/>
      <c r="O11" s="670"/>
    </row>
    <row r="12" spans="1:15" ht="15.75" customHeight="1">
      <c r="A12" s="1989">
        <v>1</v>
      </c>
      <c r="B12" s="671" t="s">
        <v>441</v>
      </c>
      <c r="C12" s="672">
        <f t="shared" ref="C12:L12" si="2">C13+C30</f>
        <v>47</v>
      </c>
      <c r="D12" s="672">
        <f t="shared" si="2"/>
        <v>14.879999999999999</v>
      </c>
      <c r="E12" s="672">
        <f t="shared" si="2"/>
        <v>14</v>
      </c>
      <c r="F12" s="672">
        <f t="shared" si="2"/>
        <v>13</v>
      </c>
      <c r="G12" s="672">
        <f t="shared" si="2"/>
        <v>342</v>
      </c>
      <c r="H12" s="673">
        <f t="shared" si="2"/>
        <v>1396.7</v>
      </c>
      <c r="I12" s="673">
        <f t="shared" si="2"/>
        <v>1052.5450000000001</v>
      </c>
      <c r="J12" s="674">
        <f t="shared" si="2"/>
        <v>1052.5450000000001</v>
      </c>
      <c r="K12" s="674">
        <f t="shared" si="2"/>
        <v>0</v>
      </c>
      <c r="L12" s="674">
        <f t="shared" si="2"/>
        <v>0</v>
      </c>
      <c r="M12" s="675"/>
      <c r="N12" s="676"/>
      <c r="O12" s="677"/>
    </row>
    <row r="13" spans="1:15" ht="15.75" customHeight="1">
      <c r="A13" s="1990" t="s">
        <v>263</v>
      </c>
      <c r="B13" s="678" t="s">
        <v>1092</v>
      </c>
      <c r="C13" s="679">
        <f t="shared" ref="C13:L13" si="3">C14+C20</f>
        <v>47</v>
      </c>
      <c r="D13" s="679">
        <f t="shared" si="3"/>
        <v>14.879999999999999</v>
      </c>
      <c r="E13" s="679">
        <f t="shared" si="3"/>
        <v>14</v>
      </c>
      <c r="F13" s="679">
        <f t="shared" si="3"/>
        <v>13</v>
      </c>
      <c r="G13" s="679">
        <f t="shared" si="3"/>
        <v>342</v>
      </c>
      <c r="H13" s="680">
        <f t="shared" si="3"/>
        <v>1396.7</v>
      </c>
      <c r="I13" s="1991">
        <f t="shared" si="3"/>
        <v>1052.5450000000001</v>
      </c>
      <c r="J13" s="1992">
        <f t="shared" si="3"/>
        <v>1052.5450000000001</v>
      </c>
      <c r="K13" s="681">
        <f t="shared" si="3"/>
        <v>0</v>
      </c>
      <c r="L13" s="681">
        <f t="shared" si="3"/>
        <v>0</v>
      </c>
      <c r="M13" s="682"/>
      <c r="N13" s="683"/>
      <c r="O13" s="683"/>
    </row>
    <row r="14" spans="1:15" ht="15.75" customHeight="1">
      <c r="A14" s="684"/>
      <c r="B14" s="1993" t="s">
        <v>1093</v>
      </c>
      <c r="C14" s="1994">
        <f t="shared" ref="C14:L14" si="4">SUM(C15:C19)</f>
        <v>21</v>
      </c>
      <c r="D14" s="1995">
        <f t="shared" si="4"/>
        <v>5.48</v>
      </c>
      <c r="E14" s="1994">
        <f t="shared" si="4"/>
        <v>6</v>
      </c>
      <c r="F14" s="1994">
        <f t="shared" si="4"/>
        <v>5</v>
      </c>
      <c r="G14" s="1994">
        <f t="shared" si="4"/>
        <v>204</v>
      </c>
      <c r="H14" s="1994">
        <f t="shared" si="4"/>
        <v>858.7</v>
      </c>
      <c r="I14" s="1994">
        <f t="shared" si="4"/>
        <v>486</v>
      </c>
      <c r="J14" s="1994">
        <f t="shared" si="4"/>
        <v>486</v>
      </c>
      <c r="K14" s="1994">
        <f t="shared" si="4"/>
        <v>0</v>
      </c>
      <c r="L14" s="1994">
        <f t="shared" si="4"/>
        <v>0</v>
      </c>
      <c r="M14" s="1996"/>
      <c r="N14" s="2862"/>
      <c r="O14" s="1996"/>
    </row>
    <row r="15" spans="1:15" ht="15.75" customHeight="1">
      <c r="A15" s="1998" t="s">
        <v>479</v>
      </c>
      <c r="B15" s="685" t="s">
        <v>1094</v>
      </c>
      <c r="C15" s="354">
        <v>4</v>
      </c>
      <c r="D15" s="686">
        <v>1</v>
      </c>
      <c r="E15" s="354">
        <v>2</v>
      </c>
      <c r="F15" s="354">
        <v>1</v>
      </c>
      <c r="G15" s="354">
        <v>140</v>
      </c>
      <c r="H15" s="354">
        <f t="shared" ref="H15:H19" si="5">C15*D15*G15</f>
        <v>560</v>
      </c>
      <c r="I15" s="354">
        <f>C15*E15*F15*16.5</f>
        <v>132</v>
      </c>
      <c r="J15" s="687">
        <f t="shared" ref="J15:J19" si="6">I15</f>
        <v>132</v>
      </c>
      <c r="K15" s="687"/>
      <c r="L15" s="688"/>
      <c r="M15" s="688"/>
      <c r="N15" s="2834"/>
      <c r="O15" s="1876"/>
    </row>
    <row r="16" spans="1:15" ht="15.75" customHeight="1">
      <c r="A16" s="1998" t="s">
        <v>481</v>
      </c>
      <c r="B16" s="395" t="s">
        <v>1095</v>
      </c>
      <c r="C16" s="1999">
        <v>5</v>
      </c>
      <c r="D16" s="689">
        <v>1.06</v>
      </c>
      <c r="E16" s="1999">
        <v>1</v>
      </c>
      <c r="F16" s="1999">
        <v>1</v>
      </c>
      <c r="G16" s="1999">
        <v>15</v>
      </c>
      <c r="H16" s="354">
        <f t="shared" si="5"/>
        <v>79.500000000000014</v>
      </c>
      <c r="I16" s="354">
        <f>C16*E16*F16*16.5*0.8+C16*1*F16*15*0.2</f>
        <v>81</v>
      </c>
      <c r="J16" s="687">
        <f t="shared" si="6"/>
        <v>81</v>
      </c>
      <c r="K16" s="2000"/>
      <c r="L16" s="2001"/>
      <c r="M16" s="2001"/>
      <c r="N16" s="2834"/>
      <c r="O16" s="1876"/>
    </row>
    <row r="17" spans="1:15" ht="15.75" customHeight="1">
      <c r="A17" s="1998" t="s">
        <v>483</v>
      </c>
      <c r="B17" s="395" t="s">
        <v>1096</v>
      </c>
      <c r="C17" s="1999">
        <v>2</v>
      </c>
      <c r="D17" s="689">
        <v>1.3</v>
      </c>
      <c r="E17" s="1999">
        <v>1</v>
      </c>
      <c r="F17" s="1999">
        <v>1</v>
      </c>
      <c r="G17" s="1999">
        <v>15</v>
      </c>
      <c r="H17" s="354">
        <f t="shared" si="5"/>
        <v>39</v>
      </c>
      <c r="I17" s="354">
        <f>C17*E17*F17*15</f>
        <v>30</v>
      </c>
      <c r="J17" s="687">
        <f t="shared" si="6"/>
        <v>30</v>
      </c>
      <c r="K17" s="1999"/>
      <c r="L17" s="2002"/>
      <c r="M17" s="2002"/>
      <c r="N17" s="2834"/>
      <c r="O17" s="1876"/>
    </row>
    <row r="18" spans="1:15" ht="15.75" customHeight="1">
      <c r="A18" s="1998" t="s">
        <v>484</v>
      </c>
      <c r="B18" s="395" t="s">
        <v>1097</v>
      </c>
      <c r="C18" s="1999">
        <v>5</v>
      </c>
      <c r="D18" s="689">
        <v>1.06</v>
      </c>
      <c r="E18" s="1999">
        <v>1</v>
      </c>
      <c r="F18" s="1999">
        <v>1</v>
      </c>
      <c r="G18" s="1999">
        <v>15</v>
      </c>
      <c r="H18" s="354">
        <f t="shared" si="5"/>
        <v>79.500000000000014</v>
      </c>
      <c r="I18" s="354">
        <f>C18*E18*F18*16.5*0.8+C18*1*F18*15*0.2</f>
        <v>81</v>
      </c>
      <c r="J18" s="687">
        <f t="shared" si="6"/>
        <v>81</v>
      </c>
      <c r="K18" s="1999"/>
      <c r="L18" s="2002"/>
      <c r="M18" s="2002"/>
      <c r="N18" s="2834"/>
      <c r="O18" s="1876"/>
    </row>
    <row r="19" spans="1:15" ht="15.75" customHeight="1">
      <c r="A19" s="1998" t="s">
        <v>485</v>
      </c>
      <c r="B19" s="2003" t="s">
        <v>1098</v>
      </c>
      <c r="C19" s="690">
        <v>5</v>
      </c>
      <c r="D19" s="2004">
        <v>1.06</v>
      </c>
      <c r="E19" s="690">
        <v>1</v>
      </c>
      <c r="F19" s="690">
        <v>1</v>
      </c>
      <c r="G19" s="690">
        <v>19</v>
      </c>
      <c r="H19" s="354">
        <f t="shared" si="5"/>
        <v>100.70000000000002</v>
      </c>
      <c r="I19" s="354">
        <f>2*(C19*E19*F19*16.5*0.8+C19*1*F19*15*0.2)</f>
        <v>162</v>
      </c>
      <c r="J19" s="687">
        <f t="shared" si="6"/>
        <v>162</v>
      </c>
      <c r="K19" s="1999"/>
      <c r="L19" s="2002"/>
      <c r="M19" s="2002"/>
      <c r="N19" s="2779"/>
      <c r="O19" s="2005" t="s">
        <v>1099</v>
      </c>
    </row>
    <row r="20" spans="1:15" ht="15.75" customHeight="1">
      <c r="A20" s="691"/>
      <c r="B20" s="1993" t="s">
        <v>1100</v>
      </c>
      <c r="C20" s="1994">
        <f t="shared" ref="C20:L20" si="7">SUM(C21:C28)</f>
        <v>26</v>
      </c>
      <c r="D20" s="2006">
        <f t="shared" si="7"/>
        <v>9.3999999999999986</v>
      </c>
      <c r="E20" s="1994">
        <f t="shared" si="7"/>
        <v>8</v>
      </c>
      <c r="F20" s="1994">
        <f t="shared" si="7"/>
        <v>8</v>
      </c>
      <c r="G20" s="1994">
        <f t="shared" si="7"/>
        <v>138</v>
      </c>
      <c r="H20" s="1994">
        <f t="shared" si="7"/>
        <v>538</v>
      </c>
      <c r="I20" s="2007">
        <f t="shared" si="7"/>
        <v>566.54499999999996</v>
      </c>
      <c r="J20" s="2007">
        <f t="shared" si="7"/>
        <v>566.54499999999996</v>
      </c>
      <c r="K20" s="1994">
        <f t="shared" si="7"/>
        <v>0</v>
      </c>
      <c r="L20" s="1994">
        <f t="shared" si="7"/>
        <v>0</v>
      </c>
      <c r="M20" s="1997"/>
      <c r="N20" s="2005"/>
      <c r="O20" s="2008"/>
    </row>
    <row r="21" spans="1:15" ht="15.75" customHeight="1">
      <c r="A21" s="692" t="s">
        <v>486</v>
      </c>
      <c r="B21" s="2009" t="s">
        <v>1101</v>
      </c>
      <c r="C21" s="1999">
        <v>3</v>
      </c>
      <c r="D21" s="693">
        <v>1.3</v>
      </c>
      <c r="E21" s="1999">
        <v>1</v>
      </c>
      <c r="F21" s="1999">
        <v>1</v>
      </c>
      <c r="G21" s="1999">
        <v>25</v>
      </c>
      <c r="H21" s="320">
        <f t="shared" ref="H21:H28" si="8">C21*D21*G21</f>
        <v>97.500000000000014</v>
      </c>
      <c r="I21" s="694">
        <f>2*(C21*E21*F21*16.5*0.33+C21*G21*0.8*0.67)</f>
        <v>113.07000000000001</v>
      </c>
      <c r="J21" s="695">
        <f t="shared" ref="J21:J28" si="9">I21</f>
        <v>113.07000000000001</v>
      </c>
      <c r="K21" s="2000"/>
      <c r="L21" s="2001"/>
      <c r="M21" s="2001"/>
      <c r="N21" s="2005" t="s">
        <v>1099</v>
      </c>
      <c r="O21" s="2008"/>
    </row>
    <row r="22" spans="1:15" ht="15.75" customHeight="1">
      <c r="A22" s="692" t="s">
        <v>487</v>
      </c>
      <c r="B22" s="1876" t="s">
        <v>1102</v>
      </c>
      <c r="C22" s="2010">
        <v>3</v>
      </c>
      <c r="D22" s="693">
        <v>1.1000000000000001</v>
      </c>
      <c r="E22" s="690">
        <v>1</v>
      </c>
      <c r="F22" s="690">
        <v>1</v>
      </c>
      <c r="G22" s="690">
        <v>19</v>
      </c>
      <c r="H22" s="320">
        <f t="shared" si="8"/>
        <v>62.7</v>
      </c>
      <c r="I22" s="694">
        <f>C22*E22*F22*16.5*0.75+C22*1*F22*15*0.25</f>
        <v>48.375</v>
      </c>
      <c r="J22" s="695">
        <f t="shared" si="9"/>
        <v>48.375</v>
      </c>
      <c r="K22" s="2000"/>
      <c r="L22" s="2001"/>
      <c r="M22" s="2001"/>
      <c r="N22" s="2005"/>
      <c r="O22" s="2008"/>
    </row>
    <row r="23" spans="1:15" ht="15.75" customHeight="1">
      <c r="A23" s="692" t="s">
        <v>488</v>
      </c>
      <c r="B23" s="696" t="s">
        <v>1103</v>
      </c>
      <c r="C23" s="697">
        <v>4</v>
      </c>
      <c r="D23" s="693">
        <v>1.3</v>
      </c>
      <c r="E23" s="697">
        <v>1</v>
      </c>
      <c r="F23" s="697">
        <v>1</v>
      </c>
      <c r="G23" s="697">
        <v>19</v>
      </c>
      <c r="H23" s="320">
        <f t="shared" si="8"/>
        <v>98.8</v>
      </c>
      <c r="I23" s="694">
        <f>2*(C23*E23*F23*16.5*0.5+C23*1*F23*15*0.25+F23*G23*0.8*0.25)</f>
        <v>103.6</v>
      </c>
      <c r="J23" s="695">
        <f t="shared" si="9"/>
        <v>103.6</v>
      </c>
      <c r="K23" s="2000"/>
      <c r="L23" s="2001"/>
      <c r="M23" s="2001"/>
      <c r="N23" s="2005" t="s">
        <v>1099</v>
      </c>
      <c r="O23" s="2008"/>
    </row>
    <row r="24" spans="1:15" ht="15.75" customHeight="1">
      <c r="A24" s="698" t="s">
        <v>490</v>
      </c>
      <c r="B24" s="321" t="s">
        <v>1104</v>
      </c>
      <c r="C24" s="2011">
        <v>5</v>
      </c>
      <c r="D24" s="2011">
        <v>1.3</v>
      </c>
      <c r="E24" s="2011">
        <v>1</v>
      </c>
      <c r="F24" s="2011">
        <v>1</v>
      </c>
      <c r="G24" s="2011">
        <v>15</v>
      </c>
      <c r="H24" s="699">
        <f t="shared" si="8"/>
        <v>97.5</v>
      </c>
      <c r="I24" s="2012">
        <f>C24*E24*F24*16.5*0.6+C24*1*F24*15*0.2+C24*F24*G24*0.8*0.2</f>
        <v>76.5</v>
      </c>
      <c r="J24" s="700">
        <f t="shared" si="9"/>
        <v>76.5</v>
      </c>
      <c r="K24" s="2011"/>
      <c r="L24" s="2013"/>
      <c r="M24" s="2013"/>
      <c r="N24" s="2014"/>
      <c r="O24" s="2015"/>
    </row>
    <row r="25" spans="1:15" ht="15.75" customHeight="1">
      <c r="A25" s="698" t="s">
        <v>491</v>
      </c>
      <c r="B25" s="701" t="s">
        <v>1105</v>
      </c>
      <c r="C25" s="2011">
        <v>3</v>
      </c>
      <c r="D25" s="2011">
        <v>1.1000000000000001</v>
      </c>
      <c r="E25" s="2011">
        <v>1</v>
      </c>
      <c r="F25" s="2011">
        <v>1</v>
      </c>
      <c r="G25" s="2011">
        <v>15</v>
      </c>
      <c r="H25" s="699">
        <f t="shared" si="8"/>
        <v>49.500000000000007</v>
      </c>
      <c r="I25" s="702">
        <f>(C25*E25*F25*16.5*7/9)+(C25*1*F25*15*2/9)</f>
        <v>48.5</v>
      </c>
      <c r="J25" s="700">
        <f t="shared" si="9"/>
        <v>48.5</v>
      </c>
      <c r="K25" s="2011"/>
      <c r="L25" s="2013"/>
      <c r="M25" s="2013"/>
      <c r="N25" s="2014"/>
      <c r="O25" s="2015"/>
    </row>
    <row r="26" spans="1:15" ht="15.75" customHeight="1">
      <c r="A26" s="698" t="s">
        <v>492</v>
      </c>
      <c r="B26" s="701" t="s">
        <v>1106</v>
      </c>
      <c r="C26" s="2011">
        <v>3</v>
      </c>
      <c r="D26" s="2011">
        <v>1.1000000000000001</v>
      </c>
      <c r="E26" s="2011">
        <v>1</v>
      </c>
      <c r="F26" s="2011">
        <v>1</v>
      </c>
      <c r="G26" s="2011">
        <v>15</v>
      </c>
      <c r="H26" s="703">
        <f t="shared" si="8"/>
        <v>49.500000000000007</v>
      </c>
      <c r="I26" s="702">
        <f>2*(C26*E26*F26*16.5*2/3+C26*1*F26*15*1/3)</f>
        <v>96</v>
      </c>
      <c r="J26" s="700">
        <f t="shared" si="9"/>
        <v>96</v>
      </c>
      <c r="K26" s="2011"/>
      <c r="L26" s="2013"/>
      <c r="M26" s="2013"/>
      <c r="N26" s="2014" t="s">
        <v>1099</v>
      </c>
      <c r="O26" s="2015"/>
    </row>
    <row r="27" spans="1:15" ht="21.75" customHeight="1">
      <c r="A27" s="698" t="s">
        <v>517</v>
      </c>
      <c r="B27" s="701" t="s">
        <v>1107</v>
      </c>
      <c r="C27" s="2011">
        <v>3</v>
      </c>
      <c r="D27" s="2011">
        <v>1.1000000000000001</v>
      </c>
      <c r="E27" s="2011">
        <v>1</v>
      </c>
      <c r="F27" s="2011">
        <v>1</v>
      </c>
      <c r="G27" s="2011">
        <v>15</v>
      </c>
      <c r="H27" s="699">
        <f t="shared" si="8"/>
        <v>49.500000000000007</v>
      </c>
      <c r="I27" s="702">
        <f>C27*E27*F27*16.5*7/9+C27*1*F27*15*2/9</f>
        <v>48.5</v>
      </c>
      <c r="J27" s="700">
        <f t="shared" si="9"/>
        <v>48.5</v>
      </c>
      <c r="K27" s="2011"/>
      <c r="L27" s="2013"/>
      <c r="M27" s="2013"/>
      <c r="N27" s="2014"/>
      <c r="O27" s="2015"/>
    </row>
    <row r="28" spans="1:15" ht="23.25" customHeight="1">
      <c r="A28" s="698" t="s">
        <v>518</v>
      </c>
      <c r="B28" s="701" t="s">
        <v>1108</v>
      </c>
      <c r="C28" s="2011">
        <v>2</v>
      </c>
      <c r="D28" s="2011">
        <v>1.1000000000000001</v>
      </c>
      <c r="E28" s="2011">
        <v>1</v>
      </c>
      <c r="F28" s="2011">
        <v>1</v>
      </c>
      <c r="G28" s="2011">
        <v>15</v>
      </c>
      <c r="H28" s="703">
        <f t="shared" si="8"/>
        <v>33</v>
      </c>
      <c r="I28" s="702">
        <f>C28*E28*F28*16.5*2/3+C28*1*F28*15*1/3</f>
        <v>32</v>
      </c>
      <c r="J28" s="700">
        <f t="shared" si="9"/>
        <v>32</v>
      </c>
      <c r="K28" s="2011"/>
      <c r="L28" s="2013"/>
      <c r="M28" s="2013"/>
      <c r="N28" s="2014"/>
      <c r="O28" s="2015"/>
    </row>
    <row r="29" spans="1:15" ht="15.75" customHeight="1">
      <c r="A29" s="704"/>
      <c r="B29" s="705"/>
      <c r="C29" s="706"/>
      <c r="D29" s="706"/>
      <c r="E29" s="706"/>
      <c r="F29" s="706"/>
      <c r="G29" s="706"/>
      <c r="H29" s="706"/>
      <c r="I29" s="2017"/>
      <c r="J29" s="707"/>
      <c r="K29" s="706"/>
      <c r="L29" s="705"/>
      <c r="M29" s="705"/>
      <c r="N29" s="708"/>
      <c r="O29" s="709"/>
    </row>
    <row r="30" spans="1:15" ht="15.75" customHeight="1">
      <c r="A30" s="2018" t="s">
        <v>265</v>
      </c>
      <c r="B30" s="710" t="s">
        <v>556</v>
      </c>
      <c r="C30" s="711"/>
      <c r="D30" s="711"/>
      <c r="E30" s="711"/>
      <c r="F30" s="711"/>
      <c r="G30" s="711"/>
      <c r="H30" s="711"/>
      <c r="I30" s="2019"/>
      <c r="J30" s="711"/>
      <c r="K30" s="707"/>
      <c r="L30" s="712"/>
      <c r="M30" s="712"/>
      <c r="N30" s="708"/>
      <c r="O30" s="709"/>
    </row>
    <row r="31" spans="1:15" ht="15.75" customHeight="1">
      <c r="A31" s="2020" t="s">
        <v>557</v>
      </c>
      <c r="B31" s="2021" t="s">
        <v>512</v>
      </c>
      <c r="C31" s="711"/>
      <c r="D31" s="711"/>
      <c r="E31" s="711"/>
      <c r="F31" s="711"/>
      <c r="G31" s="711"/>
      <c r="H31" s="711"/>
      <c r="I31" s="2019"/>
      <c r="J31" s="711"/>
      <c r="K31" s="707"/>
      <c r="L31" s="712"/>
      <c r="M31" s="712"/>
      <c r="N31" s="708"/>
      <c r="O31" s="709"/>
    </row>
    <row r="32" spans="1:15" ht="15.75" customHeight="1">
      <c r="A32" s="2020" t="s">
        <v>572</v>
      </c>
      <c r="B32" s="2021" t="s">
        <v>1109</v>
      </c>
      <c r="C32" s="711"/>
      <c r="D32" s="711"/>
      <c r="E32" s="711"/>
      <c r="F32" s="711"/>
      <c r="G32" s="711"/>
      <c r="H32" s="711"/>
      <c r="I32" s="2019"/>
      <c r="J32" s="711"/>
      <c r="K32" s="707"/>
      <c r="L32" s="712"/>
      <c r="M32" s="712"/>
      <c r="N32" s="708"/>
      <c r="O32" s="709"/>
    </row>
    <row r="33" spans="1:14" ht="15.75" customHeight="1">
      <c r="A33" s="2020" t="s">
        <v>573</v>
      </c>
      <c r="B33" s="2021" t="s">
        <v>1110</v>
      </c>
      <c r="C33" s="711"/>
      <c r="D33" s="711"/>
      <c r="E33" s="711"/>
      <c r="F33" s="711"/>
      <c r="G33" s="711"/>
      <c r="H33" s="711"/>
      <c r="I33" s="2019"/>
      <c r="J33" s="711"/>
      <c r="K33" s="707"/>
      <c r="L33" s="712"/>
      <c r="M33" s="712"/>
      <c r="N33" s="708"/>
    </row>
    <row r="34" spans="1:14" ht="15.75" customHeight="1">
      <c r="A34" s="2020" t="s">
        <v>574</v>
      </c>
      <c r="B34" s="2021" t="s">
        <v>1111</v>
      </c>
      <c r="C34" s="711"/>
      <c r="D34" s="711"/>
      <c r="E34" s="711"/>
      <c r="F34" s="711"/>
      <c r="G34" s="711"/>
      <c r="H34" s="711"/>
      <c r="I34" s="2019"/>
      <c r="J34" s="711"/>
      <c r="K34" s="707"/>
      <c r="L34" s="712"/>
      <c r="M34" s="712"/>
      <c r="N34" s="708"/>
    </row>
    <row r="35" spans="1:14" ht="15.75" customHeight="1">
      <c r="A35" s="2020" t="s">
        <v>575</v>
      </c>
      <c r="B35" s="2021" t="s">
        <v>1112</v>
      </c>
      <c r="C35" s="711"/>
      <c r="D35" s="711"/>
      <c r="E35" s="711"/>
      <c r="F35" s="711"/>
      <c r="G35" s="711"/>
      <c r="H35" s="711"/>
      <c r="I35" s="2019"/>
      <c r="J35" s="711"/>
      <c r="K35" s="707"/>
      <c r="L35" s="712"/>
      <c r="M35" s="712"/>
      <c r="N35" s="708"/>
    </row>
    <row r="36" spans="1:14" ht="15.75" customHeight="1">
      <c r="A36" s="713">
        <v>2</v>
      </c>
      <c r="B36" s="2022" t="s">
        <v>570</v>
      </c>
      <c r="C36" s="2023">
        <f t="shared" ref="C36:L36" si="10">C37+C68</f>
        <v>84</v>
      </c>
      <c r="D36" s="2023">
        <f t="shared" si="10"/>
        <v>42</v>
      </c>
      <c r="E36" s="2023">
        <f t="shared" si="10"/>
        <v>65</v>
      </c>
      <c r="F36" s="2023">
        <f t="shared" si="10"/>
        <v>28</v>
      </c>
      <c r="G36" s="2023">
        <f t="shared" si="10"/>
        <v>669</v>
      </c>
      <c r="H36" s="2023">
        <f t="shared" si="10"/>
        <v>2925</v>
      </c>
      <c r="I36" s="2024">
        <f t="shared" si="10"/>
        <v>4053.125</v>
      </c>
      <c r="J36" s="2024">
        <f t="shared" si="10"/>
        <v>2930.1875</v>
      </c>
      <c r="K36" s="2024">
        <f t="shared" si="10"/>
        <v>1383.5625</v>
      </c>
      <c r="L36" s="2024">
        <f t="shared" si="10"/>
        <v>0</v>
      </c>
      <c r="M36" s="2025"/>
      <c r="N36" s="683"/>
    </row>
    <row r="37" spans="1:14" ht="15.75" customHeight="1">
      <c r="A37" s="2026" t="s">
        <v>263</v>
      </c>
      <c r="B37" s="714" t="s">
        <v>1113</v>
      </c>
      <c r="C37" s="715">
        <f t="shared" ref="C37:L37" si="11">C38+C47</f>
        <v>84</v>
      </c>
      <c r="D37" s="715">
        <f t="shared" si="11"/>
        <v>42</v>
      </c>
      <c r="E37" s="715">
        <f t="shared" si="11"/>
        <v>65</v>
      </c>
      <c r="F37" s="715">
        <f t="shared" si="11"/>
        <v>28</v>
      </c>
      <c r="G37" s="715">
        <f t="shared" si="11"/>
        <v>650</v>
      </c>
      <c r="H37" s="715">
        <f t="shared" si="11"/>
        <v>2925</v>
      </c>
      <c r="I37" s="716">
        <f t="shared" si="11"/>
        <v>3388.125</v>
      </c>
      <c r="J37" s="716">
        <f t="shared" si="11"/>
        <v>2580.1875</v>
      </c>
      <c r="K37" s="716">
        <f t="shared" si="11"/>
        <v>1068.5625</v>
      </c>
      <c r="L37" s="716">
        <f t="shared" si="11"/>
        <v>0</v>
      </c>
      <c r="M37" s="717"/>
      <c r="N37" s="2027" t="s">
        <v>1114</v>
      </c>
    </row>
    <row r="38" spans="1:14" ht="15.75" customHeight="1">
      <c r="A38" s="2028"/>
      <c r="B38" s="719" t="s">
        <v>1093</v>
      </c>
      <c r="C38" s="720">
        <f t="shared" ref="C38:L38" si="12">SUM(C39:C46)</f>
        <v>24</v>
      </c>
      <c r="D38" s="720">
        <f t="shared" si="12"/>
        <v>12</v>
      </c>
      <c r="E38" s="720">
        <f t="shared" si="12"/>
        <v>40</v>
      </c>
      <c r="F38" s="720">
        <f t="shared" si="12"/>
        <v>8</v>
      </c>
      <c r="G38" s="720">
        <f t="shared" si="12"/>
        <v>400</v>
      </c>
      <c r="H38" s="720">
        <f t="shared" si="12"/>
        <v>1800</v>
      </c>
      <c r="I38" s="721">
        <f t="shared" si="12"/>
        <v>2085</v>
      </c>
      <c r="J38" s="721">
        <f t="shared" si="12"/>
        <v>1694.0625</v>
      </c>
      <c r="K38" s="721">
        <f t="shared" si="12"/>
        <v>651.5625</v>
      </c>
      <c r="L38" s="721">
        <f t="shared" si="12"/>
        <v>0</v>
      </c>
      <c r="M38" s="712"/>
      <c r="N38" s="718"/>
    </row>
    <row r="39" spans="1:14" ht="15.75" customHeight="1">
      <c r="A39" s="2028" t="s">
        <v>479</v>
      </c>
      <c r="B39" s="2029" t="s">
        <v>1115</v>
      </c>
      <c r="C39" s="706">
        <v>3</v>
      </c>
      <c r="D39" s="706">
        <v>1.5</v>
      </c>
      <c r="E39" s="706">
        <v>5</v>
      </c>
      <c r="F39" s="706">
        <v>1</v>
      </c>
      <c r="G39" s="706">
        <v>50</v>
      </c>
      <c r="H39" s="706">
        <f t="shared" ref="H39:H46" si="13">C39*D39*G39</f>
        <v>225</v>
      </c>
      <c r="I39" s="204">
        <f t="shared" ref="I39:I46" si="14">D39*E39* 34.75</f>
        <v>260.625</v>
      </c>
      <c r="J39" s="722">
        <f t="shared" ref="J39:J41" si="15">I39</f>
        <v>260.625</v>
      </c>
      <c r="K39" s="707">
        <f>I39/2</f>
        <v>130.3125</v>
      </c>
      <c r="L39" s="712"/>
      <c r="M39" s="712"/>
      <c r="N39" s="718"/>
    </row>
    <row r="40" spans="1:14" ht="15.75" customHeight="1">
      <c r="A40" s="2028" t="s">
        <v>481</v>
      </c>
      <c r="B40" s="2029" t="s">
        <v>1116</v>
      </c>
      <c r="C40" s="706">
        <v>3</v>
      </c>
      <c r="D40" s="706">
        <v>1.5</v>
      </c>
      <c r="E40" s="706">
        <v>5</v>
      </c>
      <c r="F40" s="706">
        <v>1</v>
      </c>
      <c r="G40" s="706">
        <v>50</v>
      </c>
      <c r="H40" s="706">
        <f t="shared" si="13"/>
        <v>225</v>
      </c>
      <c r="I40" s="204">
        <f t="shared" si="14"/>
        <v>260.625</v>
      </c>
      <c r="J40" s="722">
        <f t="shared" si="15"/>
        <v>260.625</v>
      </c>
      <c r="K40" s="707"/>
      <c r="L40" s="712"/>
      <c r="M40" s="712"/>
      <c r="N40" s="718"/>
    </row>
    <row r="41" spans="1:14" ht="15.75" customHeight="1">
      <c r="A41" s="2028" t="s">
        <v>483</v>
      </c>
      <c r="B41" s="2029" t="s">
        <v>1117</v>
      </c>
      <c r="C41" s="706">
        <v>3</v>
      </c>
      <c r="D41" s="706">
        <v>1.5</v>
      </c>
      <c r="E41" s="706">
        <v>5</v>
      </c>
      <c r="F41" s="706">
        <v>1</v>
      </c>
      <c r="G41" s="706">
        <v>50</v>
      </c>
      <c r="H41" s="706">
        <f t="shared" si="13"/>
        <v>225</v>
      </c>
      <c r="I41" s="204">
        <f t="shared" si="14"/>
        <v>260.625</v>
      </c>
      <c r="J41" s="722">
        <f t="shared" si="15"/>
        <v>260.625</v>
      </c>
      <c r="K41" s="707">
        <f t="shared" ref="K41:K42" si="16">I41/2</f>
        <v>130.3125</v>
      </c>
      <c r="L41" s="712"/>
      <c r="M41" s="712"/>
      <c r="N41" s="718"/>
    </row>
    <row r="42" spans="1:14" ht="15.75" customHeight="1">
      <c r="A42" s="2028" t="s">
        <v>484</v>
      </c>
      <c r="B42" s="2029" t="s">
        <v>1118</v>
      </c>
      <c r="C42" s="706">
        <v>3</v>
      </c>
      <c r="D42" s="706">
        <v>1.5</v>
      </c>
      <c r="E42" s="706">
        <v>5</v>
      </c>
      <c r="F42" s="706">
        <v>1</v>
      </c>
      <c r="G42" s="706">
        <v>50</v>
      </c>
      <c r="H42" s="706">
        <f t="shared" si="13"/>
        <v>225</v>
      </c>
      <c r="I42" s="204">
        <f t="shared" si="14"/>
        <v>260.625</v>
      </c>
      <c r="J42" s="707">
        <f>I42/2</f>
        <v>130.3125</v>
      </c>
      <c r="K42" s="707">
        <f t="shared" si="16"/>
        <v>130.3125</v>
      </c>
      <c r="L42" s="712"/>
      <c r="M42" s="712"/>
      <c r="N42" s="718"/>
    </row>
    <row r="43" spans="1:14" ht="15.75" customHeight="1">
      <c r="A43" s="2028" t="s">
        <v>485</v>
      </c>
      <c r="B43" s="723" t="s">
        <v>1119</v>
      </c>
      <c r="C43" s="706">
        <v>3</v>
      </c>
      <c r="D43" s="706">
        <v>1.5</v>
      </c>
      <c r="E43" s="706">
        <v>5</v>
      </c>
      <c r="F43" s="706">
        <v>1</v>
      </c>
      <c r="G43" s="706">
        <v>50</v>
      </c>
      <c r="H43" s="706">
        <f t="shared" si="13"/>
        <v>225</v>
      </c>
      <c r="I43" s="204">
        <f t="shared" si="14"/>
        <v>260.625</v>
      </c>
      <c r="J43" s="722">
        <f>I43</f>
        <v>260.625</v>
      </c>
      <c r="K43" s="707"/>
      <c r="L43" s="712"/>
      <c r="M43" s="712"/>
      <c r="N43" s="718"/>
    </row>
    <row r="44" spans="1:14" ht="15.75" customHeight="1">
      <c r="A44" s="2030" t="s">
        <v>486</v>
      </c>
      <c r="B44" s="723" t="s">
        <v>1120</v>
      </c>
      <c r="C44" s="706">
        <v>3</v>
      </c>
      <c r="D44" s="706">
        <v>1.5</v>
      </c>
      <c r="E44" s="706">
        <v>5</v>
      </c>
      <c r="F44" s="706">
        <v>1</v>
      </c>
      <c r="G44" s="706">
        <v>50</v>
      </c>
      <c r="H44" s="706">
        <f t="shared" si="13"/>
        <v>225</v>
      </c>
      <c r="I44" s="204">
        <f t="shared" si="14"/>
        <v>260.625</v>
      </c>
      <c r="J44" s="707">
        <f>I44/2</f>
        <v>130.3125</v>
      </c>
      <c r="K44" s="707">
        <f>I44/2</f>
        <v>130.3125</v>
      </c>
      <c r="L44" s="712"/>
      <c r="M44" s="712"/>
      <c r="N44" s="718"/>
    </row>
    <row r="45" spans="1:14" ht="15.75" customHeight="1">
      <c r="A45" s="2031" t="s">
        <v>487</v>
      </c>
      <c r="B45" s="723" t="s">
        <v>1121</v>
      </c>
      <c r="C45" s="706">
        <v>3</v>
      </c>
      <c r="D45" s="706">
        <v>1.5</v>
      </c>
      <c r="E45" s="706">
        <v>5</v>
      </c>
      <c r="F45" s="706">
        <v>1</v>
      </c>
      <c r="G45" s="706">
        <v>50</v>
      </c>
      <c r="H45" s="706">
        <f t="shared" si="13"/>
        <v>225</v>
      </c>
      <c r="I45" s="204">
        <f t="shared" si="14"/>
        <v>260.625</v>
      </c>
      <c r="J45" s="722">
        <f>I45</f>
        <v>260.625</v>
      </c>
      <c r="K45" s="707"/>
      <c r="L45" s="712"/>
      <c r="M45" s="712"/>
      <c r="N45" s="718"/>
    </row>
    <row r="46" spans="1:14" ht="15.75" customHeight="1">
      <c r="A46" s="2032" t="s">
        <v>488</v>
      </c>
      <c r="B46" s="723" t="s">
        <v>1122</v>
      </c>
      <c r="C46" s="706">
        <v>3</v>
      </c>
      <c r="D46" s="706">
        <v>1.5</v>
      </c>
      <c r="E46" s="706">
        <v>5</v>
      </c>
      <c r="F46" s="706">
        <v>1</v>
      </c>
      <c r="G46" s="706">
        <v>50</v>
      </c>
      <c r="H46" s="706">
        <f t="shared" si="13"/>
        <v>225</v>
      </c>
      <c r="I46" s="204">
        <f t="shared" si="14"/>
        <v>260.625</v>
      </c>
      <c r="J46" s="707">
        <f>I46/2</f>
        <v>130.3125</v>
      </c>
      <c r="K46" s="707">
        <f>I46/2</f>
        <v>130.3125</v>
      </c>
      <c r="L46" s="712"/>
      <c r="M46" s="712"/>
      <c r="N46" s="718"/>
    </row>
    <row r="47" spans="1:14" ht="15.75" customHeight="1">
      <c r="A47" s="2032"/>
      <c r="B47" s="719" t="s">
        <v>1100</v>
      </c>
      <c r="C47" s="720">
        <f t="shared" ref="C47:L47" si="17">SUM(C48:C67)</f>
        <v>60</v>
      </c>
      <c r="D47" s="720">
        <f t="shared" si="17"/>
        <v>30</v>
      </c>
      <c r="E47" s="720">
        <f t="shared" si="17"/>
        <v>25</v>
      </c>
      <c r="F47" s="720">
        <f t="shared" si="17"/>
        <v>20</v>
      </c>
      <c r="G47" s="720">
        <f t="shared" si="17"/>
        <v>250</v>
      </c>
      <c r="H47" s="720">
        <f t="shared" si="17"/>
        <v>1125</v>
      </c>
      <c r="I47" s="724">
        <f t="shared" si="17"/>
        <v>1303.125</v>
      </c>
      <c r="J47" s="724">
        <f t="shared" si="17"/>
        <v>886.125</v>
      </c>
      <c r="K47" s="724">
        <f t="shared" si="17"/>
        <v>417</v>
      </c>
      <c r="L47" s="724">
        <f t="shared" si="17"/>
        <v>0</v>
      </c>
      <c r="M47" s="712"/>
      <c r="N47" s="725"/>
    </row>
    <row r="48" spans="1:14" ht="15.75" customHeight="1">
      <c r="A48" s="2032" t="s">
        <v>489</v>
      </c>
      <c r="B48" s="726" t="s">
        <v>1123</v>
      </c>
      <c r="C48" s="706">
        <v>3</v>
      </c>
      <c r="D48" s="706">
        <v>1.5</v>
      </c>
      <c r="E48" s="706">
        <v>1</v>
      </c>
      <c r="F48" s="706">
        <v>1</v>
      </c>
      <c r="G48" s="706">
        <v>10</v>
      </c>
      <c r="H48" s="706">
        <f t="shared" ref="H48:H67" si="18">C48*D48*G48</f>
        <v>45</v>
      </c>
      <c r="I48" s="204">
        <f t="shared" ref="I48:I67" si="19">D48*E48* 34.75</f>
        <v>52.125</v>
      </c>
      <c r="J48" s="722">
        <f t="shared" ref="J48:J57" si="20">I48</f>
        <v>52.125</v>
      </c>
      <c r="K48" s="707"/>
      <c r="L48" s="712"/>
      <c r="M48" s="712"/>
      <c r="N48" s="725" t="s">
        <v>1124</v>
      </c>
    </row>
    <row r="49" spans="1:14" ht="15.75" customHeight="1">
      <c r="A49" s="2032" t="s">
        <v>490</v>
      </c>
      <c r="B49" s="726" t="s">
        <v>1125</v>
      </c>
      <c r="C49" s="706">
        <v>3</v>
      </c>
      <c r="D49" s="706">
        <v>1.5</v>
      </c>
      <c r="E49" s="706">
        <v>1</v>
      </c>
      <c r="F49" s="706">
        <v>1</v>
      </c>
      <c r="G49" s="706">
        <v>10</v>
      </c>
      <c r="H49" s="706">
        <f t="shared" si="18"/>
        <v>45</v>
      </c>
      <c r="I49" s="204">
        <f t="shared" si="19"/>
        <v>52.125</v>
      </c>
      <c r="J49" s="722">
        <f t="shared" si="20"/>
        <v>52.125</v>
      </c>
      <c r="K49" s="707"/>
      <c r="L49" s="712"/>
      <c r="M49" s="712"/>
      <c r="N49" s="725"/>
    </row>
    <row r="50" spans="1:14" ht="15.75" customHeight="1">
      <c r="A50" s="2032" t="s">
        <v>491</v>
      </c>
      <c r="B50" s="726" t="s">
        <v>1126</v>
      </c>
      <c r="C50" s="706">
        <v>3</v>
      </c>
      <c r="D50" s="706">
        <v>1.5</v>
      </c>
      <c r="E50" s="706">
        <v>1</v>
      </c>
      <c r="F50" s="706">
        <v>1</v>
      </c>
      <c r="G50" s="706">
        <v>10</v>
      </c>
      <c r="H50" s="706">
        <f t="shared" si="18"/>
        <v>45</v>
      </c>
      <c r="I50" s="204">
        <f t="shared" si="19"/>
        <v>52.125</v>
      </c>
      <c r="J50" s="722">
        <f t="shared" si="20"/>
        <v>52.125</v>
      </c>
      <c r="K50" s="707"/>
      <c r="L50" s="712"/>
      <c r="M50" s="712"/>
      <c r="N50" s="725"/>
    </row>
    <row r="51" spans="1:14" ht="15.75" customHeight="1">
      <c r="A51" s="2032" t="s">
        <v>492</v>
      </c>
      <c r="B51" s="726" t="s">
        <v>1127</v>
      </c>
      <c r="C51" s="706">
        <v>3</v>
      </c>
      <c r="D51" s="706">
        <v>1.5</v>
      </c>
      <c r="E51" s="706">
        <v>1</v>
      </c>
      <c r="F51" s="706">
        <v>1</v>
      </c>
      <c r="G51" s="706">
        <v>10</v>
      </c>
      <c r="H51" s="706">
        <f t="shared" si="18"/>
        <v>45</v>
      </c>
      <c r="I51" s="204">
        <f t="shared" si="19"/>
        <v>52.125</v>
      </c>
      <c r="J51" s="722">
        <f t="shared" si="20"/>
        <v>52.125</v>
      </c>
      <c r="K51" s="707"/>
      <c r="L51" s="712"/>
      <c r="M51" s="712"/>
      <c r="N51" s="725"/>
    </row>
    <row r="52" spans="1:14" ht="15.75" customHeight="1">
      <c r="A52" s="2032" t="s">
        <v>517</v>
      </c>
      <c r="B52" s="726" t="s">
        <v>1128</v>
      </c>
      <c r="C52" s="706">
        <v>3</v>
      </c>
      <c r="D52" s="706">
        <v>1.5</v>
      </c>
      <c r="E52" s="706">
        <v>1</v>
      </c>
      <c r="F52" s="706">
        <v>1</v>
      </c>
      <c r="G52" s="706">
        <v>10</v>
      </c>
      <c r="H52" s="706">
        <f t="shared" si="18"/>
        <v>45</v>
      </c>
      <c r="I52" s="204">
        <f t="shared" si="19"/>
        <v>52.125</v>
      </c>
      <c r="J52" s="722">
        <f t="shared" si="20"/>
        <v>52.125</v>
      </c>
      <c r="K52" s="707"/>
      <c r="L52" s="712"/>
      <c r="M52" s="712"/>
      <c r="N52" s="725"/>
    </row>
    <row r="53" spans="1:14" ht="15.75" customHeight="1">
      <c r="A53" s="2032" t="s">
        <v>518</v>
      </c>
      <c r="B53" s="726" t="s">
        <v>1129</v>
      </c>
      <c r="C53" s="706">
        <v>3</v>
      </c>
      <c r="D53" s="706">
        <v>1.5</v>
      </c>
      <c r="E53" s="706">
        <v>1</v>
      </c>
      <c r="F53" s="706">
        <v>1</v>
      </c>
      <c r="G53" s="706">
        <v>10</v>
      </c>
      <c r="H53" s="706">
        <f t="shared" si="18"/>
        <v>45</v>
      </c>
      <c r="I53" s="204">
        <f t="shared" si="19"/>
        <v>52.125</v>
      </c>
      <c r="J53" s="722">
        <f t="shared" si="20"/>
        <v>52.125</v>
      </c>
      <c r="K53" s="707"/>
      <c r="L53" s="712"/>
      <c r="M53" s="712"/>
      <c r="N53" s="725" t="s">
        <v>1130</v>
      </c>
    </row>
    <row r="54" spans="1:14" ht="15.75" customHeight="1">
      <c r="A54" s="2032" t="s">
        <v>503</v>
      </c>
      <c r="B54" s="726" t="s">
        <v>1131</v>
      </c>
      <c r="C54" s="706">
        <v>3</v>
      </c>
      <c r="D54" s="706">
        <v>1.5</v>
      </c>
      <c r="E54" s="706">
        <v>1</v>
      </c>
      <c r="F54" s="706">
        <v>1</v>
      </c>
      <c r="G54" s="706">
        <v>10</v>
      </c>
      <c r="H54" s="706">
        <f t="shared" si="18"/>
        <v>45</v>
      </c>
      <c r="I54" s="204">
        <f t="shared" si="19"/>
        <v>52.125</v>
      </c>
      <c r="J54" s="722">
        <f t="shared" si="20"/>
        <v>52.125</v>
      </c>
      <c r="K54" s="707"/>
      <c r="L54" s="712"/>
      <c r="M54" s="712"/>
      <c r="N54" s="725"/>
    </row>
    <row r="55" spans="1:14" ht="15.75" customHeight="1">
      <c r="A55" s="2032" t="s">
        <v>659</v>
      </c>
      <c r="B55" s="726" t="s">
        <v>1132</v>
      </c>
      <c r="C55" s="706">
        <v>3</v>
      </c>
      <c r="D55" s="706">
        <v>1.5</v>
      </c>
      <c r="E55" s="706">
        <v>1</v>
      </c>
      <c r="F55" s="706">
        <v>1</v>
      </c>
      <c r="G55" s="706">
        <v>10</v>
      </c>
      <c r="H55" s="706">
        <f t="shared" si="18"/>
        <v>45</v>
      </c>
      <c r="I55" s="204">
        <f t="shared" si="19"/>
        <v>52.125</v>
      </c>
      <c r="J55" s="722">
        <f t="shared" si="20"/>
        <v>52.125</v>
      </c>
      <c r="K55" s="707"/>
      <c r="L55" s="712"/>
      <c r="M55" s="712"/>
      <c r="N55" s="725"/>
    </row>
    <row r="56" spans="1:14" ht="15.75" customHeight="1">
      <c r="A56" s="2032" t="s">
        <v>662</v>
      </c>
      <c r="B56" s="726" t="s">
        <v>1133</v>
      </c>
      <c r="C56" s="706">
        <v>3</v>
      </c>
      <c r="D56" s="706">
        <v>1.5</v>
      </c>
      <c r="E56" s="706">
        <v>1</v>
      </c>
      <c r="F56" s="706">
        <v>1</v>
      </c>
      <c r="G56" s="706">
        <v>10</v>
      </c>
      <c r="H56" s="706">
        <f t="shared" si="18"/>
        <v>45</v>
      </c>
      <c r="I56" s="204">
        <f t="shared" si="19"/>
        <v>52.125</v>
      </c>
      <c r="J56" s="722">
        <f t="shared" si="20"/>
        <v>52.125</v>
      </c>
      <c r="K56" s="707"/>
      <c r="L56" s="712"/>
      <c r="M56" s="712"/>
      <c r="N56" s="725"/>
    </row>
    <row r="57" spans="1:14" ht="15.75" customHeight="1">
      <c r="A57" s="2032" t="s">
        <v>664</v>
      </c>
      <c r="B57" s="726" t="s">
        <v>1134</v>
      </c>
      <c r="C57" s="706">
        <v>3</v>
      </c>
      <c r="D57" s="706">
        <v>1.5</v>
      </c>
      <c r="E57" s="706">
        <v>1</v>
      </c>
      <c r="F57" s="706">
        <v>1</v>
      </c>
      <c r="G57" s="706">
        <v>10</v>
      </c>
      <c r="H57" s="706">
        <f t="shared" si="18"/>
        <v>45</v>
      </c>
      <c r="I57" s="204">
        <f t="shared" si="19"/>
        <v>52.125</v>
      </c>
      <c r="J57" s="722">
        <f t="shared" si="20"/>
        <v>52.125</v>
      </c>
      <c r="K57" s="707"/>
      <c r="L57" s="712"/>
      <c r="M57" s="712"/>
      <c r="N57" s="725"/>
    </row>
    <row r="58" spans="1:14" ht="15.75" customHeight="1">
      <c r="A58" s="2032" t="s">
        <v>667</v>
      </c>
      <c r="B58" s="726" t="s">
        <v>1135</v>
      </c>
      <c r="C58" s="706">
        <v>3</v>
      </c>
      <c r="D58" s="706">
        <v>1.5</v>
      </c>
      <c r="E58" s="706">
        <v>1</v>
      </c>
      <c r="F58" s="706">
        <v>1</v>
      </c>
      <c r="G58" s="706">
        <v>10</v>
      </c>
      <c r="H58" s="706">
        <f t="shared" si="18"/>
        <v>45</v>
      </c>
      <c r="I58" s="204">
        <f t="shared" si="19"/>
        <v>52.125</v>
      </c>
      <c r="J58" s="707"/>
      <c r="K58" s="722">
        <f>I58</f>
        <v>52.125</v>
      </c>
      <c r="L58" s="712"/>
      <c r="M58" s="712"/>
      <c r="N58" s="725" t="s">
        <v>1136</v>
      </c>
    </row>
    <row r="59" spans="1:14" ht="15.75" customHeight="1">
      <c r="A59" s="2032" t="s">
        <v>505</v>
      </c>
      <c r="B59" s="726" t="s">
        <v>1137</v>
      </c>
      <c r="C59" s="706">
        <v>3</v>
      </c>
      <c r="D59" s="706">
        <v>1.5</v>
      </c>
      <c r="E59" s="706">
        <v>1</v>
      </c>
      <c r="F59" s="706">
        <v>1</v>
      </c>
      <c r="G59" s="706">
        <v>10</v>
      </c>
      <c r="H59" s="706">
        <f t="shared" si="18"/>
        <v>45</v>
      </c>
      <c r="I59" s="204">
        <f t="shared" si="19"/>
        <v>52.125</v>
      </c>
      <c r="J59" s="722">
        <f t="shared" ref="J59:J60" si="21">I59</f>
        <v>52.125</v>
      </c>
      <c r="K59" s="707"/>
      <c r="L59" s="712"/>
      <c r="M59" s="712"/>
      <c r="N59" s="725"/>
    </row>
    <row r="60" spans="1:14" ht="15.75" customHeight="1">
      <c r="A60" s="2032" t="s">
        <v>668</v>
      </c>
      <c r="B60" s="726" t="s">
        <v>1138</v>
      </c>
      <c r="C60" s="706">
        <v>3</v>
      </c>
      <c r="D60" s="706">
        <v>1.5</v>
      </c>
      <c r="E60" s="706">
        <v>1</v>
      </c>
      <c r="F60" s="706">
        <v>1</v>
      </c>
      <c r="G60" s="706">
        <v>10</v>
      </c>
      <c r="H60" s="706">
        <f t="shared" si="18"/>
        <v>45</v>
      </c>
      <c r="I60" s="204">
        <f t="shared" si="19"/>
        <v>52.125</v>
      </c>
      <c r="J60" s="722">
        <f t="shared" si="21"/>
        <v>52.125</v>
      </c>
      <c r="K60" s="707"/>
      <c r="L60" s="712"/>
      <c r="M60" s="712"/>
      <c r="N60" s="725"/>
    </row>
    <row r="61" spans="1:14" ht="15.75" customHeight="1">
      <c r="A61" s="2032" t="s">
        <v>670</v>
      </c>
      <c r="B61" s="726" t="s">
        <v>1139</v>
      </c>
      <c r="C61" s="706">
        <v>3</v>
      </c>
      <c r="D61" s="706">
        <v>1.5</v>
      </c>
      <c r="E61" s="706">
        <v>1</v>
      </c>
      <c r="F61" s="706">
        <v>1</v>
      </c>
      <c r="G61" s="706">
        <v>10</v>
      </c>
      <c r="H61" s="706">
        <f t="shared" si="18"/>
        <v>45</v>
      </c>
      <c r="I61" s="204">
        <f t="shared" si="19"/>
        <v>52.125</v>
      </c>
      <c r="J61" s="707"/>
      <c r="K61" s="722">
        <f>I61</f>
        <v>52.125</v>
      </c>
      <c r="L61" s="712"/>
      <c r="M61" s="712"/>
      <c r="N61" s="725"/>
    </row>
    <row r="62" spans="1:14" ht="15.75" customHeight="1">
      <c r="A62" s="2032" t="s">
        <v>672</v>
      </c>
      <c r="B62" s="726" t="s">
        <v>1140</v>
      </c>
      <c r="C62" s="706">
        <v>3</v>
      </c>
      <c r="D62" s="706">
        <v>1.5</v>
      </c>
      <c r="E62" s="706">
        <v>1</v>
      </c>
      <c r="F62" s="706">
        <v>1</v>
      </c>
      <c r="G62" s="706">
        <v>10</v>
      </c>
      <c r="H62" s="706">
        <f t="shared" si="18"/>
        <v>45</v>
      </c>
      <c r="I62" s="204">
        <f t="shared" si="19"/>
        <v>52.125</v>
      </c>
      <c r="J62" s="722">
        <f t="shared" ref="J62:J64" si="22">I62</f>
        <v>52.125</v>
      </c>
      <c r="K62" s="707"/>
      <c r="L62" s="712"/>
      <c r="M62" s="712"/>
      <c r="N62" s="725"/>
    </row>
    <row r="63" spans="1:14" ht="15.75" customHeight="1">
      <c r="A63" s="2032" t="s">
        <v>706</v>
      </c>
      <c r="B63" s="726" t="s">
        <v>1141</v>
      </c>
      <c r="C63" s="706">
        <v>3</v>
      </c>
      <c r="D63" s="706">
        <v>1.5</v>
      </c>
      <c r="E63" s="706">
        <v>2</v>
      </c>
      <c r="F63" s="706">
        <v>1</v>
      </c>
      <c r="G63" s="706">
        <v>20</v>
      </c>
      <c r="H63" s="706">
        <f t="shared" si="18"/>
        <v>90</v>
      </c>
      <c r="I63" s="204">
        <f t="shared" si="19"/>
        <v>104.25</v>
      </c>
      <c r="J63" s="722">
        <f t="shared" si="22"/>
        <v>104.25</v>
      </c>
      <c r="K63" s="707"/>
      <c r="L63" s="712"/>
      <c r="M63" s="712"/>
      <c r="N63" s="725" t="s">
        <v>1142</v>
      </c>
    </row>
    <row r="64" spans="1:14" ht="15.75" customHeight="1">
      <c r="A64" s="2032" t="s">
        <v>708</v>
      </c>
      <c r="B64" s="726" t="s">
        <v>1143</v>
      </c>
      <c r="C64" s="706">
        <v>3</v>
      </c>
      <c r="D64" s="706">
        <v>1.5</v>
      </c>
      <c r="E64" s="706">
        <v>2</v>
      </c>
      <c r="F64" s="706">
        <v>1</v>
      </c>
      <c r="G64" s="706">
        <v>20</v>
      </c>
      <c r="H64" s="706">
        <f t="shared" si="18"/>
        <v>90</v>
      </c>
      <c r="I64" s="204">
        <f t="shared" si="19"/>
        <v>104.25</v>
      </c>
      <c r="J64" s="722">
        <f t="shared" si="22"/>
        <v>104.25</v>
      </c>
      <c r="K64" s="707"/>
      <c r="L64" s="712"/>
      <c r="M64" s="712"/>
      <c r="N64" s="725"/>
    </row>
    <row r="65" spans="1:12" ht="15.75" customHeight="1">
      <c r="A65" s="2032" t="s">
        <v>710</v>
      </c>
      <c r="B65" s="726" t="s">
        <v>1144</v>
      </c>
      <c r="C65" s="706">
        <v>3</v>
      </c>
      <c r="D65" s="706">
        <v>1.5</v>
      </c>
      <c r="E65" s="706">
        <v>2</v>
      </c>
      <c r="F65" s="706">
        <v>1</v>
      </c>
      <c r="G65" s="706">
        <v>20</v>
      </c>
      <c r="H65" s="706">
        <f t="shared" si="18"/>
        <v>90</v>
      </c>
      <c r="I65" s="204">
        <f t="shared" si="19"/>
        <v>104.25</v>
      </c>
      <c r="J65" s="707">
        <v>0</v>
      </c>
      <c r="K65" s="722">
        <f t="shared" ref="K65:K67" si="23">I65</f>
        <v>104.25</v>
      </c>
      <c r="L65" s="712"/>
    </row>
    <row r="66" spans="1:12" ht="15.75" customHeight="1">
      <c r="A66" s="2032" t="s">
        <v>712</v>
      </c>
      <c r="B66" s="726" t="s">
        <v>1145</v>
      </c>
      <c r="C66" s="706">
        <v>3</v>
      </c>
      <c r="D66" s="706">
        <v>1.5</v>
      </c>
      <c r="E66" s="706">
        <v>2</v>
      </c>
      <c r="F66" s="706">
        <v>1</v>
      </c>
      <c r="G66" s="706">
        <v>20</v>
      </c>
      <c r="H66" s="706">
        <f t="shared" si="18"/>
        <v>90</v>
      </c>
      <c r="I66" s="204">
        <f t="shared" si="19"/>
        <v>104.25</v>
      </c>
      <c r="J66" s="707">
        <v>0</v>
      </c>
      <c r="K66" s="722">
        <f t="shared" si="23"/>
        <v>104.25</v>
      </c>
      <c r="L66" s="712"/>
    </row>
    <row r="67" spans="1:12" ht="15.75" customHeight="1">
      <c r="A67" s="2032" t="s">
        <v>714</v>
      </c>
      <c r="B67" s="726" t="s">
        <v>1146</v>
      </c>
      <c r="C67" s="706">
        <v>3</v>
      </c>
      <c r="D67" s="706">
        <v>1.5</v>
      </c>
      <c r="E67" s="706">
        <v>2</v>
      </c>
      <c r="F67" s="706">
        <v>1</v>
      </c>
      <c r="G67" s="706">
        <v>20</v>
      </c>
      <c r="H67" s="706">
        <f t="shared" si="18"/>
        <v>90</v>
      </c>
      <c r="I67" s="204">
        <f t="shared" si="19"/>
        <v>104.25</v>
      </c>
      <c r="J67" s="707">
        <v>0</v>
      </c>
      <c r="K67" s="722">
        <f t="shared" si="23"/>
        <v>104.25</v>
      </c>
      <c r="L67" s="712"/>
    </row>
    <row r="68" spans="1:12" ht="15.75" customHeight="1">
      <c r="A68" s="727" t="s">
        <v>265</v>
      </c>
      <c r="B68" s="728" t="s">
        <v>556</v>
      </c>
      <c r="C68" s="729">
        <f t="shared" ref="C68:K68" si="24">SUM(C69:C72)</f>
        <v>0</v>
      </c>
      <c r="D68" s="729">
        <f t="shared" si="24"/>
        <v>0</v>
      </c>
      <c r="E68" s="729">
        <f t="shared" si="24"/>
        <v>0</v>
      </c>
      <c r="F68" s="729">
        <f t="shared" si="24"/>
        <v>0</v>
      </c>
      <c r="G68" s="729">
        <f t="shared" si="24"/>
        <v>19</v>
      </c>
      <c r="H68" s="729">
        <f t="shared" si="24"/>
        <v>0</v>
      </c>
      <c r="I68" s="729">
        <f t="shared" si="24"/>
        <v>665</v>
      </c>
      <c r="J68" s="729">
        <f t="shared" si="24"/>
        <v>350</v>
      </c>
      <c r="K68" s="729">
        <f t="shared" si="24"/>
        <v>315</v>
      </c>
      <c r="L68" s="2033"/>
    </row>
    <row r="69" spans="1:12" ht="15.75" customHeight="1">
      <c r="A69" s="730" t="s">
        <v>557</v>
      </c>
      <c r="B69" s="2034" t="s">
        <v>1147</v>
      </c>
      <c r="C69" s="2035"/>
      <c r="D69" s="2035"/>
      <c r="E69" s="2035"/>
      <c r="F69" s="2035"/>
      <c r="G69" s="2035">
        <v>16</v>
      </c>
      <c r="H69" s="706"/>
      <c r="I69" s="2017">
        <f t="shared" ref="I69:I72" si="25">G69*35</f>
        <v>560</v>
      </c>
      <c r="J69" s="729">
        <f t="shared" ref="J69:K69" si="26">8*35</f>
        <v>280</v>
      </c>
      <c r="K69" s="2036">
        <f t="shared" si="26"/>
        <v>280</v>
      </c>
      <c r="L69" s="2037"/>
    </row>
    <row r="70" spans="1:12" ht="15.75" customHeight="1">
      <c r="A70" s="730" t="s">
        <v>572</v>
      </c>
      <c r="B70" s="2034" t="s">
        <v>1148</v>
      </c>
      <c r="C70" s="2035"/>
      <c r="D70" s="2035"/>
      <c r="E70" s="2035"/>
      <c r="F70" s="2035"/>
      <c r="G70" s="2035">
        <v>0</v>
      </c>
      <c r="H70" s="706"/>
      <c r="I70" s="2017">
        <f t="shared" si="25"/>
        <v>0</v>
      </c>
      <c r="J70" s="707">
        <f t="shared" ref="J70:J71" si="27">G70*35</f>
        <v>0</v>
      </c>
      <c r="K70" s="2036"/>
      <c r="L70" s="2037"/>
    </row>
    <row r="71" spans="1:12" ht="15.75" customHeight="1">
      <c r="A71" s="730" t="s">
        <v>573</v>
      </c>
      <c r="B71" s="2034" t="s">
        <v>1149</v>
      </c>
      <c r="C71" s="2035"/>
      <c r="D71" s="2035"/>
      <c r="E71" s="2035"/>
      <c r="F71" s="2035"/>
      <c r="G71" s="2035">
        <v>0</v>
      </c>
      <c r="H71" s="706"/>
      <c r="I71" s="2017">
        <f t="shared" si="25"/>
        <v>0</v>
      </c>
      <c r="J71" s="707">
        <f t="shared" si="27"/>
        <v>0</v>
      </c>
      <c r="K71" s="2036">
        <v>0</v>
      </c>
      <c r="L71" s="2037"/>
    </row>
    <row r="72" spans="1:12" ht="15.75" customHeight="1">
      <c r="A72" s="730" t="s">
        <v>560</v>
      </c>
      <c r="B72" s="2034" t="s">
        <v>1150</v>
      </c>
      <c r="C72" s="2035"/>
      <c r="D72" s="2035"/>
      <c r="E72" s="2035"/>
      <c r="F72" s="2035"/>
      <c r="G72" s="2035">
        <v>3</v>
      </c>
      <c r="H72" s="706"/>
      <c r="I72" s="2017">
        <f t="shared" si="25"/>
        <v>105</v>
      </c>
      <c r="J72" s="707">
        <f>2*35</f>
        <v>70</v>
      </c>
      <c r="K72" s="2036">
        <f>1*35</f>
        <v>35</v>
      </c>
      <c r="L72" s="2037"/>
    </row>
    <row r="73" spans="1:12" ht="15.75" customHeight="1">
      <c r="A73" s="731" t="s">
        <v>284</v>
      </c>
      <c r="B73" s="2038" t="s">
        <v>514</v>
      </c>
      <c r="C73" s="2039"/>
      <c r="D73" s="2039"/>
      <c r="E73" s="2039"/>
      <c r="F73" s="2039"/>
      <c r="G73" s="2039"/>
      <c r="H73" s="2039"/>
      <c r="I73" s="2039"/>
      <c r="J73" s="2039"/>
      <c r="K73" s="2040"/>
      <c r="L73" s="2041"/>
    </row>
    <row r="74" spans="1:12" ht="15.75" customHeight="1">
      <c r="A74" s="2042">
        <v>1</v>
      </c>
      <c r="B74" s="678" t="s">
        <v>515</v>
      </c>
      <c r="C74" s="732"/>
      <c r="D74" s="732"/>
      <c r="E74" s="732"/>
      <c r="F74" s="732"/>
      <c r="G74" s="732"/>
      <c r="H74" s="733"/>
      <c r="I74" s="734"/>
      <c r="J74" s="732"/>
      <c r="K74" s="735"/>
      <c r="L74" s="736"/>
    </row>
    <row r="75" spans="1:12" ht="15.75" customHeight="1">
      <c r="A75" s="2043" t="s">
        <v>263</v>
      </c>
      <c r="B75" s="737" t="s">
        <v>592</v>
      </c>
      <c r="C75" s="738"/>
      <c r="D75" s="738"/>
      <c r="E75" s="738"/>
      <c r="F75" s="738"/>
      <c r="G75" s="738"/>
      <c r="H75" s="739"/>
      <c r="I75" s="734"/>
      <c r="J75" s="738"/>
      <c r="K75" s="740"/>
      <c r="L75" s="741"/>
    </row>
    <row r="76" spans="1:12" ht="15.75" customHeight="1">
      <c r="A76" s="2028" t="s">
        <v>479</v>
      </c>
      <c r="B76" s="726" t="s">
        <v>1151</v>
      </c>
      <c r="C76" s="706"/>
      <c r="D76" s="706"/>
      <c r="E76" s="706"/>
      <c r="F76" s="706"/>
      <c r="G76" s="706"/>
      <c r="H76" s="742"/>
      <c r="I76" s="742"/>
      <c r="J76" s="707"/>
      <c r="K76" s="707"/>
      <c r="L76" s="712"/>
    </row>
    <row r="77" spans="1:12" ht="15.75" customHeight="1">
      <c r="A77" s="2018" t="s">
        <v>265</v>
      </c>
      <c r="B77" s="743" t="s">
        <v>593</v>
      </c>
      <c r="C77" s="706"/>
      <c r="D77" s="706"/>
      <c r="E77" s="706"/>
      <c r="F77" s="706"/>
      <c r="G77" s="706"/>
      <c r="H77" s="706"/>
      <c r="I77" s="2017"/>
      <c r="J77" s="707"/>
      <c r="K77" s="707"/>
      <c r="L77" s="712"/>
    </row>
    <row r="78" spans="1:12" ht="15.75" customHeight="1">
      <c r="A78" s="2044">
        <v>2</v>
      </c>
      <c r="B78" s="744" t="s">
        <v>519</v>
      </c>
      <c r="C78" s="706"/>
      <c r="D78" s="706"/>
      <c r="E78" s="706"/>
      <c r="F78" s="706"/>
      <c r="G78" s="706"/>
      <c r="H78" s="706"/>
      <c r="I78" s="2017"/>
      <c r="J78" s="707"/>
      <c r="K78" s="707"/>
      <c r="L78" s="712"/>
    </row>
    <row r="79" spans="1:12" ht="15.75" customHeight="1">
      <c r="A79" s="2044" t="s">
        <v>263</v>
      </c>
      <c r="B79" s="710" t="s">
        <v>595</v>
      </c>
      <c r="C79" s="706"/>
      <c r="D79" s="706"/>
      <c r="E79" s="706"/>
      <c r="F79" s="706"/>
      <c r="G79" s="706"/>
      <c r="H79" s="706"/>
      <c r="I79" s="2017"/>
      <c r="J79" s="707"/>
      <c r="K79" s="707"/>
      <c r="L79" s="712"/>
    </row>
    <row r="80" spans="1:12" ht="15.75" customHeight="1">
      <c r="A80" s="2028" t="s">
        <v>479</v>
      </c>
      <c r="B80" s="726" t="s">
        <v>596</v>
      </c>
      <c r="C80" s="706"/>
      <c r="D80" s="706"/>
      <c r="E80" s="706"/>
      <c r="F80" s="706"/>
      <c r="G80" s="706"/>
      <c r="H80" s="706"/>
      <c r="I80" s="2017"/>
      <c r="J80" s="707"/>
      <c r="K80" s="707"/>
      <c r="L80" s="712"/>
    </row>
    <row r="81" spans="1:12" ht="15.75" customHeight="1">
      <c r="A81" s="2028" t="s">
        <v>481</v>
      </c>
      <c r="B81" s="726" t="s">
        <v>596</v>
      </c>
      <c r="C81" s="706"/>
      <c r="D81" s="706"/>
      <c r="E81" s="706"/>
      <c r="F81" s="706"/>
      <c r="G81" s="706"/>
      <c r="H81" s="706"/>
      <c r="I81" s="2017"/>
      <c r="J81" s="707"/>
      <c r="K81" s="707"/>
      <c r="L81" s="712"/>
    </row>
    <row r="82" spans="1:12" ht="15.75" customHeight="1">
      <c r="A82" s="2028" t="s">
        <v>483</v>
      </c>
      <c r="B82" s="726" t="s">
        <v>596</v>
      </c>
      <c r="C82" s="706"/>
      <c r="D82" s="706"/>
      <c r="E82" s="706"/>
      <c r="F82" s="706"/>
      <c r="G82" s="706"/>
      <c r="H82" s="706"/>
      <c r="I82" s="2017"/>
      <c r="J82" s="707"/>
      <c r="K82" s="707"/>
      <c r="L82" s="712"/>
    </row>
    <row r="83" spans="1:12" ht="15.75" customHeight="1">
      <c r="A83" s="2028" t="s">
        <v>484</v>
      </c>
      <c r="B83" s="726" t="s">
        <v>596</v>
      </c>
      <c r="C83" s="706"/>
      <c r="D83" s="706"/>
      <c r="E83" s="706"/>
      <c r="F83" s="706"/>
      <c r="G83" s="706"/>
      <c r="H83" s="706"/>
      <c r="I83" s="2017"/>
      <c r="J83" s="707"/>
      <c r="K83" s="707"/>
      <c r="L83" s="712"/>
    </row>
    <row r="84" spans="1:12" ht="15.75" customHeight="1">
      <c r="A84" s="2028" t="s">
        <v>485</v>
      </c>
      <c r="B84" s="726" t="s">
        <v>596</v>
      </c>
      <c r="C84" s="706"/>
      <c r="D84" s="706"/>
      <c r="E84" s="706"/>
      <c r="F84" s="706"/>
      <c r="G84" s="706"/>
      <c r="H84" s="706"/>
      <c r="I84" s="2017"/>
      <c r="J84" s="707"/>
      <c r="K84" s="707"/>
      <c r="L84" s="712"/>
    </row>
    <row r="85" spans="1:12" ht="15.75" customHeight="1">
      <c r="A85" s="745" t="s">
        <v>206</v>
      </c>
      <c r="B85" s="746" t="s">
        <v>597</v>
      </c>
      <c r="C85" s="654"/>
      <c r="D85" s="654"/>
      <c r="E85" s="656"/>
      <c r="F85" s="654"/>
      <c r="G85" s="654"/>
      <c r="H85" s="654"/>
      <c r="I85" s="654"/>
      <c r="J85" s="747"/>
      <c r="K85" s="747"/>
      <c r="L85" s="748"/>
    </row>
  </sheetData>
  <mergeCells count="19">
    <mergeCell ref="A1:C1"/>
    <mergeCell ref="J1:L1"/>
    <mergeCell ref="A2:C2"/>
    <mergeCell ref="J2:L2"/>
    <mergeCell ref="A3:M3"/>
    <mergeCell ref="A4:M4"/>
    <mergeCell ref="A5:M5"/>
    <mergeCell ref="H7:H8"/>
    <mergeCell ref="I7:I8"/>
    <mergeCell ref="J7:L7"/>
    <mergeCell ref="M7:M8"/>
    <mergeCell ref="N14:N19"/>
    <mergeCell ref="A7:A8"/>
    <mergeCell ref="B7:B8"/>
    <mergeCell ref="C7:C8"/>
    <mergeCell ref="D7:D8"/>
    <mergeCell ref="E7:E8"/>
    <mergeCell ref="F7:F8"/>
    <mergeCell ref="G7:G8"/>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100"/>
  <sheetViews>
    <sheetView workbookViewId="0">
      <pane xSplit="2" ySplit="11" topLeftCell="C12"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46.7109375" customWidth="1"/>
    <col min="3" max="3" width="8.7109375" customWidth="1"/>
    <col min="4" max="4" width="22" customWidth="1"/>
    <col min="5" max="5" width="11.7109375" customWidth="1"/>
    <col min="6" max="7" width="14.7109375" customWidth="1"/>
    <col min="8" max="8" width="15.140625" customWidth="1"/>
    <col min="9" max="9" width="14.140625" customWidth="1"/>
    <col min="10" max="10" width="9.42578125" customWidth="1"/>
    <col min="11" max="11" width="8.28515625" customWidth="1"/>
    <col min="12" max="12" width="6.7109375" customWidth="1"/>
    <col min="13" max="26" width="8.7109375" customWidth="1"/>
  </cols>
  <sheetData>
    <row r="1" spans="1:14" ht="14.25" customHeight="1">
      <c r="A1" s="2788" t="s">
        <v>450</v>
      </c>
      <c r="B1" s="2732"/>
      <c r="C1" s="2732"/>
      <c r="D1" s="39"/>
      <c r="E1" s="39"/>
      <c r="F1" s="39"/>
      <c r="G1" s="39"/>
      <c r="H1" s="39"/>
      <c r="I1" s="40"/>
      <c r="J1" s="2836"/>
      <c r="K1" s="2732"/>
      <c r="L1" s="2732"/>
      <c r="M1" s="41"/>
      <c r="N1" s="41"/>
    </row>
    <row r="2" spans="1:14">
      <c r="A2" s="2844" t="s">
        <v>1152</v>
      </c>
      <c r="B2" s="2732"/>
      <c r="C2" s="2732"/>
      <c r="D2" s="167"/>
      <c r="E2" s="167"/>
      <c r="F2" s="167"/>
      <c r="G2" s="167"/>
      <c r="H2" s="167"/>
      <c r="I2" s="40"/>
      <c r="J2" s="2836"/>
      <c r="K2" s="2732"/>
      <c r="L2" s="2732"/>
      <c r="M2" s="41"/>
      <c r="N2" s="41"/>
    </row>
    <row r="3" spans="1:14" ht="24.75" customHeight="1">
      <c r="A3" s="2773" t="s">
        <v>832</v>
      </c>
      <c r="B3" s="2732"/>
      <c r="C3" s="2732"/>
      <c r="D3" s="2732"/>
      <c r="E3" s="2732"/>
      <c r="F3" s="2732"/>
      <c r="G3" s="2732"/>
      <c r="H3" s="2732"/>
      <c r="I3" s="2732"/>
      <c r="J3" s="2732"/>
      <c r="K3" s="2732"/>
      <c r="L3" s="2732"/>
      <c r="M3" s="41"/>
      <c r="N3" s="41"/>
    </row>
    <row r="4" spans="1:14" ht="15" customHeight="1">
      <c r="A4" s="2810" t="s">
        <v>524</v>
      </c>
      <c r="B4" s="2732"/>
      <c r="C4" s="2732"/>
      <c r="D4" s="2732"/>
      <c r="E4" s="2732"/>
      <c r="F4" s="2732"/>
      <c r="G4" s="2732"/>
      <c r="H4" s="2732"/>
      <c r="I4" s="2732"/>
      <c r="J4" s="2732"/>
      <c r="K4" s="2732"/>
      <c r="L4" s="2732"/>
      <c r="M4" s="41"/>
      <c r="N4" s="41"/>
    </row>
    <row r="5" spans="1:14" ht="1.5" customHeight="1">
      <c r="A5" s="2811" t="s">
        <v>432</v>
      </c>
      <c r="B5" s="2732"/>
      <c r="C5" s="2732"/>
      <c r="D5" s="2732"/>
      <c r="E5" s="2732"/>
      <c r="F5" s="2732"/>
      <c r="G5" s="2732"/>
      <c r="H5" s="2732"/>
      <c r="I5" s="2732"/>
      <c r="J5" s="2732"/>
      <c r="K5" s="2732"/>
      <c r="L5" s="2732"/>
      <c r="M5" s="41"/>
      <c r="N5" s="41"/>
    </row>
    <row r="6" spans="1:14" ht="7.5" customHeight="1">
      <c r="A6" s="46"/>
      <c r="B6" s="46"/>
      <c r="C6" s="749"/>
      <c r="D6" s="46"/>
      <c r="E6" s="46"/>
      <c r="F6" s="46"/>
      <c r="G6" s="46"/>
      <c r="H6" s="46"/>
      <c r="I6" s="46"/>
      <c r="J6" s="46"/>
      <c r="K6" s="46"/>
      <c r="L6" s="46"/>
      <c r="M6" s="41"/>
      <c r="N6" s="41"/>
    </row>
    <row r="7" spans="1:14" ht="38.25" customHeight="1">
      <c r="A7" s="2842" t="s">
        <v>186</v>
      </c>
      <c r="B7" s="2828" t="s">
        <v>453</v>
      </c>
      <c r="C7" s="2867" t="s">
        <v>454</v>
      </c>
      <c r="D7" s="2824" t="s">
        <v>528</v>
      </c>
      <c r="E7" s="2819" t="s">
        <v>456</v>
      </c>
      <c r="F7" s="2819" t="s">
        <v>457</v>
      </c>
      <c r="G7" s="2819" t="s">
        <v>621</v>
      </c>
      <c r="H7" s="2821" t="s">
        <v>459</v>
      </c>
      <c r="I7" s="2822" t="s">
        <v>439</v>
      </c>
      <c r="J7" s="2816" t="s">
        <v>622</v>
      </c>
      <c r="K7" s="2817"/>
      <c r="L7" s="2818"/>
      <c r="M7" s="41"/>
      <c r="N7" s="41" t="s">
        <v>1153</v>
      </c>
    </row>
    <row r="8" spans="1:14" ht="1.5" customHeight="1">
      <c r="A8" s="2843"/>
      <c r="B8" s="2779"/>
      <c r="C8" s="2779"/>
      <c r="D8" s="2820"/>
      <c r="E8" s="2820"/>
      <c r="F8" s="2820"/>
      <c r="G8" s="2820"/>
      <c r="H8" s="2820"/>
      <c r="I8" s="2820"/>
      <c r="J8" s="122" t="s">
        <v>461</v>
      </c>
      <c r="K8" s="122" t="s">
        <v>462</v>
      </c>
      <c r="L8" s="122" t="s">
        <v>463</v>
      </c>
      <c r="M8" s="41"/>
      <c r="N8" s="41"/>
    </row>
    <row r="9" spans="1:14" ht="55.5" customHeight="1">
      <c r="A9" s="444" t="s">
        <v>465</v>
      </c>
      <c r="B9" s="445" t="s">
        <v>466</v>
      </c>
      <c r="C9" s="750" t="s">
        <v>467</v>
      </c>
      <c r="D9" s="184" t="s">
        <v>468</v>
      </c>
      <c r="E9" s="185" t="s">
        <v>469</v>
      </c>
      <c r="F9" s="185" t="s">
        <v>470</v>
      </c>
      <c r="G9" s="185" t="s">
        <v>471</v>
      </c>
      <c r="H9" s="186" t="s">
        <v>472</v>
      </c>
      <c r="I9" s="419" t="s">
        <v>770</v>
      </c>
      <c r="J9" s="185" t="s">
        <v>474</v>
      </c>
      <c r="K9" s="185" t="s">
        <v>475</v>
      </c>
      <c r="L9" s="187">
        <v>-12</v>
      </c>
      <c r="M9" s="243"/>
      <c r="N9" s="243"/>
    </row>
    <row r="10" spans="1:14" ht="15" customHeight="1">
      <c r="A10" s="446" t="s">
        <v>200</v>
      </c>
      <c r="B10" s="502" t="s">
        <v>1154</v>
      </c>
      <c r="C10" s="751"/>
      <c r="D10" s="448"/>
      <c r="E10" s="448"/>
      <c r="F10" s="448"/>
      <c r="G10" s="448"/>
      <c r="H10" s="448"/>
      <c r="I10" s="448"/>
      <c r="J10" s="122" t="s">
        <v>461</v>
      </c>
      <c r="K10" s="122" t="s">
        <v>462</v>
      </c>
      <c r="L10" s="122" t="s">
        <v>463</v>
      </c>
      <c r="M10" s="41"/>
      <c r="N10" s="41"/>
    </row>
    <row r="11" spans="1:14" ht="1.5" customHeight="1">
      <c r="A11" s="1895" t="s">
        <v>258</v>
      </c>
      <c r="B11" s="1896" t="s">
        <v>477</v>
      </c>
      <c r="C11" s="2045"/>
      <c r="D11" s="1897"/>
      <c r="E11" s="1897"/>
      <c r="F11" s="1897"/>
      <c r="G11" s="1897"/>
      <c r="H11" s="1897"/>
      <c r="I11" s="1897"/>
      <c r="J11" s="185"/>
      <c r="K11" s="185"/>
      <c r="L11" s="187"/>
      <c r="M11" s="41"/>
      <c r="N11" s="41"/>
    </row>
    <row r="12" spans="1:14" ht="17.25" customHeight="1">
      <c r="A12" s="449">
        <v>1</v>
      </c>
      <c r="B12" s="752" t="s">
        <v>441</v>
      </c>
      <c r="C12" s="753"/>
      <c r="D12" s="451"/>
      <c r="E12" s="451"/>
      <c r="F12" s="451"/>
      <c r="G12" s="451"/>
      <c r="H12" s="451"/>
      <c r="I12" s="451"/>
      <c r="J12" s="451"/>
      <c r="K12" s="451"/>
      <c r="L12" s="451"/>
      <c r="M12" s="41"/>
      <c r="N12" s="41"/>
    </row>
    <row r="13" spans="1:14" ht="26.25" customHeight="1">
      <c r="A13" s="754" t="s">
        <v>263</v>
      </c>
      <c r="B13" s="755" t="s">
        <v>1155</v>
      </c>
      <c r="C13" s="756">
        <f t="shared" ref="C13:L13" si="0">SUM(C14:C24)</f>
        <v>39</v>
      </c>
      <c r="D13" s="757">
        <f t="shared" si="0"/>
        <v>11.4</v>
      </c>
      <c r="E13" s="757">
        <f t="shared" si="0"/>
        <v>11</v>
      </c>
      <c r="F13" s="757">
        <f t="shared" si="0"/>
        <v>12</v>
      </c>
      <c r="G13" s="757">
        <f t="shared" si="0"/>
        <v>491</v>
      </c>
      <c r="H13" s="757">
        <f t="shared" si="0"/>
        <v>1493.4</v>
      </c>
      <c r="I13" s="757">
        <f t="shared" si="0"/>
        <v>842.2</v>
      </c>
      <c r="J13" s="757">
        <f t="shared" si="0"/>
        <v>842.2</v>
      </c>
      <c r="K13" s="757">
        <f t="shared" si="0"/>
        <v>0</v>
      </c>
      <c r="L13" s="757">
        <f t="shared" si="0"/>
        <v>0</v>
      </c>
      <c r="M13" s="758" t="s">
        <v>1156</v>
      </c>
      <c r="N13" s="254"/>
    </row>
    <row r="14" spans="1:14">
      <c r="A14" s="759" t="s">
        <v>479</v>
      </c>
      <c r="B14" s="2046" t="s">
        <v>1157</v>
      </c>
      <c r="C14" s="2047">
        <v>5</v>
      </c>
      <c r="D14" s="2048">
        <v>1</v>
      </c>
      <c r="E14" s="2047">
        <v>1</v>
      </c>
      <c r="F14" s="2049">
        <v>1</v>
      </c>
      <c r="G14" s="2050">
        <v>21</v>
      </c>
      <c r="H14" s="2051">
        <f t="shared" ref="H14:H15" si="1">C14*D14*G14</f>
        <v>105</v>
      </c>
      <c r="I14" s="2052">
        <f t="shared" ref="I14:I15" si="2">C14*E14*F14*16.5</f>
        <v>82.5</v>
      </c>
      <c r="J14" s="2053">
        <f t="shared" ref="J14:J15" si="3">I14</f>
        <v>82.5</v>
      </c>
      <c r="K14" s="2053">
        <v>0</v>
      </c>
      <c r="L14" s="2053">
        <v>0</v>
      </c>
      <c r="N14" s="42"/>
    </row>
    <row r="15" spans="1:14" ht="15.75" customHeight="1">
      <c r="A15" s="759" t="s">
        <v>481</v>
      </c>
      <c r="B15" s="2046" t="s">
        <v>1158</v>
      </c>
      <c r="C15" s="2047">
        <v>5</v>
      </c>
      <c r="D15" s="2048">
        <v>1</v>
      </c>
      <c r="E15" s="2047">
        <v>1</v>
      </c>
      <c r="F15" s="2049">
        <v>1</v>
      </c>
      <c r="G15" s="2050">
        <v>21</v>
      </c>
      <c r="H15" s="2051">
        <f t="shared" si="1"/>
        <v>105</v>
      </c>
      <c r="I15" s="2052">
        <f t="shared" si="2"/>
        <v>82.5</v>
      </c>
      <c r="J15" s="2053">
        <f t="shared" si="3"/>
        <v>82.5</v>
      </c>
      <c r="K15" s="2053">
        <v>0</v>
      </c>
      <c r="L15" s="2053">
        <v>0</v>
      </c>
      <c r="M15" s="254"/>
      <c r="N15" s="254"/>
    </row>
    <row r="16" spans="1:14" ht="15.75" customHeight="1">
      <c r="A16" s="759" t="s">
        <v>1159</v>
      </c>
      <c r="B16" s="2046" t="s">
        <v>1160</v>
      </c>
      <c r="C16" s="2054">
        <v>2</v>
      </c>
      <c r="D16" s="2055">
        <v>1</v>
      </c>
      <c r="E16" s="2054">
        <v>1</v>
      </c>
      <c r="F16" s="2056">
        <v>1</v>
      </c>
      <c r="G16" s="2057">
        <v>21</v>
      </c>
      <c r="H16" s="2051">
        <v>42</v>
      </c>
      <c r="I16" s="2052">
        <v>21</v>
      </c>
      <c r="J16" s="2053">
        <v>21</v>
      </c>
      <c r="K16" s="2053">
        <v>0</v>
      </c>
      <c r="L16" s="2053">
        <v>0</v>
      </c>
      <c r="M16" s="254"/>
      <c r="N16" s="254"/>
    </row>
    <row r="17" spans="1:14" ht="15.75" customHeight="1">
      <c r="A17" s="759" t="s">
        <v>484</v>
      </c>
      <c r="B17" s="2046" t="s">
        <v>1161</v>
      </c>
      <c r="C17" s="2047">
        <v>4</v>
      </c>
      <c r="D17" s="2048">
        <v>1.3</v>
      </c>
      <c r="E17" s="2047">
        <v>1</v>
      </c>
      <c r="F17" s="2056">
        <v>1</v>
      </c>
      <c r="G17" s="2057">
        <v>66</v>
      </c>
      <c r="H17" s="2051">
        <f>C17*D17*G17</f>
        <v>343.2</v>
      </c>
      <c r="I17" s="2052">
        <f>SUM(C17*G17*0.8)</f>
        <v>211.20000000000002</v>
      </c>
      <c r="J17" s="2053">
        <f>I17</f>
        <v>211.20000000000002</v>
      </c>
      <c r="K17" s="2053">
        <v>0</v>
      </c>
      <c r="L17" s="2053">
        <v>0</v>
      </c>
      <c r="M17" s="254"/>
      <c r="N17" s="254"/>
    </row>
    <row r="18" spans="1:14" ht="15.75" customHeight="1">
      <c r="A18" s="759" t="s">
        <v>1162</v>
      </c>
      <c r="B18" s="2046" t="s">
        <v>1163</v>
      </c>
      <c r="C18" s="2054">
        <v>4</v>
      </c>
      <c r="D18" s="2048">
        <v>1</v>
      </c>
      <c r="E18" s="2054">
        <v>1</v>
      </c>
      <c r="F18" s="2056">
        <v>1</v>
      </c>
      <c r="G18" s="2057">
        <v>66</v>
      </c>
      <c r="H18" s="2051">
        <f>SUM(C18*E18*F18*16.5)</f>
        <v>66</v>
      </c>
      <c r="I18" s="2052">
        <f>SUM(C18*E18*F18*16.5)</f>
        <v>66</v>
      </c>
      <c r="J18" s="2053">
        <v>66</v>
      </c>
      <c r="K18" s="2053">
        <v>0</v>
      </c>
      <c r="L18" s="2053">
        <v>0</v>
      </c>
      <c r="M18" s="254"/>
      <c r="N18" s="254"/>
    </row>
    <row r="19" spans="1:14" ht="15.75" customHeight="1">
      <c r="A19" s="759" t="s">
        <v>486</v>
      </c>
      <c r="B19" s="2046" t="s">
        <v>1164</v>
      </c>
      <c r="C19" s="2047">
        <v>5</v>
      </c>
      <c r="D19" s="2048">
        <v>1</v>
      </c>
      <c r="E19" s="2047">
        <v>1</v>
      </c>
      <c r="F19" s="2049">
        <v>1</v>
      </c>
      <c r="G19" s="2050">
        <v>21</v>
      </c>
      <c r="H19" s="2051">
        <f t="shared" ref="H19:H22" si="4">C19*D19*G19</f>
        <v>105</v>
      </c>
      <c r="I19" s="2052">
        <f t="shared" ref="I19:I21" si="5">C19*E19*F19*16.5</f>
        <v>82.5</v>
      </c>
      <c r="J19" s="2053">
        <f t="shared" ref="J19:J22" si="6">I19</f>
        <v>82.5</v>
      </c>
      <c r="K19" s="2053">
        <v>0</v>
      </c>
      <c r="L19" s="2053">
        <v>0</v>
      </c>
      <c r="M19" s="254"/>
      <c r="N19" s="254"/>
    </row>
    <row r="20" spans="1:14" ht="15.75" customHeight="1">
      <c r="A20" s="759" t="s">
        <v>487</v>
      </c>
      <c r="B20" s="2046" t="s">
        <v>1165</v>
      </c>
      <c r="C20" s="2047">
        <v>4</v>
      </c>
      <c r="D20" s="2048">
        <v>1</v>
      </c>
      <c r="E20" s="2047">
        <v>1</v>
      </c>
      <c r="F20" s="2049">
        <v>1</v>
      </c>
      <c r="G20" s="2050">
        <v>21</v>
      </c>
      <c r="H20" s="2051">
        <f t="shared" si="4"/>
        <v>84</v>
      </c>
      <c r="I20" s="2052">
        <f t="shared" si="5"/>
        <v>66</v>
      </c>
      <c r="J20" s="2053">
        <f t="shared" si="6"/>
        <v>66</v>
      </c>
      <c r="K20" s="2053">
        <v>0</v>
      </c>
      <c r="L20" s="2053">
        <v>0</v>
      </c>
      <c r="M20" s="254"/>
      <c r="N20" s="254"/>
    </row>
    <row r="21" spans="1:14" ht="15.75" customHeight="1">
      <c r="A21" s="759" t="s">
        <v>488</v>
      </c>
      <c r="B21" s="2046" t="s">
        <v>1166</v>
      </c>
      <c r="C21" s="2047">
        <v>2</v>
      </c>
      <c r="D21" s="2048">
        <v>1</v>
      </c>
      <c r="E21" s="2047">
        <v>1</v>
      </c>
      <c r="F21" s="2049">
        <v>1</v>
      </c>
      <c r="G21" s="2050">
        <v>61</v>
      </c>
      <c r="H21" s="2051">
        <f t="shared" si="4"/>
        <v>122</v>
      </c>
      <c r="I21" s="2052">
        <f t="shared" si="5"/>
        <v>33</v>
      </c>
      <c r="J21" s="2053">
        <f t="shared" si="6"/>
        <v>33</v>
      </c>
      <c r="K21" s="2053">
        <v>0</v>
      </c>
      <c r="L21" s="2053">
        <v>0</v>
      </c>
      <c r="M21" s="254"/>
      <c r="N21" s="254"/>
    </row>
    <row r="22" spans="1:14">
      <c r="A22" s="759" t="s">
        <v>489</v>
      </c>
      <c r="B22" s="2046" t="s">
        <v>1167</v>
      </c>
      <c r="C22" s="2047">
        <v>2</v>
      </c>
      <c r="D22" s="2048">
        <v>1.1000000000000001</v>
      </c>
      <c r="E22" s="2047">
        <v>1</v>
      </c>
      <c r="F22" s="2049">
        <v>1</v>
      </c>
      <c r="G22" s="2050">
        <v>66</v>
      </c>
      <c r="H22" s="760">
        <f t="shared" si="4"/>
        <v>145.20000000000002</v>
      </c>
      <c r="I22" s="761">
        <f>C22*E22*F22*15*1/2+C22*E22*F22*16.5*2/3</f>
        <v>37</v>
      </c>
      <c r="J22" s="2053">
        <f t="shared" si="6"/>
        <v>37</v>
      </c>
      <c r="K22" s="2053">
        <v>0</v>
      </c>
      <c r="L22" s="2053">
        <v>0</v>
      </c>
      <c r="M22" s="254"/>
      <c r="N22" s="254">
        <v>64</v>
      </c>
    </row>
    <row r="23" spans="1:14" ht="15.75" customHeight="1">
      <c r="A23" s="762" t="s">
        <v>1168</v>
      </c>
      <c r="B23" s="2058" t="s">
        <v>1169</v>
      </c>
      <c r="C23" s="2059">
        <v>4</v>
      </c>
      <c r="D23" s="2060">
        <v>1</v>
      </c>
      <c r="E23" s="2059">
        <v>1</v>
      </c>
      <c r="F23" s="2061">
        <v>1</v>
      </c>
      <c r="G23" s="2059">
        <v>61</v>
      </c>
      <c r="H23" s="763">
        <f t="shared" ref="H23:H24" si="7">SUM(C23*D23*G23)</f>
        <v>244</v>
      </c>
      <c r="I23" s="764">
        <f>SUM(C23*E23*F23*16.5*3/4)+(C23*E23*F23*15*1/4*3)</f>
        <v>94.5</v>
      </c>
      <c r="J23" s="2062">
        <v>94.5</v>
      </c>
      <c r="K23" s="2062">
        <v>0</v>
      </c>
      <c r="L23" s="2062">
        <v>0</v>
      </c>
      <c r="M23" s="254"/>
      <c r="N23" s="254"/>
    </row>
    <row r="24" spans="1:14" ht="15.75" customHeight="1">
      <c r="A24" s="2063" t="s">
        <v>1170</v>
      </c>
      <c r="B24" s="2064" t="s">
        <v>1171</v>
      </c>
      <c r="C24" s="2065">
        <v>2</v>
      </c>
      <c r="D24" s="2066">
        <v>1</v>
      </c>
      <c r="E24" s="2065">
        <v>1</v>
      </c>
      <c r="F24" s="2067">
        <v>2</v>
      </c>
      <c r="G24" s="2065">
        <v>66</v>
      </c>
      <c r="H24" s="2068">
        <f t="shared" si="7"/>
        <v>132</v>
      </c>
      <c r="I24" s="2068">
        <f>SUM(C24*E24*F24*16.5)</f>
        <v>66</v>
      </c>
      <c r="J24" s="2068">
        <v>66</v>
      </c>
      <c r="K24" s="2068">
        <v>0</v>
      </c>
      <c r="L24" s="2068">
        <v>0</v>
      </c>
      <c r="M24" s="1977"/>
      <c r="N24" s="1977"/>
    </row>
    <row r="25" spans="1:14" ht="15.75" customHeight="1">
      <c r="A25" s="2069" t="s">
        <v>1172</v>
      </c>
      <c r="B25" s="755" t="s">
        <v>994</v>
      </c>
      <c r="C25" s="765">
        <f t="shared" ref="C25:L25" si="8">SUM(C26:C38)</f>
        <v>50</v>
      </c>
      <c r="D25" s="766">
        <f t="shared" si="8"/>
        <v>13.989999999999998</v>
      </c>
      <c r="E25" s="765">
        <f t="shared" si="8"/>
        <v>16</v>
      </c>
      <c r="F25" s="2070">
        <f t="shared" si="8"/>
        <v>13</v>
      </c>
      <c r="G25" s="765">
        <f t="shared" si="8"/>
        <v>685</v>
      </c>
      <c r="H25" s="767">
        <f t="shared" si="8"/>
        <v>2727.8</v>
      </c>
      <c r="I25" s="767">
        <f t="shared" si="8"/>
        <v>1189.5</v>
      </c>
      <c r="J25" s="767">
        <f t="shared" si="8"/>
        <v>1140</v>
      </c>
      <c r="K25" s="767">
        <f t="shared" si="8"/>
        <v>49.5</v>
      </c>
      <c r="L25" s="767">
        <f t="shared" si="8"/>
        <v>0</v>
      </c>
      <c r="M25" s="254" t="s">
        <v>1156</v>
      </c>
      <c r="N25" s="254"/>
    </row>
    <row r="26" spans="1:14" ht="15.75" customHeight="1">
      <c r="A26" s="768" t="s">
        <v>492</v>
      </c>
      <c r="B26" s="2046" t="s">
        <v>1173</v>
      </c>
      <c r="C26" s="2047">
        <v>3</v>
      </c>
      <c r="D26" s="2048">
        <v>1</v>
      </c>
      <c r="E26" s="2047">
        <v>4</v>
      </c>
      <c r="F26" s="2049">
        <v>1</v>
      </c>
      <c r="G26" s="2050">
        <v>200</v>
      </c>
      <c r="H26" s="2051">
        <f>C26*D26*G26</f>
        <v>600</v>
      </c>
      <c r="I26" s="2052">
        <f>C26*E26*F26*16.5</f>
        <v>198</v>
      </c>
      <c r="J26" s="2053">
        <f t="shared" ref="J26:J31" si="9">I26</f>
        <v>198</v>
      </c>
      <c r="K26" s="2053">
        <v>0</v>
      </c>
      <c r="L26" s="2053">
        <v>0</v>
      </c>
      <c r="M26" s="254"/>
      <c r="N26" s="254"/>
    </row>
    <row r="27" spans="1:14" ht="15.75" customHeight="1">
      <c r="A27" s="2071" t="s">
        <v>518</v>
      </c>
      <c r="B27" s="2046" t="s">
        <v>1174</v>
      </c>
      <c r="C27" s="2072">
        <v>3</v>
      </c>
      <c r="D27" s="2073">
        <v>1.3</v>
      </c>
      <c r="E27" s="2072">
        <v>1</v>
      </c>
      <c r="F27" s="2053">
        <v>1</v>
      </c>
      <c r="G27" s="2050">
        <v>30</v>
      </c>
      <c r="H27" s="2051">
        <f>SUM(C27*D27*G27)</f>
        <v>117.00000000000001</v>
      </c>
      <c r="I27" s="2052">
        <f>SUM(C27*E27*F27*16.5*1)+ (C27*G27*0.8*2/3)</f>
        <v>97.5</v>
      </c>
      <c r="J27" s="2053">
        <f t="shared" si="9"/>
        <v>97.5</v>
      </c>
      <c r="K27" s="2053">
        <v>0</v>
      </c>
      <c r="L27" s="2053">
        <v>0</v>
      </c>
      <c r="M27" s="254"/>
      <c r="N27" s="254"/>
    </row>
    <row r="28" spans="1:14">
      <c r="A28" s="768" t="s">
        <v>503</v>
      </c>
      <c r="B28" s="2046" t="s">
        <v>1175</v>
      </c>
      <c r="C28" s="2047">
        <v>5</v>
      </c>
      <c r="D28" s="2048">
        <v>1</v>
      </c>
      <c r="E28" s="2047">
        <v>1</v>
      </c>
      <c r="F28" s="2049">
        <v>1</v>
      </c>
      <c r="G28" s="2050">
        <v>30</v>
      </c>
      <c r="H28" s="2051">
        <f t="shared" ref="H28:H31" si="10">C28*D28*G28</f>
        <v>150</v>
      </c>
      <c r="I28" s="2052">
        <f t="shared" ref="I28:I29" si="11">C28*E28*F28*16.5</f>
        <v>82.5</v>
      </c>
      <c r="J28" s="2053">
        <f t="shared" si="9"/>
        <v>82.5</v>
      </c>
      <c r="K28" s="2053">
        <v>0</v>
      </c>
      <c r="L28" s="2053">
        <v>0</v>
      </c>
      <c r="M28" s="254"/>
      <c r="N28" s="254"/>
    </row>
    <row r="29" spans="1:14">
      <c r="A29" s="42" t="s">
        <v>1176</v>
      </c>
      <c r="B29" s="2046" t="s">
        <v>1177</v>
      </c>
      <c r="C29" s="2047">
        <v>2</v>
      </c>
      <c r="D29" s="2048">
        <v>1</v>
      </c>
      <c r="E29" s="2047">
        <v>1</v>
      </c>
      <c r="F29" s="2049">
        <v>1</v>
      </c>
      <c r="G29" s="2050">
        <v>21</v>
      </c>
      <c r="H29" s="2051">
        <f t="shared" si="10"/>
        <v>42</v>
      </c>
      <c r="I29" s="2052">
        <f t="shared" si="11"/>
        <v>33</v>
      </c>
      <c r="J29" s="2053">
        <f t="shared" si="9"/>
        <v>33</v>
      </c>
      <c r="K29" s="2053">
        <v>0</v>
      </c>
      <c r="L29" s="2053">
        <v>0</v>
      </c>
      <c r="M29" s="254"/>
      <c r="N29" s="254"/>
    </row>
    <row r="30" spans="1:14" ht="15.75" customHeight="1">
      <c r="A30" s="2071" t="s">
        <v>1178</v>
      </c>
      <c r="B30" s="2046" t="s">
        <v>1179</v>
      </c>
      <c r="C30" s="2047">
        <v>4</v>
      </c>
      <c r="D30" s="2074">
        <v>1.075</v>
      </c>
      <c r="E30" s="2047">
        <v>1</v>
      </c>
      <c r="F30" s="2049">
        <v>1</v>
      </c>
      <c r="G30" s="2050">
        <v>61</v>
      </c>
      <c r="H30" s="2051">
        <f t="shared" si="10"/>
        <v>262.3</v>
      </c>
      <c r="I30" s="2052">
        <f>SUM(C30*E30*F30*16.5*3/4)+(C30*E30*F30*15*1/4*3)</f>
        <v>94.5</v>
      </c>
      <c r="J30" s="2053">
        <f t="shared" si="9"/>
        <v>94.5</v>
      </c>
      <c r="K30" s="2053">
        <v>0</v>
      </c>
      <c r="L30" s="2053">
        <v>0</v>
      </c>
      <c r="M30" s="254"/>
      <c r="N30" s="254"/>
    </row>
    <row r="31" spans="1:14" ht="15.75" customHeight="1">
      <c r="A31" s="2071" t="s">
        <v>664</v>
      </c>
      <c r="B31" s="2046" t="s">
        <v>1180</v>
      </c>
      <c r="C31" s="2047">
        <v>5</v>
      </c>
      <c r="D31" s="2074">
        <v>1.18</v>
      </c>
      <c r="E31" s="2047">
        <v>1</v>
      </c>
      <c r="F31" s="2049">
        <v>1</v>
      </c>
      <c r="G31" s="2050">
        <v>66</v>
      </c>
      <c r="H31" s="2051">
        <f t="shared" si="10"/>
        <v>389.4</v>
      </c>
      <c r="I31" s="2052">
        <f>SUM(C31*E31*F31*16.5*3/5)+(C31*G31*0.8*2/6)</f>
        <v>137.5</v>
      </c>
      <c r="J31" s="769">
        <f t="shared" si="9"/>
        <v>137.5</v>
      </c>
      <c r="K31" s="2053">
        <v>0</v>
      </c>
      <c r="L31" s="2053">
        <v>0</v>
      </c>
      <c r="M31" s="254"/>
      <c r="N31" s="254"/>
    </row>
    <row r="32" spans="1:14" ht="15.75" customHeight="1">
      <c r="A32" s="2071" t="s">
        <v>1181</v>
      </c>
      <c r="B32" s="2046" t="s">
        <v>1182</v>
      </c>
      <c r="C32" s="2047">
        <v>5</v>
      </c>
      <c r="D32" s="2048">
        <v>1</v>
      </c>
      <c r="E32" s="2047">
        <v>1</v>
      </c>
      <c r="F32" s="2049">
        <v>1</v>
      </c>
      <c r="G32" s="2050">
        <v>66</v>
      </c>
      <c r="H32" s="2051">
        <f>SUM(C32*D32*G31)</f>
        <v>330</v>
      </c>
      <c r="I32" s="2075">
        <v>181.5</v>
      </c>
      <c r="J32" s="761">
        <v>181.5</v>
      </c>
      <c r="K32" s="2052">
        <v>0</v>
      </c>
      <c r="L32" s="2053">
        <v>0</v>
      </c>
      <c r="M32" s="254"/>
      <c r="N32" s="254"/>
    </row>
    <row r="33" spans="1:14" ht="15" customHeight="1">
      <c r="A33" s="2071" t="s">
        <v>505</v>
      </c>
      <c r="B33" s="2046" t="s">
        <v>1183</v>
      </c>
      <c r="C33" s="2047">
        <v>4</v>
      </c>
      <c r="D33" s="2048">
        <v>1</v>
      </c>
      <c r="E33" s="2047">
        <v>1</v>
      </c>
      <c r="F33" s="2049">
        <v>1</v>
      </c>
      <c r="G33" s="2050">
        <v>66</v>
      </c>
      <c r="H33" s="2051">
        <f t="shared" ref="H33:H34" si="12">C33*D33*G33</f>
        <v>264</v>
      </c>
      <c r="I33" s="2052">
        <f>C33*E33*F33*16.5</f>
        <v>66</v>
      </c>
      <c r="J33" s="2076">
        <v>66</v>
      </c>
      <c r="K33" s="761">
        <v>0</v>
      </c>
      <c r="L33" s="2053">
        <v>0</v>
      </c>
      <c r="M33" s="254"/>
      <c r="N33" s="254"/>
    </row>
    <row r="34" spans="1:14" ht="15.75" customHeight="1">
      <c r="A34" s="2071" t="s">
        <v>668</v>
      </c>
      <c r="B34" s="2046" t="s">
        <v>1184</v>
      </c>
      <c r="C34" s="2047">
        <v>5</v>
      </c>
      <c r="D34" s="2048">
        <v>1.18</v>
      </c>
      <c r="E34" s="2047">
        <v>1</v>
      </c>
      <c r="F34" s="2049">
        <v>1</v>
      </c>
      <c r="G34" s="2050">
        <v>21</v>
      </c>
      <c r="H34" s="2051">
        <f t="shared" si="12"/>
        <v>123.89999999999999</v>
      </c>
      <c r="I34" s="2052">
        <f>C34*E34*F34*16.5*3/5+C34*E34*F34*15*2/5</f>
        <v>79.5</v>
      </c>
      <c r="J34" s="2053">
        <f>I34</f>
        <v>79.5</v>
      </c>
      <c r="K34" s="2053">
        <v>0</v>
      </c>
      <c r="L34" s="2053">
        <v>0</v>
      </c>
      <c r="M34" s="254"/>
      <c r="N34" s="254">
        <v>62</v>
      </c>
    </row>
    <row r="35" spans="1:14" ht="15.75" customHeight="1">
      <c r="A35" s="2071" t="s">
        <v>1185</v>
      </c>
      <c r="B35" s="2046" t="s">
        <v>1186</v>
      </c>
      <c r="C35" s="2047">
        <v>5</v>
      </c>
      <c r="D35" s="2048">
        <v>1.18</v>
      </c>
      <c r="E35" s="2047">
        <v>1</v>
      </c>
      <c r="F35" s="2049">
        <v>1</v>
      </c>
      <c r="G35" s="2050">
        <v>21</v>
      </c>
      <c r="H35" s="2051">
        <f>SUM(C35*D35*G35)</f>
        <v>123.89999999999999</v>
      </c>
      <c r="I35" s="2052">
        <f>SUM(C35*E35*F35*16.5*3/5)+(C35*E35*F35*15*2/5)</f>
        <v>79.5</v>
      </c>
      <c r="J35" s="2053">
        <v>79.5</v>
      </c>
      <c r="K35" s="2053">
        <v>0</v>
      </c>
      <c r="L35" s="2053">
        <v>0</v>
      </c>
      <c r="M35" s="254"/>
      <c r="N35" s="254">
        <v>62</v>
      </c>
    </row>
    <row r="36" spans="1:14" ht="15.75" customHeight="1">
      <c r="A36" s="2071" t="s">
        <v>1187</v>
      </c>
      <c r="B36" s="2046" t="s">
        <v>1188</v>
      </c>
      <c r="C36" s="2047">
        <v>3</v>
      </c>
      <c r="D36" s="2074">
        <v>1</v>
      </c>
      <c r="E36" s="2047">
        <v>1</v>
      </c>
      <c r="F36" s="2049">
        <v>1</v>
      </c>
      <c r="G36" s="2050">
        <v>21</v>
      </c>
      <c r="H36" s="2051">
        <f>SUM(C36*D36*7)</f>
        <v>21</v>
      </c>
      <c r="I36" s="2052">
        <f>SUM(C36*E36*F36*16.5)</f>
        <v>49.5</v>
      </c>
      <c r="J36" s="2053">
        <v>0</v>
      </c>
      <c r="K36" s="2053">
        <v>49.5</v>
      </c>
      <c r="L36" s="2053">
        <v>0</v>
      </c>
      <c r="M36" s="254"/>
      <c r="N36" s="254">
        <v>62</v>
      </c>
    </row>
    <row r="37" spans="1:14" ht="15.75" customHeight="1">
      <c r="A37" s="2071" t="s">
        <v>1189</v>
      </c>
      <c r="B37" s="2046" t="s">
        <v>1190</v>
      </c>
      <c r="C37" s="770">
        <v>2</v>
      </c>
      <c r="D37" s="771">
        <v>1</v>
      </c>
      <c r="E37" s="770">
        <v>1</v>
      </c>
      <c r="F37" s="772">
        <v>1</v>
      </c>
      <c r="G37" s="773">
        <v>21</v>
      </c>
      <c r="H37" s="2077">
        <f>SUM(C37*D37*G37)</f>
        <v>42</v>
      </c>
      <c r="I37" s="2078">
        <v>21</v>
      </c>
      <c r="J37" s="774">
        <v>21</v>
      </c>
      <c r="K37" s="774">
        <v>0</v>
      </c>
      <c r="L37" s="774">
        <v>0</v>
      </c>
      <c r="M37" s="254"/>
      <c r="N37" s="254">
        <v>62</v>
      </c>
    </row>
    <row r="38" spans="1:14" ht="15.75" customHeight="1">
      <c r="A38" s="2071" t="s">
        <v>1191</v>
      </c>
      <c r="B38" s="2046" t="s">
        <v>1192</v>
      </c>
      <c r="C38" s="775">
        <v>4</v>
      </c>
      <c r="D38" s="775">
        <v>1.075</v>
      </c>
      <c r="E38" s="775">
        <v>1</v>
      </c>
      <c r="F38" s="776">
        <v>1</v>
      </c>
      <c r="G38" s="777">
        <v>61</v>
      </c>
      <c r="H38" s="2051">
        <f>C38*D38*G38</f>
        <v>262.3</v>
      </c>
      <c r="I38" s="2052">
        <f>C38*E38*F38*16.5*3/4+C38*E38*F38*15*1/3</f>
        <v>69.5</v>
      </c>
      <c r="J38" s="769">
        <f>I38</f>
        <v>69.5</v>
      </c>
      <c r="K38" s="769">
        <v>0</v>
      </c>
      <c r="L38" s="769">
        <v>0</v>
      </c>
      <c r="M38" s="254"/>
      <c r="N38" s="254">
        <v>63</v>
      </c>
    </row>
    <row r="39" spans="1:14" ht="24" customHeight="1">
      <c r="A39" s="2079"/>
      <c r="B39" s="778"/>
      <c r="C39" s="2080"/>
      <c r="D39" s="2081"/>
      <c r="E39" s="2080"/>
      <c r="F39" s="2082"/>
      <c r="G39" s="2080"/>
      <c r="H39" s="2082"/>
      <c r="I39" s="2082"/>
      <c r="J39" s="2082"/>
      <c r="K39" s="2082"/>
      <c r="L39" s="2082"/>
      <c r="M39" s="254" t="s">
        <v>1156</v>
      </c>
      <c r="N39" s="254"/>
    </row>
    <row r="40" spans="1:14" ht="15.75" customHeight="1">
      <c r="A40" s="2083" t="s">
        <v>1193</v>
      </c>
      <c r="B40" s="2084"/>
      <c r="C40" s="2047"/>
      <c r="D40" s="779"/>
      <c r="E40" s="2047"/>
      <c r="F40" s="2049"/>
      <c r="G40" s="2050"/>
      <c r="H40" s="2051"/>
      <c r="I40" s="2052"/>
      <c r="J40" s="2053"/>
      <c r="K40" s="2053"/>
      <c r="L40" s="2053"/>
      <c r="M40" s="254"/>
      <c r="N40" s="254"/>
    </row>
    <row r="41" spans="1:14" ht="16.5" customHeight="1">
      <c r="A41" s="2083" t="s">
        <v>1194</v>
      </c>
      <c r="B41" s="2084"/>
      <c r="C41" s="2047"/>
      <c r="D41" s="2048"/>
      <c r="E41" s="2047"/>
      <c r="F41" s="2049"/>
      <c r="G41" s="2050"/>
      <c r="H41" s="2051"/>
      <c r="I41" s="2052"/>
      <c r="J41" s="2053"/>
      <c r="K41" s="2053"/>
      <c r="L41" s="2053"/>
      <c r="M41" s="254"/>
      <c r="N41" s="254"/>
    </row>
    <row r="42" spans="1:14" ht="16.5" customHeight="1">
      <c r="A42" s="2083" t="s">
        <v>1194</v>
      </c>
      <c r="B42" s="2084"/>
      <c r="C42" s="2047"/>
      <c r="D42" s="2074"/>
      <c r="E42" s="2047"/>
      <c r="F42" s="2049"/>
      <c r="G42" s="2050"/>
      <c r="H42" s="2051"/>
      <c r="I42" s="2052"/>
      <c r="J42" s="2053"/>
      <c r="K42" s="2053"/>
      <c r="L42" s="2053"/>
      <c r="M42" s="254"/>
      <c r="N42" s="254"/>
    </row>
    <row r="43" spans="1:14" ht="16.5" customHeight="1">
      <c r="A43" s="2083" t="s">
        <v>1195</v>
      </c>
      <c r="B43" s="2084"/>
      <c r="C43" s="2047"/>
      <c r="D43" s="2048"/>
      <c r="E43" s="2047"/>
      <c r="F43" s="2049"/>
      <c r="G43" s="2050"/>
      <c r="H43" s="2051"/>
      <c r="I43" s="2052"/>
      <c r="J43" s="2053"/>
      <c r="K43" s="2053"/>
      <c r="L43" s="2053"/>
      <c r="M43" s="254"/>
      <c r="N43" s="254"/>
    </row>
    <row r="44" spans="1:14" ht="15.75" customHeight="1">
      <c r="A44" s="2085" t="s">
        <v>1196</v>
      </c>
      <c r="B44" s="2084"/>
      <c r="C44" s="2047"/>
      <c r="D44" s="2048"/>
      <c r="E44" s="2047"/>
      <c r="F44" s="2049"/>
      <c r="G44" s="2050"/>
      <c r="H44" s="2051"/>
      <c r="I44" s="2052"/>
      <c r="J44" s="2053"/>
      <c r="K44" s="2053"/>
      <c r="L44" s="2053"/>
      <c r="M44" s="254"/>
      <c r="N44" s="254"/>
    </row>
    <row r="45" spans="1:14" ht="15.75" customHeight="1">
      <c r="A45" s="2085" t="s">
        <v>1197</v>
      </c>
      <c r="B45" s="2084"/>
      <c r="C45" s="2047"/>
      <c r="D45" s="2048"/>
      <c r="E45" s="2047"/>
      <c r="F45" s="2049"/>
      <c r="G45" s="2050"/>
      <c r="H45" s="2051"/>
      <c r="I45" s="2052"/>
      <c r="J45" s="2053"/>
      <c r="K45" s="2053"/>
      <c r="L45" s="2053"/>
      <c r="M45" s="254"/>
      <c r="N45" s="254"/>
    </row>
    <row r="46" spans="1:14" ht="15.75" customHeight="1">
      <c r="A46" s="2085" t="s">
        <v>1198</v>
      </c>
      <c r="B46" s="2086"/>
      <c r="C46" s="2047"/>
      <c r="D46" s="2048"/>
      <c r="E46" s="2047"/>
      <c r="F46" s="2049"/>
      <c r="G46" s="2050"/>
      <c r="H46" s="2051"/>
      <c r="I46" s="2052"/>
      <c r="J46" s="2053"/>
      <c r="K46" s="2053"/>
      <c r="L46" s="2053"/>
      <c r="M46" s="254"/>
      <c r="N46" s="254"/>
    </row>
    <row r="47" spans="1:14" ht="15.75" customHeight="1">
      <c r="A47" s="2085" t="s">
        <v>1199</v>
      </c>
      <c r="B47" s="2046"/>
      <c r="C47" s="2047"/>
      <c r="D47" s="2048"/>
      <c r="E47" s="2047"/>
      <c r="F47" s="2049"/>
      <c r="G47" s="2050"/>
      <c r="H47" s="2051"/>
      <c r="I47" s="2052"/>
      <c r="J47" s="2053"/>
      <c r="K47" s="2053"/>
      <c r="L47" s="2053"/>
      <c r="M47" s="254"/>
      <c r="N47" s="254"/>
    </row>
    <row r="48" spans="1:14" ht="30" customHeight="1">
      <c r="A48" s="2085" t="s">
        <v>1200</v>
      </c>
      <c r="B48" s="2046"/>
      <c r="C48" s="2047"/>
      <c r="D48" s="2048"/>
      <c r="E48" s="2047"/>
      <c r="F48" s="2049"/>
      <c r="G48" s="2050"/>
      <c r="H48" s="760"/>
      <c r="I48" s="761"/>
      <c r="J48" s="2053"/>
      <c r="K48" s="2053"/>
      <c r="L48" s="2053"/>
      <c r="M48" s="254"/>
      <c r="N48" s="254"/>
    </row>
    <row r="49" spans="1:14" ht="15.75" customHeight="1">
      <c r="A49" s="2085" t="s">
        <v>265</v>
      </c>
      <c r="B49" s="780" t="s">
        <v>556</v>
      </c>
      <c r="C49" s="781"/>
      <c r="D49" s="782"/>
      <c r="E49" s="781"/>
      <c r="F49" s="783"/>
      <c r="G49" s="781"/>
      <c r="H49" s="783"/>
      <c r="I49" s="783"/>
      <c r="J49" s="784"/>
      <c r="K49" s="784"/>
      <c r="L49" s="784"/>
      <c r="M49" s="254"/>
      <c r="N49" s="254"/>
    </row>
    <row r="50" spans="1:14" ht="15.75" customHeight="1">
      <c r="A50" s="2071" t="s">
        <v>557</v>
      </c>
      <c r="B50" s="785" t="s">
        <v>1201</v>
      </c>
      <c r="C50" s="786"/>
      <c r="D50" s="787"/>
      <c r="E50" s="786"/>
      <c r="F50" s="788"/>
      <c r="G50" s="786"/>
      <c r="H50" s="788"/>
      <c r="I50" s="788"/>
      <c r="J50" s="789"/>
      <c r="K50" s="789"/>
      <c r="L50" s="789"/>
      <c r="M50" s="254"/>
      <c r="N50" s="254"/>
    </row>
    <row r="51" spans="1:14" ht="15.75" customHeight="1">
      <c r="A51" s="2071" t="s">
        <v>572</v>
      </c>
      <c r="B51" s="785" t="s">
        <v>1202</v>
      </c>
      <c r="C51" s="786"/>
      <c r="D51" s="787"/>
      <c r="E51" s="786"/>
      <c r="F51" s="788"/>
      <c r="G51" s="786"/>
      <c r="H51" s="788"/>
      <c r="I51" s="788"/>
      <c r="J51" s="789"/>
      <c r="K51" s="789"/>
      <c r="L51" s="789"/>
      <c r="M51" s="254"/>
      <c r="N51" s="254"/>
    </row>
    <row r="52" spans="1:14" ht="15.75" customHeight="1">
      <c r="A52" s="2071" t="s">
        <v>573</v>
      </c>
      <c r="B52" s="785" t="s">
        <v>1203</v>
      </c>
      <c r="C52" s="786"/>
      <c r="D52" s="787"/>
      <c r="E52" s="786"/>
      <c r="F52" s="788"/>
      <c r="G52" s="786"/>
      <c r="H52" s="788"/>
      <c r="I52" s="788"/>
      <c r="J52" s="789"/>
      <c r="K52" s="789"/>
      <c r="L52" s="789"/>
      <c r="M52" s="254"/>
      <c r="N52" s="254"/>
    </row>
    <row r="53" spans="1:14" ht="15.75" customHeight="1">
      <c r="A53" s="2071" t="s">
        <v>574</v>
      </c>
      <c r="B53" s="785" t="s">
        <v>1204</v>
      </c>
      <c r="C53" s="786"/>
      <c r="D53" s="787"/>
      <c r="E53" s="786"/>
      <c r="F53" s="788"/>
      <c r="G53" s="786"/>
      <c r="H53" s="788"/>
      <c r="I53" s="788"/>
      <c r="J53" s="789"/>
      <c r="K53" s="789"/>
      <c r="L53" s="789"/>
      <c r="M53" s="254"/>
      <c r="N53" s="254"/>
    </row>
    <row r="54" spans="1:14" ht="15.75" customHeight="1">
      <c r="A54" s="790" t="s">
        <v>575</v>
      </c>
      <c r="B54" s="2087" t="s">
        <v>1205</v>
      </c>
      <c r="C54" s="2088"/>
      <c r="D54" s="2089"/>
      <c r="E54" s="2088"/>
      <c r="F54" s="2090"/>
      <c r="G54" s="791"/>
      <c r="H54" s="788"/>
      <c r="I54" s="788"/>
      <c r="J54" s="789"/>
      <c r="K54" s="789"/>
      <c r="L54" s="789"/>
      <c r="M54" s="254"/>
      <c r="N54" s="254"/>
    </row>
    <row r="55" spans="1:14" ht="15.75" customHeight="1">
      <c r="A55" s="792">
        <v>2</v>
      </c>
      <c r="B55" s="793" t="s">
        <v>570</v>
      </c>
      <c r="C55" s="794"/>
      <c r="D55" s="795"/>
      <c r="E55" s="794"/>
      <c r="F55" s="796"/>
      <c r="G55" s="2054"/>
      <c r="H55" s="788"/>
      <c r="I55" s="788"/>
      <c r="J55" s="789"/>
      <c r="K55" s="789"/>
      <c r="L55" s="789"/>
      <c r="M55" s="254"/>
      <c r="N55" s="254"/>
    </row>
    <row r="56" spans="1:14" ht="15.75" customHeight="1">
      <c r="A56" s="797" t="s">
        <v>263</v>
      </c>
      <c r="B56" s="798" t="s">
        <v>571</v>
      </c>
      <c r="C56" s="794"/>
      <c r="D56" s="795"/>
      <c r="E56" s="794"/>
      <c r="F56" s="796"/>
      <c r="G56" s="2054"/>
      <c r="H56" s="2091"/>
      <c r="I56" s="788"/>
      <c r="J56" s="789"/>
      <c r="K56" s="789"/>
      <c r="L56" s="789"/>
      <c r="M56" s="254"/>
      <c r="N56" s="254"/>
    </row>
    <row r="57" spans="1:14" ht="15.75" customHeight="1">
      <c r="A57" s="797"/>
      <c r="B57" s="799" t="s">
        <v>516</v>
      </c>
      <c r="C57" s="800">
        <f t="shared" ref="C57:K57" si="13">SUM(C58:C65)</f>
        <v>24</v>
      </c>
      <c r="D57" s="801">
        <f t="shared" si="13"/>
        <v>12</v>
      </c>
      <c r="E57" s="802">
        <f t="shared" si="13"/>
        <v>8</v>
      </c>
      <c r="F57" s="803">
        <f t="shared" si="13"/>
        <v>8</v>
      </c>
      <c r="G57" s="804">
        <f t="shared" si="13"/>
        <v>64</v>
      </c>
      <c r="H57" s="2092">
        <f t="shared" si="13"/>
        <v>0</v>
      </c>
      <c r="I57" s="2093">
        <f t="shared" si="13"/>
        <v>417</v>
      </c>
      <c r="J57" s="2093">
        <f t="shared" si="13"/>
        <v>312.75</v>
      </c>
      <c r="K57" s="2094">
        <f t="shared" si="13"/>
        <v>52.125</v>
      </c>
      <c r="L57" s="2095">
        <v>0</v>
      </c>
      <c r="M57" s="2096" t="s">
        <v>1156</v>
      </c>
      <c r="N57" s="2096"/>
    </row>
    <row r="58" spans="1:14" ht="15.75" customHeight="1">
      <c r="A58" s="768" t="s">
        <v>479</v>
      </c>
      <c r="B58" s="805" t="s">
        <v>1206</v>
      </c>
      <c r="C58" s="2072">
        <v>3</v>
      </c>
      <c r="D58" s="2097">
        <v>1.5</v>
      </c>
      <c r="E58" s="2072">
        <v>1</v>
      </c>
      <c r="F58" s="2053">
        <v>1</v>
      </c>
      <c r="G58" s="2098">
        <v>8</v>
      </c>
      <c r="H58" s="2099"/>
      <c r="I58" s="204">
        <f t="shared" ref="I58:I65" si="14">D58*E58* 34.75</f>
        <v>52.125</v>
      </c>
      <c r="J58" s="2053">
        <f t="shared" ref="J58:J61" si="15">I58</f>
        <v>52.125</v>
      </c>
      <c r="K58" s="2053">
        <v>0</v>
      </c>
      <c r="L58" s="2053">
        <v>0</v>
      </c>
      <c r="M58" s="254"/>
      <c r="N58" s="254"/>
    </row>
    <row r="59" spans="1:14" ht="15.75" customHeight="1">
      <c r="A59" s="2100" t="s">
        <v>1207</v>
      </c>
      <c r="B59" s="2101" t="s">
        <v>1208</v>
      </c>
      <c r="C59" s="2072">
        <v>3</v>
      </c>
      <c r="D59" s="2097">
        <v>1.5</v>
      </c>
      <c r="E59" s="2072">
        <v>1</v>
      </c>
      <c r="F59" s="2053">
        <v>1</v>
      </c>
      <c r="G59" s="2098">
        <v>8</v>
      </c>
      <c r="H59" s="2099"/>
      <c r="I59" s="204">
        <f t="shared" si="14"/>
        <v>52.125</v>
      </c>
      <c r="J59" s="2053">
        <f t="shared" si="15"/>
        <v>52.125</v>
      </c>
      <c r="K59" s="2053">
        <v>0</v>
      </c>
      <c r="L59" s="2053">
        <v>0</v>
      </c>
      <c r="M59" s="254"/>
      <c r="N59" s="254"/>
    </row>
    <row r="60" spans="1:14" ht="15.75" customHeight="1">
      <c r="A60" s="2100" t="s">
        <v>483</v>
      </c>
      <c r="B60" s="2102" t="s">
        <v>1209</v>
      </c>
      <c r="C60" s="2072">
        <v>3</v>
      </c>
      <c r="D60" s="2097">
        <v>1.5</v>
      </c>
      <c r="E60" s="2072">
        <v>1</v>
      </c>
      <c r="F60" s="2053">
        <v>1</v>
      </c>
      <c r="G60" s="2098">
        <v>8</v>
      </c>
      <c r="H60" s="2099"/>
      <c r="I60" s="204">
        <f t="shared" si="14"/>
        <v>52.125</v>
      </c>
      <c r="J60" s="2053">
        <f t="shared" si="15"/>
        <v>52.125</v>
      </c>
      <c r="K60" s="2053">
        <v>0</v>
      </c>
      <c r="L60" s="2053">
        <v>0</v>
      </c>
      <c r="M60" s="254"/>
      <c r="N60" s="254"/>
    </row>
    <row r="61" spans="1:14" ht="15.75" customHeight="1">
      <c r="A61" s="768" t="s">
        <v>484</v>
      </c>
      <c r="B61" s="2102" t="s">
        <v>1210</v>
      </c>
      <c r="C61" s="2072">
        <v>3</v>
      </c>
      <c r="D61" s="2097">
        <v>1.5</v>
      </c>
      <c r="E61" s="2072">
        <v>1</v>
      </c>
      <c r="F61" s="2053">
        <v>1</v>
      </c>
      <c r="G61" s="2098">
        <v>8</v>
      </c>
      <c r="H61" s="2099"/>
      <c r="I61" s="204">
        <f t="shared" si="14"/>
        <v>52.125</v>
      </c>
      <c r="J61" s="2053">
        <f t="shared" si="15"/>
        <v>52.125</v>
      </c>
      <c r="K61" s="2053">
        <v>0</v>
      </c>
      <c r="L61" s="2053">
        <v>0</v>
      </c>
      <c r="M61" s="254"/>
      <c r="N61" s="254"/>
    </row>
    <row r="62" spans="1:14" ht="15.75" customHeight="1">
      <c r="A62" s="2100" t="s">
        <v>485</v>
      </c>
      <c r="B62" s="2086" t="s">
        <v>1211</v>
      </c>
      <c r="C62" s="2072">
        <v>3</v>
      </c>
      <c r="D62" s="2097">
        <v>1.5</v>
      </c>
      <c r="E62" s="2072">
        <v>1</v>
      </c>
      <c r="F62" s="2053">
        <v>1</v>
      </c>
      <c r="G62" s="2098">
        <v>8</v>
      </c>
      <c r="H62" s="2099"/>
      <c r="I62" s="204">
        <f t="shared" si="14"/>
        <v>52.125</v>
      </c>
      <c r="J62" s="2053">
        <v>0</v>
      </c>
      <c r="K62" s="2053">
        <f>I62</f>
        <v>52.125</v>
      </c>
      <c r="L62" s="2053">
        <v>0</v>
      </c>
      <c r="M62" s="254"/>
      <c r="N62" s="254"/>
    </row>
    <row r="63" spans="1:14" ht="15.75" customHeight="1">
      <c r="A63" s="2071" t="s">
        <v>486</v>
      </c>
      <c r="B63" s="2086" t="s">
        <v>1212</v>
      </c>
      <c r="C63" s="2072">
        <v>3</v>
      </c>
      <c r="D63" s="2097">
        <v>1.5</v>
      </c>
      <c r="E63" s="2072">
        <v>1</v>
      </c>
      <c r="F63" s="2053">
        <v>1</v>
      </c>
      <c r="G63" s="2098">
        <v>8</v>
      </c>
      <c r="H63" s="2099"/>
      <c r="I63" s="204">
        <f t="shared" si="14"/>
        <v>52.125</v>
      </c>
      <c r="J63" s="2053">
        <f>I63</f>
        <v>52.125</v>
      </c>
      <c r="K63" s="2053">
        <v>0</v>
      </c>
      <c r="L63" s="2053">
        <v>0</v>
      </c>
      <c r="M63" s="254"/>
      <c r="N63" s="254"/>
    </row>
    <row r="64" spans="1:14" ht="15.75" customHeight="1">
      <c r="A64" s="2071"/>
      <c r="B64" s="806" t="s">
        <v>1213</v>
      </c>
      <c r="C64" s="807">
        <v>3</v>
      </c>
      <c r="D64" s="2097">
        <v>1.5</v>
      </c>
      <c r="E64" s="807">
        <v>1</v>
      </c>
      <c r="F64" s="769">
        <v>1</v>
      </c>
      <c r="G64" s="808">
        <v>8</v>
      </c>
      <c r="H64" s="2099"/>
      <c r="I64" s="204">
        <f t="shared" si="14"/>
        <v>52.125</v>
      </c>
      <c r="J64" s="769">
        <v>0</v>
      </c>
      <c r="K64" s="769">
        <v>0</v>
      </c>
      <c r="L64" s="769">
        <v>0</v>
      </c>
      <c r="M64" s="254"/>
      <c r="N64" s="254"/>
    </row>
    <row r="65" spans="1:14" ht="15.75" customHeight="1">
      <c r="A65" s="2071" t="s">
        <v>488</v>
      </c>
      <c r="B65" s="806" t="s">
        <v>1214</v>
      </c>
      <c r="C65" s="807">
        <v>3</v>
      </c>
      <c r="D65" s="2097">
        <v>1.5</v>
      </c>
      <c r="E65" s="807">
        <v>1</v>
      </c>
      <c r="F65" s="769">
        <v>1</v>
      </c>
      <c r="G65" s="808">
        <v>8</v>
      </c>
      <c r="H65" s="2099"/>
      <c r="I65" s="204">
        <f t="shared" si="14"/>
        <v>52.125</v>
      </c>
      <c r="J65" s="769">
        <f>I65</f>
        <v>52.125</v>
      </c>
      <c r="K65" s="769">
        <v>0</v>
      </c>
      <c r="L65" s="769">
        <v>0</v>
      </c>
      <c r="M65" s="254"/>
      <c r="N65" s="254"/>
    </row>
    <row r="66" spans="1:14" ht="15.75" customHeight="1">
      <c r="A66" s="809"/>
      <c r="B66" s="810" t="s">
        <v>1215</v>
      </c>
      <c r="C66" s="811">
        <f t="shared" ref="C66:K66" si="16">SUM(C67:C71)</f>
        <v>15</v>
      </c>
      <c r="D66" s="811">
        <f t="shared" si="16"/>
        <v>7.5</v>
      </c>
      <c r="E66" s="811">
        <f t="shared" si="16"/>
        <v>5</v>
      </c>
      <c r="F66" s="811">
        <f t="shared" si="16"/>
        <v>5</v>
      </c>
      <c r="G66" s="811">
        <f t="shared" si="16"/>
        <v>34</v>
      </c>
      <c r="H66" s="811">
        <f t="shared" si="16"/>
        <v>0</v>
      </c>
      <c r="I66" s="811">
        <f t="shared" si="16"/>
        <v>260.625</v>
      </c>
      <c r="J66" s="811">
        <f t="shared" si="16"/>
        <v>208.5</v>
      </c>
      <c r="K66" s="811">
        <f t="shared" si="16"/>
        <v>52.125</v>
      </c>
      <c r="L66" s="811">
        <f>SUM(L67:L72)</f>
        <v>0</v>
      </c>
      <c r="M66" s="254" t="s">
        <v>1156</v>
      </c>
      <c r="N66" s="254"/>
    </row>
    <row r="67" spans="1:14" ht="15.75" customHeight="1">
      <c r="A67" s="2071" t="s">
        <v>489</v>
      </c>
      <c r="B67" s="654" t="s">
        <v>1216</v>
      </c>
      <c r="C67" s="2072">
        <v>3</v>
      </c>
      <c r="D67" s="2097">
        <v>1.5</v>
      </c>
      <c r="E67" s="2072">
        <v>1</v>
      </c>
      <c r="F67" s="2053">
        <v>1</v>
      </c>
      <c r="G67" s="2098">
        <v>11</v>
      </c>
      <c r="H67" s="2099"/>
      <c r="I67" s="204">
        <f t="shared" ref="I67:I71" si="17">D67*E67* 34.75</f>
        <v>52.125</v>
      </c>
      <c r="J67" s="2053">
        <f>I67</f>
        <v>52.125</v>
      </c>
      <c r="K67" s="2053">
        <v>0</v>
      </c>
      <c r="L67" s="2053">
        <v>0</v>
      </c>
      <c r="M67" s="254"/>
      <c r="N67" s="254"/>
    </row>
    <row r="68" spans="1:14" ht="15.75" customHeight="1">
      <c r="A68" s="2071" t="s">
        <v>490</v>
      </c>
      <c r="B68" s="2103" t="s">
        <v>1217</v>
      </c>
      <c r="C68" s="2072">
        <v>3</v>
      </c>
      <c r="D68" s="2097">
        <v>1.5</v>
      </c>
      <c r="E68" s="2072">
        <v>1</v>
      </c>
      <c r="F68" s="2053">
        <v>1</v>
      </c>
      <c r="G68" s="2098">
        <v>11</v>
      </c>
      <c r="H68" s="2099"/>
      <c r="I68" s="204">
        <f t="shared" si="17"/>
        <v>52.125</v>
      </c>
      <c r="J68" s="2053">
        <v>0</v>
      </c>
      <c r="K68" s="2053">
        <f>I68</f>
        <v>52.125</v>
      </c>
      <c r="L68" s="2053">
        <v>0</v>
      </c>
      <c r="M68" s="254"/>
      <c r="N68" s="254"/>
    </row>
    <row r="69" spans="1:14" ht="15.75" customHeight="1">
      <c r="A69" s="2085" t="s">
        <v>491</v>
      </c>
      <c r="B69" s="2104" t="s">
        <v>1218</v>
      </c>
      <c r="C69" s="2072">
        <v>3</v>
      </c>
      <c r="D69" s="2097">
        <v>1.5</v>
      </c>
      <c r="E69" s="2072">
        <v>1</v>
      </c>
      <c r="F69" s="2053">
        <v>1</v>
      </c>
      <c r="G69" s="2098">
        <v>11</v>
      </c>
      <c r="H69" s="2099"/>
      <c r="I69" s="204">
        <f t="shared" si="17"/>
        <v>52.125</v>
      </c>
      <c r="J69" s="2053">
        <f t="shared" ref="J69:J71" si="18">I69</f>
        <v>52.125</v>
      </c>
      <c r="K69" s="2053">
        <v>0</v>
      </c>
      <c r="L69" s="2053">
        <v>0</v>
      </c>
      <c r="M69" s="254"/>
      <c r="N69" s="254"/>
    </row>
    <row r="70" spans="1:14" ht="15.75" customHeight="1">
      <c r="A70" s="2071"/>
      <c r="B70" s="762" t="s">
        <v>1211</v>
      </c>
      <c r="C70" s="2072">
        <v>3</v>
      </c>
      <c r="D70" s="2097">
        <v>1.5</v>
      </c>
      <c r="E70" s="2072">
        <v>1</v>
      </c>
      <c r="F70" s="2053">
        <v>1</v>
      </c>
      <c r="G70" s="2098">
        <v>1</v>
      </c>
      <c r="H70" s="2099"/>
      <c r="I70" s="204">
        <f t="shared" si="17"/>
        <v>52.125</v>
      </c>
      <c r="J70" s="2053">
        <f t="shared" si="18"/>
        <v>52.125</v>
      </c>
      <c r="K70" s="2053">
        <v>0</v>
      </c>
      <c r="L70" s="2053">
        <v>0</v>
      </c>
      <c r="M70" s="254"/>
      <c r="N70" s="254"/>
    </row>
    <row r="71" spans="1:14" ht="15.75" customHeight="1">
      <c r="A71" s="790" t="s">
        <v>492</v>
      </c>
      <c r="B71" s="2084" t="s">
        <v>1212</v>
      </c>
      <c r="C71" s="2072">
        <v>3</v>
      </c>
      <c r="D71" s="2097">
        <v>1.5</v>
      </c>
      <c r="E71" s="2072">
        <v>1</v>
      </c>
      <c r="F71" s="2053">
        <v>1</v>
      </c>
      <c r="G71" s="2098">
        <v>0</v>
      </c>
      <c r="H71" s="812"/>
      <c r="I71" s="204">
        <f t="shared" si="17"/>
        <v>52.125</v>
      </c>
      <c r="J71" s="2053">
        <f t="shared" si="18"/>
        <v>52.125</v>
      </c>
      <c r="K71" s="2053">
        <v>0</v>
      </c>
      <c r="L71" s="2053">
        <v>0</v>
      </c>
      <c r="M71" s="254"/>
      <c r="N71" s="254"/>
    </row>
    <row r="72" spans="1:14" ht="15.75" customHeight="1">
      <c r="A72" s="813" t="s">
        <v>265</v>
      </c>
      <c r="B72" s="814" t="s">
        <v>1219</v>
      </c>
      <c r="C72" s="42"/>
      <c r="D72" s="42"/>
      <c r="E72" s="42"/>
      <c r="F72" s="42"/>
      <c r="G72" s="131">
        <v>6</v>
      </c>
      <c r="H72" s="42"/>
      <c r="I72" s="815">
        <f t="shared" ref="I72:L72" si="19">SUM(I73+I74)</f>
        <v>210</v>
      </c>
      <c r="J72" s="815">
        <f t="shared" si="19"/>
        <v>175</v>
      </c>
      <c r="K72" s="815">
        <f t="shared" si="19"/>
        <v>35</v>
      </c>
      <c r="L72" s="815">
        <f t="shared" si="19"/>
        <v>0</v>
      </c>
      <c r="M72" s="254"/>
      <c r="N72" s="254"/>
    </row>
    <row r="73" spans="1:14" ht="15.75" customHeight="1">
      <c r="A73" s="813"/>
      <c r="B73" s="814" t="s">
        <v>1220</v>
      </c>
      <c r="C73" s="42"/>
      <c r="D73" s="42"/>
      <c r="E73" s="42"/>
      <c r="F73" s="42"/>
      <c r="G73" s="816">
        <v>6</v>
      </c>
      <c r="H73" s="42"/>
      <c r="I73" s="306">
        <f t="shared" ref="I73:I74" si="20">G73*35</f>
        <v>210</v>
      </c>
      <c r="J73" s="817">
        <v>175</v>
      </c>
      <c r="K73" s="817">
        <v>35</v>
      </c>
      <c r="L73" s="817">
        <v>0</v>
      </c>
      <c r="M73" s="254"/>
      <c r="N73" s="254"/>
    </row>
    <row r="74" spans="1:14" ht="15.75" customHeight="1">
      <c r="A74" s="813"/>
      <c r="B74" s="814" t="s">
        <v>1221</v>
      </c>
      <c r="C74" s="42"/>
      <c r="D74" s="42"/>
      <c r="E74" s="42"/>
      <c r="F74" s="42"/>
      <c r="G74" s="816">
        <v>0</v>
      </c>
      <c r="H74" s="42"/>
      <c r="I74" s="2105">
        <f t="shared" si="20"/>
        <v>0</v>
      </c>
      <c r="J74" s="2106">
        <v>0</v>
      </c>
      <c r="K74" s="2106"/>
      <c r="L74" s="2106">
        <v>0</v>
      </c>
      <c r="M74" s="254"/>
      <c r="N74" s="254"/>
    </row>
    <row r="75" spans="1:14" ht="21.75" customHeight="1">
      <c r="A75" s="818">
        <v>3</v>
      </c>
      <c r="B75" s="819" t="s">
        <v>1222</v>
      </c>
      <c r="C75" s="820"/>
      <c r="D75" s="820"/>
      <c r="E75" s="820"/>
      <c r="F75" s="820"/>
      <c r="G75" s="820"/>
      <c r="H75" s="820"/>
      <c r="I75" s="820"/>
      <c r="J75" s="821"/>
      <c r="K75" s="821"/>
      <c r="L75" s="821"/>
      <c r="M75" s="254"/>
      <c r="N75" s="254"/>
    </row>
    <row r="76" spans="1:14" ht="27.75" customHeight="1">
      <c r="A76" s="822" t="s">
        <v>263</v>
      </c>
      <c r="B76" s="823" t="s">
        <v>585</v>
      </c>
      <c r="C76" s="820"/>
      <c r="D76" s="820"/>
      <c r="E76" s="820"/>
      <c r="F76" s="820"/>
      <c r="G76" s="820"/>
      <c r="H76" s="820"/>
      <c r="I76" s="820"/>
      <c r="J76" s="821"/>
      <c r="K76" s="821"/>
      <c r="L76" s="821"/>
      <c r="M76" s="1977"/>
      <c r="N76" s="1977"/>
    </row>
    <row r="77" spans="1:14" ht="27.75" customHeight="1">
      <c r="A77" s="768" t="s">
        <v>479</v>
      </c>
      <c r="B77" s="824" t="s">
        <v>596</v>
      </c>
      <c r="C77" s="786"/>
      <c r="D77" s="787"/>
      <c r="E77" s="786"/>
      <c r="F77" s="788"/>
      <c r="G77" s="786"/>
      <c r="H77" s="788"/>
      <c r="I77" s="788"/>
      <c r="J77" s="821"/>
      <c r="K77" s="821"/>
      <c r="L77" s="821"/>
      <c r="M77" s="1977"/>
      <c r="N77" s="1977"/>
    </row>
    <row r="78" spans="1:14" ht="17.25" customHeight="1">
      <c r="A78" s="2100" t="s">
        <v>481</v>
      </c>
      <c r="B78" s="785" t="s">
        <v>596</v>
      </c>
      <c r="C78" s="786"/>
      <c r="D78" s="787"/>
      <c r="E78" s="786"/>
      <c r="F78" s="788"/>
      <c r="G78" s="786"/>
      <c r="H78" s="788"/>
      <c r="I78" s="788"/>
      <c r="J78" s="821"/>
      <c r="K78" s="821"/>
      <c r="L78" s="821"/>
      <c r="M78" s="1977"/>
      <c r="N78" s="1977"/>
    </row>
    <row r="79" spans="1:14" ht="17.25" customHeight="1">
      <c r="A79" s="790"/>
      <c r="B79" s="825" t="s">
        <v>596</v>
      </c>
      <c r="C79" s="786"/>
      <c r="D79" s="787"/>
      <c r="E79" s="786"/>
      <c r="F79" s="788"/>
      <c r="G79" s="786"/>
      <c r="H79" s="788"/>
      <c r="I79" s="788"/>
      <c r="J79" s="821"/>
      <c r="K79" s="821"/>
      <c r="L79" s="821"/>
      <c r="M79" s="1977"/>
      <c r="N79" s="1977"/>
    </row>
    <row r="80" spans="1:14" ht="18.75" customHeight="1">
      <c r="A80" s="822" t="s">
        <v>265</v>
      </c>
      <c r="B80" s="826" t="s">
        <v>589</v>
      </c>
      <c r="C80" s="786"/>
      <c r="D80" s="787"/>
      <c r="E80" s="786"/>
      <c r="F80" s="788"/>
      <c r="G80" s="786"/>
      <c r="H80" s="788"/>
      <c r="I80" s="788"/>
      <c r="J80" s="821"/>
      <c r="K80" s="821"/>
      <c r="L80" s="821"/>
      <c r="M80" s="1977"/>
      <c r="N80" s="1977"/>
    </row>
    <row r="81" spans="1:14" ht="27.75" customHeight="1">
      <c r="A81" s="790"/>
      <c r="B81" s="785" t="s">
        <v>922</v>
      </c>
      <c r="C81" s="820"/>
      <c r="D81" s="820"/>
      <c r="E81" s="820"/>
      <c r="F81" s="820"/>
      <c r="G81" s="820"/>
      <c r="H81" s="820"/>
      <c r="I81" s="820"/>
      <c r="J81" s="821"/>
      <c r="K81" s="827"/>
      <c r="L81" s="827"/>
      <c r="M81" s="1977"/>
      <c r="N81" s="1977"/>
    </row>
    <row r="82" spans="1:14" ht="27.75" customHeight="1">
      <c r="A82" s="2071"/>
      <c r="B82" s="2107" t="s">
        <v>922</v>
      </c>
      <c r="C82" s="2108"/>
      <c r="D82" s="2108"/>
      <c r="E82" s="2108"/>
      <c r="F82" s="2108"/>
      <c r="G82" s="2108"/>
      <c r="H82" s="2108"/>
      <c r="I82" s="2108"/>
      <c r="J82" s="2109"/>
      <c r="K82" s="2109"/>
      <c r="L82" s="2109"/>
      <c r="M82" s="1977"/>
      <c r="N82" s="1977"/>
    </row>
    <row r="83" spans="1:14" ht="28.5" customHeight="1">
      <c r="A83" s="828" t="s">
        <v>267</v>
      </c>
      <c r="B83" s="829" t="s">
        <v>590</v>
      </c>
      <c r="C83" s="830"/>
      <c r="D83" s="831"/>
      <c r="E83" s="830"/>
      <c r="F83" s="832"/>
      <c r="G83" s="830"/>
      <c r="H83" s="833"/>
      <c r="I83" s="833"/>
      <c r="J83" s="834"/>
      <c r="K83" s="835"/>
      <c r="L83" s="835"/>
      <c r="M83" s="1977"/>
      <c r="N83" s="1977"/>
    </row>
    <row r="84" spans="1:14" ht="20.25" customHeight="1">
      <c r="A84" s="836">
        <v>4</v>
      </c>
      <c r="B84" s="837" t="s">
        <v>515</v>
      </c>
      <c r="C84" s="838"/>
      <c r="D84" s="838"/>
      <c r="E84" s="838"/>
      <c r="F84" s="838"/>
      <c r="G84" s="838"/>
      <c r="H84" s="838"/>
      <c r="I84" s="838"/>
      <c r="J84" s="839"/>
      <c r="K84" s="839"/>
      <c r="L84" s="839"/>
      <c r="M84" s="1977"/>
      <c r="N84" s="1977"/>
    </row>
    <row r="85" spans="1:14" ht="27.75" customHeight="1">
      <c r="A85" s="840"/>
      <c r="B85" s="841" t="s">
        <v>516</v>
      </c>
      <c r="C85" s="842">
        <f t="shared" ref="C85:L85" si="21">SUM(C86:C88)</f>
        <v>15</v>
      </c>
      <c r="D85" s="843">
        <f t="shared" si="21"/>
        <v>3</v>
      </c>
      <c r="E85" s="842">
        <f t="shared" si="21"/>
        <v>3</v>
      </c>
      <c r="F85" s="842">
        <f t="shared" si="21"/>
        <v>3</v>
      </c>
      <c r="G85" s="842">
        <f t="shared" si="21"/>
        <v>108</v>
      </c>
      <c r="H85" s="842">
        <f t="shared" si="21"/>
        <v>540</v>
      </c>
      <c r="I85" s="842">
        <f t="shared" si="21"/>
        <v>168.75</v>
      </c>
      <c r="J85" s="842">
        <f t="shared" si="21"/>
        <v>112.5</v>
      </c>
      <c r="K85" s="842">
        <f t="shared" si="21"/>
        <v>56.25</v>
      </c>
      <c r="L85" s="842">
        <f t="shared" si="21"/>
        <v>0</v>
      </c>
      <c r="M85" s="1977" t="s">
        <v>1156</v>
      </c>
      <c r="N85" s="1977"/>
    </row>
    <row r="86" spans="1:14" ht="20.25" customHeight="1">
      <c r="A86" s="840" t="s">
        <v>479</v>
      </c>
      <c r="B86" s="844" t="s">
        <v>1223</v>
      </c>
      <c r="C86" s="845">
        <v>5</v>
      </c>
      <c r="D86" s="846">
        <v>1</v>
      </c>
      <c r="E86" s="845">
        <v>1</v>
      </c>
      <c r="F86" s="847">
        <v>1</v>
      </c>
      <c r="G86" s="845">
        <v>36</v>
      </c>
      <c r="H86" s="848">
        <v>180</v>
      </c>
      <c r="I86" s="849">
        <v>56.25</v>
      </c>
      <c r="J86" s="850">
        <v>0</v>
      </c>
      <c r="K86" s="851">
        <v>56.25</v>
      </c>
      <c r="L86" s="850">
        <v>0</v>
      </c>
      <c r="M86" s="1977"/>
      <c r="N86" s="1977"/>
    </row>
    <row r="87" spans="1:14" ht="20.25" customHeight="1">
      <c r="A87" s="840" t="s">
        <v>481</v>
      </c>
      <c r="B87" s="852" t="s">
        <v>1157</v>
      </c>
      <c r="C87" s="845">
        <v>5</v>
      </c>
      <c r="D87" s="846">
        <v>1</v>
      </c>
      <c r="E87" s="845">
        <v>1</v>
      </c>
      <c r="F87" s="847">
        <v>1</v>
      </c>
      <c r="G87" s="845">
        <v>36</v>
      </c>
      <c r="H87" s="848">
        <v>180</v>
      </c>
      <c r="I87" s="849">
        <v>56.25</v>
      </c>
      <c r="J87" s="851">
        <v>56.25</v>
      </c>
      <c r="K87" s="850">
        <v>0</v>
      </c>
      <c r="L87" s="850">
        <v>0</v>
      </c>
      <c r="M87" s="1977"/>
      <c r="N87" s="1977"/>
    </row>
    <row r="88" spans="1:14" ht="20.25" customHeight="1">
      <c r="A88" s="840" t="s">
        <v>483</v>
      </c>
      <c r="B88" s="852" t="s">
        <v>1224</v>
      </c>
      <c r="C88" s="845">
        <v>5</v>
      </c>
      <c r="D88" s="846">
        <v>1</v>
      </c>
      <c r="E88" s="845">
        <v>1</v>
      </c>
      <c r="F88" s="847">
        <v>1</v>
      </c>
      <c r="G88" s="845">
        <v>36</v>
      </c>
      <c r="H88" s="848">
        <v>180</v>
      </c>
      <c r="I88" s="849">
        <v>56.25</v>
      </c>
      <c r="J88" s="851">
        <v>56.25</v>
      </c>
      <c r="K88" s="850">
        <v>0</v>
      </c>
      <c r="L88" s="850">
        <v>0</v>
      </c>
      <c r="M88" s="1977"/>
      <c r="N88" s="1977"/>
    </row>
    <row r="89" spans="1:14" ht="20.25" customHeight="1">
      <c r="A89" s="853" t="s">
        <v>931</v>
      </c>
      <c r="B89" s="854" t="s">
        <v>1225</v>
      </c>
      <c r="C89" s="855"/>
      <c r="D89" s="856"/>
      <c r="E89" s="856"/>
      <c r="F89" s="856"/>
      <c r="G89" s="856"/>
      <c r="H89" s="856"/>
      <c r="I89" s="856"/>
      <c r="J89" s="857"/>
      <c r="K89" s="857"/>
      <c r="L89" s="857"/>
      <c r="M89" s="1977"/>
      <c r="N89" s="1977"/>
    </row>
    <row r="90" spans="1:14" ht="20.25" customHeight="1">
      <c r="A90" s="858" t="s">
        <v>258</v>
      </c>
      <c r="B90" s="858" t="s">
        <v>933</v>
      </c>
      <c r="C90" s="859">
        <f t="shared" ref="C90:D90" si="22">SUM(C13+C25)</f>
        <v>89</v>
      </c>
      <c r="D90" s="860">
        <f t="shared" si="22"/>
        <v>25.39</v>
      </c>
      <c r="E90" s="860">
        <f t="shared" ref="E90:G90" si="23">SUM(E13+E25+E39)</f>
        <v>27</v>
      </c>
      <c r="F90" s="860">
        <f t="shared" si="23"/>
        <v>25</v>
      </c>
      <c r="G90" s="860">
        <f t="shared" si="23"/>
        <v>1176</v>
      </c>
      <c r="H90" s="860">
        <f>SUM(H13+H25)</f>
        <v>4221.2000000000007</v>
      </c>
      <c r="I90" s="860">
        <f>SUM(I13+I25+I39)</f>
        <v>2031.7</v>
      </c>
      <c r="J90" s="860">
        <f>SUM(I90-K90)</f>
        <v>1932.7</v>
      </c>
      <c r="K90" s="860">
        <f>SUM(K25+K36+K56)</f>
        <v>99</v>
      </c>
      <c r="L90" s="860">
        <v>0</v>
      </c>
      <c r="M90" s="1977" t="s">
        <v>1226</v>
      </c>
      <c r="N90" s="1977"/>
    </row>
    <row r="91" spans="1:14" ht="20.25" customHeight="1">
      <c r="A91" s="853" t="s">
        <v>284</v>
      </c>
      <c r="B91" s="858" t="s">
        <v>600</v>
      </c>
      <c r="C91" s="861">
        <f t="shared" ref="C91:G91" si="24">SUM(C57+C66+C72)</f>
        <v>39</v>
      </c>
      <c r="D91" s="861">
        <f t="shared" si="24"/>
        <v>19.5</v>
      </c>
      <c r="E91" s="861">
        <f t="shared" si="24"/>
        <v>13</v>
      </c>
      <c r="F91" s="862">
        <f t="shared" si="24"/>
        <v>13</v>
      </c>
      <c r="G91" s="863">
        <f t="shared" si="24"/>
        <v>104</v>
      </c>
      <c r="H91" s="864"/>
      <c r="I91" s="865">
        <f t="shared" ref="I91:K91" si="25">SUM(I57+I66+I72)</f>
        <v>887.625</v>
      </c>
      <c r="J91" s="865">
        <f t="shared" si="25"/>
        <v>696.25</v>
      </c>
      <c r="K91" s="861">
        <f t="shared" si="25"/>
        <v>139.25</v>
      </c>
      <c r="L91" s="861">
        <v>0</v>
      </c>
      <c r="M91" s="1977" t="s">
        <v>1226</v>
      </c>
      <c r="N91" s="1977"/>
    </row>
    <row r="92" spans="1:14" ht="20.25" customHeight="1">
      <c r="A92" s="853"/>
      <c r="B92" s="854" t="s">
        <v>1227</v>
      </c>
      <c r="C92" s="866">
        <v>15</v>
      </c>
      <c r="D92" s="866">
        <v>3</v>
      </c>
      <c r="E92" s="866">
        <v>3</v>
      </c>
      <c r="F92" s="866">
        <v>3</v>
      </c>
      <c r="G92" s="866">
        <v>108</v>
      </c>
      <c r="H92" s="867">
        <v>540</v>
      </c>
      <c r="I92" s="867">
        <v>180</v>
      </c>
      <c r="J92" s="867">
        <v>120</v>
      </c>
      <c r="K92" s="867">
        <v>60</v>
      </c>
      <c r="L92" s="866">
        <v>0</v>
      </c>
      <c r="M92" s="1977" t="s">
        <v>1226</v>
      </c>
      <c r="N92" s="1977"/>
    </row>
    <row r="93" spans="1:14" ht="21" customHeight="1">
      <c r="A93" s="853" t="s">
        <v>345</v>
      </c>
      <c r="B93" s="856" t="s">
        <v>584</v>
      </c>
      <c r="C93" s="868"/>
      <c r="D93" s="869"/>
      <c r="E93" s="868"/>
      <c r="F93" s="868"/>
      <c r="G93" s="868"/>
      <c r="H93" s="868"/>
      <c r="I93" s="868"/>
      <c r="J93" s="870"/>
      <c r="K93" s="870"/>
      <c r="L93" s="870"/>
      <c r="M93" s="1936"/>
      <c r="N93" s="1936"/>
    </row>
    <row r="94" spans="1:14" ht="21" customHeight="1">
      <c r="A94" s="857"/>
      <c r="B94" s="858" t="s">
        <v>935</v>
      </c>
      <c r="C94" s="868"/>
      <c r="D94" s="869"/>
      <c r="E94" s="868"/>
      <c r="F94" s="868"/>
      <c r="G94" s="868"/>
      <c r="H94" s="868"/>
      <c r="I94" s="868"/>
      <c r="J94" s="870"/>
      <c r="K94" s="870"/>
      <c r="L94" s="870"/>
      <c r="M94" s="1936"/>
      <c r="N94" s="1936"/>
    </row>
    <row r="95" spans="1:14" ht="39.75" customHeight="1">
      <c r="A95" s="840"/>
      <c r="B95" s="858" t="s">
        <v>602</v>
      </c>
      <c r="C95" s="868"/>
      <c r="D95" s="869"/>
      <c r="E95" s="868"/>
      <c r="F95" s="868"/>
      <c r="G95" s="868"/>
      <c r="H95" s="868"/>
      <c r="I95" s="868"/>
      <c r="J95" s="870"/>
      <c r="K95" s="870"/>
      <c r="L95" s="870"/>
      <c r="M95" s="1936"/>
      <c r="N95" s="1936"/>
    </row>
    <row r="96" spans="1:14" ht="20.25" customHeight="1">
      <c r="A96" s="840"/>
      <c r="B96" s="858" t="s">
        <v>603</v>
      </c>
      <c r="C96" s="869"/>
      <c r="D96" s="871"/>
      <c r="E96" s="871"/>
      <c r="F96" s="871"/>
      <c r="G96" s="871"/>
      <c r="H96" s="871"/>
      <c r="I96" s="871"/>
      <c r="J96" s="872"/>
      <c r="K96" s="872"/>
      <c r="L96" s="872"/>
      <c r="M96" s="1936"/>
      <c r="N96" s="1936"/>
    </row>
    <row r="97" spans="1:14" ht="15" customHeight="1">
      <c r="A97" s="840"/>
      <c r="B97" s="873" t="s">
        <v>225</v>
      </c>
      <c r="C97" s="869"/>
      <c r="D97" s="871"/>
      <c r="E97" s="871"/>
      <c r="F97" s="871"/>
      <c r="G97" s="871"/>
      <c r="H97" s="871"/>
      <c r="I97" s="874"/>
      <c r="J97" s="872"/>
      <c r="K97" s="872"/>
      <c r="L97" s="872"/>
      <c r="M97" s="1936"/>
      <c r="N97" s="1936"/>
    </row>
    <row r="98" spans="1:14" ht="15.75" customHeight="1">
      <c r="A98" s="840"/>
      <c r="B98" s="875" t="s">
        <v>225</v>
      </c>
      <c r="C98" s="869"/>
      <c r="D98" s="868"/>
      <c r="E98" s="868"/>
      <c r="F98" s="868"/>
      <c r="G98" s="868"/>
      <c r="H98" s="868"/>
      <c r="I98" s="876">
        <v>170</v>
      </c>
      <c r="J98" s="870"/>
      <c r="K98" s="870"/>
      <c r="L98" s="870"/>
      <c r="M98" s="1936" t="s">
        <v>1226</v>
      </c>
      <c r="N98" s="1936"/>
    </row>
    <row r="99" spans="1:14" ht="15.75" customHeight="1">
      <c r="A99" s="840"/>
      <c r="B99" s="870"/>
      <c r="C99" s="862"/>
      <c r="D99" s="862"/>
      <c r="E99" s="862"/>
      <c r="F99" s="862"/>
      <c r="G99" s="862"/>
      <c r="H99" s="862"/>
      <c r="I99" s="862"/>
      <c r="J99" s="862"/>
      <c r="K99" s="870"/>
      <c r="L99" s="870"/>
      <c r="M99" s="1936"/>
      <c r="N99" s="1936"/>
    </row>
    <row r="100" spans="1:14" ht="15.75" customHeight="1">
      <c r="A100" s="85"/>
      <c r="B100" s="302" t="s">
        <v>616</v>
      </c>
      <c r="C100" s="301"/>
      <c r="D100" s="40"/>
      <c r="E100" s="40"/>
      <c r="F100" s="40"/>
      <c r="G100" s="40"/>
      <c r="H100" s="40"/>
      <c r="I100" s="40"/>
      <c r="J100" s="40"/>
      <c r="K100" s="40"/>
      <c r="L100" s="40"/>
      <c r="M100" s="41"/>
      <c r="N100" s="41"/>
    </row>
  </sheetData>
  <mergeCells count="17">
    <mergeCell ref="A1:C1"/>
    <mergeCell ref="J1:L1"/>
    <mergeCell ref="A2:C2"/>
    <mergeCell ref="J2:L2"/>
    <mergeCell ref="A3:L3"/>
    <mergeCell ref="A4:L4"/>
    <mergeCell ref="A5:L5"/>
    <mergeCell ref="H7:H8"/>
    <mergeCell ref="I7:I8"/>
    <mergeCell ref="J7:L7"/>
    <mergeCell ref="A7:A8"/>
    <mergeCell ref="B7:B8"/>
    <mergeCell ref="C7:C8"/>
    <mergeCell ref="D7:D8"/>
    <mergeCell ref="E7:E8"/>
    <mergeCell ref="F7:F8"/>
    <mergeCell ref="G7:G8"/>
  </mergeCells>
  <pageMargins left="0.7" right="0.7" top="0.75" bottom="0.75" header="0" footer="0"/>
  <pageSetup orientation="landscape"/>
  <legacy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9"/>
  <sheetViews>
    <sheetView topLeftCell="A5" workbookViewId="0">
      <pane xSplit="7" ySplit="3" topLeftCell="H8" activePane="bottomRight" state="frozen"/>
      <selection activeCell="A5" sqref="A5"/>
      <selection pane="topRight"/>
      <selection pane="bottomLeft"/>
      <selection pane="bottomRight"/>
    </sheetView>
  </sheetViews>
  <sheetFormatPr defaultColWidth="14.42578125" defaultRowHeight="15" customHeight="1"/>
  <cols>
    <col min="1" max="1" width="10.7109375" customWidth="1"/>
    <col min="2" max="2" width="33.7109375" customWidth="1"/>
    <col min="3" max="3" width="12.7109375" customWidth="1"/>
    <col min="4" max="4" width="11.7109375" customWidth="1"/>
    <col min="5" max="5" width="18.140625" customWidth="1"/>
    <col min="6" max="7" width="19.42578125" customWidth="1"/>
  </cols>
  <sheetData>
    <row r="1" spans="1:9" ht="15.75">
      <c r="A1" s="2734" t="s">
        <v>23</v>
      </c>
      <c r="B1" s="2732"/>
      <c r="C1" s="2732"/>
      <c r="D1" s="1"/>
      <c r="E1" s="2"/>
      <c r="F1" s="2"/>
      <c r="G1" s="2"/>
    </row>
    <row r="2" spans="1:9" ht="15.75">
      <c r="A2" s="2733" t="s">
        <v>24</v>
      </c>
      <c r="B2" s="2732"/>
      <c r="C2" s="2732"/>
      <c r="D2" s="1"/>
      <c r="E2" s="1"/>
      <c r="F2" s="1"/>
      <c r="G2" s="1"/>
    </row>
    <row r="3" spans="1:9" ht="15.75">
      <c r="A3" s="1"/>
      <c r="B3" s="3"/>
      <c r="C3" s="1"/>
      <c r="D3" s="1"/>
      <c r="E3" s="1"/>
      <c r="F3" s="1"/>
      <c r="G3" s="1"/>
    </row>
    <row r="4" spans="1:9" ht="15.75">
      <c r="A4" s="4" t="s">
        <v>25</v>
      </c>
      <c r="B4" s="2735" t="s">
        <v>26</v>
      </c>
      <c r="C4" s="2732"/>
      <c r="D4" s="2732"/>
      <c r="E4" s="2732"/>
      <c r="F4" s="2732"/>
    </row>
    <row r="5" spans="1:9" ht="16.5">
      <c r="A5" s="4"/>
      <c r="B5" s="5"/>
      <c r="C5" s="6"/>
      <c r="D5" s="6"/>
      <c r="E5" s="6"/>
      <c r="F5" s="6"/>
      <c r="G5" s="6"/>
    </row>
    <row r="6" spans="1:9" ht="15.75">
      <c r="A6" s="1"/>
      <c r="B6" s="3"/>
      <c r="C6" s="1"/>
      <c r="D6" s="1"/>
      <c r="E6" s="1"/>
      <c r="F6" s="1"/>
      <c r="G6" s="1"/>
      <c r="H6" s="2612"/>
    </row>
    <row r="7" spans="1:9" ht="63">
      <c r="A7" s="7" t="s">
        <v>27</v>
      </c>
      <c r="B7" s="1855" t="s">
        <v>28</v>
      </c>
      <c r="C7" s="1855" t="s">
        <v>29</v>
      </c>
      <c r="D7" s="1855" t="s">
        <v>30</v>
      </c>
      <c r="E7" s="1855" t="s">
        <v>31</v>
      </c>
      <c r="F7" s="2610" t="s">
        <v>32</v>
      </c>
      <c r="G7" s="2615" t="s">
        <v>33</v>
      </c>
      <c r="H7" s="2614" t="s">
        <v>34</v>
      </c>
      <c r="I7" s="2612"/>
    </row>
    <row r="8" spans="1:9" ht="15.75">
      <c r="A8" s="1856">
        <v>1</v>
      </c>
      <c r="B8" s="1857" t="s">
        <v>35</v>
      </c>
      <c r="C8" s="8"/>
      <c r="D8" s="8"/>
      <c r="E8" s="9"/>
      <c r="F8" s="2611"/>
      <c r="G8" s="2616"/>
      <c r="H8" s="2613"/>
      <c r="I8" s="2612"/>
    </row>
    <row r="9" spans="1:9" ht="15.75">
      <c r="A9" s="1858"/>
      <c r="B9" s="1859" t="s">
        <v>36</v>
      </c>
      <c r="C9" s="9">
        <v>1155</v>
      </c>
      <c r="D9" s="9">
        <v>1192</v>
      </c>
      <c r="E9" s="9">
        <f t="shared" ref="E9:E11" si="0">(D9/C9)*100</f>
        <v>103.2034632034632</v>
      </c>
      <c r="F9" s="2611"/>
      <c r="G9" s="2616"/>
      <c r="H9" s="2613">
        <v>1153</v>
      </c>
      <c r="I9" s="2612"/>
    </row>
    <row r="10" spans="1:9" ht="15.75">
      <c r="A10" s="1858"/>
      <c r="B10" s="1859" t="s">
        <v>37</v>
      </c>
      <c r="C10" s="9">
        <v>545</v>
      </c>
      <c r="D10" s="9">
        <v>424</v>
      </c>
      <c r="E10" s="9">
        <f t="shared" si="0"/>
        <v>77.798165137614689</v>
      </c>
      <c r="F10" s="2611"/>
      <c r="G10" s="2616"/>
      <c r="H10" s="2613">
        <v>193</v>
      </c>
      <c r="I10" s="2612"/>
    </row>
    <row r="11" spans="1:9" ht="15.75">
      <c r="A11" s="1858"/>
      <c r="B11" s="1859" t="s">
        <v>38</v>
      </c>
      <c r="C11" s="9">
        <v>13</v>
      </c>
      <c r="D11" s="10">
        <v>23</v>
      </c>
      <c r="E11" s="9">
        <f t="shared" si="0"/>
        <v>176.92307692307691</v>
      </c>
      <c r="F11" s="2611" t="s">
        <v>39</v>
      </c>
      <c r="G11" s="2616"/>
      <c r="H11" s="2613">
        <v>5</v>
      </c>
      <c r="I11" s="2612"/>
    </row>
    <row r="12" spans="1:9" ht="15.75">
      <c r="A12" s="1858"/>
      <c r="B12" s="1859" t="s">
        <v>40</v>
      </c>
      <c r="C12" s="9"/>
      <c r="D12" s="9"/>
      <c r="E12" s="9"/>
      <c r="F12" s="2611"/>
      <c r="G12" s="2616"/>
      <c r="H12" s="2613"/>
      <c r="I12" s="2612"/>
    </row>
    <row r="13" spans="1:9" ht="31.5">
      <c r="A13" s="1858"/>
      <c r="B13" s="1859" t="s">
        <v>41</v>
      </c>
      <c r="C13" s="9">
        <v>4530</v>
      </c>
      <c r="D13" s="9">
        <v>741</v>
      </c>
      <c r="E13" s="9">
        <f>(D13/C13)*100</f>
        <v>16.357615894039736</v>
      </c>
      <c r="F13" s="2611"/>
      <c r="G13" s="2616"/>
      <c r="H13" s="2613"/>
      <c r="I13" s="2612"/>
    </row>
    <row r="14" spans="1:9" ht="15.75">
      <c r="A14" s="1858"/>
      <c r="B14" s="1859" t="s">
        <v>42</v>
      </c>
      <c r="C14" s="9"/>
      <c r="D14" s="9"/>
      <c r="E14" s="9"/>
      <c r="F14" s="2611"/>
      <c r="G14" s="2616"/>
      <c r="H14" s="2613"/>
      <c r="I14" s="2612"/>
    </row>
    <row r="15" spans="1:9" ht="15.75">
      <c r="A15" s="1858"/>
      <c r="B15" s="1859" t="s">
        <v>43</v>
      </c>
      <c r="C15" s="9"/>
      <c r="D15" s="9"/>
      <c r="E15" s="9"/>
      <c r="F15" s="2611"/>
      <c r="G15" s="2616"/>
      <c r="H15" s="2613"/>
      <c r="I15" s="2612"/>
    </row>
    <row r="16" spans="1:9" ht="15.75">
      <c r="A16" s="1858"/>
      <c r="B16" s="1859" t="s">
        <v>44</v>
      </c>
      <c r="C16" s="9"/>
      <c r="D16" s="9"/>
      <c r="E16" s="9"/>
      <c r="F16" s="2611"/>
      <c r="G16" s="2616"/>
      <c r="H16" s="2613"/>
      <c r="I16" s="2612"/>
    </row>
    <row r="17" spans="1:9" ht="15.75">
      <c r="A17" s="1858"/>
      <c r="B17" s="1859" t="s">
        <v>45</v>
      </c>
      <c r="C17" s="9"/>
      <c r="D17" s="9"/>
      <c r="E17" s="9"/>
      <c r="F17" s="2611"/>
      <c r="G17" s="2616"/>
      <c r="H17" s="2613"/>
      <c r="I17" s="2612"/>
    </row>
    <row r="18" spans="1:9" ht="15.75">
      <c r="A18" s="1858"/>
      <c r="B18" s="1859" t="s">
        <v>46</v>
      </c>
      <c r="C18" s="9"/>
      <c r="D18" s="9"/>
      <c r="E18" s="9"/>
      <c r="F18" s="2611"/>
      <c r="G18" s="2616"/>
      <c r="H18" s="2613"/>
      <c r="I18" s="2612"/>
    </row>
    <row r="19" spans="1:9" ht="15.75">
      <c r="A19" s="1858"/>
      <c r="B19" s="1859" t="s">
        <v>47</v>
      </c>
      <c r="C19" s="9"/>
      <c r="D19" s="9"/>
      <c r="E19" s="9"/>
      <c r="F19" s="2611"/>
      <c r="G19" s="2616"/>
      <c r="H19" s="2613"/>
      <c r="I19" s="2612"/>
    </row>
    <row r="20" spans="1:9" ht="15.75">
      <c r="A20" s="1856">
        <v>2</v>
      </c>
      <c r="B20" s="1857" t="s">
        <v>48</v>
      </c>
      <c r="C20" s="8">
        <v>1</v>
      </c>
      <c r="D20" s="9">
        <v>1</v>
      </c>
      <c r="E20" s="9">
        <f t="shared" ref="E20:E23" si="1">(D20/C20)*100</f>
        <v>100</v>
      </c>
      <c r="F20" s="2611"/>
      <c r="G20" s="2616"/>
      <c r="H20" s="2613"/>
      <c r="I20" s="2612"/>
    </row>
    <row r="21" spans="1:9" ht="15.75">
      <c r="A21" s="1856">
        <v>3</v>
      </c>
      <c r="B21" s="1857" t="s">
        <v>49</v>
      </c>
      <c r="C21" s="9">
        <v>7</v>
      </c>
      <c r="D21" s="9">
        <v>7</v>
      </c>
      <c r="E21" s="9">
        <f t="shared" si="1"/>
        <v>100</v>
      </c>
      <c r="F21" s="2611"/>
      <c r="G21" s="2616"/>
      <c r="H21" s="2613"/>
      <c r="I21" s="2612"/>
    </row>
    <row r="22" spans="1:9" ht="15.75">
      <c r="A22" s="1856">
        <v>4</v>
      </c>
      <c r="B22" s="1857" t="s">
        <v>50</v>
      </c>
      <c r="C22" s="9">
        <v>7</v>
      </c>
      <c r="D22" s="9">
        <v>4</v>
      </c>
      <c r="E22" s="9">
        <f t="shared" si="1"/>
        <v>57.142857142857139</v>
      </c>
      <c r="F22" s="2611"/>
      <c r="G22" s="2616"/>
      <c r="H22" s="2613"/>
      <c r="I22" s="2612"/>
    </row>
    <row r="23" spans="1:9" ht="15.75">
      <c r="A23" s="1856">
        <v>5</v>
      </c>
      <c r="B23" s="1857" t="s">
        <v>51</v>
      </c>
      <c r="C23" s="9">
        <v>72</v>
      </c>
      <c r="D23" s="9">
        <v>54</v>
      </c>
      <c r="E23" s="9">
        <f t="shared" si="1"/>
        <v>75</v>
      </c>
      <c r="F23" s="2611"/>
      <c r="G23" s="2616"/>
      <c r="H23" s="2613"/>
      <c r="I23" s="2612"/>
    </row>
    <row r="24" spans="1:9" ht="31.5">
      <c r="A24" s="1856">
        <v>6</v>
      </c>
      <c r="B24" s="1857" t="s">
        <v>52</v>
      </c>
      <c r="C24" s="9">
        <v>13</v>
      </c>
      <c r="D24" s="9"/>
      <c r="E24" s="9"/>
      <c r="F24" s="2611"/>
      <c r="G24" s="2616"/>
      <c r="H24" s="2613"/>
      <c r="I24" s="2612"/>
    </row>
    <row r="25" spans="1:9" ht="15.75">
      <c r="A25" s="1856">
        <v>7</v>
      </c>
      <c r="B25" s="2736" t="s">
        <v>53</v>
      </c>
      <c r="C25" s="2737"/>
      <c r="D25" s="2737"/>
      <c r="E25" s="2737"/>
      <c r="F25" s="2737"/>
      <c r="G25" s="2617"/>
      <c r="H25" s="2613"/>
      <c r="I25" s="2612"/>
    </row>
    <row r="26" spans="1:9" ht="15.75">
      <c r="A26" s="1"/>
      <c r="B26" s="3"/>
      <c r="C26" s="1"/>
      <c r="D26" s="1"/>
      <c r="E26" s="1"/>
      <c r="F26" s="1"/>
      <c r="G26" s="1"/>
      <c r="H26" s="2612"/>
    </row>
    <row r="27" spans="1:9" ht="30.75" customHeight="1">
      <c r="A27" s="11" t="s">
        <v>54</v>
      </c>
      <c r="B27" s="2738" t="s">
        <v>55</v>
      </c>
      <c r="C27" s="2732"/>
      <c r="D27" s="2732"/>
      <c r="E27" s="2732"/>
      <c r="F27" s="2732"/>
    </row>
    <row r="28" spans="1:9" ht="15" customHeight="1">
      <c r="A28" s="1"/>
      <c r="B28" s="3"/>
      <c r="C28" s="1"/>
      <c r="D28" s="2731" t="s">
        <v>56</v>
      </c>
      <c r="E28" s="2732"/>
      <c r="F28" s="2732"/>
    </row>
    <row r="29" spans="1:9" ht="15.75">
      <c r="A29" s="1"/>
      <c r="B29" s="12" t="s">
        <v>57</v>
      </c>
      <c r="C29" s="13"/>
      <c r="D29" s="2733" t="s">
        <v>58</v>
      </c>
      <c r="E29" s="2732"/>
      <c r="F29" s="2732"/>
    </row>
  </sheetData>
  <sheetProtection algorithmName="SHA-512" hashValue="mK2pGd8nDgC9tnt2q+e6vb6f3ji0U+c75KRs/xVUkfmfkJ2kjkRk5+c04kpm7uNWbF0F3JWXqH8EqQpdtlhxwg==" saltValue="+U69MqBDWPPGjUqDLXwXyQ==" spinCount="100000" sheet="1" objects="1" scenarios="1"/>
  <protectedRanges>
    <protectedRange sqref="G8:H25" name="Hồng vàng"/>
  </protectedRanges>
  <mergeCells count="7">
    <mergeCell ref="D28:F28"/>
    <mergeCell ref="D29:F29"/>
    <mergeCell ref="A1:C1"/>
    <mergeCell ref="A2:C2"/>
    <mergeCell ref="B4:F4"/>
    <mergeCell ref="B25:F25"/>
    <mergeCell ref="B27:F27"/>
  </mergeCells>
  <pageMargins left="1.03" right="0.7" top="0.32" bottom="0.2" header="0" footer="0"/>
  <pageSetup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74"/>
  <sheetViews>
    <sheetView workbookViewId="0">
      <pane xSplit="2" ySplit="9" topLeftCell="C10"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5.42578125" customWidth="1"/>
    <col min="2" max="2" width="23.7109375" customWidth="1"/>
    <col min="3" max="3" width="13.140625" customWidth="1"/>
    <col min="4" max="4" width="7" customWidth="1"/>
    <col min="5" max="5" width="6" customWidth="1"/>
    <col min="6" max="6" width="9.42578125" customWidth="1"/>
    <col min="7" max="7" width="8.28515625" customWidth="1"/>
    <col min="8" max="8" width="15.42578125" customWidth="1"/>
    <col min="9" max="9" width="13.28515625" customWidth="1"/>
    <col min="10" max="10" width="9.42578125" customWidth="1"/>
    <col min="11" max="11" width="10" customWidth="1"/>
    <col min="12" max="26" width="9.140625" customWidth="1"/>
  </cols>
  <sheetData>
    <row r="1" spans="1:12" ht="14.25" customHeight="1">
      <c r="A1" s="2788" t="s">
        <v>450</v>
      </c>
      <c r="B1" s="2732"/>
      <c r="C1" s="2732"/>
      <c r="D1" s="139"/>
      <c r="E1" s="39"/>
      <c r="F1" s="39"/>
      <c r="G1" s="39"/>
      <c r="H1" s="40"/>
      <c r="I1" s="2836"/>
      <c r="J1" s="2732"/>
      <c r="K1" s="2732"/>
      <c r="L1" s="2732"/>
    </row>
    <row r="2" spans="1:12">
      <c r="A2" s="2844" t="s">
        <v>1228</v>
      </c>
      <c r="B2" s="2732"/>
      <c r="C2" s="2732"/>
      <c r="D2" s="43"/>
      <c r="E2" s="167"/>
      <c r="F2" s="167"/>
      <c r="G2" s="167"/>
      <c r="H2" s="40"/>
      <c r="I2" s="2836"/>
      <c r="J2" s="2732"/>
      <c r="K2" s="2732"/>
      <c r="L2" s="2732"/>
    </row>
    <row r="3" spans="1:12" ht="30" customHeight="1">
      <c r="A3" s="2773" t="s">
        <v>452</v>
      </c>
      <c r="B3" s="2732"/>
      <c r="C3" s="2732"/>
      <c r="D3" s="2732"/>
      <c r="E3" s="2732"/>
      <c r="F3" s="2732"/>
      <c r="G3" s="2732"/>
      <c r="H3" s="2732"/>
      <c r="I3" s="2732"/>
      <c r="J3" s="2732"/>
      <c r="K3" s="2732"/>
      <c r="L3" s="2732"/>
    </row>
    <row r="4" spans="1:12" ht="1.5" customHeight="1">
      <c r="A4" s="234"/>
      <c r="B4" s="46"/>
      <c r="C4" s="46"/>
      <c r="D4" s="120"/>
      <c r="E4" s="234"/>
      <c r="F4" s="234"/>
      <c r="G4" s="234"/>
      <c r="H4" s="46"/>
      <c r="I4" s="46"/>
      <c r="J4" s="46"/>
      <c r="K4" s="46"/>
      <c r="L4" s="46"/>
    </row>
    <row r="5" spans="1:12" ht="53.25" customHeight="1">
      <c r="A5" s="2874" t="s">
        <v>186</v>
      </c>
      <c r="B5" s="2876" t="s">
        <v>1089</v>
      </c>
      <c r="C5" s="2876" t="s">
        <v>454</v>
      </c>
      <c r="D5" s="2877" t="s">
        <v>1229</v>
      </c>
      <c r="E5" s="2876" t="s">
        <v>620</v>
      </c>
      <c r="F5" s="2876" t="s">
        <v>457</v>
      </c>
      <c r="G5" s="2876" t="s">
        <v>833</v>
      </c>
      <c r="H5" s="2868" t="s">
        <v>459</v>
      </c>
      <c r="I5" s="2870" t="s">
        <v>439</v>
      </c>
      <c r="J5" s="2871" t="s">
        <v>460</v>
      </c>
      <c r="K5" s="2872"/>
      <c r="L5" s="2873"/>
    </row>
    <row r="6" spans="1:12" ht="19.5" customHeight="1">
      <c r="A6" s="2875"/>
      <c r="B6" s="2869"/>
      <c r="C6" s="2869"/>
      <c r="D6" s="2869"/>
      <c r="E6" s="2869"/>
      <c r="F6" s="2869"/>
      <c r="G6" s="2869"/>
      <c r="H6" s="2869"/>
      <c r="I6" s="2869"/>
      <c r="J6" s="877" t="s">
        <v>461</v>
      </c>
      <c r="K6" s="877" t="s">
        <v>462</v>
      </c>
      <c r="L6" s="877" t="s">
        <v>463</v>
      </c>
    </row>
    <row r="7" spans="1:12" ht="42.75" customHeight="1">
      <c r="A7" s="878">
        <v>-1</v>
      </c>
      <c r="B7" s="879">
        <v>-2</v>
      </c>
      <c r="C7" s="879">
        <v>-3</v>
      </c>
      <c r="D7" s="880">
        <v>-4</v>
      </c>
      <c r="E7" s="879">
        <v>-5</v>
      </c>
      <c r="F7" s="879">
        <v>-6</v>
      </c>
      <c r="G7" s="879">
        <v>-7</v>
      </c>
      <c r="H7" s="881" t="s">
        <v>472</v>
      </c>
      <c r="I7" s="881" t="s">
        <v>1230</v>
      </c>
      <c r="J7" s="879">
        <v>-10</v>
      </c>
      <c r="K7" s="879">
        <v>-11</v>
      </c>
      <c r="L7" s="879">
        <v>-12</v>
      </c>
    </row>
    <row r="8" spans="1:12" ht="18.75" customHeight="1">
      <c r="A8" s="882"/>
      <c r="B8" s="883" t="s">
        <v>1231</v>
      </c>
      <c r="C8" s="2110"/>
      <c r="D8" s="2110"/>
      <c r="E8" s="2110"/>
      <c r="F8" s="2111"/>
      <c r="G8" s="2110"/>
      <c r="H8" s="2110"/>
      <c r="I8" s="2110"/>
      <c r="J8" s="2110"/>
      <c r="K8" s="2110"/>
      <c r="L8" s="2110"/>
    </row>
    <row r="9" spans="1:12" ht="17.25" customHeight="1">
      <c r="A9" s="884"/>
      <c r="B9" s="883"/>
      <c r="C9" s="885"/>
      <c r="D9" s="885"/>
      <c r="E9" s="885"/>
      <c r="F9" s="885"/>
      <c r="G9" s="885"/>
      <c r="H9" s="885"/>
      <c r="I9" s="885"/>
      <c r="J9" s="885"/>
      <c r="K9" s="885"/>
      <c r="L9" s="885"/>
    </row>
    <row r="10" spans="1:12" ht="25.5">
      <c r="A10" s="2112" t="s">
        <v>258</v>
      </c>
      <c r="B10" s="2113" t="s">
        <v>477</v>
      </c>
      <c r="C10" s="2114"/>
      <c r="D10" s="2114"/>
      <c r="E10" s="2114"/>
      <c r="F10" s="2114"/>
      <c r="G10" s="2114"/>
      <c r="H10" s="2114"/>
      <c r="I10" s="2114"/>
      <c r="J10" s="2114"/>
      <c r="K10" s="2114"/>
      <c r="L10" s="2114"/>
    </row>
    <row r="11" spans="1:12">
      <c r="A11" s="886">
        <v>1</v>
      </c>
      <c r="B11" s="887" t="s">
        <v>441</v>
      </c>
      <c r="C11" s="888">
        <f>C12+C23+C36+C49</f>
        <v>88</v>
      </c>
      <c r="D11" s="888"/>
      <c r="E11" s="888">
        <f>E12+E23+E36</f>
        <v>253</v>
      </c>
      <c r="F11" s="888"/>
      <c r="G11" s="888">
        <f>G12+G23+G36</f>
        <v>15980</v>
      </c>
      <c r="H11" s="888"/>
      <c r="I11" s="888">
        <f>I12+I23+I36+I48</f>
        <v>10012.375</v>
      </c>
      <c r="J11" s="889">
        <f>J12+J23+J36</f>
        <v>5119.75</v>
      </c>
      <c r="K11" s="888"/>
      <c r="L11" s="890">
        <f>L12+L23</f>
        <v>2927</v>
      </c>
    </row>
    <row r="12" spans="1:12" ht="25.5">
      <c r="A12" s="891" t="s">
        <v>1232</v>
      </c>
      <c r="B12" s="892" t="s">
        <v>1233</v>
      </c>
      <c r="C12" s="893">
        <f t="shared" ref="C12:L12" si="0">SUM(C13:C22)</f>
        <v>24</v>
      </c>
      <c r="D12" s="893">
        <f t="shared" si="0"/>
        <v>10</v>
      </c>
      <c r="E12" s="893">
        <f t="shared" si="0"/>
        <v>115</v>
      </c>
      <c r="F12" s="894">
        <f t="shared" si="0"/>
        <v>10</v>
      </c>
      <c r="G12" s="893">
        <f t="shared" si="0"/>
        <v>7650</v>
      </c>
      <c r="H12" s="893">
        <f t="shared" si="0"/>
        <v>16745</v>
      </c>
      <c r="I12" s="893">
        <f t="shared" si="0"/>
        <v>4174.5</v>
      </c>
      <c r="J12" s="893">
        <f t="shared" si="0"/>
        <v>693</v>
      </c>
      <c r="K12" s="893">
        <f t="shared" si="0"/>
        <v>0</v>
      </c>
      <c r="L12" s="893">
        <f t="shared" si="0"/>
        <v>1407</v>
      </c>
    </row>
    <row r="13" spans="1:12">
      <c r="A13" s="895" t="s">
        <v>479</v>
      </c>
      <c r="B13" s="896" t="s">
        <v>1234</v>
      </c>
      <c r="C13" s="897">
        <v>2</v>
      </c>
      <c r="D13" s="898">
        <v>1</v>
      </c>
      <c r="E13" s="898">
        <v>30</v>
      </c>
      <c r="F13" s="899">
        <v>1</v>
      </c>
      <c r="G13" s="898">
        <f t="shared" ref="G13:G17" si="1">E13*70</f>
        <v>2100</v>
      </c>
      <c r="H13" s="898">
        <f t="shared" ref="H13:H19" si="2">C13*D13*G13</f>
        <v>4200</v>
      </c>
      <c r="I13" s="898">
        <f t="shared" ref="I13:I22" si="3">C13*E13*F13*16.5</f>
        <v>990</v>
      </c>
      <c r="J13" s="900">
        <v>693</v>
      </c>
      <c r="K13" s="900"/>
      <c r="L13" s="900">
        <v>132</v>
      </c>
    </row>
    <row r="14" spans="1:12" ht="15.75" customHeight="1">
      <c r="A14" s="895" t="s">
        <v>481</v>
      </c>
      <c r="B14" s="896" t="s">
        <v>1235</v>
      </c>
      <c r="C14" s="897">
        <v>3</v>
      </c>
      <c r="D14" s="898">
        <v>1</v>
      </c>
      <c r="E14" s="898">
        <v>20</v>
      </c>
      <c r="F14" s="899">
        <v>1</v>
      </c>
      <c r="G14" s="898">
        <f t="shared" si="1"/>
        <v>1400</v>
      </c>
      <c r="H14" s="898">
        <f t="shared" si="2"/>
        <v>4200</v>
      </c>
      <c r="I14" s="898">
        <f t="shared" si="3"/>
        <v>990</v>
      </c>
      <c r="J14" s="877"/>
      <c r="K14" s="900">
        <v>0</v>
      </c>
      <c r="L14" s="900">
        <v>450</v>
      </c>
    </row>
    <row r="15" spans="1:12" ht="15.75" customHeight="1">
      <c r="A15" s="895" t="s">
        <v>483</v>
      </c>
      <c r="B15" s="896" t="s">
        <v>1236</v>
      </c>
      <c r="C15" s="897">
        <v>2</v>
      </c>
      <c r="D15" s="898">
        <v>1</v>
      </c>
      <c r="E15" s="898">
        <v>25</v>
      </c>
      <c r="F15" s="899">
        <v>1</v>
      </c>
      <c r="G15" s="898">
        <f t="shared" si="1"/>
        <v>1750</v>
      </c>
      <c r="H15" s="898">
        <f t="shared" si="2"/>
        <v>3500</v>
      </c>
      <c r="I15" s="898">
        <f t="shared" si="3"/>
        <v>825</v>
      </c>
      <c r="J15" s="877"/>
      <c r="K15" s="900">
        <v>0</v>
      </c>
      <c r="L15" s="900">
        <v>693</v>
      </c>
    </row>
    <row r="16" spans="1:12" ht="15.75" customHeight="1">
      <c r="A16" s="895" t="s">
        <v>484</v>
      </c>
      <c r="B16" s="896" t="s">
        <v>1237</v>
      </c>
      <c r="C16" s="897">
        <v>2</v>
      </c>
      <c r="D16" s="898">
        <v>1</v>
      </c>
      <c r="E16" s="898">
        <v>25</v>
      </c>
      <c r="F16" s="899">
        <v>1</v>
      </c>
      <c r="G16" s="898">
        <f t="shared" si="1"/>
        <v>1750</v>
      </c>
      <c r="H16" s="898">
        <f t="shared" si="2"/>
        <v>3500</v>
      </c>
      <c r="I16" s="898">
        <f t="shared" si="3"/>
        <v>825</v>
      </c>
      <c r="J16" s="877"/>
      <c r="K16" s="900">
        <v>0</v>
      </c>
      <c r="L16" s="900">
        <v>0</v>
      </c>
    </row>
    <row r="17" spans="1:12" ht="15.75" customHeight="1">
      <c r="A17" s="895" t="s">
        <v>485</v>
      </c>
      <c r="B17" s="896" t="s">
        <v>1238</v>
      </c>
      <c r="C17" s="897">
        <v>2</v>
      </c>
      <c r="D17" s="898">
        <v>1</v>
      </c>
      <c r="E17" s="898">
        <v>5</v>
      </c>
      <c r="F17" s="899">
        <v>1</v>
      </c>
      <c r="G17" s="898">
        <f t="shared" si="1"/>
        <v>350</v>
      </c>
      <c r="H17" s="898">
        <f t="shared" si="2"/>
        <v>700</v>
      </c>
      <c r="I17" s="898">
        <f t="shared" si="3"/>
        <v>165</v>
      </c>
      <c r="J17" s="877"/>
      <c r="K17" s="900">
        <v>0</v>
      </c>
      <c r="L17" s="900">
        <v>132</v>
      </c>
    </row>
    <row r="18" spans="1:12" ht="15.75" customHeight="1">
      <c r="A18" s="901" t="s">
        <v>486</v>
      </c>
      <c r="B18" s="902" t="s">
        <v>1239</v>
      </c>
      <c r="C18" s="897">
        <v>2</v>
      </c>
      <c r="D18" s="898">
        <v>1</v>
      </c>
      <c r="E18" s="898">
        <v>6</v>
      </c>
      <c r="F18" s="899">
        <v>1</v>
      </c>
      <c r="G18" s="898">
        <f>E18*40</f>
        <v>240</v>
      </c>
      <c r="H18" s="898">
        <f t="shared" si="2"/>
        <v>480</v>
      </c>
      <c r="I18" s="898">
        <f t="shared" si="3"/>
        <v>198</v>
      </c>
      <c r="J18" s="877"/>
      <c r="K18" s="900">
        <v>0</v>
      </c>
      <c r="L18" s="900">
        <v>0</v>
      </c>
    </row>
    <row r="19" spans="1:12" ht="15.75" customHeight="1">
      <c r="A19" s="901" t="s">
        <v>487</v>
      </c>
      <c r="B19" s="902" t="s">
        <v>1240</v>
      </c>
      <c r="C19" s="897">
        <v>3</v>
      </c>
      <c r="D19" s="898">
        <v>1</v>
      </c>
      <c r="E19" s="898">
        <v>1</v>
      </c>
      <c r="F19" s="899">
        <v>1</v>
      </c>
      <c r="G19" s="898">
        <v>15</v>
      </c>
      <c r="H19" s="898">
        <f t="shared" si="2"/>
        <v>45</v>
      </c>
      <c r="I19" s="898">
        <f t="shared" si="3"/>
        <v>49.5</v>
      </c>
      <c r="J19" s="877"/>
      <c r="K19" s="900"/>
      <c r="L19" s="900"/>
    </row>
    <row r="20" spans="1:12" ht="15.75" customHeight="1">
      <c r="A20" s="901" t="s">
        <v>488</v>
      </c>
      <c r="B20" s="902" t="s">
        <v>1241</v>
      </c>
      <c r="C20" s="897">
        <v>3</v>
      </c>
      <c r="D20" s="898">
        <v>1</v>
      </c>
      <c r="E20" s="898">
        <v>1</v>
      </c>
      <c r="F20" s="899">
        <v>1</v>
      </c>
      <c r="G20" s="898">
        <v>15</v>
      </c>
      <c r="H20" s="898">
        <v>45</v>
      </c>
      <c r="I20" s="898">
        <f t="shared" si="3"/>
        <v>49.5</v>
      </c>
      <c r="J20" s="877"/>
      <c r="K20" s="900"/>
      <c r="L20" s="900"/>
    </row>
    <row r="21" spans="1:12" ht="15.75" customHeight="1">
      <c r="A21" s="901" t="s">
        <v>489</v>
      </c>
      <c r="B21" s="902" t="s">
        <v>1242</v>
      </c>
      <c r="C21" s="897">
        <v>3</v>
      </c>
      <c r="D21" s="898">
        <v>1</v>
      </c>
      <c r="E21" s="898">
        <v>1</v>
      </c>
      <c r="F21" s="899">
        <v>1</v>
      </c>
      <c r="G21" s="898">
        <v>15</v>
      </c>
      <c r="H21" s="898">
        <v>45</v>
      </c>
      <c r="I21" s="898">
        <f t="shared" si="3"/>
        <v>49.5</v>
      </c>
      <c r="J21" s="877"/>
      <c r="K21" s="900"/>
      <c r="L21" s="900"/>
    </row>
    <row r="22" spans="1:12" ht="15.75" customHeight="1">
      <c r="A22" s="901" t="s">
        <v>490</v>
      </c>
      <c r="B22" s="902" t="s">
        <v>1243</v>
      </c>
      <c r="C22" s="897">
        <v>2</v>
      </c>
      <c r="D22" s="898">
        <v>1</v>
      </c>
      <c r="E22" s="898">
        <v>1</v>
      </c>
      <c r="F22" s="899">
        <v>1</v>
      </c>
      <c r="G22" s="898">
        <v>15</v>
      </c>
      <c r="H22" s="898">
        <f>C22*D22*G22</f>
        <v>30</v>
      </c>
      <c r="I22" s="898">
        <f t="shared" si="3"/>
        <v>33</v>
      </c>
      <c r="J22" s="877"/>
      <c r="K22" s="900"/>
      <c r="L22" s="900"/>
    </row>
    <row r="23" spans="1:12" ht="15.75" customHeight="1">
      <c r="A23" s="903" t="s">
        <v>1244</v>
      </c>
      <c r="B23" s="904" t="s">
        <v>907</v>
      </c>
      <c r="C23" s="905">
        <f t="shared" ref="C23:L23" si="4">SUM(C24:C33)</f>
        <v>28</v>
      </c>
      <c r="D23" s="905">
        <f t="shared" si="4"/>
        <v>10.6</v>
      </c>
      <c r="E23" s="905">
        <f t="shared" si="4"/>
        <v>120</v>
      </c>
      <c r="F23" s="906">
        <f t="shared" si="4"/>
        <v>10.6</v>
      </c>
      <c r="G23" s="905">
        <f t="shared" si="4"/>
        <v>8180</v>
      </c>
      <c r="H23" s="905">
        <f t="shared" si="4"/>
        <v>18683</v>
      </c>
      <c r="I23" s="905">
        <f t="shared" si="4"/>
        <v>4847.5</v>
      </c>
      <c r="J23" s="905">
        <f t="shared" si="4"/>
        <v>3488.5</v>
      </c>
      <c r="K23" s="905">
        <f t="shared" si="4"/>
        <v>0</v>
      </c>
      <c r="L23" s="905">
        <f t="shared" si="4"/>
        <v>1520</v>
      </c>
    </row>
    <row r="24" spans="1:12" ht="15.75" customHeight="1">
      <c r="A24" s="895" t="s">
        <v>481</v>
      </c>
      <c r="B24" s="896" t="s">
        <v>1234</v>
      </c>
      <c r="C24" s="907">
        <v>2</v>
      </c>
      <c r="D24" s="908">
        <v>1</v>
      </c>
      <c r="E24" s="908">
        <v>20</v>
      </c>
      <c r="F24" s="899">
        <v>1.3</v>
      </c>
      <c r="G24" s="908">
        <f t="shared" ref="G24:G28" si="5">E24*70</f>
        <v>1400</v>
      </c>
      <c r="H24" s="908">
        <f t="shared" ref="H24:H29" si="6">C24*D24*G24</f>
        <v>2800</v>
      </c>
      <c r="I24" s="908">
        <f>C24*E24*F24*16.5</f>
        <v>858</v>
      </c>
      <c r="J24" s="905">
        <f>I24-120</f>
        <v>738</v>
      </c>
      <c r="K24" s="909"/>
      <c r="L24" s="909">
        <v>120</v>
      </c>
    </row>
    <row r="25" spans="1:12" ht="15.75" customHeight="1">
      <c r="A25" s="895" t="s">
        <v>483</v>
      </c>
      <c r="B25" s="896" t="s">
        <v>1235</v>
      </c>
      <c r="C25" s="907">
        <v>3</v>
      </c>
      <c r="D25" s="908">
        <v>1</v>
      </c>
      <c r="E25" s="908">
        <v>30</v>
      </c>
      <c r="F25" s="899">
        <v>1</v>
      </c>
      <c r="G25" s="908">
        <f t="shared" si="5"/>
        <v>2100</v>
      </c>
      <c r="H25" s="908">
        <f t="shared" si="6"/>
        <v>6300</v>
      </c>
      <c r="I25" s="908">
        <f t="shared" ref="I25:I28" si="7">C25*E25*16.5</f>
        <v>1485</v>
      </c>
      <c r="J25" s="905">
        <f>I25-600</f>
        <v>885</v>
      </c>
      <c r="K25" s="909"/>
      <c r="L25" s="909">
        <v>600</v>
      </c>
    </row>
    <row r="26" spans="1:12" ht="15.75" customHeight="1">
      <c r="A26" s="895" t="s">
        <v>484</v>
      </c>
      <c r="B26" s="896" t="s">
        <v>1236</v>
      </c>
      <c r="C26" s="907">
        <v>2</v>
      </c>
      <c r="D26" s="908">
        <v>1</v>
      </c>
      <c r="E26" s="908">
        <v>20</v>
      </c>
      <c r="F26" s="899">
        <v>1</v>
      </c>
      <c r="G26" s="908">
        <f t="shared" si="5"/>
        <v>1400</v>
      </c>
      <c r="H26" s="908">
        <f t="shared" si="6"/>
        <v>2800</v>
      </c>
      <c r="I26" s="908">
        <f t="shared" si="7"/>
        <v>660</v>
      </c>
      <c r="J26" s="905">
        <f>I26-500</f>
        <v>160</v>
      </c>
      <c r="K26" s="909"/>
      <c r="L26" s="909">
        <v>500</v>
      </c>
    </row>
    <row r="27" spans="1:12" ht="15.75" customHeight="1">
      <c r="A27" s="895" t="s">
        <v>485</v>
      </c>
      <c r="B27" s="896" t="s">
        <v>1237</v>
      </c>
      <c r="C27" s="907">
        <v>2</v>
      </c>
      <c r="D27" s="908">
        <v>1</v>
      </c>
      <c r="E27" s="908">
        <v>20</v>
      </c>
      <c r="F27" s="899">
        <v>1.3</v>
      </c>
      <c r="G27" s="908">
        <f t="shared" si="5"/>
        <v>1400</v>
      </c>
      <c r="H27" s="908">
        <f t="shared" si="6"/>
        <v>2800</v>
      </c>
      <c r="I27" s="908">
        <f t="shared" si="7"/>
        <v>660</v>
      </c>
      <c r="J27" s="877">
        <v>900</v>
      </c>
      <c r="K27" s="909"/>
      <c r="L27" s="909">
        <v>0</v>
      </c>
    </row>
    <row r="28" spans="1:12" ht="15.75" customHeight="1">
      <c r="A28" s="895" t="s">
        <v>486</v>
      </c>
      <c r="B28" s="896" t="s">
        <v>1238</v>
      </c>
      <c r="C28" s="907">
        <v>2</v>
      </c>
      <c r="D28" s="908">
        <v>1</v>
      </c>
      <c r="E28" s="908">
        <v>25</v>
      </c>
      <c r="F28" s="899">
        <v>1</v>
      </c>
      <c r="G28" s="908">
        <f t="shared" si="5"/>
        <v>1750</v>
      </c>
      <c r="H28" s="908">
        <f t="shared" si="6"/>
        <v>3500</v>
      </c>
      <c r="I28" s="908">
        <f t="shared" si="7"/>
        <v>825</v>
      </c>
      <c r="J28" s="905">
        <f>I28-300</f>
        <v>525</v>
      </c>
      <c r="K28" s="909"/>
      <c r="L28" s="909">
        <v>300</v>
      </c>
    </row>
    <row r="29" spans="1:12" ht="15.75" customHeight="1">
      <c r="A29" s="910" t="s">
        <v>487</v>
      </c>
      <c r="B29" s="911" t="s">
        <v>1245</v>
      </c>
      <c r="C29" s="912">
        <v>3</v>
      </c>
      <c r="D29" s="913">
        <v>1.3</v>
      </c>
      <c r="E29" s="913">
        <v>1</v>
      </c>
      <c r="F29" s="899">
        <v>1</v>
      </c>
      <c r="G29" s="913">
        <v>70</v>
      </c>
      <c r="H29" s="913">
        <f t="shared" si="6"/>
        <v>273</v>
      </c>
      <c r="I29" s="914">
        <f>(E29*F29*16.5*1)+(G29*0.8*2)</f>
        <v>128.5</v>
      </c>
      <c r="J29" s="877">
        <v>49.5</v>
      </c>
      <c r="K29" s="915"/>
      <c r="L29" s="915"/>
    </row>
    <row r="30" spans="1:12" ht="15.75" customHeight="1">
      <c r="A30" s="910" t="s">
        <v>488</v>
      </c>
      <c r="B30" s="911" t="s">
        <v>1246</v>
      </c>
      <c r="C30" s="912">
        <v>3</v>
      </c>
      <c r="D30" s="913">
        <v>1</v>
      </c>
      <c r="E30" s="913">
        <v>1</v>
      </c>
      <c r="F30" s="899">
        <v>1</v>
      </c>
      <c r="G30" s="913">
        <v>15</v>
      </c>
      <c r="H30" s="913">
        <v>45</v>
      </c>
      <c r="I30" s="913">
        <f t="shared" ref="I30:I33" si="8">C30*E30*F30*16.5</f>
        <v>49.5</v>
      </c>
      <c r="J30" s="877">
        <v>49.5</v>
      </c>
      <c r="K30" s="915"/>
      <c r="L30" s="915"/>
    </row>
    <row r="31" spans="1:12" ht="15.75" customHeight="1">
      <c r="A31" s="910" t="s">
        <v>489</v>
      </c>
      <c r="B31" s="911" t="s">
        <v>1247</v>
      </c>
      <c r="C31" s="912">
        <v>5</v>
      </c>
      <c r="D31" s="913">
        <v>1.3</v>
      </c>
      <c r="E31" s="913">
        <v>1</v>
      </c>
      <c r="F31" s="899">
        <v>1</v>
      </c>
      <c r="G31" s="913">
        <v>15</v>
      </c>
      <c r="H31" s="913">
        <v>75</v>
      </c>
      <c r="I31" s="913">
        <f t="shared" si="8"/>
        <v>82.5</v>
      </c>
      <c r="J31" s="877">
        <v>82.5</v>
      </c>
      <c r="K31" s="915"/>
      <c r="L31" s="915"/>
    </row>
    <row r="32" spans="1:12" ht="15.75" customHeight="1">
      <c r="A32" s="910" t="s">
        <v>490</v>
      </c>
      <c r="B32" s="911" t="s">
        <v>1248</v>
      </c>
      <c r="C32" s="912">
        <v>3</v>
      </c>
      <c r="D32" s="913">
        <v>1</v>
      </c>
      <c r="E32" s="913">
        <v>1</v>
      </c>
      <c r="F32" s="899">
        <v>1</v>
      </c>
      <c r="G32" s="913">
        <v>15</v>
      </c>
      <c r="H32" s="913">
        <v>45</v>
      </c>
      <c r="I32" s="913">
        <f t="shared" si="8"/>
        <v>49.5</v>
      </c>
      <c r="J32" s="877">
        <v>49.5</v>
      </c>
      <c r="K32" s="915"/>
      <c r="L32" s="915"/>
    </row>
    <row r="33" spans="1:12" ht="15.75" customHeight="1">
      <c r="A33" s="910" t="s">
        <v>491</v>
      </c>
      <c r="B33" s="911" t="s">
        <v>1249</v>
      </c>
      <c r="C33" s="912">
        <v>3</v>
      </c>
      <c r="D33" s="913">
        <v>1</v>
      </c>
      <c r="E33" s="913">
        <v>1</v>
      </c>
      <c r="F33" s="899">
        <v>1</v>
      </c>
      <c r="G33" s="913">
        <v>15</v>
      </c>
      <c r="H33" s="913">
        <v>45</v>
      </c>
      <c r="I33" s="913">
        <f t="shared" si="8"/>
        <v>49.5</v>
      </c>
      <c r="J33" s="877">
        <v>49.5</v>
      </c>
      <c r="K33" s="915"/>
      <c r="L33" s="915"/>
    </row>
    <row r="34" spans="1:12" ht="15.75" customHeight="1">
      <c r="A34" s="916">
        <v>2</v>
      </c>
      <c r="B34" s="917" t="s">
        <v>570</v>
      </c>
      <c r="C34" s="877"/>
      <c r="D34" s="877"/>
      <c r="E34" s="877"/>
      <c r="F34" s="906"/>
      <c r="G34" s="877"/>
      <c r="H34" s="877"/>
      <c r="I34" s="877"/>
      <c r="J34" s="877"/>
      <c r="K34" s="877"/>
      <c r="L34" s="877"/>
    </row>
    <row r="35" spans="1:12" ht="15.75" customHeight="1">
      <c r="A35" s="918" t="s">
        <v>1250</v>
      </c>
      <c r="B35" s="904" t="s">
        <v>1233</v>
      </c>
      <c r="C35" s="877"/>
      <c r="D35" s="877"/>
      <c r="E35" s="877"/>
      <c r="F35" s="906"/>
      <c r="G35" s="877"/>
      <c r="H35" s="877"/>
      <c r="I35" s="877"/>
      <c r="J35" s="877"/>
      <c r="K35" s="877"/>
      <c r="L35" s="877"/>
    </row>
    <row r="36" spans="1:12" ht="15.75" customHeight="1">
      <c r="A36" s="919" t="s">
        <v>263</v>
      </c>
      <c r="B36" s="920" t="s">
        <v>1113</v>
      </c>
      <c r="C36" s="877">
        <f t="shared" ref="C36:J36" si="9">SUM(C37:C46)</f>
        <v>30</v>
      </c>
      <c r="D36" s="877">
        <f t="shared" si="9"/>
        <v>15</v>
      </c>
      <c r="E36" s="877">
        <f t="shared" si="9"/>
        <v>18</v>
      </c>
      <c r="F36" s="906">
        <f t="shared" si="9"/>
        <v>10</v>
      </c>
      <c r="G36" s="877">
        <f t="shared" si="9"/>
        <v>150</v>
      </c>
      <c r="H36" s="877">
        <f t="shared" si="9"/>
        <v>675</v>
      </c>
      <c r="I36" s="921">
        <f t="shared" si="9"/>
        <v>938.25</v>
      </c>
      <c r="J36" s="921">
        <f t="shared" si="9"/>
        <v>938.25</v>
      </c>
      <c r="K36" s="877"/>
      <c r="L36" s="877"/>
    </row>
    <row r="37" spans="1:12">
      <c r="A37" s="922" t="s">
        <v>1251</v>
      </c>
      <c r="B37" s="923" t="s">
        <v>1252</v>
      </c>
      <c r="C37" s="924">
        <v>3</v>
      </c>
      <c r="D37" s="900">
        <v>1.5</v>
      </c>
      <c r="E37" s="900">
        <v>1</v>
      </c>
      <c r="F37" s="925">
        <v>1</v>
      </c>
      <c r="G37" s="900">
        <v>15</v>
      </c>
      <c r="H37" s="900">
        <f t="shared" ref="H37:H46" si="10">C37*D37*G37</f>
        <v>67.5</v>
      </c>
      <c r="I37" s="204">
        <f t="shared" ref="I37:I46" si="11">D37*E37* 34.75</f>
        <v>52.125</v>
      </c>
      <c r="J37" s="921">
        <f t="shared" ref="J37:J46" si="12">I37</f>
        <v>52.125</v>
      </c>
      <c r="K37" s="926"/>
      <c r="L37" s="900"/>
    </row>
    <row r="38" spans="1:12">
      <c r="A38" s="922" t="s">
        <v>1207</v>
      </c>
      <c r="B38" s="923" t="s">
        <v>1253</v>
      </c>
      <c r="C38" s="924">
        <v>3</v>
      </c>
      <c r="D38" s="900">
        <v>1.5</v>
      </c>
      <c r="E38" s="900">
        <v>1</v>
      </c>
      <c r="F38" s="925">
        <v>1</v>
      </c>
      <c r="G38" s="900">
        <v>15</v>
      </c>
      <c r="H38" s="900">
        <f t="shared" si="10"/>
        <v>67.5</v>
      </c>
      <c r="I38" s="204">
        <f t="shared" si="11"/>
        <v>52.125</v>
      </c>
      <c r="J38" s="921">
        <f t="shared" si="12"/>
        <v>52.125</v>
      </c>
      <c r="K38" s="926"/>
      <c r="L38" s="900"/>
    </row>
    <row r="39" spans="1:12" ht="25.5">
      <c r="A39" s="922" t="s">
        <v>1159</v>
      </c>
      <c r="B39" s="923" t="s">
        <v>1254</v>
      </c>
      <c r="C39" s="924">
        <v>3</v>
      </c>
      <c r="D39" s="900">
        <v>1.5</v>
      </c>
      <c r="E39" s="900">
        <v>1</v>
      </c>
      <c r="F39" s="925">
        <v>1</v>
      </c>
      <c r="G39" s="900">
        <v>15</v>
      </c>
      <c r="H39" s="900">
        <f t="shared" si="10"/>
        <v>67.5</v>
      </c>
      <c r="I39" s="204">
        <f t="shared" si="11"/>
        <v>52.125</v>
      </c>
      <c r="J39" s="921">
        <f t="shared" si="12"/>
        <v>52.125</v>
      </c>
      <c r="K39" s="900"/>
      <c r="L39" s="900"/>
    </row>
    <row r="40" spans="1:12" ht="38.25">
      <c r="A40" s="922" t="s">
        <v>1255</v>
      </c>
      <c r="B40" s="923" t="s">
        <v>1256</v>
      </c>
      <c r="C40" s="924">
        <v>3</v>
      </c>
      <c r="D40" s="900">
        <v>1.5</v>
      </c>
      <c r="E40" s="900">
        <v>1</v>
      </c>
      <c r="F40" s="925">
        <v>1</v>
      </c>
      <c r="G40" s="900">
        <v>15</v>
      </c>
      <c r="H40" s="900">
        <f t="shared" si="10"/>
        <v>67.5</v>
      </c>
      <c r="I40" s="204">
        <f t="shared" si="11"/>
        <v>52.125</v>
      </c>
      <c r="J40" s="921">
        <f t="shared" si="12"/>
        <v>52.125</v>
      </c>
      <c r="K40" s="900"/>
      <c r="L40" s="900"/>
    </row>
    <row r="41" spans="1:12" ht="25.5">
      <c r="A41" s="927" t="s">
        <v>1162</v>
      </c>
      <c r="B41" s="928" t="s">
        <v>1257</v>
      </c>
      <c r="C41" s="924">
        <v>3</v>
      </c>
      <c r="D41" s="900">
        <v>1.5</v>
      </c>
      <c r="E41" s="900">
        <v>1</v>
      </c>
      <c r="F41" s="925">
        <v>1</v>
      </c>
      <c r="G41" s="900">
        <v>15</v>
      </c>
      <c r="H41" s="900">
        <f t="shared" si="10"/>
        <v>67.5</v>
      </c>
      <c r="I41" s="204">
        <f t="shared" si="11"/>
        <v>52.125</v>
      </c>
      <c r="J41" s="921">
        <f t="shared" si="12"/>
        <v>52.125</v>
      </c>
      <c r="K41" s="900"/>
      <c r="L41" s="900"/>
    </row>
    <row r="42" spans="1:12" ht="38.25">
      <c r="A42" s="927" t="s">
        <v>1258</v>
      </c>
      <c r="B42" s="928" t="s">
        <v>1259</v>
      </c>
      <c r="C42" s="924">
        <v>3</v>
      </c>
      <c r="D42" s="900">
        <v>1.5</v>
      </c>
      <c r="E42" s="900">
        <v>1</v>
      </c>
      <c r="F42" s="925">
        <v>1</v>
      </c>
      <c r="G42" s="900">
        <v>15</v>
      </c>
      <c r="H42" s="900">
        <f t="shared" si="10"/>
        <v>67.5</v>
      </c>
      <c r="I42" s="204">
        <f t="shared" si="11"/>
        <v>52.125</v>
      </c>
      <c r="J42" s="921">
        <f t="shared" si="12"/>
        <v>52.125</v>
      </c>
      <c r="K42" s="900"/>
      <c r="L42" s="900"/>
    </row>
    <row r="43" spans="1:12" ht="38.25">
      <c r="A43" s="927" t="s">
        <v>1260</v>
      </c>
      <c r="B43" s="928" t="s">
        <v>1261</v>
      </c>
      <c r="C43" s="924">
        <v>3</v>
      </c>
      <c r="D43" s="900">
        <v>1.5</v>
      </c>
      <c r="E43" s="900">
        <v>1</v>
      </c>
      <c r="F43" s="925">
        <v>1</v>
      </c>
      <c r="G43" s="900">
        <v>15</v>
      </c>
      <c r="H43" s="900">
        <f t="shared" si="10"/>
        <v>67.5</v>
      </c>
      <c r="I43" s="204">
        <f t="shared" si="11"/>
        <v>52.125</v>
      </c>
      <c r="J43" s="921">
        <f t="shared" si="12"/>
        <v>52.125</v>
      </c>
      <c r="K43" s="900"/>
      <c r="L43" s="900"/>
    </row>
    <row r="44" spans="1:12" ht="51">
      <c r="A44" s="927" t="s">
        <v>488</v>
      </c>
      <c r="B44" s="928" t="s">
        <v>1262</v>
      </c>
      <c r="C44" s="924">
        <v>3</v>
      </c>
      <c r="D44" s="900">
        <v>1.5</v>
      </c>
      <c r="E44" s="900">
        <v>1</v>
      </c>
      <c r="F44" s="925">
        <v>1</v>
      </c>
      <c r="G44" s="900">
        <v>15</v>
      </c>
      <c r="H44" s="900">
        <f t="shared" si="10"/>
        <v>67.5</v>
      </c>
      <c r="I44" s="204">
        <f t="shared" si="11"/>
        <v>52.125</v>
      </c>
      <c r="J44" s="921">
        <f t="shared" si="12"/>
        <v>52.125</v>
      </c>
      <c r="K44" s="900"/>
      <c r="L44" s="900"/>
    </row>
    <row r="45" spans="1:12" ht="25.5">
      <c r="A45" s="927" t="s">
        <v>489</v>
      </c>
      <c r="B45" s="928" t="s">
        <v>1263</v>
      </c>
      <c r="C45" s="924">
        <v>3</v>
      </c>
      <c r="D45" s="900">
        <v>1.5</v>
      </c>
      <c r="E45" s="900">
        <v>5</v>
      </c>
      <c r="F45" s="925">
        <v>1</v>
      </c>
      <c r="G45" s="900">
        <v>15</v>
      </c>
      <c r="H45" s="900">
        <f t="shared" si="10"/>
        <v>67.5</v>
      </c>
      <c r="I45" s="204">
        <f t="shared" si="11"/>
        <v>260.625</v>
      </c>
      <c r="J45" s="921">
        <f t="shared" si="12"/>
        <v>260.625</v>
      </c>
      <c r="K45" s="900"/>
      <c r="L45" s="900"/>
    </row>
    <row r="46" spans="1:12" ht="25.5">
      <c r="A46" s="927" t="s">
        <v>490</v>
      </c>
      <c r="B46" s="928" t="s">
        <v>1264</v>
      </c>
      <c r="C46" s="924">
        <v>3</v>
      </c>
      <c r="D46" s="900">
        <v>1.5</v>
      </c>
      <c r="E46" s="900">
        <v>5</v>
      </c>
      <c r="F46" s="925">
        <v>1</v>
      </c>
      <c r="G46" s="900">
        <v>15</v>
      </c>
      <c r="H46" s="900">
        <f t="shared" si="10"/>
        <v>67.5</v>
      </c>
      <c r="I46" s="204">
        <f t="shared" si="11"/>
        <v>260.625</v>
      </c>
      <c r="J46" s="921">
        <f t="shared" si="12"/>
        <v>260.625</v>
      </c>
      <c r="K46" s="900"/>
      <c r="L46" s="900"/>
    </row>
    <row r="47" spans="1:12">
      <c r="A47" s="918" t="s">
        <v>265</v>
      </c>
      <c r="B47" s="904" t="s">
        <v>512</v>
      </c>
      <c r="C47" s="877"/>
      <c r="D47" s="929"/>
      <c r="E47" s="929"/>
      <c r="F47" s="930"/>
      <c r="G47" s="929"/>
      <c r="H47" s="929"/>
      <c r="I47" s="929"/>
      <c r="J47" s="931"/>
      <c r="K47" s="931"/>
      <c r="L47" s="931"/>
    </row>
    <row r="48" spans="1:12">
      <c r="A48" s="932" t="s">
        <v>513</v>
      </c>
      <c r="B48" s="933" t="s">
        <v>1265</v>
      </c>
      <c r="C48" s="934">
        <f t="shared" ref="C48:L48" si="13">C49</f>
        <v>6</v>
      </c>
      <c r="D48" s="934">
        <f t="shared" si="13"/>
        <v>1.5</v>
      </c>
      <c r="E48" s="934">
        <f t="shared" si="13"/>
        <v>1</v>
      </c>
      <c r="F48" s="935">
        <f t="shared" si="13"/>
        <v>1.2</v>
      </c>
      <c r="G48" s="934">
        <f t="shared" si="13"/>
        <v>15</v>
      </c>
      <c r="H48" s="934">
        <f t="shared" si="13"/>
        <v>0</v>
      </c>
      <c r="I48" s="936">
        <f t="shared" si="13"/>
        <v>52.125</v>
      </c>
      <c r="J48" s="934">
        <f t="shared" si="13"/>
        <v>0</v>
      </c>
      <c r="K48" s="934">
        <f t="shared" si="13"/>
        <v>0</v>
      </c>
      <c r="L48" s="934">
        <f t="shared" si="13"/>
        <v>0</v>
      </c>
    </row>
    <row r="49" spans="1:12">
      <c r="A49" s="901" t="s">
        <v>486</v>
      </c>
      <c r="B49" s="937" t="s">
        <v>1266</v>
      </c>
      <c r="C49" s="897">
        <v>6</v>
      </c>
      <c r="D49" s="898">
        <v>1.5</v>
      </c>
      <c r="E49" s="898">
        <v>1</v>
      </c>
      <c r="F49" s="899">
        <v>1.2</v>
      </c>
      <c r="G49" s="898">
        <v>15</v>
      </c>
      <c r="H49" s="898"/>
      <c r="I49" s="204">
        <f>D49*E49* 34.75</f>
        <v>52.125</v>
      </c>
      <c r="J49" s="900"/>
      <c r="K49" s="900"/>
      <c r="L49" s="900"/>
    </row>
    <row r="50" spans="1:12" ht="38.25">
      <c r="A50" s="938" t="s">
        <v>284</v>
      </c>
      <c r="B50" s="917" t="s">
        <v>514</v>
      </c>
      <c r="C50" s="877">
        <f t="shared" ref="C50:L50" si="14">C51+C62</f>
        <v>38</v>
      </c>
      <c r="D50" s="877">
        <f t="shared" si="14"/>
        <v>12</v>
      </c>
      <c r="E50" s="877">
        <f t="shared" si="14"/>
        <v>136</v>
      </c>
      <c r="F50" s="906">
        <f t="shared" si="14"/>
        <v>12</v>
      </c>
      <c r="G50" s="877">
        <f t="shared" si="14"/>
        <v>560</v>
      </c>
      <c r="H50" s="877">
        <f t="shared" si="14"/>
        <v>810</v>
      </c>
      <c r="I50" s="877">
        <f t="shared" si="14"/>
        <v>4021.5</v>
      </c>
      <c r="J50" s="877">
        <f t="shared" si="14"/>
        <v>4021.5</v>
      </c>
      <c r="K50" s="877">
        <f t="shared" si="14"/>
        <v>0</v>
      </c>
      <c r="L50" s="877">
        <f t="shared" si="14"/>
        <v>0</v>
      </c>
    </row>
    <row r="51" spans="1:12" ht="15.75" customHeight="1">
      <c r="A51" s="916">
        <v>1</v>
      </c>
      <c r="B51" s="904" t="s">
        <v>515</v>
      </c>
      <c r="C51" s="877">
        <f t="shared" ref="C51:L51" si="15">C57+C52</f>
        <v>18</v>
      </c>
      <c r="D51" s="877">
        <f t="shared" si="15"/>
        <v>8</v>
      </c>
      <c r="E51" s="877">
        <f t="shared" si="15"/>
        <v>120</v>
      </c>
      <c r="F51" s="906">
        <f t="shared" si="15"/>
        <v>8</v>
      </c>
      <c r="G51" s="877">
        <f t="shared" si="15"/>
        <v>320</v>
      </c>
      <c r="H51" s="877">
        <f t="shared" si="15"/>
        <v>540</v>
      </c>
      <c r="I51" s="877">
        <f t="shared" si="15"/>
        <v>3427.5</v>
      </c>
      <c r="J51" s="877">
        <f t="shared" si="15"/>
        <v>3427.5</v>
      </c>
      <c r="K51" s="877">
        <f t="shared" si="15"/>
        <v>0</v>
      </c>
      <c r="L51" s="877">
        <f t="shared" si="15"/>
        <v>0</v>
      </c>
    </row>
    <row r="52" spans="1:12" ht="15.75" customHeight="1">
      <c r="A52" s="918" t="s">
        <v>1232</v>
      </c>
      <c r="B52" s="904" t="s">
        <v>1233</v>
      </c>
      <c r="C52" s="877">
        <f t="shared" ref="C52:L52" si="16">SUM(C53:C56)</f>
        <v>9</v>
      </c>
      <c r="D52" s="877">
        <f t="shared" si="16"/>
        <v>4</v>
      </c>
      <c r="E52" s="877">
        <f t="shared" si="16"/>
        <v>60</v>
      </c>
      <c r="F52" s="906">
        <f t="shared" si="16"/>
        <v>4</v>
      </c>
      <c r="G52" s="877">
        <f t="shared" si="16"/>
        <v>160</v>
      </c>
      <c r="H52" s="877">
        <f t="shared" si="16"/>
        <v>270</v>
      </c>
      <c r="I52" s="877">
        <f t="shared" si="16"/>
        <v>1713.75</v>
      </c>
      <c r="J52" s="877">
        <f t="shared" si="16"/>
        <v>1713.75</v>
      </c>
      <c r="K52" s="877">
        <f t="shared" si="16"/>
        <v>0</v>
      </c>
      <c r="L52" s="877">
        <f t="shared" si="16"/>
        <v>0</v>
      </c>
    </row>
    <row r="53" spans="1:12" ht="15.75" customHeight="1">
      <c r="A53" s="895" t="s">
        <v>479</v>
      </c>
      <c r="B53" s="896" t="s">
        <v>1267</v>
      </c>
      <c r="C53" s="897">
        <v>2</v>
      </c>
      <c r="D53" s="898">
        <v>1</v>
      </c>
      <c r="E53" s="898">
        <v>15</v>
      </c>
      <c r="F53" s="899">
        <v>1</v>
      </c>
      <c r="G53" s="898">
        <v>40</v>
      </c>
      <c r="H53" s="939">
        <v>60</v>
      </c>
      <c r="I53" s="939">
        <v>397.5</v>
      </c>
      <c r="J53" s="940">
        <v>397.5</v>
      </c>
      <c r="K53" s="940">
        <v>0</v>
      </c>
      <c r="L53" s="940">
        <v>0</v>
      </c>
    </row>
    <row r="54" spans="1:12" ht="15.75" customHeight="1">
      <c r="A54" s="895" t="s">
        <v>483</v>
      </c>
      <c r="B54" s="896" t="s">
        <v>1235</v>
      </c>
      <c r="C54" s="897">
        <v>3</v>
      </c>
      <c r="D54" s="898">
        <v>1</v>
      </c>
      <c r="E54" s="898">
        <v>15</v>
      </c>
      <c r="F54" s="899">
        <v>1</v>
      </c>
      <c r="G54" s="898">
        <v>40</v>
      </c>
      <c r="H54" s="939">
        <v>90</v>
      </c>
      <c r="I54" s="939">
        <v>521.25</v>
      </c>
      <c r="J54" s="940">
        <v>521.25</v>
      </c>
      <c r="K54" s="940">
        <v>0</v>
      </c>
      <c r="L54" s="940">
        <v>0</v>
      </c>
    </row>
    <row r="55" spans="1:12" ht="15.75" customHeight="1">
      <c r="A55" s="895" t="s">
        <v>484</v>
      </c>
      <c r="B55" s="896" t="s">
        <v>1236</v>
      </c>
      <c r="C55" s="897">
        <v>2</v>
      </c>
      <c r="D55" s="898">
        <v>1</v>
      </c>
      <c r="E55" s="898">
        <v>15</v>
      </c>
      <c r="F55" s="899">
        <v>1</v>
      </c>
      <c r="G55" s="898">
        <v>40</v>
      </c>
      <c r="H55" s="939">
        <v>60</v>
      </c>
      <c r="I55" s="939">
        <v>397.5</v>
      </c>
      <c r="J55" s="940">
        <v>397.5</v>
      </c>
      <c r="K55" s="940">
        <v>0</v>
      </c>
      <c r="L55" s="940">
        <v>0</v>
      </c>
    </row>
    <row r="56" spans="1:12" ht="15.75" customHeight="1">
      <c r="A56" s="895" t="s">
        <v>485</v>
      </c>
      <c r="B56" s="896" t="s">
        <v>1237</v>
      </c>
      <c r="C56" s="897">
        <v>2</v>
      </c>
      <c r="D56" s="898">
        <v>1</v>
      </c>
      <c r="E56" s="898">
        <v>15</v>
      </c>
      <c r="F56" s="899">
        <v>1</v>
      </c>
      <c r="G56" s="898">
        <v>40</v>
      </c>
      <c r="H56" s="939">
        <v>60</v>
      </c>
      <c r="I56" s="939">
        <v>397.5</v>
      </c>
      <c r="J56" s="940">
        <v>397.5</v>
      </c>
      <c r="K56" s="940">
        <v>0</v>
      </c>
      <c r="L56" s="940">
        <v>0</v>
      </c>
    </row>
    <row r="57" spans="1:12" ht="15.75" customHeight="1">
      <c r="A57" s="903" t="s">
        <v>1244</v>
      </c>
      <c r="B57" s="942" t="s">
        <v>1268</v>
      </c>
      <c r="C57" s="877">
        <f t="shared" ref="C57:L57" si="17">C58+C59+C60+C61</f>
        <v>9</v>
      </c>
      <c r="D57" s="877">
        <f t="shared" si="17"/>
        <v>4</v>
      </c>
      <c r="E57" s="877">
        <f t="shared" si="17"/>
        <v>60</v>
      </c>
      <c r="F57" s="906">
        <f t="shared" si="17"/>
        <v>4</v>
      </c>
      <c r="G57" s="877">
        <f t="shared" si="17"/>
        <v>160</v>
      </c>
      <c r="H57" s="877">
        <f t="shared" si="17"/>
        <v>270</v>
      </c>
      <c r="I57" s="877">
        <f t="shared" si="17"/>
        <v>1713.75</v>
      </c>
      <c r="J57" s="877">
        <f t="shared" si="17"/>
        <v>1713.75</v>
      </c>
      <c r="K57" s="877">
        <f t="shared" si="17"/>
        <v>0</v>
      </c>
      <c r="L57" s="877">
        <f t="shared" si="17"/>
        <v>0</v>
      </c>
    </row>
    <row r="58" spans="1:12" ht="15.75" customHeight="1">
      <c r="A58" s="895" t="s">
        <v>481</v>
      </c>
      <c r="B58" s="896" t="s">
        <v>1267</v>
      </c>
      <c r="C58" s="897">
        <v>2</v>
      </c>
      <c r="D58" s="898">
        <v>1</v>
      </c>
      <c r="E58" s="898">
        <v>15</v>
      </c>
      <c r="F58" s="899">
        <v>1</v>
      </c>
      <c r="G58" s="898">
        <v>40</v>
      </c>
      <c r="H58" s="939">
        <v>60</v>
      </c>
      <c r="I58" s="939">
        <v>397.5</v>
      </c>
      <c r="J58" s="940">
        <v>397.5</v>
      </c>
      <c r="K58" s="940">
        <v>0</v>
      </c>
      <c r="L58" s="940">
        <v>0</v>
      </c>
    </row>
    <row r="59" spans="1:12" ht="15.75" customHeight="1">
      <c r="A59" s="895" t="s">
        <v>483</v>
      </c>
      <c r="B59" s="896" t="s">
        <v>1235</v>
      </c>
      <c r="C59" s="897">
        <v>3</v>
      </c>
      <c r="D59" s="898">
        <v>1</v>
      </c>
      <c r="E59" s="898">
        <v>15</v>
      </c>
      <c r="F59" s="899">
        <v>1</v>
      </c>
      <c r="G59" s="898">
        <v>40</v>
      </c>
      <c r="H59" s="939">
        <v>90</v>
      </c>
      <c r="I59" s="939">
        <v>521.25</v>
      </c>
      <c r="J59" s="940">
        <v>521.25</v>
      </c>
      <c r="K59" s="940">
        <v>0</v>
      </c>
      <c r="L59" s="940">
        <v>0</v>
      </c>
    </row>
    <row r="60" spans="1:12" ht="15.75" customHeight="1">
      <c r="A60" s="895" t="s">
        <v>486</v>
      </c>
      <c r="B60" s="896" t="s">
        <v>1236</v>
      </c>
      <c r="C60" s="897">
        <v>2</v>
      </c>
      <c r="D60" s="898">
        <v>1</v>
      </c>
      <c r="E60" s="898">
        <v>15</v>
      </c>
      <c r="F60" s="899">
        <v>1</v>
      </c>
      <c r="G60" s="898">
        <v>40</v>
      </c>
      <c r="H60" s="939">
        <v>60</v>
      </c>
      <c r="I60" s="939">
        <v>397.5</v>
      </c>
      <c r="J60" s="940">
        <v>397.5</v>
      </c>
      <c r="K60" s="940">
        <v>0</v>
      </c>
      <c r="L60" s="940">
        <v>0</v>
      </c>
    </row>
    <row r="61" spans="1:12" ht="15.75" customHeight="1">
      <c r="A61" s="895" t="s">
        <v>487</v>
      </c>
      <c r="B61" s="896" t="s">
        <v>1237</v>
      </c>
      <c r="C61" s="897">
        <v>2</v>
      </c>
      <c r="D61" s="898">
        <v>1</v>
      </c>
      <c r="E61" s="898">
        <v>15</v>
      </c>
      <c r="F61" s="899">
        <v>1</v>
      </c>
      <c r="G61" s="898">
        <v>40</v>
      </c>
      <c r="H61" s="939">
        <v>60</v>
      </c>
      <c r="I61" s="939">
        <v>397.5</v>
      </c>
      <c r="J61" s="940">
        <v>397.5</v>
      </c>
      <c r="K61" s="940">
        <v>0</v>
      </c>
      <c r="L61" s="940">
        <v>0</v>
      </c>
    </row>
    <row r="62" spans="1:12" ht="30.75" customHeight="1">
      <c r="A62" s="916">
        <v>2</v>
      </c>
      <c r="B62" s="917" t="s">
        <v>519</v>
      </c>
      <c r="C62" s="877">
        <f t="shared" ref="C62:L62" si="18">C63+C68</f>
        <v>20</v>
      </c>
      <c r="D62" s="877">
        <f t="shared" si="18"/>
        <v>4</v>
      </c>
      <c r="E62" s="877">
        <f t="shared" si="18"/>
        <v>16</v>
      </c>
      <c r="F62" s="906">
        <f t="shared" si="18"/>
        <v>4</v>
      </c>
      <c r="G62" s="877">
        <f t="shared" si="18"/>
        <v>240</v>
      </c>
      <c r="H62" s="877">
        <f t="shared" si="18"/>
        <v>270</v>
      </c>
      <c r="I62" s="877">
        <f t="shared" si="18"/>
        <v>594</v>
      </c>
      <c r="J62" s="877">
        <f t="shared" si="18"/>
        <v>594</v>
      </c>
      <c r="K62" s="877">
        <f t="shared" si="18"/>
        <v>0</v>
      </c>
      <c r="L62" s="877">
        <f t="shared" si="18"/>
        <v>0</v>
      </c>
    </row>
    <row r="63" spans="1:12" ht="15.75" customHeight="1">
      <c r="A63" s="918" t="s">
        <v>520</v>
      </c>
      <c r="B63" s="904" t="s">
        <v>1269</v>
      </c>
      <c r="C63" s="877">
        <f t="shared" ref="C63:L63" si="19">C64+C65+C66+C67</f>
        <v>9</v>
      </c>
      <c r="D63" s="877">
        <f t="shared" si="19"/>
        <v>4</v>
      </c>
      <c r="E63" s="877">
        <f t="shared" si="19"/>
        <v>8</v>
      </c>
      <c r="F63" s="906">
        <f t="shared" si="19"/>
        <v>4</v>
      </c>
      <c r="G63" s="877">
        <f t="shared" si="19"/>
        <v>120</v>
      </c>
      <c r="H63" s="877">
        <f t="shared" si="19"/>
        <v>270</v>
      </c>
      <c r="I63" s="877">
        <f t="shared" si="19"/>
        <v>297</v>
      </c>
      <c r="J63" s="877">
        <f t="shared" si="19"/>
        <v>297</v>
      </c>
      <c r="K63" s="877">
        <f t="shared" si="19"/>
        <v>0</v>
      </c>
      <c r="L63" s="877">
        <f t="shared" si="19"/>
        <v>0</v>
      </c>
    </row>
    <row r="64" spans="1:12" ht="15.75" customHeight="1">
      <c r="A64" s="895" t="s">
        <v>479</v>
      </c>
      <c r="B64" s="896" t="s">
        <v>1234</v>
      </c>
      <c r="C64" s="897">
        <v>2</v>
      </c>
      <c r="D64" s="898">
        <v>1</v>
      </c>
      <c r="E64" s="898">
        <v>2</v>
      </c>
      <c r="F64" s="899">
        <v>1</v>
      </c>
      <c r="G64" s="898">
        <v>30</v>
      </c>
      <c r="H64" s="898">
        <f>C64*D64*G64</f>
        <v>60</v>
      </c>
      <c r="I64" s="898">
        <f t="shared" ref="I64:I67" si="20">C64*E64*16.5</f>
        <v>66</v>
      </c>
      <c r="J64" s="900">
        <v>66</v>
      </c>
      <c r="K64" s="900">
        <v>0</v>
      </c>
      <c r="L64" s="900">
        <v>0</v>
      </c>
    </row>
    <row r="65" spans="1:12" ht="15.75" customHeight="1">
      <c r="A65" s="895" t="s">
        <v>481</v>
      </c>
      <c r="B65" s="896" t="s">
        <v>1235</v>
      </c>
      <c r="C65" s="897">
        <v>3</v>
      </c>
      <c r="D65" s="898">
        <v>1</v>
      </c>
      <c r="E65" s="898">
        <v>2</v>
      </c>
      <c r="F65" s="899">
        <v>1</v>
      </c>
      <c r="G65" s="898">
        <v>30</v>
      </c>
      <c r="H65" s="898">
        <v>90</v>
      </c>
      <c r="I65" s="898">
        <f t="shared" si="20"/>
        <v>99</v>
      </c>
      <c r="J65" s="900">
        <v>99</v>
      </c>
      <c r="K65" s="900">
        <v>0</v>
      </c>
      <c r="L65" s="900">
        <v>0</v>
      </c>
    </row>
    <row r="66" spans="1:12" ht="15.75" customHeight="1">
      <c r="A66" s="895" t="s">
        <v>483</v>
      </c>
      <c r="B66" s="896" t="s">
        <v>1236</v>
      </c>
      <c r="C66" s="897">
        <v>2</v>
      </c>
      <c r="D66" s="898">
        <v>1</v>
      </c>
      <c r="E66" s="898">
        <v>2</v>
      </c>
      <c r="F66" s="899">
        <v>1</v>
      </c>
      <c r="G66" s="898">
        <v>30</v>
      </c>
      <c r="H66" s="898">
        <v>60</v>
      </c>
      <c r="I66" s="898">
        <f t="shared" si="20"/>
        <v>66</v>
      </c>
      <c r="J66" s="900">
        <v>66</v>
      </c>
      <c r="K66" s="900">
        <v>0</v>
      </c>
      <c r="L66" s="900">
        <v>0</v>
      </c>
    </row>
    <row r="67" spans="1:12" ht="15.75" customHeight="1">
      <c r="A67" s="895" t="s">
        <v>484</v>
      </c>
      <c r="B67" s="896" t="s">
        <v>1237</v>
      </c>
      <c r="C67" s="897">
        <v>2</v>
      </c>
      <c r="D67" s="898">
        <v>1</v>
      </c>
      <c r="E67" s="898">
        <v>2</v>
      </c>
      <c r="F67" s="899">
        <v>1</v>
      </c>
      <c r="G67" s="898">
        <v>30</v>
      </c>
      <c r="H67" s="898">
        <v>60</v>
      </c>
      <c r="I67" s="898">
        <f t="shared" si="20"/>
        <v>66</v>
      </c>
      <c r="J67" s="900">
        <v>66</v>
      </c>
      <c r="K67" s="900">
        <v>0</v>
      </c>
      <c r="L67" s="900">
        <v>0</v>
      </c>
    </row>
    <row r="68" spans="1:12" ht="15.75" customHeight="1">
      <c r="A68" s="943" t="s">
        <v>520</v>
      </c>
      <c r="B68" s="933" t="s">
        <v>1270</v>
      </c>
      <c r="C68" s="934">
        <v>11</v>
      </c>
      <c r="D68" s="944"/>
      <c r="E68" s="945">
        <v>8</v>
      </c>
      <c r="F68" s="946"/>
      <c r="G68" s="945">
        <f>G69+G70+G71+G72</f>
        <v>120</v>
      </c>
      <c r="H68" s="945"/>
      <c r="I68" s="945">
        <v>297</v>
      </c>
      <c r="J68" s="945">
        <v>297</v>
      </c>
      <c r="K68" s="877">
        <f t="shared" ref="K68:L68" si="21">K69+K70+K71+K72</f>
        <v>0</v>
      </c>
      <c r="L68" s="877">
        <f t="shared" si="21"/>
        <v>0</v>
      </c>
    </row>
    <row r="69" spans="1:12" ht="15.75" customHeight="1">
      <c r="A69" s="895" t="s">
        <v>486</v>
      </c>
      <c r="B69" s="896" t="s">
        <v>1271</v>
      </c>
      <c r="C69" s="897">
        <v>2</v>
      </c>
      <c r="D69" s="898">
        <v>1</v>
      </c>
      <c r="E69" s="898">
        <v>2</v>
      </c>
      <c r="F69" s="899">
        <v>1</v>
      </c>
      <c r="G69" s="898">
        <v>30</v>
      </c>
      <c r="H69" s="898">
        <v>60</v>
      </c>
      <c r="I69" s="898">
        <v>66</v>
      </c>
      <c r="J69" s="900">
        <v>66</v>
      </c>
      <c r="K69" s="900">
        <v>0</v>
      </c>
      <c r="L69" s="900">
        <v>0</v>
      </c>
    </row>
    <row r="70" spans="1:12" ht="15.75" customHeight="1">
      <c r="A70" s="895" t="s">
        <v>487</v>
      </c>
      <c r="B70" s="896" t="s">
        <v>1235</v>
      </c>
      <c r="C70" s="897">
        <v>3</v>
      </c>
      <c r="D70" s="898">
        <v>1</v>
      </c>
      <c r="E70" s="898">
        <v>2</v>
      </c>
      <c r="F70" s="899">
        <v>1</v>
      </c>
      <c r="G70" s="898">
        <v>30</v>
      </c>
      <c r="H70" s="898">
        <v>90</v>
      </c>
      <c r="I70" s="898">
        <v>99</v>
      </c>
      <c r="J70" s="900">
        <v>99</v>
      </c>
      <c r="K70" s="900">
        <v>0</v>
      </c>
      <c r="L70" s="900">
        <v>0</v>
      </c>
    </row>
    <row r="71" spans="1:12" ht="15.75" customHeight="1">
      <c r="A71" s="895" t="s">
        <v>488</v>
      </c>
      <c r="B71" s="896" t="s">
        <v>1236</v>
      </c>
      <c r="C71" s="897">
        <v>2</v>
      </c>
      <c r="D71" s="898">
        <v>1</v>
      </c>
      <c r="E71" s="898">
        <v>2</v>
      </c>
      <c r="F71" s="899">
        <v>1</v>
      </c>
      <c r="G71" s="898">
        <v>30</v>
      </c>
      <c r="H71" s="898">
        <v>60</v>
      </c>
      <c r="I71" s="898">
        <v>66</v>
      </c>
      <c r="J71" s="900">
        <v>66</v>
      </c>
      <c r="K71" s="900">
        <v>0</v>
      </c>
      <c r="L71" s="900">
        <v>0</v>
      </c>
    </row>
    <row r="72" spans="1:12" ht="15.75" customHeight="1">
      <c r="A72" s="895" t="s">
        <v>489</v>
      </c>
      <c r="B72" s="947" t="s">
        <v>1237</v>
      </c>
      <c r="C72" s="897">
        <v>2</v>
      </c>
      <c r="D72" s="898">
        <v>1</v>
      </c>
      <c r="E72" s="898">
        <v>2</v>
      </c>
      <c r="F72" s="899">
        <v>1</v>
      </c>
      <c r="G72" s="898">
        <v>30</v>
      </c>
      <c r="H72" s="898">
        <v>60</v>
      </c>
      <c r="I72" s="898">
        <v>66</v>
      </c>
      <c r="J72" s="900">
        <v>66</v>
      </c>
      <c r="K72" s="900">
        <v>0</v>
      </c>
      <c r="L72" s="900">
        <v>0</v>
      </c>
    </row>
    <row r="73" spans="1:12" ht="15.75" customHeight="1">
      <c r="A73" s="948" t="s">
        <v>284</v>
      </c>
      <c r="B73" s="941"/>
      <c r="C73" s="254"/>
      <c r="D73" s="254"/>
      <c r="E73" s="254"/>
      <c r="F73" s="254"/>
      <c r="G73" s="505"/>
      <c r="H73" s="505"/>
      <c r="I73" s="505"/>
      <c r="J73" s="505"/>
      <c r="K73" s="505"/>
      <c r="L73" s="505"/>
    </row>
    <row r="74" spans="1:12" ht="15.75" customHeight="1">
      <c r="A74" s="948" t="s">
        <v>345</v>
      </c>
      <c r="B74" s="941"/>
      <c r="C74" s="254"/>
      <c r="D74" s="254"/>
      <c r="E74" s="254"/>
      <c r="F74" s="254"/>
      <c r="G74" s="505"/>
      <c r="H74" s="505"/>
      <c r="I74" s="505"/>
      <c r="J74" s="505"/>
      <c r="K74" s="505"/>
      <c r="L74" s="505"/>
    </row>
  </sheetData>
  <mergeCells count="15">
    <mergeCell ref="H5:H6"/>
    <mergeCell ref="I5:I6"/>
    <mergeCell ref="J5:L5"/>
    <mergeCell ref="A1:C1"/>
    <mergeCell ref="I1:L1"/>
    <mergeCell ref="A2:C2"/>
    <mergeCell ref="I2:L2"/>
    <mergeCell ref="A3:L3"/>
    <mergeCell ref="A5:A6"/>
    <mergeCell ref="B5:B6"/>
    <mergeCell ref="C5:C6"/>
    <mergeCell ref="D5:D6"/>
    <mergeCell ref="E5:E6"/>
    <mergeCell ref="F5:F6"/>
    <mergeCell ref="G5:G6"/>
  </mergeCells>
  <pageMargins left="0.7" right="0.7" top="0.75" bottom="0.75" header="0" footer="0"/>
  <pageSetup orientation="landscape"/>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23"/>
  <sheetViews>
    <sheetView workbookViewId="0">
      <pane xSplit="2" ySplit="6" topLeftCell="C7"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8.28515625" customWidth="1"/>
    <col min="2" max="2" width="35.7109375" customWidth="1"/>
    <col min="3" max="3" width="11.7109375" customWidth="1"/>
    <col min="4" max="8" width="11.42578125" customWidth="1"/>
    <col min="9" max="9" width="19" customWidth="1"/>
    <col min="10" max="26" width="11.42578125" customWidth="1"/>
  </cols>
  <sheetData>
    <row r="1" spans="1:12">
      <c r="A1" s="2788" t="s">
        <v>23</v>
      </c>
      <c r="B1" s="2732"/>
      <c r="C1" s="2732"/>
      <c r="D1" s="39"/>
      <c r="E1" s="39"/>
      <c r="F1" s="39"/>
      <c r="G1" s="39"/>
      <c r="H1" s="39"/>
      <c r="I1" s="40"/>
      <c r="J1" s="2836"/>
      <c r="K1" s="2732"/>
      <c r="L1" s="2732"/>
    </row>
    <row r="2" spans="1:12">
      <c r="A2" s="2844" t="s">
        <v>1272</v>
      </c>
      <c r="B2" s="2732"/>
      <c r="C2" s="2732"/>
      <c r="D2" s="167"/>
      <c r="E2" s="167"/>
      <c r="F2" s="167"/>
      <c r="G2" s="167"/>
      <c r="H2" s="167"/>
      <c r="I2" s="40"/>
      <c r="J2" s="2836"/>
      <c r="K2" s="2732"/>
      <c r="L2" s="2732"/>
    </row>
    <row r="3" spans="1:12" ht="15.75">
      <c r="A3" s="2773" t="s">
        <v>523</v>
      </c>
      <c r="B3" s="2732"/>
      <c r="C3" s="2732"/>
      <c r="D3" s="2732"/>
      <c r="E3" s="2732"/>
      <c r="F3" s="2732"/>
      <c r="G3" s="2732"/>
      <c r="H3" s="2732"/>
      <c r="I3" s="2732"/>
      <c r="J3" s="2732"/>
      <c r="K3" s="2732"/>
      <c r="L3" s="2732"/>
    </row>
    <row r="4" spans="1:12" ht="54.75" customHeight="1">
      <c r="A4" s="2842" t="s">
        <v>186</v>
      </c>
      <c r="B4" s="2828" t="s">
        <v>453</v>
      </c>
      <c r="C4" s="2828" t="s">
        <v>454</v>
      </c>
      <c r="D4" s="2824" t="s">
        <v>528</v>
      </c>
      <c r="E4" s="2819" t="s">
        <v>456</v>
      </c>
      <c r="F4" s="2819" t="s">
        <v>457</v>
      </c>
      <c r="G4" s="2819" t="s">
        <v>621</v>
      </c>
      <c r="H4" s="2821" t="s">
        <v>459</v>
      </c>
      <c r="I4" s="2822" t="s">
        <v>439</v>
      </c>
      <c r="J4" s="2816" t="s">
        <v>622</v>
      </c>
      <c r="K4" s="2817"/>
      <c r="L4" s="2818"/>
    </row>
    <row r="5" spans="1:12" ht="39" customHeight="1">
      <c r="A5" s="2843"/>
      <c r="B5" s="2779"/>
      <c r="C5" s="2779"/>
      <c r="D5" s="2820"/>
      <c r="E5" s="2820"/>
      <c r="F5" s="2820"/>
      <c r="G5" s="2820"/>
      <c r="H5" s="2820"/>
      <c r="I5" s="2820"/>
      <c r="J5" s="122" t="s">
        <v>461</v>
      </c>
      <c r="K5" s="122" t="s">
        <v>462</v>
      </c>
      <c r="L5" s="122" t="s">
        <v>463</v>
      </c>
    </row>
    <row r="6" spans="1:12" ht="32.25" customHeight="1">
      <c r="A6" s="444" t="s">
        <v>465</v>
      </c>
      <c r="B6" s="445" t="s">
        <v>1273</v>
      </c>
      <c r="C6" s="445" t="s">
        <v>467</v>
      </c>
      <c r="D6" s="184" t="s">
        <v>1274</v>
      </c>
      <c r="E6" s="185" t="s">
        <v>469</v>
      </c>
      <c r="F6" s="185" t="s">
        <v>1275</v>
      </c>
      <c r="G6" s="185" t="s">
        <v>471</v>
      </c>
      <c r="H6" s="186" t="s">
        <v>472</v>
      </c>
      <c r="I6" s="419" t="s">
        <v>770</v>
      </c>
      <c r="J6" s="185" t="s">
        <v>474</v>
      </c>
      <c r="K6" s="185" t="s">
        <v>475</v>
      </c>
      <c r="L6" s="187">
        <v>-12</v>
      </c>
    </row>
    <row r="7" spans="1:12">
      <c r="A7" s="446" t="s">
        <v>200</v>
      </c>
      <c r="B7" s="502" t="s">
        <v>554</v>
      </c>
      <c r="C7" s="448"/>
      <c r="D7" s="448"/>
      <c r="E7" s="448"/>
      <c r="F7" s="448"/>
      <c r="G7" s="503"/>
      <c r="H7" s="503"/>
      <c r="I7" s="950"/>
      <c r="J7" s="950"/>
      <c r="K7" s="950"/>
      <c r="L7" s="950"/>
    </row>
    <row r="8" spans="1:12" ht="53.25" customHeight="1">
      <c r="A8" s="1895" t="s">
        <v>258</v>
      </c>
      <c r="B8" s="1896" t="s">
        <v>477</v>
      </c>
      <c r="C8" s="1897"/>
      <c r="D8" s="1917"/>
      <c r="E8" s="1917"/>
      <c r="F8" s="1917"/>
      <c r="G8" s="1917"/>
      <c r="H8" s="1917"/>
      <c r="I8" s="2115"/>
      <c r="J8" s="2115"/>
      <c r="K8" s="2115"/>
      <c r="L8" s="2115"/>
    </row>
    <row r="9" spans="1:12" ht="21.75" customHeight="1">
      <c r="A9" s="951">
        <v>1</v>
      </c>
      <c r="B9" s="450" t="s">
        <v>441</v>
      </c>
      <c r="C9" s="451"/>
      <c r="D9" s="504"/>
      <c r="E9" s="504"/>
      <c r="F9" s="504"/>
      <c r="G9" s="504"/>
      <c r="H9" s="504"/>
      <c r="I9" s="507"/>
      <c r="J9" s="454"/>
      <c r="K9" s="454"/>
      <c r="L9" s="454"/>
    </row>
    <row r="10" spans="1:12" ht="21" customHeight="1">
      <c r="A10" s="452" t="s">
        <v>263</v>
      </c>
      <c r="B10" s="1898" t="s">
        <v>541</v>
      </c>
      <c r="C10" s="454">
        <f t="shared" ref="C10:J10" si="0">C11+C37</f>
        <v>126</v>
      </c>
      <c r="D10" s="454">
        <f t="shared" si="0"/>
        <v>37.667000000000002</v>
      </c>
      <c r="E10" s="454">
        <f t="shared" si="0"/>
        <v>216</v>
      </c>
      <c r="F10" s="454">
        <f t="shared" si="0"/>
        <v>40.70000000000001</v>
      </c>
      <c r="G10" s="454">
        <f t="shared" si="0"/>
        <v>16322</v>
      </c>
      <c r="H10" s="454">
        <f t="shared" si="0"/>
        <v>62301.83</v>
      </c>
      <c r="I10" s="454">
        <f t="shared" si="0"/>
        <v>19733.25</v>
      </c>
      <c r="J10" s="454">
        <f t="shared" si="0"/>
        <v>17345.55</v>
      </c>
      <c r="K10" s="2116">
        <f t="shared" ref="K10:L10" si="1">SUM(K12:K72)</f>
        <v>2387.7000000000003</v>
      </c>
      <c r="L10" s="2116">
        <f t="shared" si="1"/>
        <v>0</v>
      </c>
    </row>
    <row r="11" spans="1:12">
      <c r="A11" s="952"/>
      <c r="B11" s="2117" t="s">
        <v>1276</v>
      </c>
      <c r="C11" s="953">
        <f t="shared" ref="C11:L11" si="2">SUM(C12:C36)</f>
        <v>47</v>
      </c>
      <c r="D11" s="953">
        <f t="shared" si="2"/>
        <v>13.899999999999999</v>
      </c>
      <c r="E11" s="953">
        <f t="shared" si="2"/>
        <v>94</v>
      </c>
      <c r="F11" s="953">
        <f t="shared" si="2"/>
        <v>15.400000000000004</v>
      </c>
      <c r="G11" s="953">
        <f t="shared" si="2"/>
        <v>6460</v>
      </c>
      <c r="H11" s="953">
        <f t="shared" si="2"/>
        <v>23770</v>
      </c>
      <c r="I11" s="953">
        <f t="shared" si="2"/>
        <v>6099.4</v>
      </c>
      <c r="J11" s="953">
        <f t="shared" si="2"/>
        <v>3711.6999999999994</v>
      </c>
      <c r="K11" s="2118">
        <f t="shared" si="2"/>
        <v>2387.7000000000003</v>
      </c>
      <c r="L11" s="2118">
        <f t="shared" si="2"/>
        <v>0</v>
      </c>
    </row>
    <row r="12" spans="1:12">
      <c r="A12" s="954" t="s">
        <v>479</v>
      </c>
      <c r="B12" s="955" t="s">
        <v>1277</v>
      </c>
      <c r="C12" s="956">
        <v>5</v>
      </c>
      <c r="D12" s="957">
        <v>1.4</v>
      </c>
      <c r="E12" s="957">
        <v>13</v>
      </c>
      <c r="F12" s="956">
        <v>1</v>
      </c>
      <c r="G12" s="956">
        <v>243</v>
      </c>
      <c r="H12" s="958">
        <f t="shared" ref="H12:H24" si="3">C12*D12*G12</f>
        <v>1701</v>
      </c>
      <c r="I12" s="518">
        <v>75</v>
      </c>
      <c r="J12" s="168">
        <f>I12</f>
        <v>75</v>
      </c>
      <c r="K12" s="521"/>
      <c r="L12" s="521"/>
    </row>
    <row r="13" spans="1:12" ht="25.5">
      <c r="A13" s="959" t="s">
        <v>481</v>
      </c>
      <c r="B13" s="960" t="s">
        <v>1278</v>
      </c>
      <c r="C13" s="961">
        <v>5</v>
      </c>
      <c r="D13" s="962">
        <v>1.1200000000000001</v>
      </c>
      <c r="E13" s="962">
        <v>7</v>
      </c>
      <c r="F13" s="962">
        <v>1</v>
      </c>
      <c r="G13" s="962">
        <v>430</v>
      </c>
      <c r="H13" s="963">
        <f t="shared" si="3"/>
        <v>2408.0000000000005</v>
      </c>
      <c r="I13" s="629">
        <f>(3*E13*F13*16.5)+(2*28*15)</f>
        <v>1186.5</v>
      </c>
      <c r="J13" s="168"/>
      <c r="K13" s="168">
        <f>(3*E13*F13*16.5)+(2*28*15)</f>
        <v>1186.5</v>
      </c>
      <c r="L13" s="964"/>
    </row>
    <row r="14" spans="1:12">
      <c r="A14" s="965" t="s">
        <v>483</v>
      </c>
      <c r="B14" s="966" t="s">
        <v>1279</v>
      </c>
      <c r="C14" s="967">
        <v>5</v>
      </c>
      <c r="D14" s="962">
        <v>1.04</v>
      </c>
      <c r="E14" s="962">
        <v>7</v>
      </c>
      <c r="F14" s="962">
        <v>1</v>
      </c>
      <c r="G14" s="962">
        <v>430</v>
      </c>
      <c r="H14" s="968">
        <f t="shared" si="3"/>
        <v>2236</v>
      </c>
      <c r="I14" s="168">
        <f>(65/15*E14*F14*16.5)+(10/15*E14*4*15)</f>
        <v>780.5</v>
      </c>
      <c r="J14" s="168">
        <f t="shared" ref="J14:J20" si="4">I14</f>
        <v>780.5</v>
      </c>
      <c r="K14" s="455"/>
      <c r="L14" s="455"/>
    </row>
    <row r="15" spans="1:12" ht="25.5">
      <c r="A15" s="965" t="s">
        <v>484</v>
      </c>
      <c r="B15" s="966" t="s">
        <v>1280</v>
      </c>
      <c r="C15" s="967">
        <v>5</v>
      </c>
      <c r="D15" s="962">
        <v>1.04</v>
      </c>
      <c r="E15" s="962">
        <v>7</v>
      </c>
      <c r="F15" s="962">
        <v>1</v>
      </c>
      <c r="G15" s="962">
        <v>430</v>
      </c>
      <c r="H15" s="968">
        <f t="shared" si="3"/>
        <v>2236</v>
      </c>
      <c r="I15" s="168">
        <f>(65/15*E15*F15*16.5)+(10/15*28*15)</f>
        <v>780.5</v>
      </c>
      <c r="J15" s="168">
        <f t="shared" si="4"/>
        <v>780.5</v>
      </c>
      <c r="K15" s="455"/>
      <c r="L15" s="455"/>
    </row>
    <row r="16" spans="1:12" ht="25.5">
      <c r="A16" s="965" t="s">
        <v>485</v>
      </c>
      <c r="B16" s="966" t="s">
        <v>1281</v>
      </c>
      <c r="C16" s="967">
        <v>2</v>
      </c>
      <c r="D16" s="962">
        <v>1.3</v>
      </c>
      <c r="E16" s="962">
        <v>22</v>
      </c>
      <c r="F16" s="962">
        <v>1</v>
      </c>
      <c r="G16" s="962">
        <v>430</v>
      </c>
      <c r="H16" s="968">
        <f t="shared" si="3"/>
        <v>1118</v>
      </c>
      <c r="I16" s="168">
        <f>C16*E16*F16*15</f>
        <v>660</v>
      </c>
      <c r="J16" s="168">
        <f t="shared" si="4"/>
        <v>660</v>
      </c>
      <c r="K16" s="461"/>
      <c r="L16" s="461"/>
    </row>
    <row r="17" spans="1:12" ht="25.5">
      <c r="A17" s="965" t="s">
        <v>486</v>
      </c>
      <c r="B17" s="966" t="s">
        <v>1282</v>
      </c>
      <c r="C17" s="967">
        <v>3</v>
      </c>
      <c r="D17" s="962">
        <v>1</v>
      </c>
      <c r="E17" s="962">
        <v>2</v>
      </c>
      <c r="F17" s="962">
        <v>1.3</v>
      </c>
      <c r="G17" s="962">
        <v>580</v>
      </c>
      <c r="H17" s="968">
        <f t="shared" si="3"/>
        <v>1740</v>
      </c>
      <c r="I17" s="168">
        <f t="shared" ref="I17:I24" si="5">C17*E17*F17*16.5</f>
        <v>128.70000000000002</v>
      </c>
      <c r="J17" s="168">
        <f t="shared" si="4"/>
        <v>128.70000000000002</v>
      </c>
      <c r="K17" s="461"/>
      <c r="L17" s="461"/>
    </row>
    <row r="18" spans="1:12">
      <c r="A18" s="965" t="s">
        <v>487</v>
      </c>
      <c r="B18" s="966" t="s">
        <v>1283</v>
      </c>
      <c r="C18" s="967">
        <v>3</v>
      </c>
      <c r="D18" s="962">
        <v>1</v>
      </c>
      <c r="E18" s="962">
        <v>2</v>
      </c>
      <c r="F18" s="962">
        <v>1.3</v>
      </c>
      <c r="G18" s="962">
        <v>580</v>
      </c>
      <c r="H18" s="968">
        <f t="shared" si="3"/>
        <v>1740</v>
      </c>
      <c r="I18" s="168">
        <f t="shared" si="5"/>
        <v>128.70000000000002</v>
      </c>
      <c r="J18" s="168">
        <f t="shared" si="4"/>
        <v>128.70000000000002</v>
      </c>
      <c r="K18" s="461"/>
      <c r="L18" s="461"/>
    </row>
    <row r="19" spans="1:12" ht="25.5">
      <c r="A19" s="965" t="s">
        <v>488</v>
      </c>
      <c r="B19" s="966" t="s">
        <v>1284</v>
      </c>
      <c r="C19" s="967">
        <v>3</v>
      </c>
      <c r="D19" s="962">
        <v>1</v>
      </c>
      <c r="E19" s="962">
        <v>2</v>
      </c>
      <c r="F19" s="962">
        <v>1.3</v>
      </c>
      <c r="G19" s="962">
        <v>580</v>
      </c>
      <c r="H19" s="968">
        <f t="shared" si="3"/>
        <v>1740</v>
      </c>
      <c r="I19" s="168">
        <f t="shared" si="5"/>
        <v>128.70000000000002</v>
      </c>
      <c r="J19" s="168">
        <f t="shared" si="4"/>
        <v>128.70000000000002</v>
      </c>
      <c r="K19" s="461"/>
      <c r="L19" s="461"/>
    </row>
    <row r="20" spans="1:12">
      <c r="A20" s="965" t="s">
        <v>489</v>
      </c>
      <c r="B20" s="966" t="s">
        <v>1285</v>
      </c>
      <c r="C20" s="967">
        <v>3</v>
      </c>
      <c r="D20" s="962">
        <v>1</v>
      </c>
      <c r="E20" s="962">
        <v>2</v>
      </c>
      <c r="F20" s="962">
        <v>1.3</v>
      </c>
      <c r="G20" s="962">
        <v>580</v>
      </c>
      <c r="H20" s="968">
        <f t="shared" si="3"/>
        <v>1740</v>
      </c>
      <c r="I20" s="168">
        <f t="shared" si="5"/>
        <v>128.70000000000002</v>
      </c>
      <c r="J20" s="168">
        <f t="shared" si="4"/>
        <v>128.70000000000002</v>
      </c>
      <c r="K20" s="461"/>
      <c r="L20" s="461"/>
    </row>
    <row r="21" spans="1:12" ht="15.75" customHeight="1">
      <c r="A21" s="965" t="s">
        <v>490</v>
      </c>
      <c r="B21" s="966" t="s">
        <v>1286</v>
      </c>
      <c r="C21" s="967">
        <v>3</v>
      </c>
      <c r="D21" s="962">
        <v>1</v>
      </c>
      <c r="E21" s="962">
        <v>6</v>
      </c>
      <c r="F21" s="962">
        <v>1.3</v>
      </c>
      <c r="G21" s="962">
        <v>437</v>
      </c>
      <c r="H21" s="968">
        <f t="shared" si="3"/>
        <v>1311</v>
      </c>
      <c r="I21" s="168">
        <f t="shared" si="5"/>
        <v>386.1</v>
      </c>
      <c r="J21" s="168">
        <f>C21*2*F21*16.5</f>
        <v>128.70000000000002</v>
      </c>
      <c r="K21" s="461">
        <f>C21*4*F21*16.5</f>
        <v>257.40000000000003</v>
      </c>
      <c r="L21" s="461"/>
    </row>
    <row r="22" spans="1:12" ht="15.75" hidden="1" customHeight="1">
      <c r="A22" s="965" t="s">
        <v>491</v>
      </c>
      <c r="B22" s="966" t="s">
        <v>1287</v>
      </c>
      <c r="C22" s="967">
        <v>3</v>
      </c>
      <c r="D22" s="962">
        <v>1</v>
      </c>
      <c r="E22" s="962">
        <v>8</v>
      </c>
      <c r="F22" s="962">
        <v>1.3</v>
      </c>
      <c r="G22" s="962">
        <v>580</v>
      </c>
      <c r="H22" s="968">
        <f t="shared" si="3"/>
        <v>1740</v>
      </c>
      <c r="I22" s="168">
        <f t="shared" si="5"/>
        <v>514.80000000000007</v>
      </c>
      <c r="J22" s="168">
        <f>I22</f>
        <v>514.80000000000007</v>
      </c>
      <c r="K22" s="461"/>
      <c r="L22" s="461"/>
    </row>
    <row r="23" spans="1:12" ht="15.75" customHeight="1">
      <c r="A23" s="969" t="s">
        <v>491</v>
      </c>
      <c r="B23" s="13" t="s">
        <v>1287</v>
      </c>
      <c r="C23" s="970">
        <v>3</v>
      </c>
      <c r="D23" s="971">
        <v>1</v>
      </c>
      <c r="E23" s="971">
        <v>8</v>
      </c>
      <c r="F23" s="971">
        <v>1.3</v>
      </c>
      <c r="G23" s="971">
        <v>580</v>
      </c>
      <c r="H23" s="972">
        <f t="shared" si="3"/>
        <v>1740</v>
      </c>
      <c r="I23" s="168">
        <f t="shared" si="5"/>
        <v>514.80000000000007</v>
      </c>
      <c r="J23" s="168"/>
      <c r="K23" s="168">
        <f>C23*E23*F23*16.5</f>
        <v>514.80000000000007</v>
      </c>
      <c r="L23" s="461"/>
    </row>
    <row r="24" spans="1:12" ht="15.75" customHeight="1">
      <c r="A24" s="973" t="s">
        <v>492</v>
      </c>
      <c r="B24" s="974" t="s">
        <v>1288</v>
      </c>
      <c r="C24" s="975">
        <v>4</v>
      </c>
      <c r="D24" s="976">
        <v>1</v>
      </c>
      <c r="E24" s="976">
        <v>8</v>
      </c>
      <c r="F24" s="976">
        <v>1.3</v>
      </c>
      <c r="G24" s="976">
        <v>580</v>
      </c>
      <c r="H24" s="977">
        <f t="shared" si="3"/>
        <v>2320</v>
      </c>
      <c r="I24" s="168">
        <f t="shared" si="5"/>
        <v>686.4</v>
      </c>
      <c r="J24" s="168">
        <f>C24*3*F24*16.5</f>
        <v>257.40000000000003</v>
      </c>
      <c r="K24" s="461">
        <f>C24*5*F24*16.5</f>
        <v>429</v>
      </c>
      <c r="L24" s="461"/>
    </row>
    <row r="25" spans="1:12" ht="15.75" hidden="1" customHeight="1">
      <c r="A25" s="2119" t="s">
        <v>517</v>
      </c>
      <c r="B25" s="510"/>
      <c r="C25" s="978"/>
      <c r="D25" s="978"/>
      <c r="E25" s="978"/>
      <c r="F25" s="2120"/>
      <c r="G25" s="2120"/>
      <c r="H25" s="978"/>
      <c r="I25" s="168"/>
      <c r="J25" s="168">
        <f t="shared" ref="J25:J36" si="6">I25</f>
        <v>0</v>
      </c>
      <c r="K25" s="461"/>
      <c r="L25" s="461"/>
    </row>
    <row r="26" spans="1:12" ht="15.75" hidden="1" customHeight="1">
      <c r="A26" s="2121" t="s">
        <v>518</v>
      </c>
      <c r="B26" s="1905"/>
      <c r="C26" s="458"/>
      <c r="D26" s="458"/>
      <c r="E26" s="458"/>
      <c r="F26" s="458"/>
      <c r="G26" s="458"/>
      <c r="H26" s="458"/>
      <c r="I26" s="168"/>
      <c r="J26" s="168">
        <f t="shared" si="6"/>
        <v>0</v>
      </c>
      <c r="K26" s="461"/>
      <c r="L26" s="461"/>
    </row>
    <row r="27" spans="1:12" ht="15.75" hidden="1" customHeight="1">
      <c r="A27" s="2119" t="s">
        <v>503</v>
      </c>
      <c r="B27" s="1905"/>
      <c r="C27" s="458"/>
      <c r="D27" s="458"/>
      <c r="E27" s="458"/>
      <c r="F27" s="458"/>
      <c r="G27" s="458"/>
      <c r="H27" s="458"/>
      <c r="I27" s="168"/>
      <c r="J27" s="168">
        <f t="shared" si="6"/>
        <v>0</v>
      </c>
      <c r="K27" s="461"/>
      <c r="L27" s="461"/>
    </row>
    <row r="28" spans="1:12" ht="15.75" hidden="1" customHeight="1">
      <c r="A28" s="2121" t="s">
        <v>659</v>
      </c>
      <c r="B28" s="1905"/>
      <c r="C28" s="458"/>
      <c r="D28" s="458"/>
      <c r="E28" s="458"/>
      <c r="F28" s="458"/>
      <c r="G28" s="458"/>
      <c r="H28" s="458"/>
      <c r="I28" s="168"/>
      <c r="J28" s="168">
        <f t="shared" si="6"/>
        <v>0</v>
      </c>
      <c r="K28" s="461"/>
      <c r="L28" s="461"/>
    </row>
    <row r="29" spans="1:12" ht="15.75" hidden="1" customHeight="1">
      <c r="A29" s="2119" t="s">
        <v>662</v>
      </c>
      <c r="B29" s="1905"/>
      <c r="C29" s="458"/>
      <c r="D29" s="458"/>
      <c r="E29" s="458"/>
      <c r="F29" s="458"/>
      <c r="G29" s="458"/>
      <c r="H29" s="458"/>
      <c r="I29" s="168"/>
      <c r="J29" s="168">
        <f t="shared" si="6"/>
        <v>0</v>
      </c>
      <c r="K29" s="461"/>
      <c r="L29" s="461"/>
    </row>
    <row r="30" spans="1:12" ht="15.75" hidden="1" customHeight="1">
      <c r="A30" s="2121" t="s">
        <v>664</v>
      </c>
      <c r="B30" s="1905"/>
      <c r="C30" s="458"/>
      <c r="D30" s="458"/>
      <c r="E30" s="458"/>
      <c r="F30" s="458"/>
      <c r="G30" s="458"/>
      <c r="H30" s="458"/>
      <c r="I30" s="168"/>
      <c r="J30" s="168">
        <f t="shared" si="6"/>
        <v>0</v>
      </c>
      <c r="K30" s="461"/>
      <c r="L30" s="461"/>
    </row>
    <row r="31" spans="1:12" ht="15.75" hidden="1" customHeight="1">
      <c r="A31" s="2119" t="s">
        <v>667</v>
      </c>
      <c r="B31" s="1905"/>
      <c r="C31" s="458"/>
      <c r="D31" s="458"/>
      <c r="E31" s="458"/>
      <c r="F31" s="458"/>
      <c r="G31" s="458"/>
      <c r="H31" s="458"/>
      <c r="I31" s="168"/>
      <c r="J31" s="168">
        <f t="shared" si="6"/>
        <v>0</v>
      </c>
      <c r="K31" s="461"/>
      <c r="L31" s="461"/>
    </row>
    <row r="32" spans="1:12" ht="15.75" hidden="1" customHeight="1">
      <c r="A32" s="2122" t="s">
        <v>505</v>
      </c>
      <c r="B32" s="1905"/>
      <c r="C32" s="458"/>
      <c r="D32" s="458"/>
      <c r="E32" s="458"/>
      <c r="F32" s="458"/>
      <c r="G32" s="458"/>
      <c r="H32" s="458"/>
      <c r="I32" s="168"/>
      <c r="J32" s="168">
        <f t="shared" si="6"/>
        <v>0</v>
      </c>
      <c r="K32" s="461"/>
      <c r="L32" s="461"/>
    </row>
    <row r="33" spans="1:12" ht="15.75" hidden="1" customHeight="1">
      <c r="A33" s="2119" t="s">
        <v>668</v>
      </c>
      <c r="B33" s="1905"/>
      <c r="C33" s="458"/>
      <c r="D33" s="458"/>
      <c r="E33" s="458"/>
      <c r="F33" s="458"/>
      <c r="G33" s="458"/>
      <c r="H33" s="458"/>
      <c r="I33" s="168"/>
      <c r="J33" s="168">
        <f t="shared" si="6"/>
        <v>0</v>
      </c>
      <c r="K33" s="461"/>
      <c r="L33" s="461"/>
    </row>
    <row r="34" spans="1:12" ht="15.75" hidden="1" customHeight="1">
      <c r="A34" s="2122" t="s">
        <v>670</v>
      </c>
      <c r="B34" s="1905"/>
      <c r="C34" s="458"/>
      <c r="D34" s="458"/>
      <c r="E34" s="458"/>
      <c r="F34" s="458"/>
      <c r="G34" s="458"/>
      <c r="H34" s="458"/>
      <c r="I34" s="168"/>
      <c r="J34" s="168">
        <f t="shared" si="6"/>
        <v>0</v>
      </c>
      <c r="K34" s="461"/>
      <c r="L34" s="461"/>
    </row>
    <row r="35" spans="1:12" ht="15.75" hidden="1" customHeight="1">
      <c r="A35" s="2119" t="s">
        <v>672</v>
      </c>
      <c r="B35" s="1905"/>
      <c r="C35" s="458"/>
      <c r="D35" s="458"/>
      <c r="E35" s="458"/>
      <c r="F35" s="458"/>
      <c r="G35" s="458"/>
      <c r="H35" s="458"/>
      <c r="I35" s="168"/>
      <c r="J35" s="168">
        <f t="shared" si="6"/>
        <v>0</v>
      </c>
      <c r="K35" s="461"/>
      <c r="L35" s="461"/>
    </row>
    <row r="36" spans="1:12" ht="15.75" hidden="1" customHeight="1">
      <c r="A36" s="2122" t="s">
        <v>706</v>
      </c>
      <c r="B36" s="1905"/>
      <c r="C36" s="458"/>
      <c r="D36" s="458"/>
      <c r="E36" s="458"/>
      <c r="F36" s="458"/>
      <c r="G36" s="458"/>
      <c r="H36" s="458"/>
      <c r="I36" s="168"/>
      <c r="J36" s="168">
        <f t="shared" si="6"/>
        <v>0</v>
      </c>
      <c r="K36" s="461"/>
      <c r="L36" s="461"/>
    </row>
    <row r="37" spans="1:12" ht="15.75" customHeight="1">
      <c r="A37" s="979"/>
      <c r="B37" s="980" t="s">
        <v>1289</v>
      </c>
      <c r="C37" s="981">
        <f t="shared" ref="C37:J37" si="7">SUM(C38:C75)</f>
        <v>79</v>
      </c>
      <c r="D37" s="981">
        <f t="shared" si="7"/>
        <v>23.767000000000003</v>
      </c>
      <c r="E37" s="981">
        <f t="shared" si="7"/>
        <v>122</v>
      </c>
      <c r="F37" s="981">
        <f t="shared" si="7"/>
        <v>25.300000000000004</v>
      </c>
      <c r="G37" s="981">
        <f t="shared" si="7"/>
        <v>9862</v>
      </c>
      <c r="H37" s="981">
        <f t="shared" si="7"/>
        <v>38531.83</v>
      </c>
      <c r="I37" s="981">
        <f t="shared" si="7"/>
        <v>13633.85</v>
      </c>
      <c r="J37" s="981">
        <f t="shared" si="7"/>
        <v>13633.85</v>
      </c>
      <c r="K37" s="521"/>
      <c r="L37" s="521"/>
    </row>
    <row r="38" spans="1:12" ht="15.75" customHeight="1">
      <c r="A38" s="2119" t="s">
        <v>708</v>
      </c>
      <c r="B38" s="607" t="s">
        <v>1290</v>
      </c>
      <c r="C38" s="594">
        <v>3</v>
      </c>
      <c r="D38" s="594">
        <v>1.3</v>
      </c>
      <c r="E38" s="594">
        <v>5</v>
      </c>
      <c r="F38" s="594">
        <v>1</v>
      </c>
      <c r="G38" s="594">
        <v>350</v>
      </c>
      <c r="H38" s="594">
        <f t="shared" ref="H38:H72" si="8">C38*D38*G38</f>
        <v>1365.0000000000002</v>
      </c>
      <c r="I38" s="982">
        <f>C38*H38*0.8</f>
        <v>3276.0000000000009</v>
      </c>
      <c r="J38" s="168">
        <f t="shared" ref="J38:J72" si="9">I38</f>
        <v>3276.0000000000009</v>
      </c>
      <c r="K38" s="982"/>
      <c r="L38" s="982"/>
    </row>
    <row r="39" spans="1:12" ht="15.75" customHeight="1">
      <c r="A39" s="2122" t="s">
        <v>710</v>
      </c>
      <c r="B39" s="1905" t="s">
        <v>1291</v>
      </c>
      <c r="C39" s="458">
        <v>3</v>
      </c>
      <c r="D39" s="458">
        <v>1.0669999999999999</v>
      </c>
      <c r="E39" s="458">
        <v>6</v>
      </c>
      <c r="F39" s="458">
        <v>1.3</v>
      </c>
      <c r="G39" s="458">
        <v>430</v>
      </c>
      <c r="H39" s="594">
        <f t="shared" si="8"/>
        <v>1376.4299999999998</v>
      </c>
      <c r="I39" s="168">
        <f>(35/15*E39*F39*16.5)+(10/15*E39*4*15)</f>
        <v>540.29999999999995</v>
      </c>
      <c r="J39" s="168">
        <f t="shared" si="9"/>
        <v>540.29999999999995</v>
      </c>
      <c r="K39" s="461"/>
      <c r="L39" s="461"/>
    </row>
    <row r="40" spans="1:12" ht="15.75" customHeight="1">
      <c r="A40" s="2119" t="s">
        <v>712</v>
      </c>
      <c r="B40" s="1905" t="s">
        <v>1292</v>
      </c>
      <c r="C40" s="458">
        <v>5</v>
      </c>
      <c r="D40" s="458">
        <v>1.04</v>
      </c>
      <c r="E40" s="458">
        <v>6</v>
      </c>
      <c r="F40" s="458">
        <v>1.3</v>
      </c>
      <c r="G40" s="458">
        <v>430</v>
      </c>
      <c r="H40" s="594">
        <f t="shared" si="8"/>
        <v>2236</v>
      </c>
      <c r="I40" s="168">
        <f>(65/15*E40*F40*16.5)+(10/15*E40*4*15)</f>
        <v>797.7</v>
      </c>
      <c r="J40" s="168">
        <f t="shared" si="9"/>
        <v>797.7</v>
      </c>
      <c r="K40" s="461"/>
      <c r="L40" s="461"/>
    </row>
    <row r="41" spans="1:12" ht="15.75" customHeight="1">
      <c r="A41" s="2122" t="s">
        <v>714</v>
      </c>
      <c r="B41" s="1905" t="s">
        <v>1293</v>
      </c>
      <c r="C41" s="458">
        <v>2</v>
      </c>
      <c r="D41" s="458">
        <v>1</v>
      </c>
      <c r="E41" s="458">
        <v>6</v>
      </c>
      <c r="F41" s="458">
        <v>1.3</v>
      </c>
      <c r="G41" s="458">
        <v>430</v>
      </c>
      <c r="H41" s="594">
        <f t="shared" si="8"/>
        <v>860</v>
      </c>
      <c r="I41" s="168">
        <f>C41*E41*F41*16.5</f>
        <v>257.40000000000003</v>
      </c>
      <c r="J41" s="168">
        <f t="shared" si="9"/>
        <v>257.40000000000003</v>
      </c>
      <c r="K41" s="461"/>
      <c r="L41" s="461"/>
    </row>
    <row r="42" spans="1:12" ht="15.75" customHeight="1">
      <c r="A42" s="2119" t="s">
        <v>716</v>
      </c>
      <c r="B42" s="1905" t="s">
        <v>1294</v>
      </c>
      <c r="C42" s="458">
        <v>3</v>
      </c>
      <c r="D42" s="458">
        <v>1.3</v>
      </c>
      <c r="E42" s="458">
        <v>6</v>
      </c>
      <c r="F42" s="458">
        <v>1.3</v>
      </c>
      <c r="G42" s="458">
        <v>430</v>
      </c>
      <c r="H42" s="594">
        <f t="shared" si="8"/>
        <v>1677.0000000000002</v>
      </c>
      <c r="I42" s="168">
        <f>C42*E42*F42*15</f>
        <v>351.00000000000006</v>
      </c>
      <c r="J42" s="168">
        <f t="shared" si="9"/>
        <v>351.00000000000006</v>
      </c>
      <c r="K42" s="461"/>
      <c r="L42" s="461"/>
    </row>
    <row r="43" spans="1:12" ht="15.75" hidden="1" customHeight="1">
      <c r="A43" s="2122" t="s">
        <v>717</v>
      </c>
      <c r="B43" s="1905"/>
      <c r="C43" s="458"/>
      <c r="D43" s="458"/>
      <c r="E43" s="458"/>
      <c r="F43" s="458"/>
      <c r="G43" s="458"/>
      <c r="H43" s="594">
        <f t="shared" si="8"/>
        <v>0</v>
      </c>
      <c r="I43" s="168"/>
      <c r="J43" s="168">
        <f t="shared" si="9"/>
        <v>0</v>
      </c>
      <c r="K43" s="461"/>
      <c r="L43" s="461"/>
    </row>
    <row r="44" spans="1:12" ht="15.75" customHeight="1">
      <c r="A44" s="2119" t="s">
        <v>719</v>
      </c>
      <c r="B44" s="1905" t="s">
        <v>1295</v>
      </c>
      <c r="C44" s="458">
        <v>4</v>
      </c>
      <c r="D44" s="458">
        <v>1</v>
      </c>
      <c r="E44" s="458">
        <v>2</v>
      </c>
      <c r="F44" s="458">
        <v>1</v>
      </c>
      <c r="G44" s="458">
        <v>430</v>
      </c>
      <c r="H44" s="594">
        <f t="shared" si="8"/>
        <v>1720</v>
      </c>
      <c r="I44" s="168">
        <f t="shared" ref="I44:I48" si="10">C44*E44*F44*16.5</f>
        <v>132</v>
      </c>
      <c r="J44" s="168">
        <f t="shared" si="9"/>
        <v>132</v>
      </c>
      <c r="K44" s="461"/>
      <c r="L44" s="461"/>
    </row>
    <row r="45" spans="1:12" ht="15.75" customHeight="1">
      <c r="A45" s="2122" t="s">
        <v>721</v>
      </c>
      <c r="B45" s="1905" t="s">
        <v>1296</v>
      </c>
      <c r="C45" s="458">
        <v>4</v>
      </c>
      <c r="D45" s="458">
        <v>1</v>
      </c>
      <c r="E45" s="458">
        <v>2</v>
      </c>
      <c r="F45" s="458">
        <v>1</v>
      </c>
      <c r="G45" s="458">
        <v>430</v>
      </c>
      <c r="H45" s="594">
        <f t="shared" si="8"/>
        <v>1720</v>
      </c>
      <c r="I45" s="168">
        <f t="shared" si="10"/>
        <v>132</v>
      </c>
      <c r="J45" s="168">
        <f t="shared" si="9"/>
        <v>132</v>
      </c>
      <c r="K45" s="461"/>
      <c r="L45" s="461"/>
    </row>
    <row r="46" spans="1:12" ht="15.75" customHeight="1">
      <c r="A46" s="2119"/>
      <c r="B46" s="87" t="s">
        <v>1297</v>
      </c>
      <c r="C46" s="458">
        <v>4</v>
      </c>
      <c r="D46" s="458">
        <v>1</v>
      </c>
      <c r="E46" s="458">
        <v>2</v>
      </c>
      <c r="F46" s="458">
        <v>1</v>
      </c>
      <c r="G46" s="458">
        <v>430</v>
      </c>
      <c r="H46" s="594">
        <f t="shared" si="8"/>
        <v>1720</v>
      </c>
      <c r="I46" s="168">
        <f t="shared" si="10"/>
        <v>132</v>
      </c>
      <c r="J46" s="168">
        <f t="shared" si="9"/>
        <v>132</v>
      </c>
      <c r="K46" s="461"/>
      <c r="L46" s="461"/>
    </row>
    <row r="47" spans="1:12" ht="15.75" customHeight="1">
      <c r="A47" s="2119" t="s">
        <v>723</v>
      </c>
      <c r="B47" s="1905" t="s">
        <v>1298</v>
      </c>
      <c r="C47" s="458">
        <v>4</v>
      </c>
      <c r="D47" s="458">
        <v>1</v>
      </c>
      <c r="E47" s="458">
        <v>2</v>
      </c>
      <c r="F47" s="458">
        <v>1</v>
      </c>
      <c r="G47" s="458">
        <v>430</v>
      </c>
      <c r="H47" s="594">
        <f t="shared" si="8"/>
        <v>1720</v>
      </c>
      <c r="I47" s="168">
        <f t="shared" si="10"/>
        <v>132</v>
      </c>
      <c r="J47" s="168">
        <f t="shared" si="9"/>
        <v>132</v>
      </c>
      <c r="K47" s="461"/>
      <c r="L47" s="461"/>
    </row>
    <row r="48" spans="1:12" ht="15.75" customHeight="1">
      <c r="A48" s="2122" t="s">
        <v>1299</v>
      </c>
      <c r="B48" s="1905" t="s">
        <v>1300</v>
      </c>
      <c r="C48" s="458">
        <v>4</v>
      </c>
      <c r="D48" s="458">
        <v>1</v>
      </c>
      <c r="E48" s="458">
        <v>2</v>
      </c>
      <c r="F48" s="458">
        <v>1</v>
      </c>
      <c r="G48" s="458">
        <v>430</v>
      </c>
      <c r="H48" s="594">
        <f t="shared" si="8"/>
        <v>1720</v>
      </c>
      <c r="I48" s="168">
        <f t="shared" si="10"/>
        <v>132</v>
      </c>
      <c r="J48" s="168">
        <f t="shared" si="9"/>
        <v>132</v>
      </c>
      <c r="K48" s="461"/>
      <c r="L48" s="461"/>
    </row>
    <row r="49" spans="1:12" ht="15.75" customHeight="1">
      <c r="A49" s="2119" t="s">
        <v>1301</v>
      </c>
      <c r="B49" s="1905" t="s">
        <v>1302</v>
      </c>
      <c r="C49" s="458">
        <v>2</v>
      </c>
      <c r="D49" s="458">
        <v>1.3</v>
      </c>
      <c r="E49" s="458">
        <v>29</v>
      </c>
      <c r="F49" s="458">
        <v>1</v>
      </c>
      <c r="G49" s="458">
        <v>580</v>
      </c>
      <c r="H49" s="594">
        <f t="shared" si="8"/>
        <v>1508</v>
      </c>
      <c r="I49" s="168">
        <f>C49*E49*F49*15</f>
        <v>870</v>
      </c>
      <c r="J49" s="168">
        <f t="shared" si="9"/>
        <v>870</v>
      </c>
      <c r="K49" s="461"/>
      <c r="L49" s="461"/>
    </row>
    <row r="50" spans="1:12" ht="15.75" customHeight="1">
      <c r="A50" s="2122" t="s">
        <v>1303</v>
      </c>
      <c r="B50" s="1905" t="s">
        <v>1304</v>
      </c>
      <c r="C50" s="458">
        <v>3</v>
      </c>
      <c r="D50" s="458">
        <v>1.1000000000000001</v>
      </c>
      <c r="E50" s="458">
        <v>8</v>
      </c>
      <c r="F50" s="458">
        <v>1.3</v>
      </c>
      <c r="G50" s="458">
        <v>580</v>
      </c>
      <c r="H50" s="594">
        <f t="shared" si="8"/>
        <v>1914.0000000000002</v>
      </c>
      <c r="I50" s="168">
        <f t="shared" ref="I50:I51" si="11">C50*E50*F50*16.5</f>
        <v>514.80000000000007</v>
      </c>
      <c r="J50" s="168">
        <f t="shared" si="9"/>
        <v>514.80000000000007</v>
      </c>
      <c r="K50" s="461"/>
      <c r="L50" s="461"/>
    </row>
    <row r="51" spans="1:12" ht="15.75" customHeight="1">
      <c r="A51" s="2119" t="s">
        <v>1305</v>
      </c>
      <c r="B51" s="1905" t="s">
        <v>1306</v>
      </c>
      <c r="C51" s="458">
        <v>5</v>
      </c>
      <c r="D51" s="458">
        <v>1.06</v>
      </c>
      <c r="E51" s="458">
        <v>8</v>
      </c>
      <c r="F51" s="458">
        <v>1.3</v>
      </c>
      <c r="G51" s="458">
        <v>580</v>
      </c>
      <c r="H51" s="594">
        <f t="shared" si="8"/>
        <v>3074.0000000000005</v>
      </c>
      <c r="I51" s="168">
        <f t="shared" si="11"/>
        <v>858</v>
      </c>
      <c r="J51" s="168">
        <f t="shared" si="9"/>
        <v>858</v>
      </c>
      <c r="K51" s="461"/>
      <c r="L51" s="461"/>
    </row>
    <row r="52" spans="1:12" ht="15.75" customHeight="1">
      <c r="A52" s="2122" t="s">
        <v>1307</v>
      </c>
      <c r="B52" s="1905" t="s">
        <v>1308</v>
      </c>
      <c r="C52" s="458">
        <v>5</v>
      </c>
      <c r="D52" s="458">
        <v>1.3</v>
      </c>
      <c r="E52" s="458">
        <v>8</v>
      </c>
      <c r="F52" s="458">
        <v>1.3</v>
      </c>
      <c r="G52" s="458">
        <v>580</v>
      </c>
      <c r="H52" s="594">
        <f t="shared" si="8"/>
        <v>3770</v>
      </c>
      <c r="I52" s="168">
        <f t="shared" ref="I52:I53" si="12">C52*G52*0.8</f>
        <v>2320</v>
      </c>
      <c r="J52" s="168">
        <f t="shared" si="9"/>
        <v>2320</v>
      </c>
      <c r="K52" s="461"/>
      <c r="L52" s="461"/>
    </row>
    <row r="53" spans="1:12" ht="15.75" hidden="1" customHeight="1">
      <c r="A53" s="2119" t="s">
        <v>1309</v>
      </c>
      <c r="B53" s="1905" t="s">
        <v>1310</v>
      </c>
      <c r="C53" s="458">
        <v>4</v>
      </c>
      <c r="D53" s="458">
        <v>1.3</v>
      </c>
      <c r="E53" s="458">
        <v>6</v>
      </c>
      <c r="F53" s="458">
        <v>1.3</v>
      </c>
      <c r="G53" s="458">
        <v>437</v>
      </c>
      <c r="H53" s="594">
        <f t="shared" si="8"/>
        <v>2272.4</v>
      </c>
      <c r="I53" s="168">
        <f t="shared" si="12"/>
        <v>1398.4</v>
      </c>
      <c r="J53" s="168">
        <f t="shared" si="9"/>
        <v>1398.4</v>
      </c>
      <c r="K53" s="461"/>
      <c r="L53" s="461"/>
    </row>
    <row r="54" spans="1:12" ht="15.75" customHeight="1">
      <c r="A54" s="2122" t="s">
        <v>1311</v>
      </c>
      <c r="B54" s="1905" t="s">
        <v>1312</v>
      </c>
      <c r="C54" s="458">
        <v>5</v>
      </c>
      <c r="D54" s="458">
        <v>1</v>
      </c>
      <c r="E54" s="458">
        <v>6</v>
      </c>
      <c r="F54" s="458">
        <v>1.3</v>
      </c>
      <c r="G54" s="458">
        <v>437</v>
      </c>
      <c r="H54" s="594">
        <f t="shared" si="8"/>
        <v>2185</v>
      </c>
      <c r="I54" s="168">
        <f t="shared" ref="I54:I75" si="13">C54*E54*F54*16.5</f>
        <v>643.5</v>
      </c>
      <c r="J54" s="168">
        <f t="shared" si="9"/>
        <v>643.5</v>
      </c>
      <c r="K54" s="461"/>
      <c r="L54" s="461"/>
    </row>
    <row r="55" spans="1:12" ht="15.75" hidden="1" customHeight="1">
      <c r="A55" s="2119" t="s">
        <v>1313</v>
      </c>
      <c r="B55" s="1905"/>
      <c r="C55" s="458"/>
      <c r="D55" s="458"/>
      <c r="E55" s="458"/>
      <c r="F55" s="458"/>
      <c r="G55" s="458"/>
      <c r="H55" s="594">
        <f t="shared" si="8"/>
        <v>0</v>
      </c>
      <c r="I55" s="168">
        <f t="shared" si="13"/>
        <v>0</v>
      </c>
      <c r="J55" s="168">
        <f t="shared" si="9"/>
        <v>0</v>
      </c>
      <c r="K55" s="461"/>
      <c r="L55" s="461"/>
    </row>
    <row r="56" spans="1:12" ht="15.75" customHeight="1">
      <c r="A56" s="2122" t="s">
        <v>1314</v>
      </c>
      <c r="B56" s="1905" t="s">
        <v>1315</v>
      </c>
      <c r="C56" s="458">
        <v>3</v>
      </c>
      <c r="D56" s="458">
        <v>1</v>
      </c>
      <c r="E56" s="458">
        <v>2</v>
      </c>
      <c r="F56" s="458">
        <v>1</v>
      </c>
      <c r="G56" s="458">
        <v>437</v>
      </c>
      <c r="H56" s="594">
        <f t="shared" si="8"/>
        <v>1311</v>
      </c>
      <c r="I56" s="168">
        <f t="shared" si="13"/>
        <v>99</v>
      </c>
      <c r="J56" s="168">
        <f t="shared" si="9"/>
        <v>99</v>
      </c>
      <c r="K56" s="461"/>
      <c r="L56" s="461"/>
    </row>
    <row r="57" spans="1:12" ht="15.75" customHeight="1">
      <c r="A57" s="2119" t="s">
        <v>1316</v>
      </c>
      <c r="B57" s="1905" t="s">
        <v>1317</v>
      </c>
      <c r="C57" s="458">
        <v>3</v>
      </c>
      <c r="D57" s="458">
        <v>1</v>
      </c>
      <c r="E57" s="458">
        <v>2</v>
      </c>
      <c r="F57" s="458">
        <v>1</v>
      </c>
      <c r="G57" s="458">
        <v>437</v>
      </c>
      <c r="H57" s="594">
        <f t="shared" si="8"/>
        <v>1311</v>
      </c>
      <c r="I57" s="168">
        <f t="shared" si="13"/>
        <v>99</v>
      </c>
      <c r="J57" s="168">
        <f t="shared" si="9"/>
        <v>99</v>
      </c>
      <c r="K57" s="461"/>
      <c r="L57" s="461"/>
    </row>
    <row r="58" spans="1:12" ht="15.75" customHeight="1">
      <c r="A58" s="2122" t="s">
        <v>1318</v>
      </c>
      <c r="B58" s="1905" t="s">
        <v>1319</v>
      </c>
      <c r="C58" s="458">
        <v>3</v>
      </c>
      <c r="D58" s="458">
        <v>1</v>
      </c>
      <c r="E58" s="458">
        <v>2</v>
      </c>
      <c r="F58" s="458">
        <v>1</v>
      </c>
      <c r="G58" s="458">
        <v>437</v>
      </c>
      <c r="H58" s="594">
        <f t="shared" si="8"/>
        <v>1311</v>
      </c>
      <c r="I58" s="168">
        <f t="shared" si="13"/>
        <v>99</v>
      </c>
      <c r="J58" s="168">
        <f t="shared" si="9"/>
        <v>99</v>
      </c>
      <c r="K58" s="461"/>
      <c r="L58" s="461"/>
    </row>
    <row r="59" spans="1:12" ht="15.75" customHeight="1">
      <c r="A59" s="2119" t="s">
        <v>1320</v>
      </c>
      <c r="B59" s="1905" t="s">
        <v>1321</v>
      </c>
      <c r="C59" s="458">
        <v>3</v>
      </c>
      <c r="D59" s="458">
        <v>1</v>
      </c>
      <c r="E59" s="458">
        <v>2</v>
      </c>
      <c r="F59" s="458">
        <v>1</v>
      </c>
      <c r="G59" s="458">
        <v>437</v>
      </c>
      <c r="H59" s="594">
        <f t="shared" si="8"/>
        <v>1311</v>
      </c>
      <c r="I59" s="168">
        <f t="shared" si="13"/>
        <v>99</v>
      </c>
      <c r="J59" s="168">
        <f t="shared" si="9"/>
        <v>99</v>
      </c>
      <c r="K59" s="461"/>
      <c r="L59" s="461"/>
    </row>
    <row r="60" spans="1:12" ht="15.75" customHeight="1">
      <c r="A60" s="2122" t="s">
        <v>1322</v>
      </c>
      <c r="B60" s="1905" t="s">
        <v>1323</v>
      </c>
      <c r="C60" s="458">
        <v>4</v>
      </c>
      <c r="D60" s="458">
        <v>1</v>
      </c>
      <c r="E60" s="458">
        <v>5</v>
      </c>
      <c r="F60" s="458">
        <v>1.3</v>
      </c>
      <c r="G60" s="458">
        <v>350</v>
      </c>
      <c r="H60" s="594">
        <f t="shared" si="8"/>
        <v>1400</v>
      </c>
      <c r="I60" s="168">
        <f t="shared" si="13"/>
        <v>429</v>
      </c>
      <c r="J60" s="168">
        <f t="shared" si="9"/>
        <v>429</v>
      </c>
      <c r="K60" s="461"/>
      <c r="L60" s="461"/>
    </row>
    <row r="61" spans="1:12" ht="20.25" customHeight="1">
      <c r="A61" s="2119" t="s">
        <v>1324</v>
      </c>
      <c r="B61" s="1905" t="s">
        <v>1325</v>
      </c>
      <c r="C61" s="458">
        <v>3</v>
      </c>
      <c r="D61" s="458">
        <v>1</v>
      </c>
      <c r="E61" s="458">
        <v>5</v>
      </c>
      <c r="F61" s="458">
        <v>1.3</v>
      </c>
      <c r="G61" s="458">
        <v>350</v>
      </c>
      <c r="H61" s="594">
        <f t="shared" si="8"/>
        <v>1050</v>
      </c>
      <c r="I61" s="168">
        <f t="shared" si="13"/>
        <v>321.75</v>
      </c>
      <c r="J61" s="168">
        <f t="shared" si="9"/>
        <v>321.75</v>
      </c>
      <c r="K61" s="461"/>
      <c r="L61" s="461"/>
    </row>
    <row r="62" spans="1:12" ht="20.25" hidden="1" customHeight="1">
      <c r="A62" s="2122" t="s">
        <v>1326</v>
      </c>
      <c r="B62" s="2123"/>
      <c r="C62" s="458"/>
      <c r="D62" s="458"/>
      <c r="E62" s="458"/>
      <c r="F62" s="458"/>
      <c r="G62" s="458"/>
      <c r="H62" s="594">
        <f t="shared" si="8"/>
        <v>0</v>
      </c>
      <c r="I62" s="168">
        <f t="shared" si="13"/>
        <v>0</v>
      </c>
      <c r="J62" s="168">
        <f t="shared" si="9"/>
        <v>0</v>
      </c>
      <c r="K62" s="461"/>
      <c r="L62" s="461"/>
    </row>
    <row r="63" spans="1:12" ht="24.75" hidden="1" customHeight="1">
      <c r="A63" s="2124" t="s">
        <v>1327</v>
      </c>
      <c r="B63" s="1905"/>
      <c r="C63" s="458"/>
      <c r="D63" s="458"/>
      <c r="E63" s="458"/>
      <c r="F63" s="458"/>
      <c r="G63" s="458"/>
      <c r="H63" s="594">
        <f t="shared" si="8"/>
        <v>0</v>
      </c>
      <c r="I63" s="168">
        <f t="shared" si="13"/>
        <v>0</v>
      </c>
      <c r="J63" s="168">
        <f t="shared" si="9"/>
        <v>0</v>
      </c>
      <c r="K63" s="461"/>
      <c r="L63" s="461"/>
    </row>
    <row r="64" spans="1:12" ht="27.75" hidden="1" customHeight="1">
      <c r="A64" s="2122" t="s">
        <v>1328</v>
      </c>
      <c r="B64" s="1905"/>
      <c r="C64" s="458"/>
      <c r="D64" s="458"/>
      <c r="E64" s="458"/>
      <c r="F64" s="458"/>
      <c r="G64" s="458"/>
      <c r="H64" s="594">
        <f t="shared" si="8"/>
        <v>0</v>
      </c>
      <c r="I64" s="168">
        <f t="shared" si="13"/>
        <v>0</v>
      </c>
      <c r="J64" s="168">
        <f t="shared" si="9"/>
        <v>0</v>
      </c>
      <c r="K64" s="461"/>
      <c r="L64" s="461"/>
    </row>
    <row r="65" spans="1:12" ht="24" hidden="1" customHeight="1">
      <c r="A65" s="2119" t="s">
        <v>1329</v>
      </c>
      <c r="B65" s="1905"/>
      <c r="C65" s="458"/>
      <c r="D65" s="458"/>
      <c r="E65" s="458"/>
      <c r="F65" s="458"/>
      <c r="G65" s="458"/>
      <c r="H65" s="594">
        <f t="shared" si="8"/>
        <v>0</v>
      </c>
      <c r="I65" s="168">
        <f t="shared" si="13"/>
        <v>0</v>
      </c>
      <c r="J65" s="168">
        <f t="shared" si="9"/>
        <v>0</v>
      </c>
      <c r="K65" s="461"/>
      <c r="L65" s="461"/>
    </row>
    <row r="66" spans="1:12" ht="32.25" hidden="1" customHeight="1">
      <c r="A66" s="2122" t="s">
        <v>1330</v>
      </c>
      <c r="B66" s="1905"/>
      <c r="C66" s="458"/>
      <c r="D66" s="458"/>
      <c r="E66" s="458"/>
      <c r="F66" s="458"/>
      <c r="G66" s="458"/>
      <c r="H66" s="594">
        <f t="shared" si="8"/>
        <v>0</v>
      </c>
      <c r="I66" s="168">
        <f t="shared" si="13"/>
        <v>0</v>
      </c>
      <c r="J66" s="168">
        <f t="shared" si="9"/>
        <v>0</v>
      </c>
      <c r="K66" s="461"/>
      <c r="L66" s="461"/>
    </row>
    <row r="67" spans="1:12" ht="24.75" hidden="1" customHeight="1">
      <c r="A67" s="2119" t="s">
        <v>1331</v>
      </c>
      <c r="B67" s="1905"/>
      <c r="C67" s="458"/>
      <c r="D67" s="458"/>
      <c r="E67" s="458"/>
      <c r="F67" s="458"/>
      <c r="G67" s="458"/>
      <c r="H67" s="594">
        <f t="shared" si="8"/>
        <v>0</v>
      </c>
      <c r="I67" s="168">
        <f t="shared" si="13"/>
        <v>0</v>
      </c>
      <c r="J67" s="168">
        <f t="shared" si="9"/>
        <v>0</v>
      </c>
      <c r="K67" s="461"/>
      <c r="L67" s="461"/>
    </row>
    <row r="68" spans="1:12" ht="23.25" hidden="1" customHeight="1">
      <c r="A68" s="2122" t="s">
        <v>1332</v>
      </c>
      <c r="B68" s="1905"/>
      <c r="C68" s="458"/>
      <c r="D68" s="458"/>
      <c r="E68" s="458"/>
      <c r="F68" s="458"/>
      <c r="G68" s="458"/>
      <c r="H68" s="594">
        <f t="shared" si="8"/>
        <v>0</v>
      </c>
      <c r="I68" s="168">
        <f t="shared" si="13"/>
        <v>0</v>
      </c>
      <c r="J68" s="168">
        <f t="shared" si="9"/>
        <v>0</v>
      </c>
      <c r="K68" s="461"/>
      <c r="L68" s="461"/>
    </row>
    <row r="69" spans="1:12" ht="27.75" hidden="1" customHeight="1">
      <c r="A69" s="2119" t="s">
        <v>1333</v>
      </c>
      <c r="B69" s="1905"/>
      <c r="C69" s="458"/>
      <c r="D69" s="458"/>
      <c r="E69" s="458"/>
      <c r="F69" s="458"/>
      <c r="G69" s="458"/>
      <c r="H69" s="594">
        <f t="shared" si="8"/>
        <v>0</v>
      </c>
      <c r="I69" s="168">
        <f t="shared" si="13"/>
        <v>0</v>
      </c>
      <c r="J69" s="168">
        <f t="shared" si="9"/>
        <v>0</v>
      </c>
      <c r="K69" s="461"/>
      <c r="L69" s="461"/>
    </row>
    <row r="70" spans="1:12" ht="45" hidden="1" customHeight="1">
      <c r="A70" s="2122" t="s">
        <v>1334</v>
      </c>
      <c r="B70" s="1905"/>
      <c r="C70" s="458"/>
      <c r="D70" s="458"/>
      <c r="E70" s="458"/>
      <c r="F70" s="458"/>
      <c r="G70" s="458"/>
      <c r="H70" s="594">
        <f t="shared" si="8"/>
        <v>0</v>
      </c>
      <c r="I70" s="168">
        <f t="shared" si="13"/>
        <v>0</v>
      </c>
      <c r="J70" s="168">
        <f t="shared" si="9"/>
        <v>0</v>
      </c>
      <c r="K70" s="461"/>
      <c r="L70" s="461"/>
    </row>
    <row r="71" spans="1:12" ht="22.5" hidden="1" customHeight="1">
      <c r="A71" s="2119" t="s">
        <v>1335</v>
      </c>
      <c r="B71" s="1905"/>
      <c r="C71" s="458"/>
      <c r="D71" s="458"/>
      <c r="E71" s="458"/>
      <c r="F71" s="458"/>
      <c r="G71" s="458"/>
      <c r="H71" s="594">
        <f t="shared" si="8"/>
        <v>0</v>
      </c>
      <c r="I71" s="168">
        <f t="shared" si="13"/>
        <v>0</v>
      </c>
      <c r="J71" s="168">
        <f t="shared" si="9"/>
        <v>0</v>
      </c>
      <c r="K71" s="461"/>
      <c r="L71" s="461"/>
    </row>
    <row r="72" spans="1:12" ht="19.5" hidden="1" customHeight="1">
      <c r="A72" s="2122" t="s">
        <v>1336</v>
      </c>
      <c r="B72" s="534"/>
      <c r="C72" s="2125"/>
      <c r="D72" s="2125"/>
      <c r="E72" s="2125"/>
      <c r="F72" s="2125"/>
      <c r="G72" s="2125"/>
      <c r="H72" s="983">
        <f t="shared" si="8"/>
        <v>0</v>
      </c>
      <c r="I72" s="168">
        <f t="shared" si="13"/>
        <v>0</v>
      </c>
      <c r="J72" s="168">
        <f t="shared" si="9"/>
        <v>0</v>
      </c>
      <c r="K72" s="1927"/>
      <c r="L72" s="1927"/>
    </row>
    <row r="73" spans="1:12" ht="15.75" hidden="1" customHeight="1">
      <c r="A73" s="2126"/>
      <c r="B73" s="1919"/>
      <c r="C73" s="458"/>
      <c r="D73" s="458"/>
      <c r="E73" s="458"/>
      <c r="F73" s="458"/>
      <c r="G73" s="458"/>
      <c r="H73" s="458"/>
      <c r="I73" s="168">
        <f t="shared" si="13"/>
        <v>0</v>
      </c>
      <c r="J73" s="458"/>
      <c r="K73" s="461"/>
      <c r="L73" s="461"/>
    </row>
    <row r="74" spans="1:12" ht="15.75" hidden="1" customHeight="1">
      <c r="A74" s="2126"/>
      <c r="B74" s="1919"/>
      <c r="C74" s="458"/>
      <c r="D74" s="458"/>
      <c r="E74" s="458"/>
      <c r="F74" s="458"/>
      <c r="G74" s="458"/>
      <c r="H74" s="458"/>
      <c r="I74" s="168">
        <f t="shared" si="13"/>
        <v>0</v>
      </c>
      <c r="J74" s="458"/>
      <c r="K74" s="461"/>
      <c r="L74" s="461"/>
    </row>
    <row r="75" spans="1:12" ht="15.75" hidden="1" customHeight="1">
      <c r="A75" s="2126"/>
      <c r="B75" s="1919"/>
      <c r="C75" s="458"/>
      <c r="D75" s="458"/>
      <c r="E75" s="458"/>
      <c r="F75" s="458"/>
      <c r="G75" s="458"/>
      <c r="H75" s="458"/>
      <c r="I75" s="168">
        <f t="shared" si="13"/>
        <v>0</v>
      </c>
      <c r="J75" s="458"/>
      <c r="K75" s="461"/>
      <c r="L75" s="461"/>
    </row>
    <row r="76" spans="1:12" ht="15.75" customHeight="1">
      <c r="A76" s="449">
        <v>2</v>
      </c>
      <c r="B76" s="450" t="s">
        <v>570</v>
      </c>
      <c r="C76" s="459"/>
      <c r="D76" s="455"/>
      <c r="E76" s="455"/>
      <c r="F76" s="455"/>
      <c r="G76" s="455"/>
      <c r="H76" s="455"/>
      <c r="I76" s="168"/>
      <c r="J76" s="455"/>
      <c r="K76" s="455"/>
      <c r="L76" s="455"/>
    </row>
    <row r="77" spans="1:12" ht="15.75" customHeight="1">
      <c r="A77" s="452" t="s">
        <v>263</v>
      </c>
      <c r="B77" s="1898" t="s">
        <v>728</v>
      </c>
      <c r="C77" s="984">
        <f t="shared" ref="C77:L77" si="14">SUM(C78:C84)</f>
        <v>21</v>
      </c>
      <c r="D77" s="984">
        <f t="shared" si="14"/>
        <v>10.5</v>
      </c>
      <c r="E77" s="984">
        <f t="shared" si="14"/>
        <v>35</v>
      </c>
      <c r="F77" s="984">
        <f t="shared" si="14"/>
        <v>7</v>
      </c>
      <c r="G77" s="984">
        <f t="shared" si="14"/>
        <v>728</v>
      </c>
      <c r="H77" s="984">
        <f t="shared" si="14"/>
        <v>3276</v>
      </c>
      <c r="I77" s="273">
        <f t="shared" si="14"/>
        <v>1824.375</v>
      </c>
      <c r="J77" s="273">
        <f t="shared" si="14"/>
        <v>1824.375</v>
      </c>
      <c r="K77" s="984">
        <f t="shared" si="14"/>
        <v>0</v>
      </c>
      <c r="L77" s="984">
        <f t="shared" si="14"/>
        <v>0</v>
      </c>
    </row>
    <row r="78" spans="1:12" ht="15.75" customHeight="1">
      <c r="A78" s="985" t="s">
        <v>479</v>
      </c>
      <c r="B78" s="2127" t="s">
        <v>1337</v>
      </c>
      <c r="C78" s="479">
        <v>3</v>
      </c>
      <c r="D78" s="479">
        <v>1.5</v>
      </c>
      <c r="E78" s="479">
        <v>5</v>
      </c>
      <c r="F78" s="479">
        <v>1</v>
      </c>
      <c r="G78" s="479">
        <v>104</v>
      </c>
      <c r="H78" s="42">
        <f t="shared" ref="H78:H84" si="15">C78*D78*G78</f>
        <v>468</v>
      </c>
      <c r="I78" s="204">
        <f t="shared" ref="I78:I84" si="16">D78*E78* 34.75</f>
        <v>260.625</v>
      </c>
      <c r="J78" s="481">
        <f t="shared" ref="J78:J84" si="17">I78</f>
        <v>260.625</v>
      </c>
      <c r="K78" s="461"/>
      <c r="L78" s="461"/>
    </row>
    <row r="79" spans="1:12" ht="26.25">
      <c r="A79" s="2121" t="s">
        <v>481</v>
      </c>
      <c r="B79" s="2128" t="s">
        <v>1338</v>
      </c>
      <c r="C79" s="479">
        <v>3</v>
      </c>
      <c r="D79" s="479">
        <v>1.5</v>
      </c>
      <c r="E79" s="479">
        <v>5</v>
      </c>
      <c r="F79" s="479">
        <v>1</v>
      </c>
      <c r="G79" s="479">
        <v>104</v>
      </c>
      <c r="H79" s="42">
        <f t="shared" si="15"/>
        <v>468</v>
      </c>
      <c r="I79" s="204">
        <f t="shared" si="16"/>
        <v>260.625</v>
      </c>
      <c r="J79" s="481">
        <f t="shared" si="17"/>
        <v>260.625</v>
      </c>
      <c r="K79" s="461"/>
      <c r="L79" s="461"/>
    </row>
    <row r="80" spans="1:12" ht="15.75" customHeight="1">
      <c r="A80" s="2119" t="s">
        <v>483</v>
      </c>
      <c r="B80" s="2129" t="s">
        <v>1339</v>
      </c>
      <c r="C80" s="479">
        <v>3</v>
      </c>
      <c r="D80" s="479">
        <v>1.5</v>
      </c>
      <c r="E80" s="479">
        <v>5</v>
      </c>
      <c r="F80" s="479">
        <v>1</v>
      </c>
      <c r="G80" s="479">
        <v>104</v>
      </c>
      <c r="H80" s="42">
        <f t="shared" si="15"/>
        <v>468</v>
      </c>
      <c r="I80" s="204">
        <f t="shared" si="16"/>
        <v>260.625</v>
      </c>
      <c r="J80" s="481">
        <f t="shared" si="17"/>
        <v>260.625</v>
      </c>
      <c r="K80" s="461"/>
      <c r="L80" s="461"/>
    </row>
    <row r="81" spans="1:12" ht="15.75" customHeight="1">
      <c r="A81" s="986" t="s">
        <v>484</v>
      </c>
      <c r="B81" s="2127" t="s">
        <v>1340</v>
      </c>
      <c r="C81" s="479">
        <v>3</v>
      </c>
      <c r="D81" s="479">
        <v>1.5</v>
      </c>
      <c r="E81" s="479">
        <v>5</v>
      </c>
      <c r="F81" s="479">
        <v>1</v>
      </c>
      <c r="G81" s="479">
        <v>104</v>
      </c>
      <c r="H81" s="42">
        <f t="shared" si="15"/>
        <v>468</v>
      </c>
      <c r="I81" s="204">
        <f t="shared" si="16"/>
        <v>260.625</v>
      </c>
      <c r="J81" s="481">
        <f t="shared" si="17"/>
        <v>260.625</v>
      </c>
      <c r="K81" s="461"/>
      <c r="L81" s="461"/>
    </row>
    <row r="82" spans="1:12" ht="26.25">
      <c r="A82" s="2121" t="s">
        <v>485</v>
      </c>
      <c r="B82" s="2128" t="s">
        <v>1341</v>
      </c>
      <c r="C82" s="479">
        <v>3</v>
      </c>
      <c r="D82" s="479">
        <v>1.5</v>
      </c>
      <c r="E82" s="479">
        <v>5</v>
      </c>
      <c r="F82" s="479">
        <v>1</v>
      </c>
      <c r="G82" s="479">
        <v>104</v>
      </c>
      <c r="H82" s="42">
        <f t="shared" si="15"/>
        <v>468</v>
      </c>
      <c r="I82" s="204">
        <f t="shared" si="16"/>
        <v>260.625</v>
      </c>
      <c r="J82" s="481">
        <f t="shared" si="17"/>
        <v>260.625</v>
      </c>
      <c r="K82" s="461"/>
      <c r="L82" s="461"/>
    </row>
    <row r="83" spans="1:12" ht="15.75" customHeight="1">
      <c r="A83" s="986" t="s">
        <v>486</v>
      </c>
      <c r="B83" s="2130" t="s">
        <v>1342</v>
      </c>
      <c r="C83" s="479">
        <v>3</v>
      </c>
      <c r="D83" s="479">
        <v>1.5</v>
      </c>
      <c r="E83" s="479">
        <v>5</v>
      </c>
      <c r="F83" s="479">
        <v>1</v>
      </c>
      <c r="G83" s="479">
        <v>104</v>
      </c>
      <c r="H83" s="42">
        <f t="shared" si="15"/>
        <v>468</v>
      </c>
      <c r="I83" s="204">
        <f t="shared" si="16"/>
        <v>260.625</v>
      </c>
      <c r="J83" s="481">
        <f t="shared" si="17"/>
        <v>260.625</v>
      </c>
      <c r="K83" s="454"/>
      <c r="L83" s="454"/>
    </row>
    <row r="84" spans="1:12" ht="27.75" customHeight="1">
      <c r="A84" s="2121" t="s">
        <v>487</v>
      </c>
      <c r="B84" s="2130" t="s">
        <v>1343</v>
      </c>
      <c r="C84" s="479">
        <v>3</v>
      </c>
      <c r="D84" s="479">
        <v>1.5</v>
      </c>
      <c r="E84" s="479">
        <v>5</v>
      </c>
      <c r="F84" s="479">
        <v>1</v>
      </c>
      <c r="G84" s="479">
        <v>104</v>
      </c>
      <c r="H84" s="42">
        <f t="shared" si="15"/>
        <v>468</v>
      </c>
      <c r="I84" s="204">
        <f t="shared" si="16"/>
        <v>260.625</v>
      </c>
      <c r="J84" s="481">
        <f t="shared" si="17"/>
        <v>260.625</v>
      </c>
      <c r="K84" s="461"/>
      <c r="L84" s="461"/>
    </row>
    <row r="85" spans="1:12" ht="15.75" customHeight="1">
      <c r="A85" s="987" t="s">
        <v>265</v>
      </c>
      <c r="B85" s="988" t="s">
        <v>512</v>
      </c>
      <c r="C85" s="984">
        <f t="shared" ref="C85:L85" si="18">SUM(C86)</f>
        <v>0</v>
      </c>
      <c r="D85" s="984">
        <f t="shared" si="18"/>
        <v>0</v>
      </c>
      <c r="E85" s="984">
        <f t="shared" si="18"/>
        <v>0</v>
      </c>
      <c r="F85" s="984">
        <f t="shared" si="18"/>
        <v>0</v>
      </c>
      <c r="G85" s="984">
        <f t="shared" si="18"/>
        <v>67</v>
      </c>
      <c r="H85" s="984">
        <f t="shared" si="18"/>
        <v>0</v>
      </c>
      <c r="I85" s="984">
        <f t="shared" si="18"/>
        <v>2345</v>
      </c>
      <c r="J85" s="984">
        <f t="shared" si="18"/>
        <v>2345</v>
      </c>
      <c r="K85" s="984">
        <f t="shared" si="18"/>
        <v>0</v>
      </c>
      <c r="L85" s="984">
        <f t="shared" si="18"/>
        <v>0</v>
      </c>
    </row>
    <row r="86" spans="1:12" ht="25.5">
      <c r="A86" s="516"/>
      <c r="B86" s="439" t="s">
        <v>1344</v>
      </c>
      <c r="C86" s="984"/>
      <c r="D86" s="454"/>
      <c r="E86" s="454"/>
      <c r="F86" s="454"/>
      <c r="G86" s="454">
        <v>67</v>
      </c>
      <c r="H86" s="454"/>
      <c r="I86" s="454">
        <f>G86*35</f>
        <v>2345</v>
      </c>
      <c r="J86" s="454">
        <f>I86</f>
        <v>2345</v>
      </c>
      <c r="K86" s="454"/>
      <c r="L86" s="454"/>
    </row>
    <row r="87" spans="1:12" ht="15.75" hidden="1" customHeight="1">
      <c r="A87" s="449">
        <v>3</v>
      </c>
      <c r="B87" s="450" t="s">
        <v>584</v>
      </c>
      <c r="C87" s="479"/>
      <c r="D87" s="479"/>
      <c r="E87" s="479"/>
      <c r="F87" s="479"/>
      <c r="G87" s="479"/>
      <c r="H87" s="479"/>
      <c r="I87" s="454"/>
      <c r="J87" s="454"/>
      <c r="K87" s="454"/>
      <c r="L87" s="454"/>
    </row>
    <row r="88" spans="1:12" ht="15.75" hidden="1" customHeight="1">
      <c r="A88" s="452" t="s">
        <v>263</v>
      </c>
      <c r="B88" s="1898" t="s">
        <v>585</v>
      </c>
      <c r="C88" s="479"/>
      <c r="D88" s="479"/>
      <c r="E88" s="479"/>
      <c r="F88" s="479"/>
      <c r="G88" s="479"/>
      <c r="H88" s="479"/>
      <c r="I88" s="454"/>
      <c r="J88" s="454"/>
      <c r="K88" s="461"/>
      <c r="L88" s="461"/>
    </row>
    <row r="89" spans="1:12" ht="15.75" hidden="1" customHeight="1">
      <c r="A89" s="456" t="s">
        <v>479</v>
      </c>
      <c r="B89" s="1905" t="s">
        <v>596</v>
      </c>
      <c r="C89" s="479"/>
      <c r="D89" s="479"/>
      <c r="E89" s="479"/>
      <c r="F89" s="479"/>
      <c r="G89" s="479"/>
      <c r="H89" s="479"/>
      <c r="I89" s="168"/>
      <c r="J89" s="461"/>
      <c r="K89" s="461"/>
      <c r="L89" s="461"/>
    </row>
    <row r="90" spans="1:12" ht="15.75" hidden="1" customHeight="1">
      <c r="A90" s="1899" t="s">
        <v>481</v>
      </c>
      <c r="B90" s="1905" t="s">
        <v>596</v>
      </c>
      <c r="C90" s="479"/>
      <c r="D90" s="479"/>
      <c r="E90" s="479"/>
      <c r="F90" s="479"/>
      <c r="G90" s="479"/>
      <c r="H90" s="479"/>
      <c r="I90" s="168"/>
      <c r="J90" s="461"/>
      <c r="K90" s="461"/>
      <c r="L90" s="461"/>
    </row>
    <row r="91" spans="1:12" ht="15.75" hidden="1" customHeight="1">
      <c r="A91" s="516"/>
      <c r="B91" s="1905" t="s">
        <v>596</v>
      </c>
      <c r="C91" s="479"/>
      <c r="D91" s="479"/>
      <c r="E91" s="479"/>
      <c r="F91" s="479"/>
      <c r="G91" s="479"/>
      <c r="H91" s="479"/>
      <c r="I91" s="168"/>
      <c r="J91" s="461"/>
      <c r="K91" s="461"/>
      <c r="L91" s="461"/>
    </row>
    <row r="92" spans="1:12" ht="15.75" hidden="1" customHeight="1">
      <c r="A92" s="517" t="s">
        <v>265</v>
      </c>
      <c r="B92" s="1912" t="s">
        <v>589</v>
      </c>
      <c r="C92" s="479"/>
      <c r="D92" s="479"/>
      <c r="E92" s="479"/>
      <c r="F92" s="479"/>
      <c r="G92" s="479"/>
      <c r="H92" s="479"/>
      <c r="I92" s="454"/>
      <c r="J92" s="454"/>
      <c r="K92" s="461"/>
      <c r="L92" s="461"/>
    </row>
    <row r="93" spans="1:12" ht="15.75" hidden="1" customHeight="1">
      <c r="A93" s="516"/>
      <c r="B93" s="1919" t="s">
        <v>922</v>
      </c>
      <c r="C93" s="479"/>
      <c r="D93" s="479"/>
      <c r="E93" s="479"/>
      <c r="F93" s="479"/>
      <c r="G93" s="479"/>
      <c r="H93" s="479"/>
      <c r="I93" s="168"/>
      <c r="J93" s="461"/>
      <c r="K93" s="461"/>
      <c r="L93" s="461"/>
    </row>
    <row r="94" spans="1:12" ht="15.75" hidden="1" customHeight="1">
      <c r="A94" s="516"/>
      <c r="B94" s="1919" t="s">
        <v>922</v>
      </c>
      <c r="C94" s="479"/>
      <c r="D94" s="479"/>
      <c r="E94" s="479"/>
      <c r="F94" s="479"/>
      <c r="G94" s="479"/>
      <c r="H94" s="479"/>
      <c r="I94" s="168"/>
      <c r="J94" s="461"/>
      <c r="K94" s="461"/>
      <c r="L94" s="461"/>
    </row>
    <row r="95" spans="1:12" ht="15.75" hidden="1" customHeight="1">
      <c r="A95" s="517" t="s">
        <v>267</v>
      </c>
      <c r="B95" s="1912" t="s">
        <v>590</v>
      </c>
      <c r="C95" s="479"/>
      <c r="D95" s="479"/>
      <c r="E95" s="479"/>
      <c r="F95" s="479"/>
      <c r="G95" s="479"/>
      <c r="H95" s="479"/>
      <c r="I95" s="454"/>
      <c r="J95" s="454"/>
      <c r="K95" s="454"/>
      <c r="L95" s="454"/>
    </row>
    <row r="96" spans="1:12" ht="15.75" hidden="1" customHeight="1">
      <c r="A96" s="516"/>
      <c r="B96" s="2131" t="s">
        <v>1276</v>
      </c>
      <c r="C96" s="479"/>
      <c r="D96" s="479"/>
      <c r="E96" s="479"/>
      <c r="F96" s="479"/>
      <c r="G96" s="479"/>
      <c r="H96" s="978"/>
      <c r="I96" s="454"/>
      <c r="J96" s="454"/>
      <c r="K96" s="454"/>
      <c r="L96" s="454"/>
    </row>
    <row r="97" spans="1:12" ht="15.75" hidden="1" customHeight="1">
      <c r="A97" s="516" t="s">
        <v>1345</v>
      </c>
      <c r="B97" s="1919"/>
      <c r="C97" s="479"/>
      <c r="D97" s="479"/>
      <c r="E97" s="479"/>
      <c r="F97" s="479"/>
      <c r="G97" s="479"/>
      <c r="H97" s="458"/>
      <c r="I97" s="168"/>
      <c r="J97" s="168"/>
      <c r="K97" s="461"/>
      <c r="L97" s="461"/>
    </row>
    <row r="98" spans="1:12" ht="15.75" hidden="1" customHeight="1">
      <c r="A98" s="516" t="s">
        <v>1346</v>
      </c>
      <c r="B98" s="1919"/>
      <c r="C98" s="479"/>
      <c r="D98" s="479"/>
      <c r="E98" s="479"/>
      <c r="F98" s="479"/>
      <c r="G98" s="479"/>
      <c r="H98" s="479"/>
      <c r="I98" s="168"/>
      <c r="J98" s="461"/>
      <c r="K98" s="461"/>
      <c r="L98" s="461"/>
    </row>
    <row r="99" spans="1:12" ht="15.75" hidden="1" customHeight="1">
      <c r="A99" s="516" t="s">
        <v>1347</v>
      </c>
      <c r="B99" s="512"/>
      <c r="C99" s="479"/>
      <c r="D99" s="479"/>
      <c r="E99" s="479"/>
      <c r="F99" s="479"/>
      <c r="G99" s="479"/>
      <c r="H99" s="479"/>
      <c r="I99" s="168"/>
      <c r="J99" s="461"/>
      <c r="K99" s="461"/>
      <c r="L99" s="461"/>
    </row>
    <row r="100" spans="1:12" ht="15.75" hidden="1" customHeight="1">
      <c r="A100" s="516"/>
      <c r="B100" s="2132" t="s">
        <v>1289</v>
      </c>
      <c r="C100" s="479"/>
      <c r="D100" s="479"/>
      <c r="E100" s="479"/>
      <c r="F100" s="479"/>
      <c r="G100" s="479"/>
      <c r="H100" s="479"/>
      <c r="I100" s="454"/>
      <c r="J100" s="454"/>
      <c r="K100" s="454"/>
      <c r="L100" s="454"/>
    </row>
    <row r="101" spans="1:12" ht="15.75" hidden="1" customHeight="1">
      <c r="A101" s="516" t="s">
        <v>1348</v>
      </c>
      <c r="B101" s="512"/>
      <c r="C101" s="479"/>
      <c r="D101" s="479"/>
      <c r="E101" s="479"/>
      <c r="F101" s="479"/>
      <c r="G101" s="479"/>
      <c r="H101" s="479"/>
      <c r="I101" s="168"/>
      <c r="J101" s="461"/>
      <c r="K101" s="461"/>
      <c r="L101" s="461"/>
    </row>
    <row r="102" spans="1:12" ht="15.75" customHeight="1">
      <c r="A102" s="516" t="s">
        <v>1349</v>
      </c>
      <c r="B102" s="512"/>
      <c r="C102" s="479"/>
      <c r="D102" s="479"/>
      <c r="E102" s="479"/>
      <c r="F102" s="479"/>
      <c r="G102" s="479"/>
      <c r="H102" s="479"/>
      <c r="I102" s="168"/>
      <c r="J102" s="461"/>
      <c r="K102" s="461"/>
      <c r="L102" s="461"/>
    </row>
    <row r="103" spans="1:12" ht="25.5">
      <c r="A103" s="1895" t="s">
        <v>284</v>
      </c>
      <c r="B103" s="1896" t="s">
        <v>514</v>
      </c>
      <c r="C103" s="989"/>
      <c r="D103" s="518"/>
      <c r="E103" s="518"/>
      <c r="F103" s="518"/>
      <c r="G103" s="518"/>
      <c r="H103" s="518"/>
      <c r="I103" s="990"/>
      <c r="J103" s="990"/>
      <c r="K103" s="521"/>
      <c r="L103" s="521"/>
    </row>
    <row r="104" spans="1:12" ht="15.75" customHeight="1">
      <c r="A104" s="449">
        <v>1</v>
      </c>
      <c r="B104" s="1898" t="s">
        <v>515</v>
      </c>
      <c r="C104" s="454"/>
      <c r="D104" s="454"/>
      <c r="E104" s="454"/>
      <c r="F104" s="454"/>
      <c r="G104" s="454"/>
      <c r="H104" s="454"/>
      <c r="I104" s="455">
        <f t="shared" ref="I104:L104" si="19">SUM(I107:I119)</f>
        <v>3669.75</v>
      </c>
      <c r="J104" s="455">
        <f t="shared" si="19"/>
        <v>2874.75</v>
      </c>
      <c r="K104" s="455">
        <f t="shared" si="19"/>
        <v>0</v>
      </c>
      <c r="L104" s="455">
        <f t="shared" si="19"/>
        <v>795</v>
      </c>
    </row>
    <row r="105" spans="1:12" ht="15.75" customHeight="1">
      <c r="A105" s="449" t="s">
        <v>263</v>
      </c>
      <c r="B105" s="1898" t="s">
        <v>592</v>
      </c>
      <c r="C105" s="454"/>
      <c r="D105" s="454"/>
      <c r="E105" s="454"/>
      <c r="F105" s="454"/>
      <c r="G105" s="454"/>
      <c r="H105" s="454"/>
      <c r="I105" s="455"/>
      <c r="J105" s="455"/>
      <c r="K105" s="461"/>
      <c r="L105" s="461"/>
    </row>
    <row r="106" spans="1:12" ht="15.75" customHeight="1">
      <c r="A106" s="516"/>
      <c r="B106" s="2131" t="s">
        <v>1276</v>
      </c>
      <c r="C106" s="454">
        <f t="shared" ref="C106:L106" si="20">SUM(C107:C120)</f>
        <v>40</v>
      </c>
      <c r="D106" s="454">
        <f t="shared" si="20"/>
        <v>14</v>
      </c>
      <c r="E106" s="454">
        <f t="shared" si="20"/>
        <v>120</v>
      </c>
      <c r="F106" s="454">
        <f t="shared" si="20"/>
        <v>14</v>
      </c>
      <c r="G106" s="454">
        <f t="shared" si="20"/>
        <v>680</v>
      </c>
      <c r="H106" s="454">
        <f t="shared" si="20"/>
        <v>2040</v>
      </c>
      <c r="I106" s="454">
        <f t="shared" si="20"/>
        <v>3878.25</v>
      </c>
      <c r="J106" s="454">
        <f t="shared" si="20"/>
        <v>3083.25</v>
      </c>
      <c r="K106" s="454">
        <f t="shared" si="20"/>
        <v>0</v>
      </c>
      <c r="L106" s="454">
        <f t="shared" si="20"/>
        <v>795</v>
      </c>
    </row>
    <row r="107" spans="1:12" ht="15.75" customHeight="1">
      <c r="A107" s="522" t="s">
        <v>479</v>
      </c>
      <c r="B107" s="1905" t="s">
        <v>1350</v>
      </c>
      <c r="C107" s="168">
        <v>2</v>
      </c>
      <c r="D107" s="168">
        <v>1</v>
      </c>
      <c r="E107" s="168">
        <v>15</v>
      </c>
      <c r="F107" s="168">
        <v>1</v>
      </c>
      <c r="G107" s="168">
        <v>20</v>
      </c>
      <c r="H107" s="523">
        <v>40</v>
      </c>
      <c r="I107" s="457">
        <v>397.5</v>
      </c>
      <c r="J107" s="471">
        <v>0</v>
      </c>
      <c r="K107" s="471"/>
      <c r="L107" s="471">
        <v>397.5</v>
      </c>
    </row>
    <row r="108" spans="1:12" ht="15.75" customHeight="1">
      <c r="A108" s="1922" t="s">
        <v>481</v>
      </c>
      <c r="B108" s="1905" t="s">
        <v>1351</v>
      </c>
      <c r="C108" s="168">
        <v>2</v>
      </c>
      <c r="D108" s="168">
        <v>1</v>
      </c>
      <c r="E108" s="168">
        <v>15</v>
      </c>
      <c r="F108" s="168">
        <v>1</v>
      </c>
      <c r="G108" s="168">
        <v>20</v>
      </c>
      <c r="H108" s="523">
        <v>40</v>
      </c>
      <c r="I108" s="457">
        <v>397.5</v>
      </c>
      <c r="J108" s="457">
        <v>397.5</v>
      </c>
      <c r="K108" s="471"/>
      <c r="L108" s="471">
        <v>0</v>
      </c>
    </row>
    <row r="109" spans="1:12" ht="15.75" customHeight="1">
      <c r="A109" s="522" t="s">
        <v>483</v>
      </c>
      <c r="B109" s="1905" t="s">
        <v>1352</v>
      </c>
      <c r="C109" s="168">
        <v>3</v>
      </c>
      <c r="D109" s="168">
        <v>1</v>
      </c>
      <c r="E109" s="168">
        <v>15</v>
      </c>
      <c r="F109" s="168">
        <v>1</v>
      </c>
      <c r="G109" s="168">
        <v>20</v>
      </c>
      <c r="H109" s="523">
        <v>60</v>
      </c>
      <c r="I109" s="457">
        <v>521.25</v>
      </c>
      <c r="J109" s="457">
        <v>521.25</v>
      </c>
      <c r="K109" s="471"/>
      <c r="L109" s="471">
        <v>0</v>
      </c>
    </row>
    <row r="110" spans="1:12" ht="15.75" customHeight="1">
      <c r="A110" s="1922" t="s">
        <v>484</v>
      </c>
      <c r="B110" s="1905" t="s">
        <v>1353</v>
      </c>
      <c r="C110" s="168">
        <v>2</v>
      </c>
      <c r="D110" s="168">
        <v>1</v>
      </c>
      <c r="E110" s="168">
        <v>15</v>
      </c>
      <c r="F110" s="168">
        <v>1</v>
      </c>
      <c r="G110" s="168">
        <v>20</v>
      </c>
      <c r="H110" s="523">
        <v>40</v>
      </c>
      <c r="I110" s="457">
        <v>397.5</v>
      </c>
      <c r="J110" s="457">
        <v>0</v>
      </c>
      <c r="K110" s="471"/>
      <c r="L110" s="471">
        <v>397.5</v>
      </c>
    </row>
    <row r="111" spans="1:12" ht="15.75" customHeight="1">
      <c r="A111" s="522" t="s">
        <v>485</v>
      </c>
      <c r="B111" s="1905" t="s">
        <v>1354</v>
      </c>
      <c r="C111" s="168">
        <v>3</v>
      </c>
      <c r="D111" s="168">
        <v>1</v>
      </c>
      <c r="E111" s="168">
        <v>6</v>
      </c>
      <c r="F111" s="168">
        <v>1</v>
      </c>
      <c r="G111" s="168">
        <v>60</v>
      </c>
      <c r="H111" s="523">
        <v>180</v>
      </c>
      <c r="I111" s="457">
        <v>208.5</v>
      </c>
      <c r="J111" s="457">
        <v>208.5</v>
      </c>
      <c r="K111" s="471"/>
      <c r="L111" s="471">
        <v>0</v>
      </c>
    </row>
    <row r="112" spans="1:12" ht="15.75" customHeight="1">
      <c r="A112" s="1922" t="s">
        <v>486</v>
      </c>
      <c r="B112" s="1905" t="s">
        <v>1355</v>
      </c>
      <c r="C112" s="168">
        <v>3</v>
      </c>
      <c r="D112" s="168">
        <v>1</v>
      </c>
      <c r="E112" s="168">
        <v>6</v>
      </c>
      <c r="F112" s="168">
        <v>1</v>
      </c>
      <c r="G112" s="168">
        <v>60</v>
      </c>
      <c r="H112" s="523">
        <v>180</v>
      </c>
      <c r="I112" s="457">
        <v>208.5</v>
      </c>
      <c r="J112" s="457">
        <v>208.5</v>
      </c>
      <c r="K112" s="471"/>
      <c r="L112" s="471">
        <v>0</v>
      </c>
    </row>
    <row r="113" spans="1:12" ht="15.75" customHeight="1">
      <c r="A113" s="522" t="s">
        <v>487</v>
      </c>
      <c r="B113" s="1905" t="s">
        <v>1356</v>
      </c>
      <c r="C113" s="168">
        <v>3</v>
      </c>
      <c r="D113" s="168">
        <v>1</v>
      </c>
      <c r="E113" s="168">
        <v>6</v>
      </c>
      <c r="F113" s="168">
        <v>1</v>
      </c>
      <c r="G113" s="168">
        <v>60</v>
      </c>
      <c r="H113" s="523">
        <v>180</v>
      </c>
      <c r="I113" s="457">
        <v>208.5</v>
      </c>
      <c r="J113" s="457">
        <v>208.5</v>
      </c>
      <c r="K113" s="471"/>
      <c r="L113" s="471">
        <v>0</v>
      </c>
    </row>
    <row r="114" spans="1:12" ht="15.75" customHeight="1">
      <c r="A114" s="1922" t="s">
        <v>488</v>
      </c>
      <c r="B114" s="1905" t="s">
        <v>1357</v>
      </c>
      <c r="C114" s="168">
        <v>5</v>
      </c>
      <c r="D114" s="168">
        <v>1</v>
      </c>
      <c r="E114" s="168">
        <v>6</v>
      </c>
      <c r="F114" s="168">
        <v>1</v>
      </c>
      <c r="G114" s="168">
        <v>60</v>
      </c>
      <c r="H114" s="523">
        <v>300</v>
      </c>
      <c r="I114" s="457">
        <v>337.5</v>
      </c>
      <c r="J114" s="457">
        <v>337.5</v>
      </c>
      <c r="K114" s="471"/>
      <c r="L114" s="471">
        <v>0</v>
      </c>
    </row>
    <row r="115" spans="1:12" ht="15.75" customHeight="1">
      <c r="A115" s="522" t="s">
        <v>489</v>
      </c>
      <c r="B115" s="1905" t="s">
        <v>1358</v>
      </c>
      <c r="C115" s="168">
        <v>2</v>
      </c>
      <c r="D115" s="168">
        <v>1</v>
      </c>
      <c r="E115" s="168">
        <v>6</v>
      </c>
      <c r="F115" s="168">
        <v>1</v>
      </c>
      <c r="G115" s="168">
        <v>60</v>
      </c>
      <c r="H115" s="523">
        <v>120</v>
      </c>
      <c r="I115" s="457">
        <v>159</v>
      </c>
      <c r="J115" s="457">
        <v>159</v>
      </c>
      <c r="K115" s="471"/>
      <c r="L115" s="471">
        <v>0</v>
      </c>
    </row>
    <row r="116" spans="1:12" ht="15.75" customHeight="1">
      <c r="A116" s="1922" t="s">
        <v>490</v>
      </c>
      <c r="B116" s="1905" t="s">
        <v>1359</v>
      </c>
      <c r="C116" s="168">
        <v>3</v>
      </c>
      <c r="D116" s="168">
        <v>1</v>
      </c>
      <c r="E116" s="168">
        <v>6</v>
      </c>
      <c r="F116" s="168">
        <v>1</v>
      </c>
      <c r="G116" s="168">
        <v>60</v>
      </c>
      <c r="H116" s="523">
        <v>180</v>
      </c>
      <c r="I116" s="457">
        <v>208.5</v>
      </c>
      <c r="J116" s="457">
        <v>208.5</v>
      </c>
      <c r="K116" s="471"/>
      <c r="L116" s="471">
        <v>0</v>
      </c>
    </row>
    <row r="117" spans="1:12" ht="15.75" customHeight="1">
      <c r="A117" s="522" t="s">
        <v>491</v>
      </c>
      <c r="B117" s="1905" t="s">
        <v>1360</v>
      </c>
      <c r="C117" s="168">
        <v>3</v>
      </c>
      <c r="D117" s="168">
        <v>1</v>
      </c>
      <c r="E117" s="168">
        <v>6</v>
      </c>
      <c r="F117" s="168">
        <v>1</v>
      </c>
      <c r="G117" s="168">
        <v>60</v>
      </c>
      <c r="H117" s="523">
        <v>180</v>
      </c>
      <c r="I117" s="457">
        <v>208.5</v>
      </c>
      <c r="J117" s="457">
        <v>208.5</v>
      </c>
      <c r="K117" s="471"/>
      <c r="L117" s="471">
        <v>0</v>
      </c>
    </row>
    <row r="118" spans="1:12" ht="15.75" customHeight="1">
      <c r="A118" s="1922" t="s">
        <v>492</v>
      </c>
      <c r="B118" s="1905" t="s">
        <v>1361</v>
      </c>
      <c r="C118" s="168">
        <v>3</v>
      </c>
      <c r="D118" s="168">
        <v>1</v>
      </c>
      <c r="E118" s="168">
        <v>6</v>
      </c>
      <c r="F118" s="168">
        <v>1</v>
      </c>
      <c r="G118" s="168">
        <v>60</v>
      </c>
      <c r="H118" s="523">
        <v>180</v>
      </c>
      <c r="I118" s="457">
        <v>208.5</v>
      </c>
      <c r="J118" s="457">
        <v>208.5</v>
      </c>
      <c r="K118" s="471"/>
      <c r="L118" s="471">
        <v>0</v>
      </c>
    </row>
    <row r="119" spans="1:12" ht="15.75" customHeight="1">
      <c r="A119" s="522" t="s">
        <v>517</v>
      </c>
      <c r="B119" s="1905" t="s">
        <v>1362</v>
      </c>
      <c r="C119" s="168">
        <v>3</v>
      </c>
      <c r="D119" s="168">
        <v>1</v>
      </c>
      <c r="E119" s="168">
        <v>6</v>
      </c>
      <c r="F119" s="168">
        <v>1</v>
      </c>
      <c r="G119" s="168">
        <v>60</v>
      </c>
      <c r="H119" s="523">
        <v>180</v>
      </c>
      <c r="I119" s="457">
        <v>208.5</v>
      </c>
      <c r="J119" s="457">
        <v>208.5</v>
      </c>
      <c r="K119" s="471"/>
      <c r="L119" s="471">
        <v>0</v>
      </c>
    </row>
    <row r="120" spans="1:12" ht="15.75" customHeight="1">
      <c r="A120" s="522" t="s">
        <v>518</v>
      </c>
      <c r="B120" s="1905" t="s">
        <v>1363</v>
      </c>
      <c r="C120" s="168">
        <v>3</v>
      </c>
      <c r="D120" s="168">
        <v>1</v>
      </c>
      <c r="E120" s="168">
        <v>6</v>
      </c>
      <c r="F120" s="168">
        <v>1</v>
      </c>
      <c r="G120" s="168">
        <v>60</v>
      </c>
      <c r="H120" s="523">
        <v>180</v>
      </c>
      <c r="I120" s="457">
        <v>208.5</v>
      </c>
      <c r="J120" s="457">
        <v>208.5</v>
      </c>
      <c r="K120" s="471"/>
      <c r="L120" s="471">
        <v>0</v>
      </c>
    </row>
    <row r="121" spans="1:12" ht="15.75" customHeight="1">
      <c r="A121" s="1911" t="s">
        <v>265</v>
      </c>
      <c r="B121" s="1912" t="s">
        <v>593</v>
      </c>
      <c r="C121" s="454"/>
      <c r="D121" s="454"/>
      <c r="E121" s="454"/>
      <c r="F121" s="454"/>
      <c r="G121" s="454"/>
      <c r="H121" s="458"/>
      <c r="I121" s="454"/>
      <c r="J121" s="455"/>
      <c r="K121" s="461"/>
      <c r="L121" s="461"/>
    </row>
    <row r="122" spans="1:12" ht="15.75" customHeight="1">
      <c r="A122" s="1918" t="s">
        <v>557</v>
      </c>
      <c r="B122" s="1919"/>
      <c r="C122" s="453"/>
      <c r="D122" s="454"/>
      <c r="E122" s="454"/>
      <c r="F122" s="454"/>
      <c r="G122" s="454"/>
      <c r="H122" s="458"/>
      <c r="I122" s="168"/>
      <c r="J122" s="461"/>
      <c r="K122" s="461"/>
      <c r="L122" s="461"/>
    </row>
    <row r="123" spans="1:12" ht="15.75" customHeight="1">
      <c r="A123" s="1918" t="s">
        <v>572</v>
      </c>
      <c r="B123" s="1919"/>
      <c r="C123" s="169"/>
      <c r="D123" s="168"/>
      <c r="E123" s="168"/>
      <c r="F123" s="168"/>
      <c r="G123" s="168"/>
      <c r="H123" s="458"/>
      <c r="I123" s="168"/>
      <c r="J123" s="461"/>
      <c r="K123" s="461"/>
      <c r="L123" s="461"/>
    </row>
  </sheetData>
  <mergeCells count="15">
    <mergeCell ref="H4:H5"/>
    <mergeCell ref="I4:I5"/>
    <mergeCell ref="J4:L4"/>
    <mergeCell ref="A1:C1"/>
    <mergeCell ref="J1:L1"/>
    <mergeCell ref="A2:C2"/>
    <mergeCell ref="J2:L2"/>
    <mergeCell ref="A3:L3"/>
    <mergeCell ref="A4:A5"/>
    <mergeCell ref="B4:B5"/>
    <mergeCell ref="C4:C5"/>
    <mergeCell ref="D4:D5"/>
    <mergeCell ref="E4:E5"/>
    <mergeCell ref="F4:F5"/>
    <mergeCell ref="G4:G5"/>
  </mergeCells>
  <pageMargins left="0.7" right="0.7" top="0.75" bottom="0.75" header="0" footer="0"/>
  <pageSetup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27"/>
  <sheetViews>
    <sheetView workbookViewId="0">
      <pane xSplit="2" ySplit="12" topLeftCell="C13"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6.7109375" customWidth="1"/>
    <col min="2" max="2" width="52.42578125" customWidth="1"/>
    <col min="3" max="3" width="17" customWidth="1"/>
    <col min="4" max="4" width="16" customWidth="1"/>
    <col min="5" max="5" width="12.42578125" customWidth="1"/>
    <col min="6" max="6" width="10.7109375" customWidth="1"/>
    <col min="7" max="7" width="13.42578125" customWidth="1"/>
    <col min="8" max="9" width="19.7109375" customWidth="1"/>
    <col min="10" max="10" width="16.42578125" customWidth="1"/>
    <col min="11" max="11" width="13.42578125" customWidth="1"/>
    <col min="12" max="12" width="16" customWidth="1"/>
    <col min="13" max="20" width="7.42578125" customWidth="1"/>
    <col min="21" max="26" width="12.42578125" customWidth="1"/>
  </cols>
  <sheetData>
    <row r="1" spans="1:12" ht="14.25" customHeight="1">
      <c r="A1" s="2887" t="s">
        <v>450</v>
      </c>
      <c r="B1" s="2782"/>
      <c r="C1" s="2783"/>
      <c r="D1" s="991"/>
      <c r="E1" s="991"/>
      <c r="F1" s="991"/>
      <c r="G1" s="991"/>
      <c r="H1" s="991"/>
      <c r="I1" s="992"/>
      <c r="J1" s="2888"/>
      <c r="K1" s="2782"/>
      <c r="L1" s="2783"/>
    </row>
    <row r="2" spans="1:12" ht="14.25" customHeight="1">
      <c r="A2" s="2889" t="s">
        <v>1364</v>
      </c>
      <c r="B2" s="2782"/>
      <c r="C2" s="2783"/>
      <c r="D2" s="994"/>
      <c r="E2" s="994"/>
      <c r="F2" s="994"/>
      <c r="G2" s="994"/>
      <c r="H2" s="994"/>
      <c r="I2" s="992"/>
      <c r="J2" s="2888"/>
      <c r="K2" s="2782"/>
      <c r="L2" s="2783"/>
    </row>
    <row r="3" spans="1:12" ht="14.25" customHeight="1">
      <c r="A3" s="2890" t="s">
        <v>1365</v>
      </c>
      <c r="B3" s="2782"/>
      <c r="C3" s="2782"/>
      <c r="D3" s="2782"/>
      <c r="E3" s="2782"/>
      <c r="F3" s="2782"/>
      <c r="G3" s="2782"/>
      <c r="H3" s="2782"/>
      <c r="I3" s="2782"/>
      <c r="J3" s="2782"/>
      <c r="K3" s="2782"/>
      <c r="L3" s="2783"/>
    </row>
    <row r="4" spans="1:12" ht="14.25" customHeight="1">
      <c r="A4" s="2882" t="s">
        <v>1366</v>
      </c>
      <c r="B4" s="2782"/>
      <c r="C4" s="2782"/>
      <c r="D4" s="2782"/>
      <c r="E4" s="2782"/>
      <c r="F4" s="2782"/>
      <c r="G4" s="2782"/>
      <c r="H4" s="2782"/>
      <c r="I4" s="2782"/>
      <c r="J4" s="2782"/>
      <c r="K4" s="2782"/>
      <c r="L4" s="2783"/>
    </row>
    <row r="5" spans="1:12" ht="15" customHeight="1">
      <c r="A5" s="2883" t="s">
        <v>432</v>
      </c>
      <c r="B5" s="2782"/>
      <c r="C5" s="2782"/>
      <c r="D5" s="2782"/>
      <c r="E5" s="2782"/>
      <c r="F5" s="2782"/>
      <c r="G5" s="2782"/>
      <c r="H5" s="2782"/>
      <c r="I5" s="2782"/>
      <c r="J5" s="2782"/>
      <c r="K5" s="2782"/>
      <c r="L5" s="2783"/>
    </row>
    <row r="6" spans="1:12" ht="3" customHeight="1">
      <c r="A6" s="996"/>
      <c r="B6" s="997"/>
      <c r="C6" s="997"/>
      <c r="D6" s="998"/>
      <c r="E6" s="999"/>
      <c r="F6" s="999"/>
      <c r="G6" s="999"/>
      <c r="H6" s="999"/>
      <c r="I6" s="999"/>
      <c r="J6" s="999"/>
      <c r="K6" s="999"/>
      <c r="L6" s="999"/>
    </row>
    <row r="7" spans="1:12" ht="25.5" customHeight="1">
      <c r="A7" s="2879" t="s">
        <v>186</v>
      </c>
      <c r="B7" s="2879" t="s">
        <v>1367</v>
      </c>
      <c r="C7" s="2879" t="s">
        <v>454</v>
      </c>
      <c r="D7" s="2880" t="s">
        <v>1368</v>
      </c>
      <c r="E7" s="2881" t="s">
        <v>620</v>
      </c>
      <c r="F7" s="2881" t="s">
        <v>457</v>
      </c>
      <c r="G7" s="2881" t="s">
        <v>833</v>
      </c>
      <c r="H7" s="2884" t="s">
        <v>459</v>
      </c>
      <c r="I7" s="2885" t="s">
        <v>439</v>
      </c>
      <c r="J7" s="2886" t="s">
        <v>622</v>
      </c>
      <c r="K7" s="2782"/>
      <c r="L7" s="2783"/>
    </row>
    <row r="8" spans="1:12" ht="1.5" customHeight="1">
      <c r="A8" s="2779"/>
      <c r="B8" s="2779"/>
      <c r="C8" s="2779"/>
      <c r="D8" s="2779"/>
      <c r="E8" s="2779"/>
      <c r="F8" s="2779"/>
      <c r="G8" s="2779"/>
      <c r="H8" s="2779"/>
      <c r="I8" s="2779"/>
      <c r="J8" s="1000" t="s">
        <v>461</v>
      </c>
      <c r="K8" s="1000" t="s">
        <v>462</v>
      </c>
      <c r="L8" s="1000" t="s">
        <v>463</v>
      </c>
    </row>
    <row r="9" spans="1:12" ht="20.25" customHeight="1">
      <c r="A9" s="1000">
        <v>-1</v>
      </c>
      <c r="B9" s="1000">
        <v>-2</v>
      </c>
      <c r="C9" s="1000">
        <v>-3</v>
      </c>
      <c r="D9" s="1001">
        <v>-4</v>
      </c>
      <c r="E9" s="1002">
        <v>-5</v>
      </c>
      <c r="F9" s="1002">
        <v>-6</v>
      </c>
      <c r="G9" s="1002">
        <v>-7</v>
      </c>
      <c r="H9" s="1003" t="s">
        <v>472</v>
      </c>
      <c r="I9" s="1003" t="s">
        <v>1369</v>
      </c>
      <c r="J9" s="122" t="s">
        <v>1370</v>
      </c>
      <c r="K9" s="122" t="s">
        <v>1371</v>
      </c>
      <c r="L9" s="122" t="s">
        <v>1372</v>
      </c>
    </row>
    <row r="10" spans="1:12" ht="17.25" customHeight="1">
      <c r="A10" s="1005" t="s">
        <v>200</v>
      </c>
      <c r="B10" s="1006" t="s">
        <v>1373</v>
      </c>
      <c r="C10" s="1007"/>
      <c r="D10" s="1007"/>
      <c r="E10" s="1007"/>
      <c r="F10" s="1007"/>
      <c r="G10" s="1007"/>
      <c r="H10" s="1008"/>
      <c r="I10" s="1007"/>
      <c r="J10" s="1007"/>
      <c r="K10" s="1007"/>
      <c r="L10" s="1007"/>
    </row>
    <row r="11" spans="1:12" ht="15.75" customHeight="1">
      <c r="A11" s="1000">
        <v>1</v>
      </c>
      <c r="B11" s="1009" t="s">
        <v>441</v>
      </c>
      <c r="C11" s="996"/>
      <c r="D11" s="996"/>
      <c r="E11" s="996"/>
      <c r="F11" s="996"/>
      <c r="G11" s="996"/>
      <c r="H11" s="1010"/>
      <c r="I11" s="1011"/>
      <c r="J11" s="1011"/>
      <c r="K11" s="996"/>
      <c r="L11" s="997"/>
    </row>
    <row r="12" spans="1:12" ht="17.25" customHeight="1">
      <c r="A12" s="1012" t="s">
        <v>263</v>
      </c>
      <c r="B12" s="1013" t="s">
        <v>1092</v>
      </c>
      <c r="C12" s="996"/>
      <c r="D12" s="996"/>
      <c r="E12" s="996"/>
      <c r="F12" s="996"/>
      <c r="G12" s="996"/>
      <c r="H12" s="1000"/>
      <c r="I12" s="1011"/>
      <c r="J12" s="1014"/>
      <c r="K12" s="1012"/>
      <c r="L12" s="1012"/>
    </row>
    <row r="13" spans="1:12" ht="15.75" customHeight="1">
      <c r="A13" s="1015"/>
      <c r="B13" s="1016" t="s">
        <v>543</v>
      </c>
      <c r="C13" s="1017">
        <f t="shared" ref="C13:G13" si="0">SUM(C14:C27)</f>
        <v>33</v>
      </c>
      <c r="D13" s="1017">
        <f t="shared" si="0"/>
        <v>44631.460000000006</v>
      </c>
      <c r="E13" s="1017">
        <f t="shared" si="0"/>
        <v>59</v>
      </c>
      <c r="F13" s="1017">
        <f t="shared" si="0"/>
        <v>10</v>
      </c>
      <c r="G13" s="1017">
        <f t="shared" si="0"/>
        <v>2098</v>
      </c>
      <c r="H13" s="914">
        <f t="shared" ref="H13:J13" si="1">SUM(H15:H27)</f>
        <v>8324.7999999999993</v>
      </c>
      <c r="I13" s="914">
        <f t="shared" si="1"/>
        <v>7254.8</v>
      </c>
      <c r="J13" s="914">
        <f t="shared" si="1"/>
        <v>7254.8</v>
      </c>
      <c r="K13" s="914">
        <v>0</v>
      </c>
      <c r="L13" s="914">
        <v>0</v>
      </c>
    </row>
    <row r="14" spans="1:12" ht="18.75" customHeight="1">
      <c r="A14" s="1012"/>
      <c r="B14" s="1013" t="s">
        <v>1374</v>
      </c>
      <c r="C14" s="1018"/>
      <c r="D14" s="1018"/>
      <c r="E14" s="1018"/>
      <c r="F14" s="1018"/>
      <c r="G14" s="1018"/>
      <c r="H14" s="914"/>
      <c r="I14" s="914"/>
      <c r="J14" s="914"/>
      <c r="K14" s="1018"/>
      <c r="L14" s="1018"/>
    </row>
    <row r="15" spans="1:12" ht="15.75" customHeight="1">
      <c r="A15" s="1019" t="s">
        <v>479</v>
      </c>
      <c r="B15" s="1020" t="s">
        <v>1375</v>
      </c>
      <c r="C15" s="1004">
        <v>4</v>
      </c>
      <c r="D15" s="1004">
        <v>1.4</v>
      </c>
      <c r="E15" s="1004">
        <v>8</v>
      </c>
      <c r="F15" s="1004">
        <v>1</v>
      </c>
      <c r="G15" s="1004">
        <v>160</v>
      </c>
      <c r="H15" s="914">
        <f t="shared" ref="H15:H16" si="2">(C15*D15*G15)</f>
        <v>896</v>
      </c>
      <c r="I15" s="914">
        <f t="shared" ref="I15:I16" si="3">(C15*E15*F15*16.5)</f>
        <v>528</v>
      </c>
      <c r="J15" s="914">
        <f t="shared" ref="J15:J27" si="4">I15</f>
        <v>528</v>
      </c>
      <c r="K15" s="1021"/>
      <c r="L15" s="1021"/>
    </row>
    <row r="16" spans="1:12" ht="15.75" customHeight="1">
      <c r="A16" s="996"/>
      <c r="B16" s="1022" t="s">
        <v>1376</v>
      </c>
      <c r="C16" s="1004"/>
      <c r="D16" s="1004"/>
      <c r="E16" s="1004"/>
      <c r="F16" s="1004"/>
      <c r="G16" s="1004"/>
      <c r="H16" s="914">
        <f t="shared" si="2"/>
        <v>0</v>
      </c>
      <c r="I16" s="914">
        <f t="shared" si="3"/>
        <v>0</v>
      </c>
      <c r="J16" s="914">
        <f t="shared" si="4"/>
        <v>0</v>
      </c>
      <c r="K16" s="1021"/>
      <c r="L16" s="1021"/>
    </row>
    <row r="17" spans="1:12" ht="15.75" customHeight="1">
      <c r="A17" s="1019" t="s">
        <v>481</v>
      </c>
      <c r="B17" s="1023" t="s">
        <v>1377</v>
      </c>
      <c r="C17" s="1004">
        <v>4</v>
      </c>
      <c r="D17" s="1004">
        <v>1.075</v>
      </c>
      <c r="E17" s="1004">
        <v>4</v>
      </c>
      <c r="F17" s="1004">
        <v>1</v>
      </c>
      <c r="G17" s="1004">
        <v>215</v>
      </c>
      <c r="H17" s="914">
        <f t="shared" ref="H17:H18" si="5">(C17*E17*F17*16.5*3)+(C17*E17*F17*15*1)</f>
        <v>1032</v>
      </c>
      <c r="I17" s="914">
        <f>(C17*E17*F17*16.5)*4+(C17*E17*F17*15*1)</f>
        <v>1296</v>
      </c>
      <c r="J17" s="914">
        <f t="shared" si="4"/>
        <v>1296</v>
      </c>
      <c r="K17" s="1021"/>
      <c r="L17" s="1021"/>
    </row>
    <row r="18" spans="1:12" ht="15.75" customHeight="1">
      <c r="A18" s="1019" t="s">
        <v>483</v>
      </c>
      <c r="B18" s="1023" t="s">
        <v>1378</v>
      </c>
      <c r="C18" s="1004">
        <v>4</v>
      </c>
      <c r="D18" s="1004">
        <v>1.075</v>
      </c>
      <c r="E18" s="1004">
        <v>4</v>
      </c>
      <c r="F18" s="1004">
        <v>1</v>
      </c>
      <c r="G18" s="1004">
        <v>215</v>
      </c>
      <c r="H18" s="914">
        <f t="shared" si="5"/>
        <v>1032</v>
      </c>
      <c r="I18" s="914">
        <f t="shared" ref="I18:I19" si="6">(C18*E18*F18*16.5*3)+(C18*E18*F18*15*1)</f>
        <v>1032</v>
      </c>
      <c r="J18" s="914">
        <f t="shared" si="4"/>
        <v>1032</v>
      </c>
      <c r="K18" s="1021"/>
      <c r="L18" s="1021"/>
    </row>
    <row r="19" spans="1:12" ht="15.75" customHeight="1">
      <c r="A19" s="1019" t="s">
        <v>484</v>
      </c>
      <c r="B19" s="1023" t="s">
        <v>1379</v>
      </c>
      <c r="C19" s="1004">
        <v>5</v>
      </c>
      <c r="D19" s="1004">
        <v>1.06</v>
      </c>
      <c r="E19" s="1004">
        <v>4</v>
      </c>
      <c r="F19" s="1004">
        <v>1</v>
      </c>
      <c r="G19" s="1004">
        <v>215</v>
      </c>
      <c r="H19" s="914">
        <f>(C19*E19*F19*16.5)*4+(C19*E19*F19*15*1)</f>
        <v>1620</v>
      </c>
      <c r="I19" s="914">
        <f t="shared" si="6"/>
        <v>1290</v>
      </c>
      <c r="J19" s="914">
        <f t="shared" si="4"/>
        <v>1290</v>
      </c>
      <c r="K19" s="1021"/>
      <c r="L19" s="1021"/>
    </row>
    <row r="20" spans="1:12" ht="24.75" customHeight="1">
      <c r="A20" s="1019" t="s">
        <v>1162</v>
      </c>
      <c r="B20" s="1024" t="s">
        <v>1380</v>
      </c>
      <c r="C20" s="1025">
        <v>2</v>
      </c>
      <c r="D20" s="1026">
        <v>44621</v>
      </c>
      <c r="E20" s="163">
        <v>12</v>
      </c>
      <c r="F20" s="1004">
        <v>1</v>
      </c>
      <c r="G20" s="163">
        <v>215</v>
      </c>
      <c r="H20" s="914">
        <f>(C20*E20*F20)*15</f>
        <v>360</v>
      </c>
      <c r="I20" s="914">
        <f>(C20*E20*F20)*15</f>
        <v>360</v>
      </c>
      <c r="J20" s="914">
        <f t="shared" si="4"/>
        <v>360</v>
      </c>
      <c r="K20" s="1021"/>
      <c r="L20" s="1021"/>
    </row>
    <row r="21" spans="1:12" ht="20.25" customHeight="1">
      <c r="A21" s="996"/>
      <c r="B21" s="1027" t="s">
        <v>1381</v>
      </c>
      <c r="C21" s="1004"/>
      <c r="D21" s="1004"/>
      <c r="E21" s="1004"/>
      <c r="F21" s="1004"/>
      <c r="G21" s="1004"/>
      <c r="H21" s="914">
        <f>(C21*D21*G21)</f>
        <v>0</v>
      </c>
      <c r="I21" s="914">
        <f>(C21*E21*F21*16.5)</f>
        <v>0</v>
      </c>
      <c r="J21" s="914">
        <f t="shared" si="4"/>
        <v>0</v>
      </c>
      <c r="K21" s="1019"/>
      <c r="L21" s="1019"/>
    </row>
    <row r="22" spans="1:12" ht="15.75" customHeight="1">
      <c r="A22" s="1019" t="s">
        <v>1258</v>
      </c>
      <c r="B22" s="1020" t="s">
        <v>1382</v>
      </c>
      <c r="C22" s="1004">
        <v>3</v>
      </c>
      <c r="D22" s="1004">
        <v>1.1000000000000001</v>
      </c>
      <c r="E22" s="1004">
        <v>4</v>
      </c>
      <c r="F22" s="1004">
        <v>1</v>
      </c>
      <c r="G22" s="1004">
        <v>224</v>
      </c>
      <c r="H22" s="914">
        <f>(C22*E22*F22*16.5*1)+(C22*E22*F22*15*2)</f>
        <v>558</v>
      </c>
      <c r="I22" s="914">
        <f>(C22*E22*F22*16.5*2)+(D21*E22*F22*15*1)</f>
        <v>396</v>
      </c>
      <c r="J22" s="914">
        <f t="shared" si="4"/>
        <v>396</v>
      </c>
      <c r="K22" s="1021"/>
      <c r="L22" s="1021"/>
    </row>
    <row r="23" spans="1:12" ht="15.75" customHeight="1">
      <c r="A23" s="1019" t="s">
        <v>1260</v>
      </c>
      <c r="B23" s="1020" t="s">
        <v>1383</v>
      </c>
      <c r="C23" s="1004">
        <v>2</v>
      </c>
      <c r="D23" s="1004">
        <v>1.3</v>
      </c>
      <c r="E23" s="1004">
        <v>12</v>
      </c>
      <c r="F23" s="1004">
        <v>1</v>
      </c>
      <c r="G23" s="1004">
        <v>224</v>
      </c>
      <c r="H23" s="914">
        <f>(C23*E23*F23)*15</f>
        <v>360</v>
      </c>
      <c r="I23" s="914">
        <f>(C23*E23*F23)*15</f>
        <v>360</v>
      </c>
      <c r="J23" s="914">
        <f t="shared" si="4"/>
        <v>360</v>
      </c>
      <c r="K23" s="1021"/>
      <c r="L23" s="1021"/>
    </row>
    <row r="24" spans="1:12" ht="15.75" customHeight="1">
      <c r="A24" s="1019" t="s">
        <v>1384</v>
      </c>
      <c r="B24" s="1020" t="s">
        <v>1385</v>
      </c>
      <c r="C24" s="1004">
        <v>2</v>
      </c>
      <c r="D24" s="1004">
        <v>1.1499999999999999</v>
      </c>
      <c r="E24" s="1004">
        <v>4</v>
      </c>
      <c r="F24" s="1004">
        <v>1</v>
      </c>
      <c r="G24" s="1004">
        <v>224</v>
      </c>
      <c r="H24" s="914">
        <f>(C24*E24*F24*16.5*1)+(C24*E24*F24*15*1)</f>
        <v>252</v>
      </c>
      <c r="I24" s="914">
        <f>(C24*E24*F24*16.5*1)+(C24*E24*F24*15*1)</f>
        <v>252</v>
      </c>
      <c r="J24" s="914">
        <f t="shared" si="4"/>
        <v>252</v>
      </c>
      <c r="K24" s="1019"/>
      <c r="L24" s="1019"/>
    </row>
    <row r="25" spans="1:12" ht="15.75" customHeight="1">
      <c r="A25" s="1019" t="s">
        <v>1386</v>
      </c>
      <c r="B25" s="1028" t="s">
        <v>1243</v>
      </c>
      <c r="C25" s="1004">
        <v>3</v>
      </c>
      <c r="D25" s="1004">
        <v>1</v>
      </c>
      <c r="E25" s="1004">
        <v>4</v>
      </c>
      <c r="F25" s="1004">
        <v>1</v>
      </c>
      <c r="G25" s="1004">
        <v>224</v>
      </c>
      <c r="H25" s="914">
        <f t="shared" ref="H25:H26" si="7">(C25*D25*G25)</f>
        <v>672</v>
      </c>
      <c r="I25" s="914">
        <f t="shared" ref="I25:I26" si="8">(C25*E25*F25*16.5)</f>
        <v>198</v>
      </c>
      <c r="J25" s="914">
        <f t="shared" si="4"/>
        <v>198</v>
      </c>
      <c r="K25" s="1019"/>
      <c r="L25" s="1019"/>
    </row>
    <row r="26" spans="1:12" ht="15.75" customHeight="1">
      <c r="A26" s="996"/>
      <c r="B26" s="1022" t="s">
        <v>1387</v>
      </c>
      <c r="C26" s="1004"/>
      <c r="D26" s="1004"/>
      <c r="E26" s="1004"/>
      <c r="F26" s="1004"/>
      <c r="G26" s="1004"/>
      <c r="H26" s="914">
        <f t="shared" si="7"/>
        <v>0</v>
      </c>
      <c r="I26" s="914">
        <f t="shared" si="8"/>
        <v>0</v>
      </c>
      <c r="J26" s="914">
        <f t="shared" si="4"/>
        <v>0</v>
      </c>
      <c r="K26" s="1019"/>
      <c r="L26" s="1019"/>
    </row>
    <row r="27" spans="1:12" ht="15.75" customHeight="1">
      <c r="A27" s="1021" t="s">
        <v>1168</v>
      </c>
      <c r="B27" s="1020" t="s">
        <v>1388</v>
      </c>
      <c r="C27" s="1004">
        <v>4</v>
      </c>
      <c r="D27" s="1004">
        <v>1.3</v>
      </c>
      <c r="E27" s="1004">
        <v>3</v>
      </c>
      <c r="F27" s="1004">
        <v>1</v>
      </c>
      <c r="G27" s="1004">
        <v>182</v>
      </c>
      <c r="H27" s="914">
        <f>(C27*E27*F27*16.5*1)+(C27*E27*F27*15*1)+(C27*G27*0.8*2)</f>
        <v>1542.8</v>
      </c>
      <c r="I27" s="914">
        <f>(C27*E27*F27*16.5*1)+(C27*E27*F27*15*1)+(C27*G27*0.8*2)</f>
        <v>1542.8</v>
      </c>
      <c r="J27" s="914">
        <f t="shared" si="4"/>
        <v>1542.8</v>
      </c>
      <c r="K27" s="1021"/>
      <c r="L27" s="1021"/>
    </row>
    <row r="28" spans="1:12" ht="24.75" customHeight="1">
      <c r="A28" s="1021"/>
      <c r="B28" s="1030"/>
      <c r="C28" s="1004"/>
      <c r="D28" s="1004"/>
      <c r="E28" s="1004"/>
      <c r="F28" s="1004"/>
      <c r="G28" s="1004"/>
      <c r="H28" s="914">
        <f>(C28*D28*G28)</f>
        <v>0</v>
      </c>
      <c r="I28" s="914">
        <f t="shared" ref="I28:J28" si="9">(C28*E28*F28*16.5)</f>
        <v>0</v>
      </c>
      <c r="J28" s="914">
        <f t="shared" si="9"/>
        <v>0</v>
      </c>
      <c r="K28" s="1019"/>
      <c r="L28" s="1019"/>
    </row>
    <row r="29" spans="1:12" ht="15.75" customHeight="1">
      <c r="A29" s="1031"/>
      <c r="B29" s="1032" t="s">
        <v>544</v>
      </c>
      <c r="C29" s="1033">
        <f t="shared" ref="C29:G29" si="10">SUM(C30:C48)</f>
        <v>44</v>
      </c>
      <c r="D29" s="1033">
        <f t="shared" si="10"/>
        <v>15.110000000000001</v>
      </c>
      <c r="E29" s="1033">
        <f t="shared" si="10"/>
        <v>63</v>
      </c>
      <c r="F29" s="1033">
        <f t="shared" si="10"/>
        <v>14</v>
      </c>
      <c r="G29" s="1033">
        <f t="shared" si="10"/>
        <v>3141</v>
      </c>
      <c r="H29" s="914">
        <f t="shared" ref="H29:J29" si="11">SUM(H32:H48)</f>
        <v>10350.4</v>
      </c>
      <c r="I29" s="914">
        <f t="shared" si="11"/>
        <v>8357.5</v>
      </c>
      <c r="J29" s="914">
        <f t="shared" si="11"/>
        <v>6605.5</v>
      </c>
      <c r="K29" s="1021"/>
      <c r="L29" s="1021"/>
    </row>
    <row r="30" spans="1:12" ht="15.75" customHeight="1">
      <c r="A30" s="1021"/>
      <c r="B30" s="1028">
        <v>61</v>
      </c>
      <c r="C30" s="1004"/>
      <c r="D30" s="1004"/>
      <c r="E30" s="1004"/>
      <c r="F30" s="1004"/>
      <c r="G30" s="1004"/>
      <c r="H30" s="914">
        <f t="shared" ref="H30:H42" si="12">(C30*D30*G30)</f>
        <v>0</v>
      </c>
      <c r="I30" s="914">
        <f t="shared" ref="I30:J30" si="13">(C30*E30*F30*16.5)</f>
        <v>0</v>
      </c>
      <c r="J30" s="914">
        <f t="shared" si="13"/>
        <v>0</v>
      </c>
      <c r="K30" s="1021"/>
      <c r="L30" s="1021"/>
    </row>
    <row r="31" spans="1:12" ht="15.75" customHeight="1">
      <c r="A31" s="1021" t="s">
        <v>1389</v>
      </c>
      <c r="B31" s="1034" t="s">
        <v>1390</v>
      </c>
      <c r="C31" s="1004">
        <v>2</v>
      </c>
      <c r="D31" s="1004">
        <v>1</v>
      </c>
      <c r="E31" s="1004">
        <v>4</v>
      </c>
      <c r="F31" s="1004">
        <v>1</v>
      </c>
      <c r="G31" s="1004">
        <v>215</v>
      </c>
      <c r="H31" s="914">
        <f t="shared" si="12"/>
        <v>430</v>
      </c>
      <c r="I31" s="914">
        <f t="shared" ref="I31:I38" si="14">(C31*E31*F31*16.5)</f>
        <v>132</v>
      </c>
      <c r="J31" s="914"/>
      <c r="K31" s="1021"/>
      <c r="L31" s="1021"/>
    </row>
    <row r="32" spans="1:12" ht="15.75" customHeight="1">
      <c r="A32" s="1021" t="s">
        <v>558</v>
      </c>
      <c r="B32" s="1020" t="s">
        <v>1391</v>
      </c>
      <c r="C32" s="1004">
        <v>4</v>
      </c>
      <c r="D32" s="1004">
        <v>1</v>
      </c>
      <c r="E32" s="1004">
        <v>4</v>
      </c>
      <c r="F32" s="1004">
        <v>1</v>
      </c>
      <c r="G32" s="1004">
        <v>215</v>
      </c>
      <c r="H32" s="914">
        <f t="shared" si="12"/>
        <v>860</v>
      </c>
      <c r="I32" s="914">
        <f t="shared" si="14"/>
        <v>264</v>
      </c>
      <c r="J32" s="914">
        <f t="shared" ref="J32:J34" si="15">I32</f>
        <v>264</v>
      </c>
      <c r="K32" s="1021"/>
      <c r="L32" s="1021"/>
    </row>
    <row r="33" spans="1:12" ht="15.75" customHeight="1">
      <c r="A33" s="1021" t="s">
        <v>559</v>
      </c>
      <c r="B33" s="1020" t="s">
        <v>1392</v>
      </c>
      <c r="C33" s="1004">
        <v>3</v>
      </c>
      <c r="D33" s="1004">
        <v>1</v>
      </c>
      <c r="E33" s="1004">
        <v>4</v>
      </c>
      <c r="F33" s="1004">
        <v>1</v>
      </c>
      <c r="G33" s="1004">
        <v>215</v>
      </c>
      <c r="H33" s="914">
        <f t="shared" si="12"/>
        <v>645</v>
      </c>
      <c r="I33" s="914">
        <f t="shared" si="14"/>
        <v>198</v>
      </c>
      <c r="J33" s="914">
        <f t="shared" si="15"/>
        <v>198</v>
      </c>
      <c r="K33" s="1021"/>
      <c r="L33" s="1021"/>
    </row>
    <row r="34" spans="1:12" ht="15.75" customHeight="1">
      <c r="A34" s="1021" t="s">
        <v>560</v>
      </c>
      <c r="B34" s="1020" t="s">
        <v>1393</v>
      </c>
      <c r="C34" s="1004">
        <v>2</v>
      </c>
      <c r="D34" s="1004">
        <v>1.3</v>
      </c>
      <c r="E34" s="1004">
        <v>11</v>
      </c>
      <c r="F34" s="1004">
        <v>1</v>
      </c>
      <c r="G34" s="1004">
        <v>215</v>
      </c>
      <c r="H34" s="914">
        <f t="shared" si="12"/>
        <v>559</v>
      </c>
      <c r="I34" s="914">
        <f t="shared" si="14"/>
        <v>363</v>
      </c>
      <c r="J34" s="914">
        <f t="shared" si="15"/>
        <v>363</v>
      </c>
      <c r="K34" s="1019"/>
      <c r="L34" s="1019"/>
    </row>
    <row r="35" spans="1:12" ht="15.75" customHeight="1">
      <c r="A35" s="1021" t="s">
        <v>575</v>
      </c>
      <c r="B35" s="1034" t="s">
        <v>1394</v>
      </c>
      <c r="C35" s="1004">
        <v>2</v>
      </c>
      <c r="D35" s="1004">
        <v>1</v>
      </c>
      <c r="E35" s="1004">
        <v>4</v>
      </c>
      <c r="F35" s="1004">
        <v>1</v>
      </c>
      <c r="G35" s="1004">
        <v>215</v>
      </c>
      <c r="H35" s="914">
        <f t="shared" si="12"/>
        <v>430</v>
      </c>
      <c r="I35" s="914">
        <f t="shared" si="14"/>
        <v>132</v>
      </c>
      <c r="J35" s="914"/>
      <c r="K35" s="914">
        <f>(E35*G35*H35*16.5)</f>
        <v>6101700</v>
      </c>
      <c r="L35" s="1019"/>
    </row>
    <row r="36" spans="1:12" ht="15.75" customHeight="1">
      <c r="A36" s="90" t="s">
        <v>562</v>
      </c>
      <c r="B36" s="1028" t="s">
        <v>1243</v>
      </c>
      <c r="C36" s="1004">
        <v>2</v>
      </c>
      <c r="D36" s="1004">
        <v>1</v>
      </c>
      <c r="E36" s="1004">
        <v>4</v>
      </c>
      <c r="F36" s="1004">
        <v>1</v>
      </c>
      <c r="G36" s="1004">
        <v>215</v>
      </c>
      <c r="H36" s="914">
        <f t="shared" si="12"/>
        <v>430</v>
      </c>
      <c r="I36" s="914">
        <f t="shared" si="14"/>
        <v>132</v>
      </c>
      <c r="J36" s="914">
        <f t="shared" ref="J36:J40" si="16">I36</f>
        <v>132</v>
      </c>
      <c r="K36" s="1021"/>
      <c r="L36" s="1021"/>
    </row>
    <row r="37" spans="1:12" ht="15.75" customHeight="1">
      <c r="A37" s="90" t="s">
        <v>563</v>
      </c>
      <c r="B37" s="1028" t="s">
        <v>1395</v>
      </c>
      <c r="C37" s="1004">
        <v>2</v>
      </c>
      <c r="D37" s="1004">
        <v>1</v>
      </c>
      <c r="E37" s="1004">
        <v>4</v>
      </c>
      <c r="F37" s="1004">
        <v>1</v>
      </c>
      <c r="G37" s="1004">
        <v>215</v>
      </c>
      <c r="H37" s="914">
        <f t="shared" si="12"/>
        <v>430</v>
      </c>
      <c r="I37" s="914">
        <f t="shared" si="14"/>
        <v>132</v>
      </c>
      <c r="J37" s="914">
        <f t="shared" si="16"/>
        <v>132</v>
      </c>
      <c r="K37" s="1019"/>
      <c r="L37" s="1019"/>
    </row>
    <row r="38" spans="1:12" ht="15.75" customHeight="1">
      <c r="A38" s="996"/>
      <c r="B38" s="1022">
        <v>62</v>
      </c>
      <c r="C38" s="1004"/>
      <c r="D38" s="1004"/>
      <c r="E38" s="1004"/>
      <c r="F38" s="1004"/>
      <c r="G38" s="1004"/>
      <c r="H38" s="914">
        <f t="shared" si="12"/>
        <v>0</v>
      </c>
      <c r="I38" s="914">
        <f t="shared" si="14"/>
        <v>0</v>
      </c>
      <c r="J38" s="914">
        <f t="shared" si="16"/>
        <v>0</v>
      </c>
      <c r="K38" s="1019"/>
      <c r="L38" s="1019"/>
    </row>
    <row r="39" spans="1:12" ht="15.75" customHeight="1">
      <c r="A39" s="1019" t="s">
        <v>564</v>
      </c>
      <c r="B39" s="1020" t="s">
        <v>1396</v>
      </c>
      <c r="C39" s="1004">
        <v>4</v>
      </c>
      <c r="D39" s="1004">
        <v>1.075</v>
      </c>
      <c r="E39" s="1004">
        <v>4</v>
      </c>
      <c r="F39" s="1004">
        <v>1</v>
      </c>
      <c r="G39" s="1004">
        <v>224</v>
      </c>
      <c r="H39" s="914">
        <f t="shared" si="12"/>
        <v>963.19999999999993</v>
      </c>
      <c r="I39" s="914">
        <f>(C39*E39*F39*16.5*3)+(C39*E39*F39*15*1)</f>
        <v>1032</v>
      </c>
      <c r="J39" s="914">
        <f t="shared" si="16"/>
        <v>1032</v>
      </c>
      <c r="K39" s="1019"/>
      <c r="L39" s="1019"/>
    </row>
    <row r="40" spans="1:12" ht="15.75" customHeight="1">
      <c r="A40" s="1019" t="s">
        <v>565</v>
      </c>
      <c r="B40" s="1020" t="s">
        <v>1397</v>
      </c>
      <c r="C40" s="1004">
        <v>5</v>
      </c>
      <c r="D40" s="1004">
        <v>1.3</v>
      </c>
      <c r="E40" s="1004">
        <v>4</v>
      </c>
      <c r="F40" s="1004">
        <v>1</v>
      </c>
      <c r="G40" s="1004">
        <v>224</v>
      </c>
      <c r="H40" s="914">
        <f t="shared" si="12"/>
        <v>1456</v>
      </c>
      <c r="I40" s="914">
        <f>(C40*E40*F40*16.5*2)+(C40*E40*F40*15*1)+(C40*G40*0.8*2)</f>
        <v>2752</v>
      </c>
      <c r="J40" s="914">
        <f t="shared" si="16"/>
        <v>2752</v>
      </c>
      <c r="K40" s="1019"/>
      <c r="L40" s="1019"/>
    </row>
    <row r="41" spans="1:12" ht="15.75" customHeight="1">
      <c r="A41" s="1019" t="s">
        <v>566</v>
      </c>
      <c r="B41" s="1034" t="s">
        <v>1398</v>
      </c>
      <c r="C41" s="1004">
        <v>5</v>
      </c>
      <c r="D41" s="1004">
        <v>1.06</v>
      </c>
      <c r="E41" s="1004">
        <v>4</v>
      </c>
      <c r="F41" s="1004">
        <v>1</v>
      </c>
      <c r="G41" s="1004">
        <v>224</v>
      </c>
      <c r="H41" s="914">
        <f t="shared" si="12"/>
        <v>1187.2000000000003</v>
      </c>
      <c r="I41" s="914">
        <f>(C41*E41*F41*16.5)*4+(C41*E41*F41*15*1)</f>
        <v>1620</v>
      </c>
      <c r="J41" s="914"/>
      <c r="K41" s="1019"/>
      <c r="L41" s="1019"/>
    </row>
    <row r="42" spans="1:12" ht="15.75" customHeight="1">
      <c r="B42" s="1020" t="s">
        <v>1399</v>
      </c>
      <c r="C42" s="1004"/>
      <c r="D42" s="1004"/>
      <c r="E42" s="1004"/>
      <c r="F42" s="1004"/>
      <c r="G42" s="1004"/>
      <c r="H42" s="914">
        <f t="shared" si="12"/>
        <v>0</v>
      </c>
      <c r="I42" s="914">
        <f>(C42*E42*F42*16.5)</f>
        <v>0</v>
      </c>
      <c r="J42" s="914">
        <f t="shared" ref="J42:J48" si="17">I42</f>
        <v>0</v>
      </c>
      <c r="K42" s="1019"/>
      <c r="L42" s="1019"/>
    </row>
    <row r="43" spans="1:12" ht="15.75" customHeight="1">
      <c r="A43" s="42" t="s">
        <v>568</v>
      </c>
      <c r="B43" s="1034" t="s">
        <v>1400</v>
      </c>
      <c r="C43" s="1004">
        <v>4</v>
      </c>
      <c r="D43" s="1004">
        <v>1.075</v>
      </c>
      <c r="E43" s="1004">
        <v>3</v>
      </c>
      <c r="F43" s="1004">
        <v>1</v>
      </c>
      <c r="G43" s="1000">
        <v>182</v>
      </c>
      <c r="H43" s="914">
        <f>(C43*E43*F43*16.5*3)+(C43*E43*F43*15*1)</f>
        <v>774</v>
      </c>
      <c r="I43" s="914">
        <f>(C43*E43*F43*16.5*3)+(C43*E43*F43*15*1)</f>
        <v>774</v>
      </c>
      <c r="J43" s="914">
        <f t="shared" si="17"/>
        <v>774</v>
      </c>
      <c r="K43" s="1019"/>
      <c r="L43" s="1019"/>
    </row>
    <row r="44" spans="1:12" ht="15.75" customHeight="1">
      <c r="A44" s="42" t="s">
        <v>569</v>
      </c>
      <c r="B44" s="1029" t="s">
        <v>1401</v>
      </c>
      <c r="C44" s="1004">
        <v>3</v>
      </c>
      <c r="D44" s="1004">
        <v>1</v>
      </c>
      <c r="E44" s="1004">
        <v>3</v>
      </c>
      <c r="F44" s="1000">
        <v>1</v>
      </c>
      <c r="G44" s="1000">
        <v>182</v>
      </c>
      <c r="H44" s="914">
        <f t="shared" ref="H44:H51" si="18">(C44*D44*G44)</f>
        <v>546</v>
      </c>
      <c r="I44" s="914">
        <f t="shared" ref="I44:I46" si="19">(C44*E44*F44*16.5)</f>
        <v>148.5</v>
      </c>
      <c r="J44" s="914">
        <f t="shared" si="17"/>
        <v>148.5</v>
      </c>
      <c r="K44" s="1019"/>
      <c r="L44" s="1019"/>
    </row>
    <row r="45" spans="1:12" ht="15.75" customHeight="1">
      <c r="A45" s="1019"/>
      <c r="B45" s="1029" t="s">
        <v>1402</v>
      </c>
      <c r="C45" s="1004"/>
      <c r="D45" s="1004"/>
      <c r="E45" s="1004"/>
      <c r="F45" s="1004"/>
      <c r="G45" s="1004"/>
      <c r="H45" s="914">
        <f t="shared" si="18"/>
        <v>0</v>
      </c>
      <c r="I45" s="914">
        <f t="shared" si="19"/>
        <v>0</v>
      </c>
      <c r="J45" s="914">
        <f t="shared" si="17"/>
        <v>0</v>
      </c>
      <c r="K45" s="1019"/>
      <c r="L45" s="1019"/>
    </row>
    <row r="46" spans="1:12" ht="15.75" customHeight="1">
      <c r="A46" s="1019"/>
      <c r="H46" s="914">
        <f t="shared" si="18"/>
        <v>0</v>
      </c>
      <c r="I46" s="914">
        <f t="shared" si="19"/>
        <v>0</v>
      </c>
      <c r="J46" s="914">
        <f t="shared" si="17"/>
        <v>0</v>
      </c>
    </row>
    <row r="47" spans="1:12" ht="15.75" customHeight="1">
      <c r="A47" s="1019" t="s">
        <v>1403</v>
      </c>
      <c r="B47" s="1034" t="s">
        <v>1404</v>
      </c>
      <c r="C47" s="1035">
        <v>3</v>
      </c>
      <c r="D47" s="1035">
        <v>1.3</v>
      </c>
      <c r="E47" s="1036">
        <v>5</v>
      </c>
      <c r="F47" s="1037">
        <v>1</v>
      </c>
      <c r="G47" s="1038">
        <v>300</v>
      </c>
      <c r="H47" s="914">
        <f t="shared" si="18"/>
        <v>1170</v>
      </c>
      <c r="I47" s="914">
        <f>(E47*F47*16.5*1)+(G47*0.8*2)</f>
        <v>562.5</v>
      </c>
      <c r="J47" s="914">
        <f t="shared" si="17"/>
        <v>562.5</v>
      </c>
      <c r="K47" s="263">
        <v>0</v>
      </c>
      <c r="L47" s="263">
        <v>0</v>
      </c>
    </row>
    <row r="48" spans="1:12" ht="15.75" customHeight="1">
      <c r="A48" s="1019" t="s">
        <v>1405</v>
      </c>
      <c r="B48" s="1034" t="s">
        <v>1406</v>
      </c>
      <c r="C48" s="1004">
        <v>3</v>
      </c>
      <c r="D48" s="1004">
        <v>1</v>
      </c>
      <c r="E48" s="1004">
        <v>5</v>
      </c>
      <c r="F48" s="1004">
        <v>1</v>
      </c>
      <c r="G48" s="1038">
        <v>300</v>
      </c>
      <c r="H48" s="914">
        <f t="shared" si="18"/>
        <v>900</v>
      </c>
      <c r="I48" s="914">
        <f t="shared" ref="I48:I49" si="20">(C48*E48*F48*16.5)</f>
        <v>247.5</v>
      </c>
      <c r="J48" s="914">
        <f t="shared" si="17"/>
        <v>247.5</v>
      </c>
      <c r="K48" s="1019"/>
      <c r="L48" s="1019"/>
    </row>
    <row r="49" spans="1:12" ht="15.75" customHeight="1">
      <c r="A49" s="1039" t="s">
        <v>1407</v>
      </c>
      <c r="B49" s="1034" t="s">
        <v>1408</v>
      </c>
      <c r="C49" s="1000">
        <v>2</v>
      </c>
      <c r="D49" s="1000">
        <v>1</v>
      </c>
      <c r="E49" s="1000">
        <v>5</v>
      </c>
      <c r="F49" s="1000">
        <v>1</v>
      </c>
      <c r="G49" s="1038">
        <v>300</v>
      </c>
      <c r="H49" s="914">
        <f t="shared" si="18"/>
        <v>600</v>
      </c>
      <c r="I49" s="914">
        <f t="shared" si="20"/>
        <v>165</v>
      </c>
      <c r="J49" s="1040"/>
      <c r="K49" s="914">
        <f t="shared" ref="K49:K50" si="21">I49</f>
        <v>165</v>
      </c>
      <c r="L49" s="1000"/>
    </row>
    <row r="50" spans="1:12" ht="15.75" customHeight="1">
      <c r="A50" s="1041" t="s">
        <v>1409</v>
      </c>
      <c r="B50" s="1042" t="s">
        <v>1410</v>
      </c>
      <c r="C50" s="1004">
        <v>3</v>
      </c>
      <c r="D50" s="1004">
        <v>1.1000000000000001</v>
      </c>
      <c r="E50" s="1004">
        <v>5</v>
      </c>
      <c r="F50" s="1004">
        <v>1</v>
      </c>
      <c r="G50" s="1004">
        <v>300</v>
      </c>
      <c r="H50" s="914">
        <f t="shared" si="18"/>
        <v>990.00000000000011</v>
      </c>
      <c r="I50" s="914">
        <f>(D50*F50*G50*16.5*2)+(D50*F50*G50*15*1)</f>
        <v>15840</v>
      </c>
      <c r="J50" s="1040"/>
      <c r="K50" s="914">
        <f t="shared" si="21"/>
        <v>15840</v>
      </c>
      <c r="L50" s="1019"/>
    </row>
    <row r="51" spans="1:12" ht="15.75" customHeight="1">
      <c r="A51" s="1043">
        <v>2</v>
      </c>
      <c r="B51" s="1044" t="s">
        <v>570</v>
      </c>
      <c r="C51" s="997"/>
      <c r="D51" s="997"/>
      <c r="E51" s="997"/>
      <c r="F51" s="997"/>
      <c r="G51" s="997"/>
      <c r="H51" s="914">
        <f t="shared" si="18"/>
        <v>0</v>
      </c>
      <c r="I51" s="914">
        <f>(C51*E51*F51*16.5)</f>
        <v>0</v>
      </c>
      <c r="J51" s="914"/>
      <c r="K51" s="1045"/>
      <c r="L51" s="1045"/>
    </row>
    <row r="52" spans="1:12" ht="15.75" customHeight="1">
      <c r="A52" s="1012" t="s">
        <v>263</v>
      </c>
      <c r="B52" s="1013" t="s">
        <v>1113</v>
      </c>
      <c r="C52" s="1000">
        <f>SUM(C53:C62)</f>
        <v>24</v>
      </c>
      <c r="D52" s="1000">
        <v>11</v>
      </c>
      <c r="E52" s="1000">
        <v>11</v>
      </c>
      <c r="F52" s="1000">
        <v>16.5</v>
      </c>
      <c r="G52" s="1000">
        <v>99</v>
      </c>
      <c r="H52" s="914">
        <f t="shared" ref="H52:L52" si="22">SUM(H54:H62)</f>
        <v>324</v>
      </c>
      <c r="I52" s="1046">
        <f t="shared" si="22"/>
        <v>417</v>
      </c>
      <c r="J52" s="1046">
        <f t="shared" si="22"/>
        <v>364.875</v>
      </c>
      <c r="K52" s="914">
        <f t="shared" si="22"/>
        <v>0</v>
      </c>
      <c r="L52" s="914">
        <f t="shared" si="22"/>
        <v>52.125</v>
      </c>
    </row>
    <row r="53" spans="1:12" ht="15.75" customHeight="1">
      <c r="A53" s="1047"/>
      <c r="B53" s="1023"/>
      <c r="C53" s="1004"/>
      <c r="D53" s="1004"/>
      <c r="E53" s="1004"/>
      <c r="F53" s="1048"/>
      <c r="G53" s="1004"/>
      <c r="H53" s="914">
        <f t="shared" ref="H53:H62" si="23">(C53*D53*G53)</f>
        <v>0</v>
      </c>
      <c r="I53" s="204">
        <f t="shared" ref="I53:I62" si="24">D53*E53* 34.75</f>
        <v>0</v>
      </c>
      <c r="J53" s="1049">
        <f t="shared" ref="J53:J61" si="25">I53</f>
        <v>0</v>
      </c>
      <c r="K53" s="1045"/>
      <c r="L53" s="1045"/>
    </row>
    <row r="54" spans="1:12" ht="18.75" customHeight="1">
      <c r="A54" s="1047" t="s">
        <v>479</v>
      </c>
      <c r="B54" s="1023" t="s">
        <v>1411</v>
      </c>
      <c r="C54" s="1004">
        <v>3</v>
      </c>
      <c r="D54" s="1004">
        <v>1.5</v>
      </c>
      <c r="E54" s="1004">
        <v>1</v>
      </c>
      <c r="F54" s="1004">
        <v>1.5</v>
      </c>
      <c r="G54" s="1004">
        <v>9</v>
      </c>
      <c r="H54" s="914">
        <f t="shared" si="23"/>
        <v>40.5</v>
      </c>
      <c r="I54" s="204">
        <f t="shared" si="24"/>
        <v>52.125</v>
      </c>
      <c r="J54" s="1046">
        <f t="shared" si="25"/>
        <v>52.125</v>
      </c>
      <c r="K54" s="1045"/>
      <c r="L54" s="1045"/>
    </row>
    <row r="55" spans="1:12" ht="15.75" customHeight="1">
      <c r="A55" s="1047" t="s">
        <v>481</v>
      </c>
      <c r="B55" s="1023" t="s">
        <v>1412</v>
      </c>
      <c r="C55" s="1004">
        <v>3</v>
      </c>
      <c r="D55" s="1004">
        <v>1.5</v>
      </c>
      <c r="E55" s="1004">
        <v>1</v>
      </c>
      <c r="F55" s="1004">
        <v>1.5</v>
      </c>
      <c r="G55" s="1004">
        <v>9</v>
      </c>
      <c r="H55" s="914">
        <f t="shared" si="23"/>
        <v>40.5</v>
      </c>
      <c r="I55" s="204">
        <f t="shared" si="24"/>
        <v>52.125</v>
      </c>
      <c r="J55" s="1046">
        <f t="shared" si="25"/>
        <v>52.125</v>
      </c>
      <c r="K55" s="1021"/>
      <c r="L55" s="1045"/>
    </row>
    <row r="56" spans="1:12" ht="15.75" customHeight="1">
      <c r="A56" s="1047" t="s">
        <v>483</v>
      </c>
      <c r="B56" s="1023" t="s">
        <v>1413</v>
      </c>
      <c r="C56" s="1004">
        <v>3</v>
      </c>
      <c r="D56" s="1004">
        <v>1.5</v>
      </c>
      <c r="E56" s="1004">
        <v>1</v>
      </c>
      <c r="F56" s="1004">
        <v>1.5</v>
      </c>
      <c r="G56" s="1004">
        <v>9</v>
      </c>
      <c r="H56" s="914">
        <f t="shared" si="23"/>
        <v>40.5</v>
      </c>
      <c r="I56" s="204">
        <f t="shared" si="24"/>
        <v>52.125</v>
      </c>
      <c r="J56" s="1046">
        <f t="shared" si="25"/>
        <v>52.125</v>
      </c>
      <c r="K56" s="1021"/>
      <c r="L56" s="1045"/>
    </row>
    <row r="57" spans="1:12" ht="15.75" customHeight="1">
      <c r="A57" s="1047" t="s">
        <v>484</v>
      </c>
      <c r="B57" s="1023" t="s">
        <v>1414</v>
      </c>
      <c r="C57" s="1004">
        <v>3</v>
      </c>
      <c r="D57" s="1004">
        <v>1.5</v>
      </c>
      <c r="E57" s="1004">
        <v>1</v>
      </c>
      <c r="F57" s="1004">
        <v>1.5</v>
      </c>
      <c r="G57" s="1004">
        <v>9</v>
      </c>
      <c r="H57" s="914">
        <f t="shared" si="23"/>
        <v>40.5</v>
      </c>
      <c r="I57" s="204">
        <f t="shared" si="24"/>
        <v>52.125</v>
      </c>
      <c r="J57" s="1046">
        <f t="shared" si="25"/>
        <v>52.125</v>
      </c>
      <c r="K57" s="1021"/>
      <c r="L57" s="1045"/>
    </row>
    <row r="58" spans="1:12" ht="15.75" customHeight="1">
      <c r="A58" s="1047"/>
      <c r="B58" s="1023"/>
      <c r="C58" s="1004"/>
      <c r="D58" s="1004">
        <v>1.5</v>
      </c>
      <c r="E58" s="1004"/>
      <c r="F58" s="1004">
        <v>1.5</v>
      </c>
      <c r="G58" s="1004"/>
      <c r="H58" s="914">
        <f t="shared" si="23"/>
        <v>0</v>
      </c>
      <c r="I58" s="204">
        <f t="shared" si="24"/>
        <v>0</v>
      </c>
      <c r="J58" s="1046">
        <f t="shared" si="25"/>
        <v>0</v>
      </c>
      <c r="K58" s="1021"/>
      <c r="L58" s="1045"/>
    </row>
    <row r="59" spans="1:12" ht="15.75" customHeight="1">
      <c r="A59" s="1047" t="s">
        <v>485</v>
      </c>
      <c r="B59" s="1023" t="s">
        <v>1415</v>
      </c>
      <c r="C59" s="1004">
        <v>3</v>
      </c>
      <c r="D59" s="1004">
        <v>1.5</v>
      </c>
      <c r="E59" s="1004">
        <v>1</v>
      </c>
      <c r="F59" s="1004">
        <v>1.5</v>
      </c>
      <c r="G59" s="1004">
        <v>9</v>
      </c>
      <c r="H59" s="914">
        <f t="shared" si="23"/>
        <v>40.5</v>
      </c>
      <c r="I59" s="204">
        <f t="shared" si="24"/>
        <v>52.125</v>
      </c>
      <c r="J59" s="1046">
        <f t="shared" si="25"/>
        <v>52.125</v>
      </c>
      <c r="K59" s="1021"/>
      <c r="L59" s="1045"/>
    </row>
    <row r="60" spans="1:12" ht="15.75" customHeight="1">
      <c r="A60" s="1041" t="s">
        <v>486</v>
      </c>
      <c r="B60" s="1023" t="s">
        <v>1416</v>
      </c>
      <c r="C60" s="1004">
        <v>3</v>
      </c>
      <c r="D60" s="1004">
        <v>1.5</v>
      </c>
      <c r="E60" s="1004">
        <v>1</v>
      </c>
      <c r="F60" s="1004">
        <v>1.5</v>
      </c>
      <c r="G60" s="1004">
        <v>9</v>
      </c>
      <c r="H60" s="914">
        <f t="shared" si="23"/>
        <v>40.5</v>
      </c>
      <c r="I60" s="204">
        <f t="shared" si="24"/>
        <v>52.125</v>
      </c>
      <c r="J60" s="1046">
        <f t="shared" si="25"/>
        <v>52.125</v>
      </c>
      <c r="K60" s="1021"/>
      <c r="L60" s="1045"/>
    </row>
    <row r="61" spans="1:12" ht="15.75" customHeight="1">
      <c r="A61" s="1041" t="s">
        <v>487</v>
      </c>
      <c r="B61" s="1023" t="s">
        <v>1417</v>
      </c>
      <c r="C61" s="1004">
        <v>3</v>
      </c>
      <c r="D61" s="1004">
        <v>1.5</v>
      </c>
      <c r="E61" s="1004">
        <v>1</v>
      </c>
      <c r="F61" s="1004">
        <v>1.5</v>
      </c>
      <c r="G61" s="1004">
        <v>9</v>
      </c>
      <c r="H61" s="914">
        <f t="shared" si="23"/>
        <v>40.5</v>
      </c>
      <c r="I61" s="204">
        <f t="shared" si="24"/>
        <v>52.125</v>
      </c>
      <c r="J61" s="1046">
        <f t="shared" si="25"/>
        <v>52.125</v>
      </c>
      <c r="K61" s="1045"/>
      <c r="L61" s="1045"/>
    </row>
    <row r="62" spans="1:12" ht="15.75" customHeight="1">
      <c r="A62" s="1041" t="s">
        <v>488</v>
      </c>
      <c r="B62" s="1023" t="s">
        <v>1418</v>
      </c>
      <c r="C62" s="1004">
        <v>3</v>
      </c>
      <c r="D62" s="1004">
        <v>1.5</v>
      </c>
      <c r="E62" s="1004">
        <v>1</v>
      </c>
      <c r="F62" s="1004">
        <v>1.5</v>
      </c>
      <c r="G62" s="1004">
        <v>9</v>
      </c>
      <c r="H62" s="914">
        <f t="shared" si="23"/>
        <v>40.5</v>
      </c>
      <c r="I62" s="204">
        <f t="shared" si="24"/>
        <v>52.125</v>
      </c>
      <c r="J62" s="914"/>
      <c r="K62" s="1045"/>
      <c r="L62" s="1050">
        <f>I62</f>
        <v>52.125</v>
      </c>
    </row>
    <row r="63" spans="1:12" ht="15.75" customHeight="1">
      <c r="A63" s="1039" t="s">
        <v>265</v>
      </c>
      <c r="B63" s="1051" t="s">
        <v>512</v>
      </c>
      <c r="C63" s="997"/>
      <c r="D63" s="997">
        <f t="shared" ref="D63:L63" si="26">D64</f>
        <v>0</v>
      </c>
      <c r="E63" s="997">
        <f t="shared" si="26"/>
        <v>0</v>
      </c>
      <c r="F63" s="997">
        <f t="shared" si="26"/>
        <v>0</v>
      </c>
      <c r="G63" s="997">
        <f t="shared" si="26"/>
        <v>18</v>
      </c>
      <c r="H63" s="997">
        <f t="shared" si="26"/>
        <v>0</v>
      </c>
      <c r="I63" s="997">
        <f t="shared" si="26"/>
        <v>630</v>
      </c>
      <c r="J63" s="997">
        <f t="shared" si="26"/>
        <v>350</v>
      </c>
      <c r="K63" s="997">
        <f t="shared" si="26"/>
        <v>0</v>
      </c>
      <c r="L63" s="997">
        <f t="shared" si="26"/>
        <v>280</v>
      </c>
    </row>
    <row r="64" spans="1:12" ht="15.75" customHeight="1">
      <c r="A64" s="1052"/>
      <c r="B64" s="1053" t="s">
        <v>1419</v>
      </c>
      <c r="C64" s="1004">
        <v>15</v>
      </c>
      <c r="D64" s="1004"/>
      <c r="E64" s="1004"/>
      <c r="F64" s="1004"/>
      <c r="G64" s="1004">
        <v>18</v>
      </c>
      <c r="H64" s="914">
        <f t="shared" ref="H64:H65" si="27">(C64*D64*G64)</f>
        <v>0</v>
      </c>
      <c r="I64" s="914">
        <f>G64*35</f>
        <v>630</v>
      </c>
      <c r="J64" s="914">
        <v>350</v>
      </c>
      <c r="K64" s="1045"/>
      <c r="L64" s="1045">
        <v>280</v>
      </c>
    </row>
    <row r="65" spans="1:12" ht="15.75" customHeight="1">
      <c r="A65" s="1039" t="s">
        <v>267</v>
      </c>
      <c r="B65" s="1051" t="s">
        <v>1420</v>
      </c>
      <c r="C65" s="1000"/>
      <c r="D65" s="1000"/>
      <c r="E65" s="1000"/>
      <c r="F65" s="1000"/>
      <c r="G65" s="1000"/>
      <c r="H65" s="914">
        <f t="shared" si="27"/>
        <v>0</v>
      </c>
      <c r="I65" s="914">
        <f t="shared" ref="I65:J65" si="28">(C65*E65*F65*16.5)</f>
        <v>0</v>
      </c>
      <c r="J65" s="914">
        <f t="shared" si="28"/>
        <v>0</v>
      </c>
      <c r="K65" s="1000"/>
      <c r="L65" s="1045"/>
    </row>
    <row r="66" spans="1:12" ht="15.75" customHeight="1">
      <c r="A66" s="2133"/>
      <c r="B66" s="2134" t="s">
        <v>1421</v>
      </c>
      <c r="C66" s="2135">
        <f t="shared" ref="C66:G66" si="29">SUM(C67:C82)</f>
        <v>134</v>
      </c>
      <c r="D66" s="2135">
        <f t="shared" si="29"/>
        <v>35</v>
      </c>
      <c r="E66" s="2135">
        <f t="shared" si="29"/>
        <v>158</v>
      </c>
      <c r="F66" s="2135">
        <f t="shared" si="29"/>
        <v>35</v>
      </c>
      <c r="G66" s="2135">
        <f t="shared" si="29"/>
        <v>2450</v>
      </c>
      <c r="H66" s="914">
        <v>5460</v>
      </c>
      <c r="I66" s="914">
        <v>3992.75</v>
      </c>
      <c r="J66" s="914">
        <v>3992.75</v>
      </c>
      <c r="K66" s="2135"/>
      <c r="L66" s="1045"/>
    </row>
    <row r="67" spans="1:12" ht="15.75" customHeight="1">
      <c r="A67" s="2136"/>
      <c r="B67" s="2134" t="s">
        <v>543</v>
      </c>
      <c r="C67" s="2135">
        <f t="shared" ref="C67:J67" si="30">SUM(C68:C87)</f>
        <v>78</v>
      </c>
      <c r="D67" s="2135">
        <f t="shared" si="30"/>
        <v>20</v>
      </c>
      <c r="E67" s="2135">
        <f t="shared" si="30"/>
        <v>89</v>
      </c>
      <c r="F67" s="2135">
        <f t="shared" si="30"/>
        <v>20</v>
      </c>
      <c r="G67" s="2135">
        <f t="shared" si="30"/>
        <v>1400</v>
      </c>
      <c r="H67" s="2135">
        <f t="shared" si="30"/>
        <v>5460</v>
      </c>
      <c r="I67" s="2135">
        <f t="shared" si="30"/>
        <v>3992.75</v>
      </c>
      <c r="J67" s="2135">
        <f t="shared" si="30"/>
        <v>3992.75</v>
      </c>
      <c r="K67" s="2135"/>
      <c r="L67" s="1045"/>
    </row>
    <row r="68" spans="1:12" ht="15.75" customHeight="1">
      <c r="A68" s="1054" t="s">
        <v>484</v>
      </c>
      <c r="B68" s="1055" t="s">
        <v>1422</v>
      </c>
      <c r="C68" s="1056">
        <v>2</v>
      </c>
      <c r="D68" s="1056">
        <v>1</v>
      </c>
      <c r="E68" s="1056">
        <v>4</v>
      </c>
      <c r="F68" s="1056">
        <v>1</v>
      </c>
      <c r="G68" s="1056">
        <v>70</v>
      </c>
      <c r="H68" s="1057">
        <v>140</v>
      </c>
      <c r="I68" s="1057">
        <v>106</v>
      </c>
      <c r="J68" s="1057">
        <v>106</v>
      </c>
      <c r="K68" s="1057"/>
      <c r="L68" s="1045"/>
    </row>
    <row r="69" spans="1:12" ht="15.75" customHeight="1">
      <c r="A69" s="2137" t="s">
        <v>485</v>
      </c>
      <c r="B69" s="1055" t="s">
        <v>1423</v>
      </c>
      <c r="C69" s="1056">
        <v>3</v>
      </c>
      <c r="D69" s="1056">
        <v>1</v>
      </c>
      <c r="E69" s="1056">
        <v>4</v>
      </c>
      <c r="F69" s="1056">
        <v>1</v>
      </c>
      <c r="G69" s="1056">
        <v>70</v>
      </c>
      <c r="H69" s="1057">
        <v>210</v>
      </c>
      <c r="I69" s="1057">
        <v>139</v>
      </c>
      <c r="J69" s="1057">
        <v>139</v>
      </c>
      <c r="K69" s="1057"/>
      <c r="L69" s="1045"/>
    </row>
    <row r="70" spans="1:12" ht="15.75" customHeight="1">
      <c r="A70" s="1058" t="s">
        <v>489</v>
      </c>
      <c r="B70" s="1055" t="s">
        <v>1424</v>
      </c>
      <c r="C70" s="1056">
        <v>2</v>
      </c>
      <c r="D70" s="1056">
        <v>1</v>
      </c>
      <c r="E70" s="1056">
        <v>4</v>
      </c>
      <c r="F70" s="1056">
        <v>1</v>
      </c>
      <c r="G70" s="1056">
        <v>70</v>
      </c>
      <c r="H70" s="1057">
        <v>140</v>
      </c>
      <c r="I70" s="1057">
        <v>106</v>
      </c>
      <c r="J70" s="1057">
        <v>106</v>
      </c>
      <c r="K70" s="1057"/>
      <c r="L70" s="1045"/>
    </row>
    <row r="71" spans="1:12" ht="15.75" customHeight="1">
      <c r="A71" s="2138" t="s">
        <v>490</v>
      </c>
      <c r="B71" s="1055" t="s">
        <v>1425</v>
      </c>
      <c r="C71" s="1056">
        <v>3</v>
      </c>
      <c r="D71" s="1056">
        <v>1</v>
      </c>
      <c r="E71" s="1056">
        <v>6</v>
      </c>
      <c r="F71" s="1056">
        <v>1</v>
      </c>
      <c r="G71" s="1056">
        <v>70</v>
      </c>
      <c r="H71" s="1057">
        <v>210</v>
      </c>
      <c r="I71" s="1057">
        <v>208.5</v>
      </c>
      <c r="J71" s="1057">
        <v>208.5</v>
      </c>
      <c r="K71" s="1057"/>
      <c r="L71" s="1045"/>
    </row>
    <row r="72" spans="1:12" ht="15.75" customHeight="1">
      <c r="A72" s="2138" t="s">
        <v>491</v>
      </c>
      <c r="B72" s="1055" t="s">
        <v>1426</v>
      </c>
      <c r="C72" s="1056">
        <v>3</v>
      </c>
      <c r="D72" s="1056">
        <v>1</v>
      </c>
      <c r="E72" s="1056">
        <v>5</v>
      </c>
      <c r="F72" s="1056">
        <v>1</v>
      </c>
      <c r="G72" s="1056">
        <v>70</v>
      </c>
      <c r="H72" s="1057">
        <v>210</v>
      </c>
      <c r="I72" s="1057">
        <v>173.75</v>
      </c>
      <c r="J72" s="1057">
        <v>173.75</v>
      </c>
      <c r="K72" s="1057"/>
      <c r="L72" s="1045"/>
    </row>
    <row r="73" spans="1:12" ht="15.75" customHeight="1">
      <c r="A73" s="2138" t="s">
        <v>492</v>
      </c>
      <c r="B73" s="1055" t="s">
        <v>1427</v>
      </c>
      <c r="C73" s="1056">
        <v>5</v>
      </c>
      <c r="D73" s="1056">
        <v>1</v>
      </c>
      <c r="E73" s="1056">
        <v>8</v>
      </c>
      <c r="F73" s="1056">
        <v>1</v>
      </c>
      <c r="G73" s="1056">
        <v>70</v>
      </c>
      <c r="H73" s="1056">
        <v>350</v>
      </c>
      <c r="I73" s="1057">
        <v>450</v>
      </c>
      <c r="J73" s="1057">
        <v>450</v>
      </c>
      <c r="K73" s="1057"/>
      <c r="L73" s="1045"/>
    </row>
    <row r="74" spans="1:12" ht="15.75" customHeight="1">
      <c r="A74" s="2139" t="s">
        <v>517</v>
      </c>
      <c r="B74" s="1055" t="s">
        <v>1428</v>
      </c>
      <c r="C74" s="1056">
        <v>5</v>
      </c>
      <c r="D74" s="1056">
        <v>1</v>
      </c>
      <c r="E74" s="1056">
        <v>4</v>
      </c>
      <c r="F74" s="1056">
        <v>1</v>
      </c>
      <c r="G74" s="1056">
        <v>70</v>
      </c>
      <c r="H74" s="1056">
        <v>350</v>
      </c>
      <c r="I74" s="1057">
        <v>225</v>
      </c>
      <c r="J74" s="1057">
        <v>225</v>
      </c>
      <c r="K74" s="1057"/>
      <c r="L74" s="1045"/>
    </row>
    <row r="75" spans="1:12" ht="15.75" customHeight="1">
      <c r="A75" s="2139" t="s">
        <v>518</v>
      </c>
      <c r="B75" s="1055" t="s">
        <v>1429</v>
      </c>
      <c r="C75" s="1056">
        <v>5</v>
      </c>
      <c r="D75" s="1056">
        <v>1</v>
      </c>
      <c r="E75" s="1056">
        <v>4</v>
      </c>
      <c r="F75" s="1056">
        <v>1</v>
      </c>
      <c r="G75" s="1056">
        <v>70</v>
      </c>
      <c r="H75" s="1056">
        <v>350</v>
      </c>
      <c r="I75" s="1057">
        <v>225</v>
      </c>
      <c r="J75" s="1057">
        <v>225</v>
      </c>
      <c r="K75" s="1057"/>
      <c r="L75" s="1045"/>
    </row>
    <row r="76" spans="1:12" ht="15.75" customHeight="1">
      <c r="A76" s="2139" t="s">
        <v>503</v>
      </c>
      <c r="B76" s="1055" t="s">
        <v>1430</v>
      </c>
      <c r="C76" s="1056">
        <v>5</v>
      </c>
      <c r="D76" s="1056">
        <v>1</v>
      </c>
      <c r="E76" s="1056">
        <v>6</v>
      </c>
      <c r="F76" s="1056">
        <v>1</v>
      </c>
      <c r="G76" s="1056">
        <v>70</v>
      </c>
      <c r="H76" s="1056">
        <v>350</v>
      </c>
      <c r="I76" s="1057">
        <v>337.5</v>
      </c>
      <c r="J76" s="1057">
        <v>337.5</v>
      </c>
      <c r="K76" s="1057"/>
      <c r="L76" s="1045"/>
    </row>
    <row r="77" spans="1:12" ht="15.75" customHeight="1">
      <c r="A77" s="2139" t="s">
        <v>659</v>
      </c>
      <c r="B77" s="1055" t="s">
        <v>1431</v>
      </c>
      <c r="C77" s="1056">
        <v>3</v>
      </c>
      <c r="D77" s="1056">
        <v>1</v>
      </c>
      <c r="E77" s="1056">
        <v>4</v>
      </c>
      <c r="F77" s="1056">
        <v>1</v>
      </c>
      <c r="G77" s="1056">
        <v>70</v>
      </c>
      <c r="H77" s="1056">
        <v>210</v>
      </c>
      <c r="I77" s="1057">
        <v>139</v>
      </c>
      <c r="J77" s="1057">
        <v>139</v>
      </c>
      <c r="K77" s="1057"/>
      <c r="L77" s="1045"/>
    </row>
    <row r="78" spans="1:12" ht="15.75" customHeight="1">
      <c r="A78" s="1059" t="s">
        <v>662</v>
      </c>
      <c r="B78" s="1055" t="s">
        <v>1432</v>
      </c>
      <c r="C78" s="1056">
        <v>3</v>
      </c>
      <c r="D78" s="1056">
        <v>1</v>
      </c>
      <c r="E78" s="1056">
        <v>6</v>
      </c>
      <c r="F78" s="1056">
        <v>1</v>
      </c>
      <c r="G78" s="1056">
        <v>70</v>
      </c>
      <c r="H78" s="1056">
        <v>210</v>
      </c>
      <c r="I78" s="1057">
        <v>208.5</v>
      </c>
      <c r="J78" s="1057">
        <v>208.5</v>
      </c>
      <c r="K78" s="1057"/>
      <c r="L78" s="1045"/>
    </row>
    <row r="79" spans="1:12" ht="15.75" customHeight="1">
      <c r="A79" s="2139" t="s">
        <v>664</v>
      </c>
      <c r="B79" s="1055" t="s">
        <v>1433</v>
      </c>
      <c r="C79" s="1056">
        <v>5</v>
      </c>
      <c r="D79" s="1056">
        <v>1</v>
      </c>
      <c r="E79" s="1056">
        <v>3</v>
      </c>
      <c r="F79" s="1056">
        <v>1</v>
      </c>
      <c r="G79" s="1056">
        <v>70</v>
      </c>
      <c r="H79" s="1056">
        <v>350</v>
      </c>
      <c r="I79" s="1057">
        <v>168.75</v>
      </c>
      <c r="J79" s="1057">
        <v>168.75</v>
      </c>
      <c r="K79" s="1057"/>
      <c r="L79" s="1045"/>
    </row>
    <row r="80" spans="1:12" ht="15.75" customHeight="1">
      <c r="A80" s="2139" t="s">
        <v>667</v>
      </c>
      <c r="B80" s="1055" t="s">
        <v>1434</v>
      </c>
      <c r="C80" s="1056">
        <v>5</v>
      </c>
      <c r="D80" s="1056">
        <v>1</v>
      </c>
      <c r="E80" s="1056">
        <v>3</v>
      </c>
      <c r="F80" s="1056">
        <v>1</v>
      </c>
      <c r="G80" s="1056">
        <v>70</v>
      </c>
      <c r="H80" s="1056">
        <v>350</v>
      </c>
      <c r="I80" s="1057">
        <v>168.75</v>
      </c>
      <c r="J80" s="1057">
        <v>168.75</v>
      </c>
      <c r="K80" s="1057"/>
      <c r="L80" s="1045"/>
    </row>
    <row r="81" spans="1:12" ht="15.75" customHeight="1">
      <c r="A81" s="2139" t="s">
        <v>505</v>
      </c>
      <c r="B81" s="1055" t="s">
        <v>1435</v>
      </c>
      <c r="C81" s="1056">
        <v>3</v>
      </c>
      <c r="D81" s="1056">
        <v>1</v>
      </c>
      <c r="E81" s="1056">
        <v>4</v>
      </c>
      <c r="F81" s="1056">
        <v>1</v>
      </c>
      <c r="G81" s="1056">
        <v>70</v>
      </c>
      <c r="H81" s="1056">
        <v>210</v>
      </c>
      <c r="I81" s="1057">
        <v>139</v>
      </c>
      <c r="J81" s="1057">
        <v>139</v>
      </c>
      <c r="K81" s="1057"/>
      <c r="L81" s="1045"/>
    </row>
    <row r="82" spans="1:12" ht="15.75" customHeight="1">
      <c r="A82" s="2139" t="s">
        <v>668</v>
      </c>
      <c r="B82" s="1055" t="s">
        <v>1436</v>
      </c>
      <c r="C82" s="1056">
        <v>4</v>
      </c>
      <c r="D82" s="1056">
        <v>1</v>
      </c>
      <c r="E82" s="1056">
        <v>4</v>
      </c>
      <c r="F82" s="1056">
        <v>1</v>
      </c>
      <c r="G82" s="1056">
        <v>70</v>
      </c>
      <c r="H82" s="1056">
        <v>280</v>
      </c>
      <c r="I82" s="1057">
        <v>192</v>
      </c>
      <c r="J82" s="1057">
        <v>192</v>
      </c>
      <c r="K82" s="1057"/>
      <c r="L82" s="1045"/>
    </row>
    <row r="83" spans="1:12" ht="15.75" customHeight="1">
      <c r="A83" s="1059" t="s">
        <v>670</v>
      </c>
      <c r="B83" s="1055" t="s">
        <v>1437</v>
      </c>
      <c r="C83" s="1056">
        <v>5</v>
      </c>
      <c r="D83" s="1056">
        <v>1</v>
      </c>
      <c r="E83" s="1056">
        <v>4</v>
      </c>
      <c r="F83" s="1056">
        <v>1</v>
      </c>
      <c r="G83" s="1056">
        <v>70</v>
      </c>
      <c r="H83" s="1056">
        <v>350</v>
      </c>
      <c r="I83" s="1057">
        <v>205</v>
      </c>
      <c r="J83" s="1057">
        <v>205</v>
      </c>
      <c r="K83" s="1057"/>
      <c r="L83" s="1045"/>
    </row>
    <row r="84" spans="1:12" ht="15.75" customHeight="1">
      <c r="A84" s="2139" t="s">
        <v>672</v>
      </c>
      <c r="B84" s="1055" t="s">
        <v>1438</v>
      </c>
      <c r="C84" s="1056">
        <v>4</v>
      </c>
      <c r="D84" s="1056">
        <v>1</v>
      </c>
      <c r="E84" s="1056">
        <v>4</v>
      </c>
      <c r="F84" s="1056">
        <v>1</v>
      </c>
      <c r="G84" s="1056">
        <v>70</v>
      </c>
      <c r="H84" s="1056">
        <v>280</v>
      </c>
      <c r="I84" s="1057">
        <v>192</v>
      </c>
      <c r="J84" s="1057">
        <v>192</v>
      </c>
      <c r="K84" s="1057"/>
      <c r="L84" s="1045"/>
    </row>
    <row r="85" spans="1:12" ht="15.75" customHeight="1">
      <c r="A85" s="2139" t="s">
        <v>706</v>
      </c>
      <c r="B85" s="1055" t="s">
        <v>1439</v>
      </c>
      <c r="C85" s="1056">
        <v>5</v>
      </c>
      <c r="D85" s="1056">
        <v>1</v>
      </c>
      <c r="E85" s="1056">
        <v>4</v>
      </c>
      <c r="F85" s="1056">
        <v>1</v>
      </c>
      <c r="G85" s="1056">
        <v>70</v>
      </c>
      <c r="H85" s="1056">
        <v>350</v>
      </c>
      <c r="I85" s="1057">
        <v>225</v>
      </c>
      <c r="J85" s="1057">
        <v>225</v>
      </c>
      <c r="K85" s="1057"/>
      <c r="L85" s="1045"/>
    </row>
    <row r="86" spans="1:12" ht="15.75" customHeight="1">
      <c r="A86" s="2139" t="s">
        <v>708</v>
      </c>
      <c r="B86" s="1055" t="s">
        <v>1440</v>
      </c>
      <c r="C86" s="1056">
        <v>4</v>
      </c>
      <c r="D86" s="1056">
        <v>1</v>
      </c>
      <c r="E86" s="1056">
        <v>4</v>
      </c>
      <c r="F86" s="1056">
        <v>1</v>
      </c>
      <c r="G86" s="1056">
        <v>70</v>
      </c>
      <c r="H86" s="1056">
        <v>280</v>
      </c>
      <c r="I86" s="1057">
        <v>192</v>
      </c>
      <c r="J86" s="1057">
        <v>192</v>
      </c>
      <c r="K86" s="1057"/>
      <c r="L86" s="1045"/>
    </row>
    <row r="87" spans="1:12" ht="15.75" customHeight="1">
      <c r="A87" s="2139" t="s">
        <v>710</v>
      </c>
      <c r="B87" s="1055" t="s">
        <v>1441</v>
      </c>
      <c r="C87" s="1056">
        <v>4</v>
      </c>
      <c r="D87" s="1056">
        <v>1</v>
      </c>
      <c r="E87" s="1056">
        <v>4</v>
      </c>
      <c r="F87" s="1056">
        <v>1</v>
      </c>
      <c r="G87" s="1056">
        <v>70</v>
      </c>
      <c r="H87" s="1056">
        <v>280</v>
      </c>
      <c r="I87" s="1057">
        <v>192</v>
      </c>
      <c r="J87" s="1057">
        <v>192</v>
      </c>
      <c r="K87" s="1057"/>
      <c r="L87" s="1045"/>
    </row>
    <row r="88" spans="1:12" ht="15.75" customHeight="1">
      <c r="A88" s="1060"/>
      <c r="B88" s="2140" t="s">
        <v>544</v>
      </c>
      <c r="C88" s="2141">
        <f t="shared" ref="C88:J88" si="31">SUM(C89:C100)</f>
        <v>49</v>
      </c>
      <c r="D88" s="2141">
        <f t="shared" si="31"/>
        <v>12</v>
      </c>
      <c r="E88" s="2141">
        <f t="shared" si="31"/>
        <v>30</v>
      </c>
      <c r="F88" s="2141">
        <f t="shared" si="31"/>
        <v>12</v>
      </c>
      <c r="G88" s="2141">
        <f t="shared" si="31"/>
        <v>840</v>
      </c>
      <c r="H88" s="2141">
        <f t="shared" si="31"/>
        <v>3430</v>
      </c>
      <c r="I88" s="2141">
        <f t="shared" si="31"/>
        <v>1400</v>
      </c>
      <c r="J88" s="2141">
        <f t="shared" si="31"/>
        <v>1400</v>
      </c>
      <c r="K88" s="914"/>
      <c r="L88" s="1045"/>
    </row>
    <row r="89" spans="1:12" ht="15.75" customHeight="1">
      <c r="A89" s="2139" t="s">
        <v>573</v>
      </c>
      <c r="B89" s="1055" t="s">
        <v>1422</v>
      </c>
      <c r="C89" s="1056">
        <v>2</v>
      </c>
      <c r="D89" s="1056">
        <v>1</v>
      </c>
      <c r="E89" s="1056">
        <v>4</v>
      </c>
      <c r="F89" s="1056">
        <v>1</v>
      </c>
      <c r="G89" s="1056">
        <v>70</v>
      </c>
      <c r="H89" s="1056">
        <v>140</v>
      </c>
      <c r="I89" s="1057">
        <v>106</v>
      </c>
      <c r="J89" s="1057">
        <v>106</v>
      </c>
      <c r="K89" s="1057"/>
      <c r="L89" s="1045"/>
    </row>
    <row r="90" spans="1:12" ht="15.75" customHeight="1">
      <c r="A90" s="2139" t="s">
        <v>574</v>
      </c>
      <c r="B90" s="1055" t="s">
        <v>1436</v>
      </c>
      <c r="C90" s="1056">
        <v>4</v>
      </c>
      <c r="D90" s="1056">
        <v>1</v>
      </c>
      <c r="E90" s="1056">
        <v>2</v>
      </c>
      <c r="F90" s="1056">
        <v>1</v>
      </c>
      <c r="G90" s="1056">
        <v>70</v>
      </c>
      <c r="H90" s="1056">
        <v>280</v>
      </c>
      <c r="I90" s="1057">
        <v>96</v>
      </c>
      <c r="J90" s="1057">
        <v>96</v>
      </c>
      <c r="K90" s="1057"/>
      <c r="L90" s="1045"/>
    </row>
    <row r="91" spans="1:12" ht="15.75" customHeight="1">
      <c r="A91" s="2139" t="s">
        <v>575</v>
      </c>
      <c r="B91" s="1055" t="s">
        <v>1434</v>
      </c>
      <c r="C91" s="1056">
        <v>5</v>
      </c>
      <c r="D91" s="1056">
        <v>1</v>
      </c>
      <c r="E91" s="1056">
        <v>2</v>
      </c>
      <c r="F91" s="1056">
        <v>1</v>
      </c>
      <c r="G91" s="1056">
        <v>70</v>
      </c>
      <c r="H91" s="1056">
        <v>350</v>
      </c>
      <c r="I91" s="1057">
        <v>112.5</v>
      </c>
      <c r="J91" s="1057">
        <v>112.5</v>
      </c>
      <c r="K91" s="1057"/>
      <c r="L91" s="1045"/>
    </row>
    <row r="92" spans="1:12" ht="15.75" customHeight="1">
      <c r="A92" s="2139" t="s">
        <v>576</v>
      </c>
      <c r="B92" s="1055" t="s">
        <v>1437</v>
      </c>
      <c r="C92" s="1056">
        <v>5</v>
      </c>
      <c r="D92" s="1056">
        <v>1</v>
      </c>
      <c r="E92" s="1056">
        <v>2</v>
      </c>
      <c r="F92" s="1056">
        <v>1</v>
      </c>
      <c r="G92" s="1056">
        <v>70</v>
      </c>
      <c r="H92" s="1056">
        <v>350</v>
      </c>
      <c r="I92" s="1057">
        <v>112.5</v>
      </c>
      <c r="J92" s="1057">
        <v>112.5</v>
      </c>
      <c r="K92" s="1057"/>
      <c r="L92" s="1045"/>
    </row>
    <row r="93" spans="1:12" ht="15.75" customHeight="1">
      <c r="A93" s="2139" t="s">
        <v>577</v>
      </c>
      <c r="B93" s="1055" t="s">
        <v>1442</v>
      </c>
      <c r="C93" s="1056">
        <v>3</v>
      </c>
      <c r="D93" s="1056">
        <v>1</v>
      </c>
      <c r="E93" s="1056">
        <v>2</v>
      </c>
      <c r="F93" s="1056">
        <v>1</v>
      </c>
      <c r="G93" s="1056">
        <v>70</v>
      </c>
      <c r="H93" s="1056">
        <v>210</v>
      </c>
      <c r="I93" s="1057">
        <v>69.5</v>
      </c>
      <c r="J93" s="1057">
        <v>69.5</v>
      </c>
      <c r="K93" s="1057"/>
      <c r="L93" s="1045"/>
    </row>
    <row r="94" spans="1:12" ht="15.75" customHeight="1">
      <c r="A94" s="2139" t="s">
        <v>579</v>
      </c>
      <c r="B94" s="1055" t="s">
        <v>1438</v>
      </c>
      <c r="C94" s="1056">
        <v>4</v>
      </c>
      <c r="D94" s="1056">
        <v>1</v>
      </c>
      <c r="E94" s="1056">
        <v>4</v>
      </c>
      <c r="F94" s="1056">
        <v>1</v>
      </c>
      <c r="G94" s="1056">
        <v>70</v>
      </c>
      <c r="H94" s="1056">
        <v>280</v>
      </c>
      <c r="I94" s="1057">
        <v>192</v>
      </c>
      <c r="J94" s="1057">
        <v>192</v>
      </c>
      <c r="K94" s="1057"/>
      <c r="L94" s="1045"/>
    </row>
    <row r="95" spans="1:12" ht="15.75" customHeight="1">
      <c r="A95" s="2139" t="s">
        <v>580</v>
      </c>
      <c r="B95" s="1055" t="s">
        <v>1443</v>
      </c>
      <c r="C95" s="1056">
        <v>5</v>
      </c>
      <c r="D95" s="1056">
        <v>1</v>
      </c>
      <c r="E95" s="1056">
        <v>4</v>
      </c>
      <c r="F95" s="1056">
        <v>1</v>
      </c>
      <c r="G95" s="1056">
        <v>70</v>
      </c>
      <c r="H95" s="1056">
        <v>350</v>
      </c>
      <c r="I95" s="1057">
        <v>225</v>
      </c>
      <c r="J95" s="1057">
        <v>225</v>
      </c>
      <c r="K95" s="1057"/>
      <c r="L95" s="1045"/>
    </row>
    <row r="96" spans="1:12" ht="15.75" customHeight="1">
      <c r="A96" s="2139" t="s">
        <v>581</v>
      </c>
      <c r="B96" s="1055" t="s">
        <v>1439</v>
      </c>
      <c r="C96" s="1056">
        <v>5</v>
      </c>
      <c r="D96" s="1056">
        <v>1</v>
      </c>
      <c r="E96" s="1056">
        <v>2</v>
      </c>
      <c r="F96" s="1056">
        <v>1</v>
      </c>
      <c r="G96" s="1056">
        <v>70</v>
      </c>
      <c r="H96" s="1056">
        <v>350</v>
      </c>
      <c r="I96" s="1057">
        <v>112.5</v>
      </c>
      <c r="J96" s="1057">
        <v>112.5</v>
      </c>
      <c r="K96" s="1057"/>
      <c r="L96" s="1045"/>
    </row>
    <row r="97" spans="1:12" ht="15.75" customHeight="1">
      <c r="A97" s="2139" t="s">
        <v>582</v>
      </c>
      <c r="B97" s="1055" t="s">
        <v>1440</v>
      </c>
      <c r="C97" s="1056">
        <v>4</v>
      </c>
      <c r="D97" s="1056">
        <v>1</v>
      </c>
      <c r="E97" s="1056">
        <v>2</v>
      </c>
      <c r="F97" s="1056">
        <v>1</v>
      </c>
      <c r="G97" s="1056">
        <v>70</v>
      </c>
      <c r="H97" s="1056">
        <v>280</v>
      </c>
      <c r="I97" s="1057">
        <v>96</v>
      </c>
      <c r="J97" s="1057">
        <v>96</v>
      </c>
      <c r="K97" s="1057"/>
      <c r="L97" s="1045"/>
    </row>
    <row r="98" spans="1:12" ht="15.75" customHeight="1">
      <c r="A98" s="2139" t="s">
        <v>583</v>
      </c>
      <c r="B98" s="1055" t="s">
        <v>1429</v>
      </c>
      <c r="C98" s="1056">
        <v>5</v>
      </c>
      <c r="D98" s="1056">
        <v>1</v>
      </c>
      <c r="E98" s="1056">
        <v>2</v>
      </c>
      <c r="F98" s="1056">
        <v>1</v>
      </c>
      <c r="G98" s="1056">
        <v>70</v>
      </c>
      <c r="H98" s="1056">
        <v>350</v>
      </c>
      <c r="I98" s="1057">
        <v>112.5</v>
      </c>
      <c r="J98" s="1057">
        <v>112.5</v>
      </c>
      <c r="K98" s="1057"/>
      <c r="L98" s="1045"/>
    </row>
    <row r="99" spans="1:12" ht="15.75" customHeight="1">
      <c r="A99" s="2139" t="s">
        <v>1444</v>
      </c>
      <c r="B99" s="1055" t="s">
        <v>1441</v>
      </c>
      <c r="C99" s="1056">
        <v>4</v>
      </c>
      <c r="D99" s="1056">
        <v>1</v>
      </c>
      <c r="E99" s="1056">
        <v>2</v>
      </c>
      <c r="F99" s="1056">
        <v>1</v>
      </c>
      <c r="G99" s="1056">
        <v>70</v>
      </c>
      <c r="H99" s="1056">
        <v>280</v>
      </c>
      <c r="I99" s="1057">
        <v>96</v>
      </c>
      <c r="J99" s="1057">
        <v>96</v>
      </c>
      <c r="K99" s="1057"/>
      <c r="L99" s="1045"/>
    </row>
    <row r="100" spans="1:12" ht="15.75" customHeight="1">
      <c r="A100" s="2139" t="s">
        <v>1445</v>
      </c>
      <c r="B100" s="1055" t="s">
        <v>1446</v>
      </c>
      <c r="C100" s="1056">
        <v>3</v>
      </c>
      <c r="D100" s="1056">
        <v>1</v>
      </c>
      <c r="E100" s="1056">
        <v>2</v>
      </c>
      <c r="F100" s="1056">
        <v>1</v>
      </c>
      <c r="G100" s="1056">
        <v>70</v>
      </c>
      <c r="H100" s="1056">
        <v>210</v>
      </c>
      <c r="I100" s="1057">
        <v>69.5</v>
      </c>
      <c r="J100" s="1057">
        <v>69.5</v>
      </c>
      <c r="K100" s="1057"/>
      <c r="L100" s="1045"/>
    </row>
    <row r="101" spans="1:12" ht="15.75" customHeight="1">
      <c r="A101" s="2142" t="s">
        <v>580</v>
      </c>
      <c r="B101" s="1009" t="s">
        <v>519</v>
      </c>
      <c r="C101" s="1056">
        <v>3</v>
      </c>
      <c r="D101" s="1056">
        <v>1</v>
      </c>
      <c r="E101" s="1056">
        <v>2</v>
      </c>
      <c r="F101" s="1056">
        <v>1</v>
      </c>
      <c r="G101" s="1056">
        <v>70</v>
      </c>
      <c r="H101" s="997"/>
      <c r="I101" s="914">
        <f>(C101*E101*F101*16.5)</f>
        <v>99</v>
      </c>
      <c r="J101" s="1045"/>
      <c r="K101" s="1045"/>
      <c r="L101" s="1045"/>
    </row>
    <row r="102" spans="1:12" ht="15.75" customHeight="1">
      <c r="A102" s="2142" t="s">
        <v>581</v>
      </c>
      <c r="B102" s="1013" t="s">
        <v>595</v>
      </c>
      <c r="C102" s="997"/>
      <c r="D102" s="997"/>
      <c r="E102" s="997"/>
      <c r="F102" s="997"/>
      <c r="G102" s="997"/>
      <c r="H102" s="997"/>
      <c r="I102" s="997"/>
      <c r="J102" s="1045"/>
      <c r="K102" s="1045"/>
      <c r="L102" s="1045"/>
    </row>
    <row r="103" spans="1:12" ht="15.75" customHeight="1">
      <c r="A103" s="2142" t="s">
        <v>582</v>
      </c>
      <c r="B103" s="1023" t="s">
        <v>596</v>
      </c>
      <c r="C103" s="997"/>
      <c r="D103" s="997"/>
      <c r="E103" s="997"/>
      <c r="F103" s="997"/>
      <c r="G103" s="997"/>
      <c r="H103" s="997"/>
      <c r="I103" s="997"/>
      <c r="J103" s="1045"/>
      <c r="K103" s="1045"/>
      <c r="L103" s="1045"/>
    </row>
    <row r="104" spans="1:12" ht="15.75" customHeight="1">
      <c r="A104" s="2142" t="s">
        <v>583</v>
      </c>
      <c r="B104" s="1023" t="s">
        <v>596</v>
      </c>
      <c r="C104" s="997"/>
      <c r="D104" s="997"/>
      <c r="E104" s="997"/>
      <c r="F104" s="997"/>
      <c r="G104" s="997"/>
      <c r="H104" s="997"/>
      <c r="I104" s="997"/>
      <c r="J104" s="1045"/>
      <c r="K104" s="1045"/>
      <c r="L104" s="1045"/>
    </row>
    <row r="105" spans="1:12" ht="20.25" customHeight="1">
      <c r="A105" s="996"/>
      <c r="B105" s="1023" t="s">
        <v>596</v>
      </c>
      <c r="C105" s="997"/>
      <c r="D105" s="997"/>
      <c r="E105" s="997"/>
      <c r="F105" s="997"/>
      <c r="G105" s="997"/>
      <c r="H105" s="997"/>
      <c r="I105" s="997"/>
      <c r="J105" s="1045"/>
      <c r="K105" s="1045"/>
      <c r="L105" s="1045"/>
    </row>
    <row r="106" spans="1:12" ht="20.25" customHeight="1">
      <c r="A106" s="1061" t="s">
        <v>931</v>
      </c>
      <c r="B106" s="1023" t="s">
        <v>596</v>
      </c>
      <c r="C106" s="1007"/>
      <c r="D106" s="1007"/>
      <c r="E106" s="1007"/>
      <c r="F106" s="1062" t="s">
        <v>1447</v>
      </c>
      <c r="G106" s="1063"/>
      <c r="H106" s="1007"/>
      <c r="I106" s="1062" t="s">
        <v>1447</v>
      </c>
      <c r="J106" s="1062" t="s">
        <v>1447</v>
      </c>
      <c r="K106" s="1062" t="s">
        <v>1447</v>
      </c>
      <c r="L106" s="1062" t="s">
        <v>1447</v>
      </c>
    </row>
    <row r="107" spans="1:12" ht="20.25" customHeight="1">
      <c r="A107" s="1005" t="s">
        <v>258</v>
      </c>
      <c r="B107" s="1023" t="s">
        <v>596</v>
      </c>
      <c r="C107" s="1064" t="s">
        <v>936</v>
      </c>
      <c r="D107" s="1007"/>
      <c r="E107" s="1007"/>
      <c r="F107" s="1007"/>
      <c r="G107" s="1007"/>
      <c r="H107" s="1007"/>
      <c r="I107" s="1007"/>
      <c r="J107" s="1065"/>
      <c r="K107" s="1065"/>
      <c r="L107" s="1065"/>
    </row>
    <row r="108" spans="1:12" ht="20.25" customHeight="1">
      <c r="A108" s="1061" t="s">
        <v>284</v>
      </c>
      <c r="B108" s="1045"/>
      <c r="C108" s="1064" t="s">
        <v>936</v>
      </c>
      <c r="D108" s="1007"/>
      <c r="E108" s="1007"/>
      <c r="F108" s="1007"/>
      <c r="G108" s="1007"/>
      <c r="H108" s="1007"/>
      <c r="I108" s="1007"/>
      <c r="J108" s="1065"/>
      <c r="K108" s="1065"/>
      <c r="L108" s="1065"/>
    </row>
    <row r="109" spans="1:12" ht="20.25" customHeight="1">
      <c r="A109" s="1066"/>
      <c r="B109" s="1067"/>
      <c r="C109" s="1068"/>
      <c r="D109" s="1068"/>
      <c r="E109" s="1068"/>
      <c r="F109" s="1068"/>
      <c r="G109" s="1068"/>
      <c r="H109" s="1068"/>
      <c r="I109" s="1068"/>
      <c r="J109" s="1069"/>
      <c r="K109" s="1069"/>
      <c r="L109" s="1069"/>
    </row>
    <row r="110" spans="1:12" ht="21" customHeight="1">
      <c r="A110" s="1005"/>
      <c r="B110" s="997"/>
      <c r="C110" s="1070" t="s">
        <v>936</v>
      </c>
      <c r="D110" s="1068"/>
      <c r="E110" s="1068"/>
      <c r="F110" s="1068"/>
      <c r="G110" s="1068"/>
      <c r="H110" s="1068"/>
      <c r="I110" s="1068"/>
      <c r="J110" s="1069"/>
      <c r="K110" s="1069"/>
      <c r="L110" s="1069"/>
    </row>
    <row r="111" spans="1:12" ht="21" customHeight="1">
      <c r="A111" s="1071"/>
      <c r="B111" s="1072" t="s">
        <v>932</v>
      </c>
      <c r="C111" s="1062" t="s">
        <v>936</v>
      </c>
      <c r="D111" s="1063"/>
      <c r="E111" s="1063"/>
      <c r="F111" s="1063"/>
      <c r="G111" s="1063"/>
      <c r="H111" s="1063"/>
      <c r="I111" s="1007"/>
      <c r="J111" s="1065"/>
      <c r="K111" s="1065"/>
      <c r="L111" s="1065"/>
    </row>
    <row r="112" spans="1:12" ht="39.75" customHeight="1">
      <c r="A112" s="1066"/>
      <c r="B112" s="1006" t="s">
        <v>933</v>
      </c>
      <c r="C112" s="1007"/>
      <c r="D112" s="1007"/>
      <c r="E112" s="1007"/>
      <c r="F112" s="1007"/>
      <c r="G112" s="1007"/>
      <c r="H112" s="1007"/>
      <c r="I112" s="1007"/>
      <c r="J112" s="1065"/>
      <c r="K112" s="1065"/>
      <c r="L112" s="1065"/>
    </row>
    <row r="113" spans="2:11" ht="20.25" customHeight="1">
      <c r="B113" s="1006" t="s">
        <v>600</v>
      </c>
      <c r="C113" s="1007"/>
      <c r="D113" s="1007"/>
      <c r="E113" s="1007"/>
      <c r="F113" s="1007"/>
      <c r="G113" s="1007"/>
      <c r="H113" s="1007"/>
      <c r="I113" s="1007"/>
      <c r="J113" s="1065"/>
      <c r="K113" s="1065"/>
    </row>
    <row r="114" spans="2:11" ht="15" customHeight="1">
      <c r="B114" s="1072" t="s">
        <v>584</v>
      </c>
      <c r="C114" s="997"/>
      <c r="D114" s="997"/>
      <c r="E114" s="997"/>
      <c r="F114" s="997"/>
      <c r="G114" s="997"/>
      <c r="H114" s="997"/>
      <c r="I114" s="997"/>
      <c r="J114" s="1045"/>
      <c r="K114" s="1045"/>
    </row>
    <row r="115" spans="2:11" ht="14.25" customHeight="1">
      <c r="B115" s="1065"/>
      <c r="C115" s="997"/>
      <c r="D115" s="997"/>
      <c r="E115" s="997"/>
      <c r="F115" s="997"/>
      <c r="G115" s="997"/>
      <c r="H115" s="997"/>
      <c r="I115" s="997"/>
      <c r="J115" s="1045"/>
      <c r="K115" s="1045"/>
    </row>
    <row r="116" spans="2:11" ht="14.25" customHeight="1">
      <c r="B116" s="1006" t="s">
        <v>934</v>
      </c>
      <c r="C116" s="1073"/>
      <c r="D116" s="1073"/>
      <c r="E116" s="1073"/>
      <c r="F116" s="1073"/>
      <c r="G116" s="1073"/>
      <c r="H116" s="1073"/>
      <c r="I116" s="1073"/>
      <c r="J116" s="1073"/>
      <c r="K116" s="1073"/>
    </row>
    <row r="117" spans="2:11" ht="14.25" customHeight="1">
      <c r="B117" s="1006" t="s">
        <v>935</v>
      </c>
      <c r="C117" s="1073"/>
      <c r="D117" s="1073"/>
      <c r="E117" s="1073"/>
      <c r="F117" s="1073"/>
      <c r="G117" s="1073"/>
      <c r="H117" s="1073"/>
      <c r="I117" s="1073"/>
      <c r="J117" s="1073"/>
      <c r="K117" s="1073"/>
    </row>
    <row r="118" spans="2:11" ht="14.25" customHeight="1">
      <c r="B118" s="1006" t="s">
        <v>602</v>
      </c>
      <c r="C118" s="995"/>
      <c r="D118" s="995"/>
      <c r="E118" s="995"/>
      <c r="F118" s="995"/>
      <c r="G118" s="995"/>
      <c r="H118" s="995"/>
      <c r="I118" s="995"/>
      <c r="J118" s="995"/>
      <c r="K118" s="995"/>
    </row>
    <row r="119" spans="2:11" ht="14.25" customHeight="1">
      <c r="B119" s="1006" t="s">
        <v>603</v>
      </c>
      <c r="C119" s="995"/>
      <c r="D119" s="995"/>
      <c r="E119" s="995"/>
      <c r="F119" s="995"/>
      <c r="G119" s="995"/>
      <c r="H119" s="995"/>
      <c r="I119" s="995"/>
      <c r="J119" s="995"/>
      <c r="K119" s="995"/>
    </row>
    <row r="120" spans="2:11" ht="13.5" customHeight="1">
      <c r="B120" s="1045"/>
      <c r="C120" s="995"/>
      <c r="D120" s="995"/>
      <c r="E120" s="995"/>
      <c r="F120" s="995"/>
      <c r="G120" s="995"/>
      <c r="H120" s="995"/>
      <c r="I120" s="995"/>
      <c r="J120" s="995"/>
      <c r="K120" s="995"/>
    </row>
    <row r="121" spans="2:11" ht="14.25" customHeight="1">
      <c r="B121" s="1045"/>
      <c r="C121" s="995"/>
      <c r="D121" s="995"/>
      <c r="E121" s="995"/>
      <c r="F121" s="995"/>
      <c r="G121" s="995"/>
      <c r="H121" s="995"/>
      <c r="I121" s="995"/>
      <c r="J121" s="995"/>
      <c r="K121" s="995"/>
    </row>
    <row r="122" spans="2:11" ht="14.25" customHeight="1">
      <c r="B122" s="1073" t="s">
        <v>1448</v>
      </c>
      <c r="C122" s="995"/>
      <c r="D122" s="995"/>
      <c r="E122" s="995"/>
      <c r="F122" s="995"/>
      <c r="G122" s="995"/>
      <c r="H122" s="995"/>
      <c r="I122" s="995"/>
      <c r="J122" s="995"/>
      <c r="K122" s="995"/>
    </row>
    <row r="123" spans="2:11" ht="14.25" customHeight="1">
      <c r="B123" s="1073" t="s">
        <v>1449</v>
      </c>
      <c r="C123" s="995"/>
      <c r="D123" s="995"/>
      <c r="E123" s="995"/>
      <c r="F123" s="995"/>
      <c r="G123" s="995"/>
      <c r="H123" s="995"/>
      <c r="I123" s="995"/>
      <c r="J123" s="995"/>
      <c r="K123" s="995"/>
    </row>
    <row r="124" spans="2:11" ht="14.25" customHeight="1">
      <c r="B124" s="2878" t="s">
        <v>1450</v>
      </c>
      <c r="C124" s="2782"/>
      <c r="D124" s="2782"/>
      <c r="E124" s="2782"/>
      <c r="F124" s="2782"/>
      <c r="G124" s="2782"/>
      <c r="H124" s="2782"/>
      <c r="I124" s="2782"/>
      <c r="J124" s="2782"/>
      <c r="K124" s="2783"/>
    </row>
    <row r="125" spans="2:11" ht="14.25" customHeight="1">
      <c r="B125" s="2878" t="s">
        <v>1451</v>
      </c>
      <c r="C125" s="2782"/>
      <c r="D125" s="2783"/>
      <c r="E125" s="995"/>
      <c r="F125" s="995"/>
      <c r="G125" s="995"/>
      <c r="H125" s="995"/>
      <c r="I125" s="995"/>
      <c r="J125" s="995"/>
      <c r="K125" s="995"/>
    </row>
    <row r="126" spans="2:11" ht="14.25" customHeight="1">
      <c r="B126" s="1073" t="s">
        <v>1452</v>
      </c>
      <c r="C126" s="995"/>
      <c r="D126" s="995"/>
      <c r="E126" s="995"/>
      <c r="F126" s="995"/>
      <c r="G126" s="995"/>
      <c r="H126" s="995"/>
      <c r="I126" s="995"/>
      <c r="J126" s="995"/>
      <c r="K126" s="995"/>
    </row>
    <row r="127" spans="2:11" ht="14.25" customHeight="1">
      <c r="B127" s="2878" t="s">
        <v>1453</v>
      </c>
      <c r="C127" s="2782"/>
      <c r="D127" s="2782"/>
      <c r="E127" s="2782"/>
      <c r="F127" s="2782"/>
      <c r="G127" s="2782"/>
      <c r="H127" s="2782"/>
      <c r="I127" s="2782"/>
      <c r="J127" s="2783"/>
      <c r="K127" s="995"/>
    </row>
  </sheetData>
  <mergeCells count="20">
    <mergeCell ref="A1:C1"/>
    <mergeCell ref="J1:L1"/>
    <mergeCell ref="A2:C2"/>
    <mergeCell ref="J2:L2"/>
    <mergeCell ref="A3:L3"/>
    <mergeCell ref="A4:L4"/>
    <mergeCell ref="A5:L5"/>
    <mergeCell ref="H7:H8"/>
    <mergeCell ref="I7:I8"/>
    <mergeCell ref="J7:L7"/>
    <mergeCell ref="B124:K124"/>
    <mergeCell ref="B125:D125"/>
    <mergeCell ref="B127:J127"/>
    <mergeCell ref="A7:A8"/>
    <mergeCell ref="B7:B8"/>
    <mergeCell ref="C7:C8"/>
    <mergeCell ref="D7:D8"/>
    <mergeCell ref="E7:E8"/>
    <mergeCell ref="F7:F8"/>
    <mergeCell ref="G7:G8"/>
  </mergeCells>
  <conditionalFormatting sqref="C10">
    <cfRule type="notContainsBlanks" dxfId="5" priority="1">
      <formula>LEN(TRIM(C10))&gt;0</formula>
    </cfRule>
  </conditionalFormatting>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2"/>
  <sheetViews>
    <sheetView workbookViewId="0">
      <selection activeCell="C13" sqref="C13"/>
    </sheetView>
  </sheetViews>
  <sheetFormatPr defaultColWidth="14.42578125" defaultRowHeight="15" customHeight="1"/>
  <cols>
    <col min="1" max="1" width="11.42578125" customWidth="1"/>
    <col min="2" max="2" width="59.42578125" customWidth="1"/>
    <col min="3" max="3" width="11.42578125" customWidth="1"/>
    <col min="4" max="4" width="29.140625" customWidth="1"/>
    <col min="5" max="8" width="11.42578125" customWidth="1"/>
    <col min="9" max="9" width="12" customWidth="1"/>
    <col min="10" max="10" width="16" customWidth="1"/>
    <col min="11" max="16" width="11.42578125" customWidth="1"/>
  </cols>
  <sheetData>
    <row r="1" spans="1:12">
      <c r="A1" s="2898" t="s">
        <v>450</v>
      </c>
      <c r="B1" s="2732"/>
      <c r="C1" s="2732"/>
      <c r="D1" s="177"/>
      <c r="E1" s="177"/>
      <c r="F1" s="177"/>
      <c r="G1" s="177"/>
      <c r="H1" s="177"/>
      <c r="I1" s="91"/>
      <c r="J1" s="2798"/>
      <c r="K1" s="2732"/>
      <c r="L1" s="2732"/>
    </row>
    <row r="2" spans="1:12">
      <c r="A2" s="2798" t="s">
        <v>1454</v>
      </c>
      <c r="B2" s="2732"/>
      <c r="C2" s="2732"/>
      <c r="D2" s="86"/>
      <c r="E2" s="86"/>
      <c r="F2" s="86"/>
      <c r="G2" s="86"/>
      <c r="H2" s="86"/>
      <c r="I2" s="91"/>
      <c r="J2" s="2798"/>
      <c r="K2" s="2732"/>
      <c r="L2" s="2732"/>
    </row>
    <row r="3" spans="1:12">
      <c r="A3" s="2776" t="s">
        <v>832</v>
      </c>
      <c r="B3" s="2732"/>
      <c r="C3" s="2732"/>
      <c r="D3" s="2732"/>
      <c r="E3" s="2732"/>
      <c r="F3" s="2732"/>
      <c r="G3" s="2732"/>
      <c r="H3" s="2732"/>
      <c r="I3" s="2732"/>
      <c r="J3" s="2732"/>
      <c r="K3" s="2732"/>
      <c r="L3" s="2732"/>
    </row>
    <row r="4" spans="1:12" ht="27.75" customHeight="1">
      <c r="A4" s="2891" t="s">
        <v>431</v>
      </c>
      <c r="B4" s="2732"/>
      <c r="C4" s="2732"/>
      <c r="D4" s="2732"/>
      <c r="E4" s="2732"/>
      <c r="F4" s="2732"/>
      <c r="G4" s="2732"/>
      <c r="H4" s="2732"/>
      <c r="I4" s="2732"/>
      <c r="J4" s="2732"/>
      <c r="K4" s="2732"/>
      <c r="L4" s="2732"/>
    </row>
    <row r="5" spans="1:12" ht="27.75" customHeight="1">
      <c r="A5" s="2892" t="s">
        <v>432</v>
      </c>
      <c r="B5" s="2732"/>
      <c r="C5" s="2732"/>
      <c r="D5" s="2732"/>
      <c r="E5" s="2732"/>
      <c r="F5" s="2732"/>
      <c r="G5" s="2732"/>
      <c r="H5" s="2732"/>
      <c r="I5" s="2732"/>
      <c r="J5" s="2732"/>
      <c r="K5" s="2732"/>
      <c r="L5" s="2732"/>
    </row>
    <row r="6" spans="1:12" ht="4.5" customHeight="1">
      <c r="A6" s="166"/>
      <c r="B6" s="1074"/>
      <c r="C6" s="1074"/>
      <c r="D6" s="1074"/>
      <c r="E6" s="1074"/>
      <c r="F6" s="166"/>
      <c r="G6" s="1074"/>
      <c r="H6" s="1074"/>
      <c r="I6" s="1074"/>
      <c r="J6" s="1074"/>
      <c r="K6" s="1074"/>
      <c r="L6" s="1074"/>
    </row>
    <row r="7" spans="1:12" ht="34.5" customHeight="1">
      <c r="A7" s="2894" t="s">
        <v>186</v>
      </c>
      <c r="B7" s="2894" t="s">
        <v>453</v>
      </c>
      <c r="C7" s="2896" t="s">
        <v>454</v>
      </c>
      <c r="D7" s="2897" t="s">
        <v>1455</v>
      </c>
      <c r="E7" s="2894" t="s">
        <v>620</v>
      </c>
      <c r="F7" s="2894" t="s">
        <v>457</v>
      </c>
      <c r="G7" s="2894" t="s">
        <v>621</v>
      </c>
      <c r="H7" s="2893" t="s">
        <v>459</v>
      </c>
      <c r="I7" s="2894" t="s">
        <v>439</v>
      </c>
      <c r="J7" s="2895" t="s">
        <v>622</v>
      </c>
      <c r="K7" s="2782"/>
      <c r="L7" s="2783"/>
    </row>
    <row r="8" spans="1:12" ht="42" customHeight="1">
      <c r="A8" s="2779"/>
      <c r="B8" s="2779"/>
      <c r="C8" s="2779"/>
      <c r="D8" s="2779"/>
      <c r="E8" s="2779"/>
      <c r="F8" s="2779"/>
      <c r="G8" s="2779"/>
      <c r="H8" s="2779"/>
      <c r="I8" s="2779"/>
      <c r="J8" s="153" t="s">
        <v>461</v>
      </c>
      <c r="K8" s="153" t="s">
        <v>462</v>
      </c>
      <c r="L8" s="153" t="s">
        <v>463</v>
      </c>
    </row>
    <row r="9" spans="1:12" ht="25.5">
      <c r="A9" s="445" t="s">
        <v>465</v>
      </c>
      <c r="B9" s="445" t="s">
        <v>466</v>
      </c>
      <c r="C9" s="445" t="s">
        <v>467</v>
      </c>
      <c r="D9" s="149" t="s">
        <v>468</v>
      </c>
      <c r="E9" s="149" t="s">
        <v>469</v>
      </c>
      <c r="F9" s="149" t="s">
        <v>470</v>
      </c>
      <c r="G9" s="149" t="s">
        <v>471</v>
      </c>
      <c r="H9" s="149" t="s">
        <v>472</v>
      </c>
      <c r="I9" s="1075" t="s">
        <v>1456</v>
      </c>
      <c r="J9" s="149" t="s">
        <v>474</v>
      </c>
      <c r="K9" s="149" t="s">
        <v>475</v>
      </c>
      <c r="L9" s="149" t="s">
        <v>625</v>
      </c>
    </row>
    <row r="10" spans="1:12" ht="30" customHeight="1">
      <c r="A10" s="1076" t="s">
        <v>200</v>
      </c>
      <c r="B10" s="1077" t="s">
        <v>1457</v>
      </c>
      <c r="C10" s="1078">
        <f t="shared" ref="C10:I10" si="0">C11+C83</f>
        <v>298</v>
      </c>
      <c r="D10" s="1078">
        <f t="shared" si="0"/>
        <v>55.900000000000006</v>
      </c>
      <c r="E10" s="1078">
        <f t="shared" si="0"/>
        <v>612</v>
      </c>
      <c r="F10" s="1078">
        <f t="shared" si="0"/>
        <v>43.199999999999996</v>
      </c>
      <c r="G10" s="1078">
        <f t="shared" si="0"/>
        <v>6867</v>
      </c>
      <c r="H10" s="1078">
        <f t="shared" si="0"/>
        <v>62414.400000000001</v>
      </c>
      <c r="I10" s="1078">
        <f t="shared" si="0"/>
        <v>25830.584999999999</v>
      </c>
      <c r="J10" s="1078">
        <f t="shared" ref="J10:J11" si="1">I10</f>
        <v>25830.584999999999</v>
      </c>
      <c r="K10" s="1078"/>
      <c r="L10" s="1078"/>
    </row>
    <row r="11" spans="1:12" ht="24" customHeight="1">
      <c r="A11" s="1079" t="s">
        <v>258</v>
      </c>
      <c r="B11" s="1080" t="s">
        <v>477</v>
      </c>
      <c r="C11" s="1080">
        <f t="shared" ref="C11:I11" si="2">C12+C45+C76</f>
        <v>276</v>
      </c>
      <c r="D11" s="1080">
        <f t="shared" si="2"/>
        <v>48.900000000000006</v>
      </c>
      <c r="E11" s="1080">
        <f t="shared" si="2"/>
        <v>573</v>
      </c>
      <c r="F11" s="1080">
        <f t="shared" si="2"/>
        <v>36.199999999999996</v>
      </c>
      <c r="G11" s="1080">
        <f t="shared" si="2"/>
        <v>6482</v>
      </c>
      <c r="H11" s="1080">
        <f t="shared" si="2"/>
        <v>61204.4</v>
      </c>
      <c r="I11" s="1080">
        <f t="shared" si="2"/>
        <v>24410.084999999999</v>
      </c>
      <c r="J11" s="1080">
        <f t="shared" si="1"/>
        <v>24410.084999999999</v>
      </c>
      <c r="K11" s="1080"/>
      <c r="L11" s="1080"/>
    </row>
    <row r="12" spans="1:12" ht="27.75" customHeight="1">
      <c r="A12" s="154">
        <v>1</v>
      </c>
      <c r="B12" s="1081" t="s">
        <v>441</v>
      </c>
      <c r="C12" s="1081">
        <f t="shared" ref="C12:J12" si="3">C13+C28</f>
        <v>104</v>
      </c>
      <c r="D12" s="1081">
        <f t="shared" si="3"/>
        <v>30.900000000000002</v>
      </c>
      <c r="E12" s="1081">
        <f t="shared" si="3"/>
        <v>104</v>
      </c>
      <c r="F12" s="1081">
        <f t="shared" si="3"/>
        <v>26.199999999999996</v>
      </c>
      <c r="G12" s="1081">
        <f t="shared" si="3"/>
        <v>3995</v>
      </c>
      <c r="H12" s="1081">
        <f t="shared" si="3"/>
        <v>13913.4</v>
      </c>
      <c r="I12" s="1081">
        <f t="shared" si="3"/>
        <v>5309.9599999999991</v>
      </c>
      <c r="J12" s="1081">
        <f t="shared" si="3"/>
        <v>5309.9599999999991</v>
      </c>
      <c r="K12" s="1081"/>
      <c r="L12" s="1081"/>
    </row>
    <row r="13" spans="1:12" ht="29.25" customHeight="1">
      <c r="A13" s="1082">
        <v>1.1000000000000001</v>
      </c>
      <c r="B13" s="1083" t="s">
        <v>628</v>
      </c>
      <c r="C13" s="1084">
        <f t="shared" ref="C13:J13" si="4">SUM(C14:C27)</f>
        <v>53</v>
      </c>
      <c r="D13" s="1084">
        <f t="shared" si="4"/>
        <v>14.3</v>
      </c>
      <c r="E13" s="1084">
        <f t="shared" si="4"/>
        <v>40</v>
      </c>
      <c r="F13" s="1084">
        <f t="shared" si="4"/>
        <v>12.799999999999999</v>
      </c>
      <c r="G13" s="1084">
        <f t="shared" si="4"/>
        <v>2359</v>
      </c>
      <c r="H13" s="1084">
        <f t="shared" si="4"/>
        <v>8925.4</v>
      </c>
      <c r="I13" s="1084">
        <f t="shared" si="4"/>
        <v>3060.3499999999995</v>
      </c>
      <c r="J13" s="1084">
        <f t="shared" si="4"/>
        <v>3060.3499999999995</v>
      </c>
      <c r="K13" s="1082"/>
      <c r="L13" s="1082"/>
    </row>
    <row r="14" spans="1:12" ht="15.75" customHeight="1">
      <c r="A14" s="1085" t="s">
        <v>479</v>
      </c>
      <c r="B14" s="1086" t="s">
        <v>1458</v>
      </c>
      <c r="C14" s="400">
        <v>4</v>
      </c>
      <c r="D14" s="319">
        <v>1</v>
      </c>
      <c r="E14" s="400">
        <v>1</v>
      </c>
      <c r="F14" s="400">
        <v>1</v>
      </c>
      <c r="G14" s="400">
        <v>26</v>
      </c>
      <c r="H14" s="319">
        <f t="shared" ref="H14:H27" si="5">C14*D14*G14</f>
        <v>104</v>
      </c>
      <c r="I14" s="1087">
        <f t="shared" ref="I14:I21" si="6">C14*E14*F14*16.5</f>
        <v>66</v>
      </c>
      <c r="J14" s="1087">
        <f t="shared" ref="J14:J27" si="7">I14</f>
        <v>66</v>
      </c>
      <c r="K14" s="398"/>
      <c r="L14" s="319"/>
    </row>
    <row r="15" spans="1:12" ht="17.25" customHeight="1">
      <c r="A15" s="319" t="s">
        <v>481</v>
      </c>
      <c r="B15" s="327" t="s">
        <v>1459</v>
      </c>
      <c r="C15" s="1088">
        <v>4</v>
      </c>
      <c r="D15" s="319">
        <v>1</v>
      </c>
      <c r="E15" s="1088">
        <v>12</v>
      </c>
      <c r="F15" s="1087">
        <v>1.2</v>
      </c>
      <c r="G15" s="1088">
        <v>800</v>
      </c>
      <c r="H15" s="319">
        <f t="shared" si="5"/>
        <v>3200</v>
      </c>
      <c r="I15" s="1087">
        <f t="shared" si="6"/>
        <v>950.39999999999986</v>
      </c>
      <c r="J15" s="1087">
        <f t="shared" si="7"/>
        <v>950.39999999999986</v>
      </c>
      <c r="K15" s="398"/>
      <c r="L15" s="319"/>
    </row>
    <row r="16" spans="1:12" ht="15.75" customHeight="1">
      <c r="A16" s="1085" t="s">
        <v>483</v>
      </c>
      <c r="B16" s="1086" t="s">
        <v>1460</v>
      </c>
      <c r="C16" s="400">
        <v>2</v>
      </c>
      <c r="D16" s="319">
        <v>1</v>
      </c>
      <c r="E16" s="400">
        <v>1</v>
      </c>
      <c r="F16" s="400">
        <v>1</v>
      </c>
      <c r="G16" s="400">
        <v>26</v>
      </c>
      <c r="H16" s="319">
        <f t="shared" si="5"/>
        <v>52</v>
      </c>
      <c r="I16" s="1087">
        <f t="shared" si="6"/>
        <v>33</v>
      </c>
      <c r="J16" s="1087">
        <f t="shared" si="7"/>
        <v>33</v>
      </c>
      <c r="K16" s="398"/>
      <c r="L16" s="319"/>
    </row>
    <row r="17" spans="1:12" ht="15.75" customHeight="1">
      <c r="A17" s="1085" t="s">
        <v>484</v>
      </c>
      <c r="B17" s="1086" t="s">
        <v>1461</v>
      </c>
      <c r="C17" s="400">
        <v>3</v>
      </c>
      <c r="D17" s="319">
        <v>1</v>
      </c>
      <c r="E17" s="400">
        <v>1</v>
      </c>
      <c r="F17" s="400">
        <v>1</v>
      </c>
      <c r="G17" s="400">
        <v>25</v>
      </c>
      <c r="H17" s="319">
        <f t="shared" si="5"/>
        <v>75</v>
      </c>
      <c r="I17" s="1087">
        <f t="shared" si="6"/>
        <v>49.5</v>
      </c>
      <c r="J17" s="1087">
        <f t="shared" si="7"/>
        <v>49.5</v>
      </c>
      <c r="K17" s="398"/>
      <c r="L17" s="319"/>
    </row>
    <row r="18" spans="1:12" ht="17.25" customHeight="1">
      <c r="A18" s="319" t="s">
        <v>485</v>
      </c>
      <c r="B18" s="327" t="s">
        <v>1462</v>
      </c>
      <c r="C18" s="1088">
        <v>4</v>
      </c>
      <c r="D18" s="319">
        <v>1</v>
      </c>
      <c r="E18" s="1088">
        <v>1</v>
      </c>
      <c r="F18" s="400">
        <v>0.9</v>
      </c>
      <c r="G18" s="1088">
        <v>9</v>
      </c>
      <c r="H18" s="319">
        <f t="shared" si="5"/>
        <v>36</v>
      </c>
      <c r="I18" s="1087">
        <f t="shared" si="6"/>
        <v>59.4</v>
      </c>
      <c r="J18" s="1087">
        <f t="shared" si="7"/>
        <v>59.4</v>
      </c>
      <c r="K18" s="398"/>
      <c r="L18" s="319"/>
    </row>
    <row r="19" spans="1:12" ht="17.25" customHeight="1">
      <c r="A19" s="319" t="s">
        <v>486</v>
      </c>
      <c r="B19" s="327" t="s">
        <v>1463</v>
      </c>
      <c r="C19" s="1088">
        <v>3</v>
      </c>
      <c r="D19" s="319">
        <v>1</v>
      </c>
      <c r="E19" s="1088">
        <v>1</v>
      </c>
      <c r="F19" s="400">
        <v>0.9</v>
      </c>
      <c r="G19" s="1088">
        <v>9</v>
      </c>
      <c r="H19" s="319">
        <f t="shared" si="5"/>
        <v>27</v>
      </c>
      <c r="I19" s="1087">
        <f t="shared" si="6"/>
        <v>44.550000000000004</v>
      </c>
      <c r="J19" s="1087">
        <f t="shared" si="7"/>
        <v>44.550000000000004</v>
      </c>
      <c r="K19" s="398"/>
      <c r="L19" s="319"/>
    </row>
    <row r="20" spans="1:12">
      <c r="A20" s="1085" t="s">
        <v>487</v>
      </c>
      <c r="B20" s="1089" t="s">
        <v>1464</v>
      </c>
      <c r="C20" s="400">
        <v>5</v>
      </c>
      <c r="D20" s="319">
        <v>1</v>
      </c>
      <c r="E20" s="400">
        <v>1</v>
      </c>
      <c r="F20" s="400">
        <v>0.6</v>
      </c>
      <c r="G20" s="400">
        <v>6</v>
      </c>
      <c r="H20" s="319">
        <f t="shared" si="5"/>
        <v>30</v>
      </c>
      <c r="I20" s="1087">
        <f t="shared" si="6"/>
        <v>49.5</v>
      </c>
      <c r="J20" s="1087">
        <f t="shared" si="7"/>
        <v>49.5</v>
      </c>
      <c r="K20" s="334"/>
      <c r="L20" s="312"/>
    </row>
    <row r="21" spans="1:12" ht="15.75" customHeight="1">
      <c r="A21" s="1085" t="s">
        <v>488</v>
      </c>
      <c r="B21" s="1089" t="s">
        <v>1465</v>
      </c>
      <c r="C21" s="400">
        <v>4</v>
      </c>
      <c r="D21" s="319">
        <v>1</v>
      </c>
      <c r="E21" s="319">
        <v>1</v>
      </c>
      <c r="F21" s="400">
        <v>0.6</v>
      </c>
      <c r="G21" s="319">
        <v>6</v>
      </c>
      <c r="H21" s="319">
        <f t="shared" si="5"/>
        <v>24</v>
      </c>
      <c r="I21" s="1087">
        <f t="shared" si="6"/>
        <v>39.6</v>
      </c>
      <c r="J21" s="1087">
        <f t="shared" si="7"/>
        <v>39.6</v>
      </c>
      <c r="K21" s="334"/>
      <c r="L21" s="312"/>
    </row>
    <row r="22" spans="1:12" ht="17.25" customHeight="1">
      <c r="A22" s="319" t="s">
        <v>489</v>
      </c>
      <c r="B22" s="327" t="s">
        <v>1466</v>
      </c>
      <c r="C22" s="1088">
        <v>5</v>
      </c>
      <c r="D22" s="319">
        <v>1</v>
      </c>
      <c r="E22" s="1088">
        <v>1</v>
      </c>
      <c r="F22" s="400">
        <v>0.6</v>
      </c>
      <c r="G22" s="1088">
        <v>6</v>
      </c>
      <c r="H22" s="319">
        <f t="shared" si="5"/>
        <v>30</v>
      </c>
      <c r="I22" s="1087">
        <f>C22*E22*F22*15</f>
        <v>45</v>
      </c>
      <c r="J22" s="1087">
        <f t="shared" si="7"/>
        <v>45</v>
      </c>
      <c r="K22" s="398"/>
      <c r="L22" s="319"/>
    </row>
    <row r="23" spans="1:12" ht="15.75" customHeight="1">
      <c r="A23" s="1085" t="s">
        <v>490</v>
      </c>
      <c r="B23" s="1089" t="s">
        <v>1467</v>
      </c>
      <c r="C23" s="400">
        <v>4</v>
      </c>
      <c r="D23" s="319">
        <v>1</v>
      </c>
      <c r="E23" s="400">
        <v>1</v>
      </c>
      <c r="F23" s="400">
        <v>0.6</v>
      </c>
      <c r="G23" s="400">
        <v>6</v>
      </c>
      <c r="H23" s="319">
        <f t="shared" si="5"/>
        <v>24</v>
      </c>
      <c r="I23" s="1087">
        <f>C23*E23*F23*16.5</f>
        <v>39.6</v>
      </c>
      <c r="J23" s="1087">
        <f t="shared" si="7"/>
        <v>39.6</v>
      </c>
      <c r="K23" s="334"/>
      <c r="L23" s="312"/>
    </row>
    <row r="24" spans="1:12" ht="15.75" customHeight="1">
      <c r="A24" s="1085" t="s">
        <v>491</v>
      </c>
      <c r="B24" s="1089" t="s">
        <v>1468</v>
      </c>
      <c r="C24" s="400">
        <v>5</v>
      </c>
      <c r="D24" s="319">
        <v>1</v>
      </c>
      <c r="E24" s="400">
        <v>1</v>
      </c>
      <c r="F24" s="400">
        <v>1</v>
      </c>
      <c r="G24" s="400">
        <v>21</v>
      </c>
      <c r="H24" s="319">
        <f t="shared" si="5"/>
        <v>105</v>
      </c>
      <c r="I24" s="1087">
        <v>21</v>
      </c>
      <c r="J24" s="1087">
        <f t="shared" si="7"/>
        <v>21</v>
      </c>
      <c r="K24" s="398"/>
      <c r="L24" s="319"/>
    </row>
    <row r="25" spans="1:12" ht="15.75" customHeight="1">
      <c r="A25" s="1085" t="s">
        <v>492</v>
      </c>
      <c r="B25" s="1090" t="s">
        <v>1469</v>
      </c>
      <c r="C25" s="400">
        <v>3</v>
      </c>
      <c r="D25" s="319">
        <v>1</v>
      </c>
      <c r="E25" s="400">
        <v>12</v>
      </c>
      <c r="F25" s="400">
        <v>1.2</v>
      </c>
      <c r="G25" s="400">
        <v>800</v>
      </c>
      <c r="H25" s="319">
        <f t="shared" si="5"/>
        <v>2400</v>
      </c>
      <c r="I25" s="1087">
        <f t="shared" ref="I25:I26" si="8">C25*E25*F25*16.5</f>
        <v>712.8</v>
      </c>
      <c r="J25" s="1087">
        <f t="shared" si="7"/>
        <v>712.8</v>
      </c>
      <c r="K25" s="398"/>
      <c r="L25" s="319"/>
    </row>
    <row r="26" spans="1:12" ht="15.75" customHeight="1">
      <c r="A26" s="1085" t="s">
        <v>517</v>
      </c>
      <c r="B26" s="1089" t="s">
        <v>1470</v>
      </c>
      <c r="C26" s="400">
        <v>3</v>
      </c>
      <c r="D26" s="319">
        <v>1</v>
      </c>
      <c r="E26" s="400">
        <v>2</v>
      </c>
      <c r="F26" s="400">
        <v>1.2</v>
      </c>
      <c r="G26" s="400">
        <v>182</v>
      </c>
      <c r="H26" s="319">
        <f t="shared" si="5"/>
        <v>546</v>
      </c>
      <c r="I26" s="1087">
        <f t="shared" si="8"/>
        <v>118.79999999999998</v>
      </c>
      <c r="J26" s="1087">
        <f t="shared" si="7"/>
        <v>118.79999999999998</v>
      </c>
      <c r="K26" s="398"/>
      <c r="L26" s="319"/>
    </row>
    <row r="27" spans="1:12" ht="15.75" customHeight="1">
      <c r="A27" s="1085" t="s">
        <v>518</v>
      </c>
      <c r="B27" s="1089" t="s">
        <v>1471</v>
      </c>
      <c r="C27" s="400">
        <v>4</v>
      </c>
      <c r="D27" s="319">
        <v>1.3</v>
      </c>
      <c r="E27" s="400">
        <v>4</v>
      </c>
      <c r="F27" s="400">
        <v>1</v>
      </c>
      <c r="G27" s="400">
        <v>437</v>
      </c>
      <c r="H27" s="319">
        <f t="shared" si="5"/>
        <v>2272.4</v>
      </c>
      <c r="I27" s="1087">
        <f>2*E27*F27*16.5+2*G27*0.8</f>
        <v>831.2</v>
      </c>
      <c r="J27" s="1087">
        <f t="shared" si="7"/>
        <v>831.2</v>
      </c>
      <c r="K27" s="398"/>
      <c r="L27" s="319"/>
    </row>
    <row r="28" spans="1:12" ht="33" customHeight="1">
      <c r="A28" s="1091">
        <v>1.2</v>
      </c>
      <c r="B28" s="1092" t="s">
        <v>994</v>
      </c>
      <c r="C28" s="2143">
        <f t="shared" ref="C28:J28" si="9">SUM(C29:C44)</f>
        <v>51</v>
      </c>
      <c r="D28" s="2143">
        <f t="shared" si="9"/>
        <v>16.600000000000001</v>
      </c>
      <c r="E28" s="2143">
        <f t="shared" si="9"/>
        <v>64</v>
      </c>
      <c r="F28" s="2143">
        <f t="shared" si="9"/>
        <v>13.399999999999999</v>
      </c>
      <c r="G28" s="2143">
        <f t="shared" si="9"/>
        <v>1636</v>
      </c>
      <c r="H28" s="2143">
        <f t="shared" si="9"/>
        <v>4988</v>
      </c>
      <c r="I28" s="2144">
        <f t="shared" si="9"/>
        <v>2249.6099999999997</v>
      </c>
      <c r="J28" s="2144">
        <f t="shared" si="9"/>
        <v>2249.6099999999997</v>
      </c>
      <c r="K28" s="1093"/>
      <c r="L28" s="1093"/>
    </row>
    <row r="29" spans="1:12" ht="15.75" customHeight="1">
      <c r="A29" s="1085" t="s">
        <v>479</v>
      </c>
      <c r="B29" s="327" t="s">
        <v>1472</v>
      </c>
      <c r="C29" s="400">
        <v>3</v>
      </c>
      <c r="D29" s="319">
        <v>1</v>
      </c>
      <c r="E29" s="400">
        <v>30</v>
      </c>
      <c r="F29" s="400">
        <v>1</v>
      </c>
      <c r="G29" s="400">
        <v>30</v>
      </c>
      <c r="H29" s="319">
        <f t="shared" ref="H29:H44" si="10">C29*D29*G29</f>
        <v>90</v>
      </c>
      <c r="I29" s="1087">
        <f>C29*E29*F29*16.5*1/3+C29*G29*0.8*2/3</f>
        <v>543</v>
      </c>
      <c r="J29" s="1087">
        <f t="shared" ref="J29:J46" si="11">I29</f>
        <v>543</v>
      </c>
      <c r="K29" s="398"/>
      <c r="L29" s="319"/>
    </row>
    <row r="30" spans="1:12" ht="17.25" customHeight="1">
      <c r="A30" s="319" t="s">
        <v>481</v>
      </c>
      <c r="B30" s="1937" t="s">
        <v>1473</v>
      </c>
      <c r="C30" s="1088">
        <v>3</v>
      </c>
      <c r="D30" s="319">
        <v>1</v>
      </c>
      <c r="E30" s="1088">
        <v>20</v>
      </c>
      <c r="F30" s="324">
        <v>1.2</v>
      </c>
      <c r="G30" s="1088">
        <v>1410</v>
      </c>
      <c r="H30" s="319">
        <f t="shared" si="10"/>
        <v>4230</v>
      </c>
      <c r="I30" s="1087">
        <f t="shared" ref="I30:I32" si="12">C30*E30*F30*16.5</f>
        <v>1188</v>
      </c>
      <c r="J30" s="1087">
        <f t="shared" si="11"/>
        <v>1188</v>
      </c>
      <c r="K30" s="398"/>
      <c r="L30" s="319"/>
    </row>
    <row r="31" spans="1:12" ht="15.75" customHeight="1">
      <c r="A31" s="1085" t="s">
        <v>483</v>
      </c>
      <c r="B31" s="1086" t="s">
        <v>1474</v>
      </c>
      <c r="C31" s="400">
        <v>2</v>
      </c>
      <c r="D31" s="319">
        <v>1</v>
      </c>
      <c r="E31" s="400">
        <v>1</v>
      </c>
      <c r="F31" s="400">
        <v>1</v>
      </c>
      <c r="G31" s="400">
        <v>26</v>
      </c>
      <c r="H31" s="319">
        <f t="shared" si="10"/>
        <v>52</v>
      </c>
      <c r="I31" s="1087">
        <f t="shared" si="12"/>
        <v>33</v>
      </c>
      <c r="J31" s="1087">
        <f t="shared" si="11"/>
        <v>33</v>
      </c>
      <c r="K31" s="398"/>
      <c r="L31" s="319"/>
    </row>
    <row r="32" spans="1:12" ht="15.75" customHeight="1">
      <c r="A32" s="1085" t="s">
        <v>484</v>
      </c>
      <c r="B32" s="1086" t="s">
        <v>1475</v>
      </c>
      <c r="C32" s="400">
        <v>4</v>
      </c>
      <c r="D32" s="319">
        <v>1</v>
      </c>
      <c r="E32" s="400">
        <v>1</v>
      </c>
      <c r="F32" s="400">
        <v>1</v>
      </c>
      <c r="G32" s="400">
        <v>26</v>
      </c>
      <c r="H32" s="319">
        <f t="shared" si="10"/>
        <v>104</v>
      </c>
      <c r="I32" s="1087">
        <f t="shared" si="12"/>
        <v>66</v>
      </c>
      <c r="J32" s="1087">
        <f t="shared" si="11"/>
        <v>66</v>
      </c>
      <c r="K32" s="398"/>
      <c r="L32" s="319"/>
    </row>
    <row r="33" spans="1:12" ht="17.25" customHeight="1">
      <c r="A33" s="319" t="s">
        <v>485</v>
      </c>
      <c r="B33" s="327" t="s">
        <v>1476</v>
      </c>
      <c r="C33" s="1088">
        <v>4</v>
      </c>
      <c r="D33" s="319">
        <v>1.3</v>
      </c>
      <c r="E33" s="1088">
        <v>1</v>
      </c>
      <c r="F33" s="400">
        <v>1</v>
      </c>
      <c r="G33" s="400">
        <v>26</v>
      </c>
      <c r="H33" s="319">
        <f t="shared" si="10"/>
        <v>135.20000000000002</v>
      </c>
      <c r="I33" s="1087">
        <f>C38*E38*F38*16.5*2/4+C38*E38*F38*0.8*2/4</f>
        <v>23.355000000000004</v>
      </c>
      <c r="J33" s="1087">
        <f t="shared" si="11"/>
        <v>23.355000000000004</v>
      </c>
      <c r="K33" s="398"/>
      <c r="L33" s="319"/>
    </row>
    <row r="34" spans="1:12" ht="17.25" customHeight="1">
      <c r="A34" s="319" t="s">
        <v>486</v>
      </c>
      <c r="B34" s="327" t="s">
        <v>1477</v>
      </c>
      <c r="C34" s="1088">
        <v>4</v>
      </c>
      <c r="D34" s="319">
        <v>1</v>
      </c>
      <c r="E34" s="1088">
        <v>1</v>
      </c>
      <c r="F34" s="400">
        <v>1</v>
      </c>
      <c r="G34" s="400">
        <v>26</v>
      </c>
      <c r="H34" s="319">
        <f t="shared" si="10"/>
        <v>104</v>
      </c>
      <c r="I34" s="1087">
        <f t="shared" ref="I34:I36" si="13">C34*E34*F34*16.5</f>
        <v>66</v>
      </c>
      <c r="J34" s="1087">
        <f t="shared" si="11"/>
        <v>66</v>
      </c>
      <c r="K34" s="398"/>
      <c r="L34" s="319"/>
    </row>
    <row r="35" spans="1:12" ht="16.5" customHeight="1">
      <c r="A35" s="1085" t="s">
        <v>487</v>
      </c>
      <c r="B35" s="1089" t="s">
        <v>1478</v>
      </c>
      <c r="C35" s="400">
        <v>3</v>
      </c>
      <c r="D35" s="319">
        <v>1</v>
      </c>
      <c r="E35" s="400">
        <v>1</v>
      </c>
      <c r="F35" s="400">
        <v>0.9</v>
      </c>
      <c r="G35" s="400">
        <v>9</v>
      </c>
      <c r="H35" s="319">
        <f t="shared" si="10"/>
        <v>27</v>
      </c>
      <c r="I35" s="1087">
        <f t="shared" si="13"/>
        <v>44.550000000000004</v>
      </c>
      <c r="J35" s="1087">
        <f t="shared" si="11"/>
        <v>44.550000000000004</v>
      </c>
      <c r="K35" s="319"/>
      <c r="L35" s="319"/>
    </row>
    <row r="36" spans="1:12" ht="16.5" customHeight="1">
      <c r="A36" s="1085" t="s">
        <v>488</v>
      </c>
      <c r="B36" s="1089" t="s">
        <v>1479</v>
      </c>
      <c r="C36" s="400">
        <v>2</v>
      </c>
      <c r="D36" s="319">
        <v>1</v>
      </c>
      <c r="E36" s="400">
        <v>1</v>
      </c>
      <c r="F36" s="400">
        <v>0.9</v>
      </c>
      <c r="G36" s="400">
        <v>9</v>
      </c>
      <c r="H36" s="319">
        <f t="shared" si="10"/>
        <v>18</v>
      </c>
      <c r="I36" s="1087">
        <f t="shared" si="13"/>
        <v>29.7</v>
      </c>
      <c r="J36" s="1087">
        <f t="shared" si="11"/>
        <v>29.7</v>
      </c>
      <c r="K36" s="319"/>
      <c r="L36" s="319"/>
    </row>
    <row r="37" spans="1:12" ht="16.5" customHeight="1">
      <c r="A37" s="319" t="s">
        <v>489</v>
      </c>
      <c r="B37" s="1089" t="s">
        <v>1480</v>
      </c>
      <c r="C37" s="400">
        <v>4</v>
      </c>
      <c r="D37" s="319">
        <v>1.3</v>
      </c>
      <c r="E37" s="400">
        <v>1</v>
      </c>
      <c r="F37" s="400">
        <v>0.9</v>
      </c>
      <c r="G37" s="400">
        <v>9</v>
      </c>
      <c r="H37" s="319">
        <f t="shared" si="10"/>
        <v>46.800000000000004</v>
      </c>
      <c r="I37" s="1094">
        <f>C38*E38*F38*16.5*2/4+C38*E38*F38*0.8*2/4</f>
        <v>23.355000000000004</v>
      </c>
      <c r="J37" s="1087">
        <f t="shared" si="11"/>
        <v>23.355000000000004</v>
      </c>
      <c r="K37" s="319"/>
      <c r="L37" s="319"/>
    </row>
    <row r="38" spans="1:12" ht="16.5" customHeight="1">
      <c r="A38" s="1085" t="s">
        <v>490</v>
      </c>
      <c r="B38" s="1089" t="s">
        <v>1481</v>
      </c>
      <c r="C38" s="400">
        <v>3</v>
      </c>
      <c r="D38" s="319">
        <v>1</v>
      </c>
      <c r="E38" s="400">
        <v>1</v>
      </c>
      <c r="F38" s="400">
        <v>0.9</v>
      </c>
      <c r="G38" s="400">
        <v>9</v>
      </c>
      <c r="H38" s="319">
        <f t="shared" si="10"/>
        <v>27</v>
      </c>
      <c r="I38" s="1094">
        <f t="shared" ref="I38:I44" si="14">C38*E38*F38*16.5</f>
        <v>44.550000000000004</v>
      </c>
      <c r="J38" s="1087">
        <f t="shared" si="11"/>
        <v>44.550000000000004</v>
      </c>
      <c r="K38" s="319"/>
      <c r="L38" s="319"/>
    </row>
    <row r="39" spans="1:12" ht="16.5" customHeight="1">
      <c r="A39" s="1085" t="s">
        <v>491</v>
      </c>
      <c r="B39" s="1089" t="s">
        <v>1482</v>
      </c>
      <c r="C39" s="400">
        <v>3</v>
      </c>
      <c r="D39" s="319">
        <v>1</v>
      </c>
      <c r="E39" s="400">
        <v>1</v>
      </c>
      <c r="F39" s="400">
        <v>0.6</v>
      </c>
      <c r="G39" s="400">
        <v>6</v>
      </c>
      <c r="H39" s="319">
        <f t="shared" si="10"/>
        <v>18</v>
      </c>
      <c r="I39" s="1094">
        <f t="shared" si="14"/>
        <v>29.699999999999996</v>
      </c>
      <c r="J39" s="1087">
        <f t="shared" si="11"/>
        <v>29.699999999999996</v>
      </c>
      <c r="K39" s="319"/>
      <c r="L39" s="319"/>
    </row>
    <row r="40" spans="1:12" ht="21" customHeight="1">
      <c r="A40" s="1085" t="s">
        <v>492</v>
      </c>
      <c r="B40" s="1089" t="s">
        <v>1483</v>
      </c>
      <c r="C40" s="400">
        <v>4</v>
      </c>
      <c r="D40" s="319">
        <v>1</v>
      </c>
      <c r="E40" s="400">
        <v>1</v>
      </c>
      <c r="F40" s="400">
        <v>0.6</v>
      </c>
      <c r="G40" s="400">
        <v>6</v>
      </c>
      <c r="H40" s="319">
        <f t="shared" si="10"/>
        <v>24</v>
      </c>
      <c r="I40" s="1094">
        <f t="shared" si="14"/>
        <v>39.6</v>
      </c>
      <c r="J40" s="1087">
        <f t="shared" si="11"/>
        <v>39.6</v>
      </c>
      <c r="K40" s="319"/>
      <c r="L40" s="319"/>
    </row>
    <row r="41" spans="1:12" ht="16.5" customHeight="1">
      <c r="A41" s="1085" t="s">
        <v>517</v>
      </c>
      <c r="B41" s="1089" t="s">
        <v>1484</v>
      </c>
      <c r="C41" s="400">
        <v>4</v>
      </c>
      <c r="D41" s="319">
        <v>1</v>
      </c>
      <c r="E41" s="400">
        <v>1</v>
      </c>
      <c r="F41" s="400">
        <v>0.6</v>
      </c>
      <c r="G41" s="400">
        <v>6</v>
      </c>
      <c r="H41" s="319">
        <f t="shared" si="10"/>
        <v>24</v>
      </c>
      <c r="I41" s="1094">
        <f t="shared" si="14"/>
        <v>39.6</v>
      </c>
      <c r="J41" s="1087">
        <f t="shared" si="11"/>
        <v>39.6</v>
      </c>
      <c r="K41" s="319"/>
      <c r="L41" s="319"/>
    </row>
    <row r="42" spans="1:12" ht="16.5" customHeight="1">
      <c r="A42" s="1085" t="s">
        <v>518</v>
      </c>
      <c r="B42" s="1089" t="s">
        <v>1485</v>
      </c>
      <c r="C42" s="400">
        <v>3</v>
      </c>
      <c r="D42" s="319">
        <v>1</v>
      </c>
      <c r="E42" s="400">
        <v>1</v>
      </c>
      <c r="F42" s="400">
        <v>0.6</v>
      </c>
      <c r="G42" s="400">
        <v>6</v>
      </c>
      <c r="H42" s="319">
        <f t="shared" si="10"/>
        <v>18</v>
      </c>
      <c r="I42" s="1094">
        <f t="shared" si="14"/>
        <v>29.699999999999996</v>
      </c>
      <c r="J42" s="1087">
        <f t="shared" si="11"/>
        <v>29.699999999999996</v>
      </c>
      <c r="K42" s="319"/>
      <c r="L42" s="319"/>
    </row>
    <row r="43" spans="1:12" ht="16.5" customHeight="1">
      <c r="A43" s="1085" t="s">
        <v>503</v>
      </c>
      <c r="B43" s="1089" t="s">
        <v>1486</v>
      </c>
      <c r="C43" s="400">
        <v>3</v>
      </c>
      <c r="D43" s="319">
        <v>1</v>
      </c>
      <c r="E43" s="400">
        <v>1</v>
      </c>
      <c r="F43" s="400">
        <v>0.6</v>
      </c>
      <c r="G43" s="400">
        <v>6</v>
      </c>
      <c r="H43" s="319">
        <f t="shared" si="10"/>
        <v>18</v>
      </c>
      <c r="I43" s="1094">
        <f t="shared" si="14"/>
        <v>29.699999999999996</v>
      </c>
      <c r="J43" s="1087">
        <f t="shared" si="11"/>
        <v>29.699999999999996</v>
      </c>
      <c r="K43" s="319"/>
      <c r="L43" s="319"/>
    </row>
    <row r="44" spans="1:12" ht="16.5" customHeight="1">
      <c r="A44" s="1085" t="s">
        <v>1487</v>
      </c>
      <c r="B44" s="1089" t="s">
        <v>1488</v>
      </c>
      <c r="C44" s="400">
        <v>2</v>
      </c>
      <c r="D44" s="319">
        <v>1</v>
      </c>
      <c r="E44" s="400">
        <v>1</v>
      </c>
      <c r="F44" s="400">
        <v>0.6</v>
      </c>
      <c r="G44" s="400">
        <v>26</v>
      </c>
      <c r="H44" s="319">
        <f t="shared" si="10"/>
        <v>52</v>
      </c>
      <c r="I44" s="1094">
        <f t="shared" si="14"/>
        <v>19.8</v>
      </c>
      <c r="J44" s="1087">
        <f t="shared" si="11"/>
        <v>19.8</v>
      </c>
      <c r="K44" s="319"/>
      <c r="L44" s="319"/>
    </row>
    <row r="45" spans="1:12" ht="24" customHeight="1">
      <c r="A45" s="1095">
        <v>2</v>
      </c>
      <c r="B45" s="1096" t="s">
        <v>570</v>
      </c>
      <c r="C45" s="317">
        <f t="shared" ref="C45:I45" si="15">C46+C74</f>
        <v>160</v>
      </c>
      <c r="D45" s="317">
        <f t="shared" si="15"/>
        <v>10</v>
      </c>
      <c r="E45" s="317">
        <f t="shared" si="15"/>
        <v>461</v>
      </c>
      <c r="F45" s="317">
        <f t="shared" si="15"/>
        <v>6</v>
      </c>
      <c r="G45" s="317">
        <f t="shared" si="15"/>
        <v>2459</v>
      </c>
      <c r="H45" s="317">
        <f t="shared" si="15"/>
        <v>47123</v>
      </c>
      <c r="I45" s="1097">
        <f t="shared" si="15"/>
        <v>18308.125</v>
      </c>
      <c r="J45" s="1098">
        <f t="shared" si="11"/>
        <v>18308.125</v>
      </c>
      <c r="K45" s="317"/>
      <c r="L45" s="317"/>
    </row>
    <row r="46" spans="1:12" ht="48" customHeight="1">
      <c r="A46" s="106" t="s">
        <v>726</v>
      </c>
      <c r="B46" s="1099" t="s">
        <v>727</v>
      </c>
      <c r="C46" s="312">
        <f t="shared" ref="C46:I46" si="16">C47+C74+C76</f>
        <v>125</v>
      </c>
      <c r="D46" s="312">
        <f t="shared" si="16"/>
        <v>9</v>
      </c>
      <c r="E46" s="312">
        <f t="shared" si="16"/>
        <v>283</v>
      </c>
      <c r="F46" s="312">
        <f t="shared" si="16"/>
        <v>5</v>
      </c>
      <c r="G46" s="312">
        <f t="shared" si="16"/>
        <v>2281</v>
      </c>
      <c r="H46" s="312">
        <f t="shared" si="16"/>
        <v>40893</v>
      </c>
      <c r="I46" s="1100">
        <f t="shared" si="16"/>
        <v>12078.125</v>
      </c>
      <c r="J46" s="1101">
        <f t="shared" si="11"/>
        <v>12078.125</v>
      </c>
      <c r="K46" s="319"/>
      <c r="L46" s="319"/>
    </row>
    <row r="47" spans="1:12" ht="15.75" customHeight="1">
      <c r="A47" s="312" t="s">
        <v>263</v>
      </c>
      <c r="B47" s="349" t="s">
        <v>571</v>
      </c>
      <c r="C47" s="312">
        <f>SUM(C48:C73)</f>
        <v>78</v>
      </c>
      <c r="D47" s="312"/>
      <c r="E47" s="312">
        <f>SUM(E48:E73)</f>
        <v>97</v>
      </c>
      <c r="F47" s="312"/>
      <c r="G47" s="312">
        <f t="shared" ref="G47:H47" si="17">SUM(G48:G75)</f>
        <v>2075</v>
      </c>
      <c r="H47" s="312">
        <f t="shared" si="17"/>
        <v>34495</v>
      </c>
      <c r="I47" s="1100">
        <f t="shared" ref="I47:L47" si="18">SUM(I48:I73)</f>
        <v>5056.125</v>
      </c>
      <c r="J47" s="1101">
        <f t="shared" si="18"/>
        <v>5056.125</v>
      </c>
      <c r="K47" s="312">
        <f t="shared" si="18"/>
        <v>0</v>
      </c>
      <c r="L47" s="312">
        <f t="shared" si="18"/>
        <v>0</v>
      </c>
    </row>
    <row r="48" spans="1:12" ht="15.75" customHeight="1">
      <c r="A48" s="1085" t="s">
        <v>479</v>
      </c>
      <c r="B48" s="385" t="s">
        <v>1489</v>
      </c>
      <c r="C48" s="319">
        <v>3</v>
      </c>
      <c r="D48" s="319">
        <v>1.5</v>
      </c>
      <c r="E48" s="319">
        <v>4</v>
      </c>
      <c r="F48" s="319">
        <f t="shared" ref="F48:F57" si="19">IF(G48&gt;70,"1.3",IF(G48&gt;120,"1.5",1))</f>
        <v>1</v>
      </c>
      <c r="G48" s="319">
        <v>66</v>
      </c>
      <c r="H48" s="319">
        <f t="shared" ref="H48:H73" si="20">C48*E48*G48</f>
        <v>792</v>
      </c>
      <c r="I48" s="204">
        <f t="shared" ref="I48:I73" si="21">D48*E48* 34.75</f>
        <v>208.5</v>
      </c>
      <c r="J48" s="1087">
        <f t="shared" ref="J48:J74" si="22">I48</f>
        <v>208.5</v>
      </c>
      <c r="K48" s="319"/>
      <c r="L48" s="319"/>
    </row>
    <row r="49" spans="1:12" ht="15.75" customHeight="1">
      <c r="A49" s="1085" t="s">
        <v>481</v>
      </c>
      <c r="B49" s="385" t="s">
        <v>1490</v>
      </c>
      <c r="C49" s="319">
        <v>3</v>
      </c>
      <c r="D49" s="319">
        <v>1.5</v>
      </c>
      <c r="E49" s="319">
        <v>4</v>
      </c>
      <c r="F49" s="319">
        <f t="shared" si="19"/>
        <v>1</v>
      </c>
      <c r="G49" s="319">
        <v>66</v>
      </c>
      <c r="H49" s="319">
        <f t="shared" si="20"/>
        <v>792</v>
      </c>
      <c r="I49" s="204">
        <f t="shared" si="21"/>
        <v>208.5</v>
      </c>
      <c r="J49" s="1087">
        <f t="shared" si="22"/>
        <v>208.5</v>
      </c>
      <c r="K49" s="319"/>
      <c r="L49" s="319"/>
    </row>
    <row r="50" spans="1:12" ht="15.75" customHeight="1">
      <c r="A50" s="1085" t="s">
        <v>483</v>
      </c>
      <c r="B50" s="385" t="s">
        <v>1491</v>
      </c>
      <c r="C50" s="319">
        <v>3</v>
      </c>
      <c r="D50" s="319">
        <v>1.5</v>
      </c>
      <c r="E50" s="319">
        <v>1</v>
      </c>
      <c r="F50" s="319">
        <f t="shared" si="19"/>
        <v>1</v>
      </c>
      <c r="G50" s="319">
        <v>8</v>
      </c>
      <c r="H50" s="319">
        <f t="shared" si="20"/>
        <v>24</v>
      </c>
      <c r="I50" s="204">
        <f t="shared" si="21"/>
        <v>52.125</v>
      </c>
      <c r="J50" s="1087">
        <f t="shared" si="22"/>
        <v>52.125</v>
      </c>
      <c r="K50" s="319"/>
      <c r="L50" s="319"/>
    </row>
    <row r="51" spans="1:12" ht="15.75" customHeight="1">
      <c r="A51" s="1085" t="s">
        <v>484</v>
      </c>
      <c r="B51" s="385" t="s">
        <v>1492</v>
      </c>
      <c r="C51" s="319">
        <v>3</v>
      </c>
      <c r="D51" s="319">
        <v>1.5</v>
      </c>
      <c r="E51" s="319">
        <v>5</v>
      </c>
      <c r="F51" s="319" t="str">
        <f t="shared" si="19"/>
        <v>1.3</v>
      </c>
      <c r="G51" s="319">
        <v>113</v>
      </c>
      <c r="H51" s="319">
        <f t="shared" si="20"/>
        <v>1695</v>
      </c>
      <c r="I51" s="204">
        <f t="shared" si="21"/>
        <v>260.625</v>
      </c>
      <c r="J51" s="1087">
        <f t="shared" si="22"/>
        <v>260.625</v>
      </c>
      <c r="K51" s="319"/>
      <c r="L51" s="319"/>
    </row>
    <row r="52" spans="1:12" ht="15.75" customHeight="1">
      <c r="A52" s="1085" t="s">
        <v>485</v>
      </c>
      <c r="B52" s="1102" t="s">
        <v>1493</v>
      </c>
      <c r="C52" s="319">
        <v>3</v>
      </c>
      <c r="D52" s="319">
        <v>1.5</v>
      </c>
      <c r="E52" s="319">
        <v>4</v>
      </c>
      <c r="F52" s="319">
        <f t="shared" si="19"/>
        <v>1</v>
      </c>
      <c r="G52" s="319">
        <v>66</v>
      </c>
      <c r="H52" s="319">
        <f t="shared" si="20"/>
        <v>792</v>
      </c>
      <c r="I52" s="204">
        <f t="shared" si="21"/>
        <v>208.5</v>
      </c>
      <c r="J52" s="1087">
        <f t="shared" si="22"/>
        <v>208.5</v>
      </c>
      <c r="K52" s="319"/>
      <c r="L52" s="319"/>
    </row>
    <row r="53" spans="1:12" ht="15.75" customHeight="1">
      <c r="A53" s="1085" t="s">
        <v>486</v>
      </c>
      <c r="B53" s="1102" t="s">
        <v>1494</v>
      </c>
      <c r="C53" s="319">
        <v>3</v>
      </c>
      <c r="D53" s="319">
        <v>1.5</v>
      </c>
      <c r="E53" s="319">
        <v>4</v>
      </c>
      <c r="F53" s="319">
        <f t="shared" si="19"/>
        <v>1</v>
      </c>
      <c r="G53" s="319">
        <v>66</v>
      </c>
      <c r="H53" s="319">
        <f t="shared" si="20"/>
        <v>792</v>
      </c>
      <c r="I53" s="204">
        <f t="shared" si="21"/>
        <v>208.5</v>
      </c>
      <c r="J53" s="1087">
        <f t="shared" si="22"/>
        <v>208.5</v>
      </c>
      <c r="K53" s="319"/>
      <c r="L53" s="319"/>
    </row>
    <row r="54" spans="1:12" ht="15.75" customHeight="1">
      <c r="A54" s="1085" t="s">
        <v>487</v>
      </c>
      <c r="B54" s="1102" t="s">
        <v>1495</v>
      </c>
      <c r="C54" s="319">
        <v>3</v>
      </c>
      <c r="D54" s="319">
        <v>1.5</v>
      </c>
      <c r="E54" s="319">
        <v>5</v>
      </c>
      <c r="F54" s="319" t="str">
        <f t="shared" si="19"/>
        <v>1.3</v>
      </c>
      <c r="G54" s="319">
        <v>113</v>
      </c>
      <c r="H54" s="319">
        <f t="shared" si="20"/>
        <v>1695</v>
      </c>
      <c r="I54" s="204">
        <f t="shared" si="21"/>
        <v>260.625</v>
      </c>
      <c r="J54" s="1087">
        <f t="shared" si="22"/>
        <v>260.625</v>
      </c>
      <c r="K54" s="319"/>
      <c r="L54" s="319"/>
    </row>
    <row r="55" spans="1:12" ht="15.75" customHeight="1">
      <c r="A55" s="1085" t="s">
        <v>488</v>
      </c>
      <c r="B55" s="1102" t="s">
        <v>1496</v>
      </c>
      <c r="C55" s="319">
        <v>3</v>
      </c>
      <c r="D55" s="319">
        <v>1.5</v>
      </c>
      <c r="E55" s="319">
        <v>1</v>
      </c>
      <c r="F55" s="319">
        <f t="shared" si="19"/>
        <v>1</v>
      </c>
      <c r="G55" s="319">
        <v>8</v>
      </c>
      <c r="H55" s="319">
        <f t="shared" si="20"/>
        <v>24</v>
      </c>
      <c r="I55" s="204">
        <f t="shared" si="21"/>
        <v>52.125</v>
      </c>
      <c r="J55" s="1087">
        <f t="shared" si="22"/>
        <v>52.125</v>
      </c>
      <c r="K55" s="319"/>
      <c r="L55" s="319"/>
    </row>
    <row r="56" spans="1:12" ht="15.75" customHeight="1">
      <c r="A56" s="1085" t="s">
        <v>489</v>
      </c>
      <c r="B56" s="1102" t="s">
        <v>1497</v>
      </c>
      <c r="C56" s="319">
        <v>3</v>
      </c>
      <c r="D56" s="319">
        <v>1.5</v>
      </c>
      <c r="E56" s="319">
        <v>4</v>
      </c>
      <c r="F56" s="319">
        <f t="shared" si="19"/>
        <v>1</v>
      </c>
      <c r="G56" s="319">
        <v>66</v>
      </c>
      <c r="H56" s="319">
        <f t="shared" si="20"/>
        <v>792</v>
      </c>
      <c r="I56" s="204">
        <f t="shared" si="21"/>
        <v>208.5</v>
      </c>
      <c r="J56" s="1087">
        <f t="shared" si="22"/>
        <v>208.5</v>
      </c>
      <c r="K56" s="319"/>
      <c r="L56" s="319"/>
    </row>
    <row r="57" spans="1:12" ht="15.75" customHeight="1">
      <c r="A57" s="1085" t="s">
        <v>490</v>
      </c>
      <c r="B57" s="1102" t="s">
        <v>1498</v>
      </c>
      <c r="C57" s="319">
        <v>3</v>
      </c>
      <c r="D57" s="319">
        <v>1.5</v>
      </c>
      <c r="E57" s="319">
        <v>4</v>
      </c>
      <c r="F57" s="319">
        <f t="shared" si="19"/>
        <v>1</v>
      </c>
      <c r="G57" s="319">
        <v>66</v>
      </c>
      <c r="H57" s="319">
        <f t="shared" si="20"/>
        <v>792</v>
      </c>
      <c r="I57" s="204">
        <f t="shared" si="21"/>
        <v>208.5</v>
      </c>
      <c r="J57" s="1087">
        <f t="shared" si="22"/>
        <v>208.5</v>
      </c>
      <c r="K57" s="319"/>
      <c r="L57" s="319"/>
    </row>
    <row r="58" spans="1:12" ht="15.75" customHeight="1">
      <c r="A58" s="1085" t="s">
        <v>491</v>
      </c>
      <c r="B58" s="1102" t="s">
        <v>1499</v>
      </c>
      <c r="C58" s="319">
        <v>3</v>
      </c>
      <c r="D58" s="319">
        <v>1.5</v>
      </c>
      <c r="E58" s="319">
        <v>5</v>
      </c>
      <c r="F58" s="319">
        <v>1</v>
      </c>
      <c r="G58" s="319">
        <v>113</v>
      </c>
      <c r="H58" s="319">
        <f t="shared" si="20"/>
        <v>1695</v>
      </c>
      <c r="I58" s="204">
        <f t="shared" si="21"/>
        <v>260.625</v>
      </c>
      <c r="J58" s="1087">
        <f t="shared" si="22"/>
        <v>260.625</v>
      </c>
      <c r="K58" s="319"/>
      <c r="L58" s="319"/>
    </row>
    <row r="59" spans="1:12" ht="15.75" customHeight="1">
      <c r="A59" s="1085" t="s">
        <v>492</v>
      </c>
      <c r="B59" s="1102" t="s">
        <v>1500</v>
      </c>
      <c r="C59" s="319">
        <v>3</v>
      </c>
      <c r="D59" s="319">
        <v>1.5</v>
      </c>
      <c r="E59" s="319">
        <v>1</v>
      </c>
      <c r="F59" s="319">
        <f t="shared" ref="F59:F68" si="23">IF(G59&gt;70,"1.3",IF(G59&gt;120,"1.5",1))</f>
        <v>1</v>
      </c>
      <c r="G59" s="319">
        <v>8</v>
      </c>
      <c r="H59" s="319">
        <f t="shared" si="20"/>
        <v>24</v>
      </c>
      <c r="I59" s="204">
        <f t="shared" si="21"/>
        <v>52.125</v>
      </c>
      <c r="J59" s="1087">
        <f t="shared" si="22"/>
        <v>52.125</v>
      </c>
      <c r="K59" s="319"/>
      <c r="L59" s="319"/>
    </row>
    <row r="60" spans="1:12" ht="15.75" customHeight="1">
      <c r="A60" s="1085" t="s">
        <v>517</v>
      </c>
      <c r="B60" s="1102" t="s">
        <v>1494</v>
      </c>
      <c r="C60" s="319">
        <v>3</v>
      </c>
      <c r="D60" s="319">
        <v>1.5</v>
      </c>
      <c r="E60" s="319">
        <v>4</v>
      </c>
      <c r="F60" s="319">
        <f t="shared" si="23"/>
        <v>1</v>
      </c>
      <c r="G60" s="319">
        <v>66</v>
      </c>
      <c r="H60" s="319">
        <f t="shared" si="20"/>
        <v>792</v>
      </c>
      <c r="I60" s="204">
        <f t="shared" si="21"/>
        <v>208.5</v>
      </c>
      <c r="J60" s="1087">
        <f t="shared" si="22"/>
        <v>208.5</v>
      </c>
      <c r="K60" s="319"/>
      <c r="L60" s="319"/>
    </row>
    <row r="61" spans="1:12" ht="15.75" customHeight="1">
      <c r="A61" s="1085" t="s">
        <v>518</v>
      </c>
      <c r="B61" s="385" t="s">
        <v>1501</v>
      </c>
      <c r="C61" s="319">
        <v>3</v>
      </c>
      <c r="D61" s="319">
        <v>1.5</v>
      </c>
      <c r="E61" s="319">
        <v>4</v>
      </c>
      <c r="F61" s="319">
        <f t="shared" si="23"/>
        <v>1</v>
      </c>
      <c r="G61" s="319">
        <v>66</v>
      </c>
      <c r="H61" s="319">
        <f t="shared" si="20"/>
        <v>792</v>
      </c>
      <c r="I61" s="204">
        <f t="shared" si="21"/>
        <v>208.5</v>
      </c>
      <c r="J61" s="1087">
        <f t="shared" si="22"/>
        <v>208.5</v>
      </c>
      <c r="K61" s="319"/>
      <c r="L61" s="319"/>
    </row>
    <row r="62" spans="1:12" ht="15.75" customHeight="1">
      <c r="A62" s="1085" t="s">
        <v>503</v>
      </c>
      <c r="B62" s="385" t="s">
        <v>1502</v>
      </c>
      <c r="C62" s="319">
        <v>3</v>
      </c>
      <c r="D62" s="319">
        <v>1.5</v>
      </c>
      <c r="E62" s="319">
        <v>4</v>
      </c>
      <c r="F62" s="319">
        <f t="shared" si="23"/>
        <v>1</v>
      </c>
      <c r="G62" s="319">
        <v>66</v>
      </c>
      <c r="H62" s="319">
        <f t="shared" si="20"/>
        <v>792</v>
      </c>
      <c r="I62" s="204">
        <f t="shared" si="21"/>
        <v>208.5</v>
      </c>
      <c r="J62" s="1087">
        <f t="shared" si="22"/>
        <v>208.5</v>
      </c>
      <c r="K62" s="319"/>
      <c r="L62" s="319"/>
    </row>
    <row r="63" spans="1:12" ht="15.75" customHeight="1">
      <c r="A63" s="1085" t="s">
        <v>659</v>
      </c>
      <c r="B63" s="385" t="s">
        <v>1503</v>
      </c>
      <c r="C63" s="319">
        <v>3</v>
      </c>
      <c r="D63" s="319">
        <v>1.5</v>
      </c>
      <c r="E63" s="319">
        <v>4</v>
      </c>
      <c r="F63" s="319">
        <f t="shared" si="23"/>
        <v>1</v>
      </c>
      <c r="G63" s="319">
        <v>66</v>
      </c>
      <c r="H63" s="319">
        <f t="shared" si="20"/>
        <v>792</v>
      </c>
      <c r="I63" s="204">
        <f t="shared" si="21"/>
        <v>208.5</v>
      </c>
      <c r="J63" s="1087">
        <f t="shared" si="22"/>
        <v>208.5</v>
      </c>
      <c r="K63" s="319"/>
      <c r="L63" s="319"/>
    </row>
    <row r="64" spans="1:12" ht="15.75" customHeight="1">
      <c r="A64" s="1085" t="s">
        <v>662</v>
      </c>
      <c r="B64" s="385" t="s">
        <v>1504</v>
      </c>
      <c r="C64" s="319">
        <v>3</v>
      </c>
      <c r="D64" s="319">
        <v>1.5</v>
      </c>
      <c r="E64" s="319">
        <v>4</v>
      </c>
      <c r="F64" s="319">
        <f t="shared" si="23"/>
        <v>1</v>
      </c>
      <c r="G64" s="319">
        <v>66</v>
      </c>
      <c r="H64" s="319">
        <f t="shared" si="20"/>
        <v>792</v>
      </c>
      <c r="I64" s="204">
        <f t="shared" si="21"/>
        <v>208.5</v>
      </c>
      <c r="J64" s="1087">
        <f t="shared" si="22"/>
        <v>208.5</v>
      </c>
      <c r="K64" s="319"/>
      <c r="L64" s="319"/>
    </row>
    <row r="65" spans="1:12" ht="15.75" customHeight="1">
      <c r="A65" s="1085" t="s">
        <v>664</v>
      </c>
      <c r="B65" s="1102" t="s">
        <v>1505</v>
      </c>
      <c r="C65" s="319">
        <v>3</v>
      </c>
      <c r="D65" s="319">
        <v>1.5</v>
      </c>
      <c r="E65" s="319">
        <v>4</v>
      </c>
      <c r="F65" s="319">
        <f t="shared" si="23"/>
        <v>1</v>
      </c>
      <c r="G65" s="319">
        <v>66</v>
      </c>
      <c r="H65" s="319">
        <f t="shared" si="20"/>
        <v>792</v>
      </c>
      <c r="I65" s="204">
        <f t="shared" si="21"/>
        <v>208.5</v>
      </c>
      <c r="J65" s="1087">
        <f t="shared" si="22"/>
        <v>208.5</v>
      </c>
      <c r="K65" s="319"/>
      <c r="L65" s="319"/>
    </row>
    <row r="66" spans="1:12" ht="15.75" customHeight="1">
      <c r="A66" s="1085" t="s">
        <v>667</v>
      </c>
      <c r="B66" s="1102" t="s">
        <v>1506</v>
      </c>
      <c r="C66" s="319">
        <v>3</v>
      </c>
      <c r="D66" s="319">
        <v>1.5</v>
      </c>
      <c r="E66" s="319">
        <v>4</v>
      </c>
      <c r="F66" s="319">
        <f t="shared" si="23"/>
        <v>1</v>
      </c>
      <c r="G66" s="319">
        <v>66</v>
      </c>
      <c r="H66" s="319">
        <f t="shared" si="20"/>
        <v>792</v>
      </c>
      <c r="I66" s="204">
        <f t="shared" si="21"/>
        <v>208.5</v>
      </c>
      <c r="J66" s="1087">
        <f t="shared" si="22"/>
        <v>208.5</v>
      </c>
      <c r="K66" s="319"/>
      <c r="L66" s="319"/>
    </row>
    <row r="67" spans="1:12" ht="15.75" customHeight="1">
      <c r="A67" s="1085" t="s">
        <v>505</v>
      </c>
      <c r="B67" s="1102" t="s">
        <v>1507</v>
      </c>
      <c r="C67" s="319">
        <v>3</v>
      </c>
      <c r="D67" s="319">
        <v>1.5</v>
      </c>
      <c r="E67" s="319">
        <v>4</v>
      </c>
      <c r="F67" s="319">
        <f t="shared" si="23"/>
        <v>1</v>
      </c>
      <c r="G67" s="319">
        <v>66</v>
      </c>
      <c r="H67" s="319">
        <f t="shared" si="20"/>
        <v>792</v>
      </c>
      <c r="I67" s="204">
        <f t="shared" si="21"/>
        <v>208.5</v>
      </c>
      <c r="J67" s="1087">
        <f t="shared" si="22"/>
        <v>208.5</v>
      </c>
      <c r="K67" s="319"/>
      <c r="L67" s="319"/>
    </row>
    <row r="68" spans="1:12" ht="15.75" customHeight="1">
      <c r="A68" s="1085" t="s">
        <v>668</v>
      </c>
      <c r="B68" s="607" t="s">
        <v>1508</v>
      </c>
      <c r="C68" s="319">
        <v>3</v>
      </c>
      <c r="D68" s="319">
        <v>1.5</v>
      </c>
      <c r="E68" s="319">
        <v>4</v>
      </c>
      <c r="F68" s="319">
        <f t="shared" si="23"/>
        <v>1</v>
      </c>
      <c r="G68" s="319">
        <v>66</v>
      </c>
      <c r="H68" s="319">
        <f t="shared" si="20"/>
        <v>792</v>
      </c>
      <c r="I68" s="204">
        <f t="shared" si="21"/>
        <v>208.5</v>
      </c>
      <c r="J68" s="1087">
        <f t="shared" si="22"/>
        <v>208.5</v>
      </c>
      <c r="K68" s="319"/>
      <c r="L68" s="319"/>
    </row>
    <row r="69" spans="1:12" ht="15.75" customHeight="1">
      <c r="A69" s="1085" t="s">
        <v>670</v>
      </c>
      <c r="B69" s="607" t="s">
        <v>1509</v>
      </c>
      <c r="C69" s="319">
        <v>3</v>
      </c>
      <c r="D69" s="319">
        <v>1.5</v>
      </c>
      <c r="E69" s="319">
        <v>5</v>
      </c>
      <c r="F69" s="319">
        <v>1</v>
      </c>
      <c r="G69" s="319">
        <v>113</v>
      </c>
      <c r="H69" s="319">
        <f t="shared" si="20"/>
        <v>1695</v>
      </c>
      <c r="I69" s="204">
        <f t="shared" si="21"/>
        <v>260.625</v>
      </c>
      <c r="J69" s="1087">
        <f t="shared" si="22"/>
        <v>260.625</v>
      </c>
      <c r="K69" s="319"/>
      <c r="L69" s="319"/>
    </row>
    <row r="70" spans="1:12" ht="15.75" customHeight="1">
      <c r="A70" s="1085" t="s">
        <v>672</v>
      </c>
      <c r="B70" s="607" t="s">
        <v>1510</v>
      </c>
      <c r="C70" s="319">
        <v>3</v>
      </c>
      <c r="D70" s="319">
        <v>1.5</v>
      </c>
      <c r="E70" s="319">
        <v>1</v>
      </c>
      <c r="F70" s="319">
        <f>IF(G70&gt;70,"1.3",IF(G70&gt;120,"1.5",1))</f>
        <v>1</v>
      </c>
      <c r="G70" s="319">
        <v>8</v>
      </c>
      <c r="H70" s="319">
        <f t="shared" si="20"/>
        <v>24</v>
      </c>
      <c r="I70" s="204">
        <f t="shared" si="21"/>
        <v>52.125</v>
      </c>
      <c r="J70" s="1087">
        <f t="shared" si="22"/>
        <v>52.125</v>
      </c>
      <c r="K70" s="319"/>
      <c r="L70" s="319"/>
    </row>
    <row r="71" spans="1:12" ht="15.75" customHeight="1">
      <c r="A71" s="1085" t="s">
        <v>706</v>
      </c>
      <c r="B71" s="607" t="s">
        <v>1511</v>
      </c>
      <c r="C71" s="319">
        <v>3</v>
      </c>
      <c r="D71" s="319">
        <v>1.5</v>
      </c>
      <c r="E71" s="319">
        <v>5</v>
      </c>
      <c r="F71" s="319">
        <v>1</v>
      </c>
      <c r="G71" s="319">
        <v>113</v>
      </c>
      <c r="H71" s="319">
        <f t="shared" si="20"/>
        <v>1695</v>
      </c>
      <c r="I71" s="204">
        <f t="shared" si="21"/>
        <v>260.625</v>
      </c>
      <c r="J71" s="1087">
        <f t="shared" si="22"/>
        <v>260.625</v>
      </c>
      <c r="K71" s="319"/>
      <c r="L71" s="319"/>
    </row>
    <row r="72" spans="1:12" ht="15.75" customHeight="1">
      <c r="A72" s="1085" t="s">
        <v>708</v>
      </c>
      <c r="B72" s="607" t="s">
        <v>1512</v>
      </c>
      <c r="C72" s="319">
        <v>3</v>
      </c>
      <c r="D72" s="319">
        <v>1.5</v>
      </c>
      <c r="E72" s="319">
        <v>4</v>
      </c>
      <c r="F72" s="319">
        <f t="shared" ref="F72:F73" si="24">IF(G72&gt;70,"1.3",IF(G72&gt;120,"1.5",1))</f>
        <v>1</v>
      </c>
      <c r="G72" s="319">
        <v>66</v>
      </c>
      <c r="H72" s="319">
        <f t="shared" si="20"/>
        <v>792</v>
      </c>
      <c r="I72" s="204">
        <f t="shared" si="21"/>
        <v>208.5</v>
      </c>
      <c r="J72" s="1087">
        <f t="shared" si="22"/>
        <v>208.5</v>
      </c>
      <c r="K72" s="319"/>
      <c r="L72" s="319"/>
    </row>
    <row r="73" spans="1:12" ht="15.75" customHeight="1">
      <c r="A73" s="1085" t="s">
        <v>710</v>
      </c>
      <c r="B73" s="607" t="s">
        <v>1513</v>
      </c>
      <c r="C73" s="319">
        <v>3</v>
      </c>
      <c r="D73" s="319">
        <v>1.5</v>
      </c>
      <c r="E73" s="319">
        <v>4</v>
      </c>
      <c r="F73" s="319">
        <f t="shared" si="24"/>
        <v>1</v>
      </c>
      <c r="G73" s="319">
        <v>66</v>
      </c>
      <c r="H73" s="319">
        <f t="shared" si="20"/>
        <v>792</v>
      </c>
      <c r="I73" s="204">
        <f t="shared" si="21"/>
        <v>208.5</v>
      </c>
      <c r="J73" s="1087">
        <f t="shared" si="22"/>
        <v>208.5</v>
      </c>
      <c r="K73" s="319"/>
      <c r="L73" s="319"/>
    </row>
    <row r="74" spans="1:12" ht="15.75" customHeight="1">
      <c r="A74" s="288" t="s">
        <v>265</v>
      </c>
      <c r="B74" s="988" t="s">
        <v>512</v>
      </c>
      <c r="C74" s="252">
        <f t="shared" ref="C74:I74" si="25">C75</f>
        <v>35</v>
      </c>
      <c r="D74" s="252">
        <f t="shared" si="25"/>
        <v>1</v>
      </c>
      <c r="E74" s="252">
        <f t="shared" si="25"/>
        <v>178</v>
      </c>
      <c r="F74" s="252">
        <f t="shared" si="25"/>
        <v>1</v>
      </c>
      <c r="G74" s="252">
        <f t="shared" si="25"/>
        <v>178</v>
      </c>
      <c r="H74" s="252">
        <f t="shared" si="25"/>
        <v>6230</v>
      </c>
      <c r="I74" s="252">
        <f t="shared" si="25"/>
        <v>6230</v>
      </c>
      <c r="J74" s="252">
        <f t="shared" si="22"/>
        <v>6230</v>
      </c>
      <c r="K74" s="163"/>
      <c r="L74" s="163"/>
    </row>
    <row r="75" spans="1:12" ht="15.75" customHeight="1">
      <c r="A75" s="1088"/>
      <c r="B75" s="1103" t="s">
        <v>1514</v>
      </c>
      <c r="C75" s="319">
        <v>35</v>
      </c>
      <c r="D75" s="319">
        <v>1</v>
      </c>
      <c r="E75" s="319">
        <v>178</v>
      </c>
      <c r="F75" s="319">
        <v>1</v>
      </c>
      <c r="G75" s="319">
        <v>178</v>
      </c>
      <c r="H75" s="319">
        <f>C75*D75*G75</f>
        <v>6230</v>
      </c>
      <c r="I75" s="331">
        <f>G75*35</f>
        <v>6230</v>
      </c>
      <c r="J75" s="1087">
        <f>J74</f>
        <v>6230</v>
      </c>
      <c r="K75" s="319"/>
      <c r="L75" s="319"/>
    </row>
    <row r="76" spans="1:12" ht="15.75" customHeight="1">
      <c r="A76" s="154">
        <v>3</v>
      </c>
      <c r="B76" s="2145" t="s">
        <v>584</v>
      </c>
      <c r="C76" s="1104">
        <f t="shared" ref="C76:I76" si="26">C77+C82</f>
        <v>12</v>
      </c>
      <c r="D76" s="1104">
        <f t="shared" si="26"/>
        <v>8</v>
      </c>
      <c r="E76" s="1104">
        <f t="shared" si="26"/>
        <v>8</v>
      </c>
      <c r="F76" s="1104">
        <f t="shared" si="26"/>
        <v>4</v>
      </c>
      <c r="G76" s="1104">
        <f t="shared" si="26"/>
        <v>28</v>
      </c>
      <c r="H76" s="1104">
        <f t="shared" si="26"/>
        <v>168</v>
      </c>
      <c r="I76" s="1104">
        <f t="shared" si="26"/>
        <v>792</v>
      </c>
      <c r="J76" s="1105">
        <f>I76</f>
        <v>792</v>
      </c>
      <c r="K76" s="1105"/>
      <c r="L76" s="1105"/>
    </row>
    <row r="77" spans="1:12" ht="15.75" customHeight="1">
      <c r="A77" s="252" t="s">
        <v>263</v>
      </c>
      <c r="B77" s="1106" t="s">
        <v>585</v>
      </c>
      <c r="C77" s="1894">
        <f t="shared" ref="C77:J77" si="27">SUM(C78:C80)</f>
        <v>9</v>
      </c>
      <c r="D77" s="1894">
        <f t="shared" si="27"/>
        <v>6</v>
      </c>
      <c r="E77" s="1894">
        <f t="shared" si="27"/>
        <v>6</v>
      </c>
      <c r="F77" s="1894">
        <f t="shared" si="27"/>
        <v>3</v>
      </c>
      <c r="G77" s="1894">
        <f t="shared" si="27"/>
        <v>21</v>
      </c>
      <c r="H77" s="1894">
        <f t="shared" si="27"/>
        <v>126</v>
      </c>
      <c r="I77" s="1894">
        <f t="shared" si="27"/>
        <v>594</v>
      </c>
      <c r="J77" s="1894">
        <f t="shared" si="27"/>
        <v>594</v>
      </c>
      <c r="K77" s="163"/>
      <c r="L77" s="163"/>
    </row>
    <row r="78" spans="1:12" ht="15.75" customHeight="1">
      <c r="A78" s="1107" t="s">
        <v>479</v>
      </c>
      <c r="B78" s="2146" t="s">
        <v>1515</v>
      </c>
      <c r="C78" s="163">
        <v>3</v>
      </c>
      <c r="D78" s="163">
        <v>2</v>
      </c>
      <c r="E78" s="163">
        <v>2</v>
      </c>
      <c r="F78" s="163">
        <v>1</v>
      </c>
      <c r="G78" s="163">
        <v>7</v>
      </c>
      <c r="H78" s="163">
        <f t="shared" ref="H78:H80" si="28">C78*D78*G78</f>
        <v>42</v>
      </c>
      <c r="I78" s="2147">
        <f t="shared" ref="I78:I80" si="29">C78*E78*F78*16.5*2</f>
        <v>198</v>
      </c>
      <c r="J78" s="163">
        <f t="shared" ref="J78:J85" si="30">I78</f>
        <v>198</v>
      </c>
      <c r="K78" s="163"/>
      <c r="L78" s="163"/>
    </row>
    <row r="79" spans="1:12" ht="15.75" customHeight="1">
      <c r="A79" s="1107" t="s">
        <v>481</v>
      </c>
      <c r="B79" s="2146" t="s">
        <v>1516</v>
      </c>
      <c r="C79" s="163">
        <v>3</v>
      </c>
      <c r="D79" s="163">
        <v>2</v>
      </c>
      <c r="E79" s="163">
        <v>2</v>
      </c>
      <c r="F79" s="163">
        <v>1</v>
      </c>
      <c r="G79" s="163">
        <v>7</v>
      </c>
      <c r="H79" s="163">
        <f t="shared" si="28"/>
        <v>42</v>
      </c>
      <c r="I79" s="2147">
        <f t="shared" si="29"/>
        <v>198</v>
      </c>
      <c r="J79" s="163">
        <f t="shared" si="30"/>
        <v>198</v>
      </c>
      <c r="K79" s="163"/>
      <c r="L79" s="163"/>
    </row>
    <row r="80" spans="1:12" ht="15.75" customHeight="1">
      <c r="A80" s="1108" t="s">
        <v>483</v>
      </c>
      <c r="B80" s="2148" t="s">
        <v>1517</v>
      </c>
      <c r="C80" s="163">
        <v>3</v>
      </c>
      <c r="D80" s="163">
        <v>2</v>
      </c>
      <c r="E80" s="163">
        <v>2</v>
      </c>
      <c r="F80" s="163">
        <v>1</v>
      </c>
      <c r="G80" s="163">
        <v>7</v>
      </c>
      <c r="H80" s="163">
        <f t="shared" si="28"/>
        <v>42</v>
      </c>
      <c r="I80" s="2147">
        <f t="shared" si="29"/>
        <v>198</v>
      </c>
      <c r="J80" s="163">
        <f t="shared" si="30"/>
        <v>198</v>
      </c>
      <c r="K80" s="163"/>
      <c r="L80" s="163"/>
    </row>
    <row r="81" spans="1:12" ht="15.75" customHeight="1">
      <c r="A81" s="288" t="s">
        <v>265</v>
      </c>
      <c r="B81" s="988" t="s">
        <v>589</v>
      </c>
      <c r="C81" s="2149">
        <v>3</v>
      </c>
      <c r="D81" s="2149">
        <v>2</v>
      </c>
      <c r="E81" s="2149">
        <v>2</v>
      </c>
      <c r="F81" s="2149">
        <v>1</v>
      </c>
      <c r="G81" s="2149">
        <v>7</v>
      </c>
      <c r="H81" s="2149">
        <f t="shared" ref="H81:I81" si="31">H82</f>
        <v>42</v>
      </c>
      <c r="I81" s="2147">
        <f t="shared" si="31"/>
        <v>198</v>
      </c>
      <c r="J81" s="163">
        <f t="shared" si="30"/>
        <v>198</v>
      </c>
      <c r="K81" s="163"/>
      <c r="L81" s="163"/>
    </row>
    <row r="82" spans="1:12" ht="15.75" customHeight="1">
      <c r="A82" s="2150"/>
      <c r="B82" s="2151" t="s">
        <v>1518</v>
      </c>
      <c r="C82" s="2152">
        <v>3</v>
      </c>
      <c r="D82" s="2152">
        <v>2</v>
      </c>
      <c r="E82" s="2152">
        <v>2</v>
      </c>
      <c r="F82" s="2152">
        <v>1</v>
      </c>
      <c r="G82" s="2152">
        <v>7</v>
      </c>
      <c r="H82" s="2152">
        <f>C82*D82*G82</f>
        <v>42</v>
      </c>
      <c r="I82" s="2153">
        <f>C82*E82*F82*16.5*2</f>
        <v>198</v>
      </c>
      <c r="J82" s="2152">
        <f t="shared" si="30"/>
        <v>198</v>
      </c>
      <c r="K82" s="2152"/>
      <c r="L82" s="2152"/>
    </row>
    <row r="83" spans="1:12" ht="25.5" customHeight="1">
      <c r="A83" s="1109" t="s">
        <v>284</v>
      </c>
      <c r="B83" s="1110" t="s">
        <v>514</v>
      </c>
      <c r="C83" s="1111">
        <f t="shared" ref="C83:I83" si="32">SUM(C84+0)</f>
        <v>22</v>
      </c>
      <c r="D83" s="1111">
        <f t="shared" si="32"/>
        <v>7</v>
      </c>
      <c r="E83" s="1111">
        <f t="shared" si="32"/>
        <v>39</v>
      </c>
      <c r="F83" s="1111">
        <f t="shared" si="32"/>
        <v>7</v>
      </c>
      <c r="G83" s="1111">
        <f t="shared" si="32"/>
        <v>385</v>
      </c>
      <c r="H83" s="1111">
        <f t="shared" si="32"/>
        <v>1210</v>
      </c>
      <c r="I83" s="1111">
        <f t="shared" si="32"/>
        <v>1420.5</v>
      </c>
      <c r="J83" s="1111">
        <f t="shared" si="30"/>
        <v>1420.5</v>
      </c>
      <c r="K83" s="1112"/>
      <c r="L83" s="1112"/>
    </row>
    <row r="84" spans="1:12" ht="15.75" customHeight="1">
      <c r="A84" s="1040">
        <v>1</v>
      </c>
      <c r="B84" s="1113" t="s">
        <v>1519</v>
      </c>
      <c r="C84" s="1114">
        <f t="shared" ref="C84:I84" si="33">SUM(C86:C92)</f>
        <v>22</v>
      </c>
      <c r="D84" s="1114">
        <f t="shared" si="33"/>
        <v>7</v>
      </c>
      <c r="E84" s="1114">
        <f t="shared" si="33"/>
        <v>39</v>
      </c>
      <c r="F84" s="1114">
        <f t="shared" si="33"/>
        <v>7</v>
      </c>
      <c r="G84" s="1114">
        <f t="shared" si="33"/>
        <v>385</v>
      </c>
      <c r="H84" s="1114">
        <f t="shared" si="33"/>
        <v>1210</v>
      </c>
      <c r="I84" s="1114">
        <f t="shared" si="33"/>
        <v>1420.5</v>
      </c>
      <c r="J84" s="1114">
        <f t="shared" si="30"/>
        <v>1420.5</v>
      </c>
      <c r="K84" s="1040"/>
      <c r="L84" s="1040"/>
    </row>
    <row r="85" spans="1:12" ht="15.75" customHeight="1">
      <c r="A85" s="1040"/>
      <c r="B85" s="1113" t="s">
        <v>727</v>
      </c>
      <c r="C85" s="1115">
        <f t="shared" ref="C85:I85" si="34">SUM(C86:C92)</f>
        <v>22</v>
      </c>
      <c r="D85" s="1115">
        <f t="shared" si="34"/>
        <v>7</v>
      </c>
      <c r="E85" s="1115">
        <f t="shared" si="34"/>
        <v>39</v>
      </c>
      <c r="F85" s="1115">
        <f t="shared" si="34"/>
        <v>7</v>
      </c>
      <c r="G85" s="1115">
        <f t="shared" si="34"/>
        <v>385</v>
      </c>
      <c r="H85" s="1115">
        <f t="shared" si="34"/>
        <v>1210</v>
      </c>
      <c r="I85" s="1115">
        <f t="shared" si="34"/>
        <v>1420.5</v>
      </c>
      <c r="J85" s="1115">
        <f t="shared" si="30"/>
        <v>1420.5</v>
      </c>
      <c r="K85" s="1040"/>
      <c r="L85" s="1040"/>
    </row>
    <row r="86" spans="1:12" ht="15.75" customHeight="1">
      <c r="A86" s="1114" t="s">
        <v>479</v>
      </c>
      <c r="B86" s="1040" t="s">
        <v>1520</v>
      </c>
      <c r="C86" s="1114">
        <v>4</v>
      </c>
      <c r="D86" s="1114">
        <v>1</v>
      </c>
      <c r="E86" s="1114">
        <v>6</v>
      </c>
      <c r="F86" s="1114">
        <v>1</v>
      </c>
      <c r="G86" s="1114">
        <v>60</v>
      </c>
      <c r="H86" s="996">
        <v>240</v>
      </c>
      <c r="I86" s="996">
        <v>288</v>
      </c>
      <c r="J86" s="996">
        <v>288</v>
      </c>
      <c r="K86" s="1040"/>
      <c r="L86" s="1040"/>
    </row>
    <row r="87" spans="1:12" ht="15.75" customHeight="1">
      <c r="A87" s="1114" t="s">
        <v>481</v>
      </c>
      <c r="B87" s="1040" t="s">
        <v>1521</v>
      </c>
      <c r="C87" s="1114">
        <v>4</v>
      </c>
      <c r="D87" s="1114">
        <v>1</v>
      </c>
      <c r="E87" s="1114">
        <v>6</v>
      </c>
      <c r="F87" s="1114">
        <v>1</v>
      </c>
      <c r="G87" s="1114">
        <v>60</v>
      </c>
      <c r="H87" s="996">
        <v>240</v>
      </c>
      <c r="I87" s="996">
        <v>288</v>
      </c>
      <c r="J87" s="996">
        <v>288</v>
      </c>
      <c r="K87" s="1040"/>
      <c r="L87" s="1040"/>
    </row>
    <row r="88" spans="1:12" ht="15.75" customHeight="1">
      <c r="A88" s="1114" t="s">
        <v>483</v>
      </c>
      <c r="B88" s="1040" t="s">
        <v>1522</v>
      </c>
      <c r="C88" s="1114">
        <v>4</v>
      </c>
      <c r="D88" s="1114">
        <v>1</v>
      </c>
      <c r="E88" s="1114">
        <v>3</v>
      </c>
      <c r="F88" s="1114">
        <v>1</v>
      </c>
      <c r="G88" s="1114">
        <v>50</v>
      </c>
      <c r="H88" s="996">
        <v>200</v>
      </c>
      <c r="I88" s="996">
        <v>144</v>
      </c>
      <c r="J88" s="996">
        <v>144</v>
      </c>
      <c r="K88" s="1040"/>
      <c r="L88" s="1040"/>
    </row>
    <row r="89" spans="1:12" ht="15.75" customHeight="1">
      <c r="A89" s="1114" t="s">
        <v>484</v>
      </c>
      <c r="B89" s="1040" t="s">
        <v>1523</v>
      </c>
      <c r="C89" s="1114">
        <v>4</v>
      </c>
      <c r="D89" s="1114">
        <v>1</v>
      </c>
      <c r="E89" s="1114">
        <v>3</v>
      </c>
      <c r="F89" s="1114">
        <v>1</v>
      </c>
      <c r="G89" s="1114">
        <v>50</v>
      </c>
      <c r="H89" s="996">
        <v>200</v>
      </c>
      <c r="I89" s="996">
        <v>144</v>
      </c>
      <c r="J89" s="996">
        <v>144</v>
      </c>
      <c r="K89" s="1040"/>
      <c r="L89" s="1040"/>
    </row>
    <row r="90" spans="1:12" ht="15.75" customHeight="1">
      <c r="A90" s="1114" t="s">
        <v>485</v>
      </c>
      <c r="B90" s="1040" t="s">
        <v>1524</v>
      </c>
      <c r="C90" s="1114">
        <v>2</v>
      </c>
      <c r="D90" s="1114">
        <v>1</v>
      </c>
      <c r="E90" s="1114">
        <v>6</v>
      </c>
      <c r="F90" s="1114">
        <v>1</v>
      </c>
      <c r="G90" s="1114">
        <v>60</v>
      </c>
      <c r="H90" s="996">
        <v>120</v>
      </c>
      <c r="I90" s="996">
        <v>159</v>
      </c>
      <c r="J90" s="996">
        <v>159</v>
      </c>
      <c r="K90" s="1040"/>
      <c r="L90" s="1040"/>
    </row>
    <row r="91" spans="1:12" ht="15.75" customHeight="1">
      <c r="A91" s="1114" t="s">
        <v>486</v>
      </c>
      <c r="B91" s="1040" t="s">
        <v>1525</v>
      </c>
      <c r="C91" s="1114">
        <v>2</v>
      </c>
      <c r="D91" s="1114">
        <v>1</v>
      </c>
      <c r="E91" s="1114">
        <v>6</v>
      </c>
      <c r="F91" s="1114">
        <v>1</v>
      </c>
      <c r="G91" s="1114">
        <v>50</v>
      </c>
      <c r="H91" s="996">
        <v>100</v>
      </c>
      <c r="I91" s="996">
        <v>159</v>
      </c>
      <c r="J91" s="996">
        <v>159</v>
      </c>
      <c r="K91" s="1040"/>
      <c r="L91" s="1040"/>
    </row>
    <row r="92" spans="1:12" ht="15.75" customHeight="1">
      <c r="A92" s="1114" t="s">
        <v>487</v>
      </c>
      <c r="B92" s="1040" t="s">
        <v>1526</v>
      </c>
      <c r="C92" s="1114">
        <v>2</v>
      </c>
      <c r="D92" s="1114">
        <v>1</v>
      </c>
      <c r="E92" s="1114">
        <v>9</v>
      </c>
      <c r="F92" s="1114">
        <v>1</v>
      </c>
      <c r="G92" s="1114">
        <v>55</v>
      </c>
      <c r="H92" s="996">
        <v>110</v>
      </c>
      <c r="I92" s="996">
        <v>238.5</v>
      </c>
      <c r="J92" s="996">
        <v>238.5</v>
      </c>
      <c r="K92" s="1040"/>
      <c r="L92" s="1040"/>
    </row>
  </sheetData>
  <mergeCells count="17">
    <mergeCell ref="A1:C1"/>
    <mergeCell ref="J1:L1"/>
    <mergeCell ref="A2:C2"/>
    <mergeCell ref="J2:L2"/>
    <mergeCell ref="A3:L3"/>
    <mergeCell ref="A4:L4"/>
    <mergeCell ref="A5:L5"/>
    <mergeCell ref="H7:H8"/>
    <mergeCell ref="I7:I8"/>
    <mergeCell ref="J7:L7"/>
    <mergeCell ref="A7:A8"/>
    <mergeCell ref="B7:B8"/>
    <mergeCell ref="C7:C8"/>
    <mergeCell ref="D7:D8"/>
    <mergeCell ref="E7:E8"/>
    <mergeCell ref="F7:F8"/>
    <mergeCell ref="G7:G8"/>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54"/>
  <sheetViews>
    <sheetView workbookViewId="0"/>
  </sheetViews>
  <sheetFormatPr defaultColWidth="14.42578125" defaultRowHeight="15" customHeight="1"/>
  <cols>
    <col min="1" max="1" width="4.28515625" customWidth="1"/>
    <col min="2" max="2" width="24.28515625" customWidth="1"/>
    <col min="3" max="3" width="12" customWidth="1"/>
    <col min="4" max="4" width="15.7109375" customWidth="1"/>
    <col min="5" max="5" width="26.28515625" customWidth="1"/>
    <col min="6" max="6" width="8.28515625" customWidth="1"/>
    <col min="7" max="7" width="8.7109375" customWidth="1"/>
    <col min="8" max="8" width="6.28515625" customWidth="1"/>
    <col min="9" max="9" width="18" customWidth="1"/>
    <col min="10" max="10" width="18.140625" customWidth="1"/>
    <col min="11" max="11" width="8.28515625" customWidth="1"/>
    <col min="12" max="12" width="9.28515625" customWidth="1"/>
    <col min="13" max="13" width="17.28515625" customWidth="1"/>
    <col min="14" max="26" width="9" customWidth="1"/>
  </cols>
  <sheetData>
    <row r="1" spans="1:13" ht="14.25" customHeight="1">
      <c r="A1" s="2904" t="s">
        <v>23</v>
      </c>
      <c r="B1" s="2732"/>
      <c r="C1" s="2732"/>
      <c r="D1" s="2732"/>
      <c r="E1" s="2732"/>
      <c r="F1" s="139"/>
      <c r="G1" s="1117"/>
      <c r="H1" s="1117"/>
      <c r="I1" s="1117"/>
      <c r="J1" s="1117"/>
      <c r="K1" s="1118"/>
      <c r="L1" s="1118"/>
      <c r="M1" s="1119" t="s">
        <v>1527</v>
      </c>
    </row>
    <row r="2" spans="1:13" ht="13.5" customHeight="1">
      <c r="A2" s="2904" t="s">
        <v>1528</v>
      </c>
      <c r="B2" s="2732"/>
      <c r="C2" s="2732"/>
      <c r="D2" s="2732"/>
      <c r="E2" s="2732"/>
      <c r="F2" s="139"/>
      <c r="G2" s="1117"/>
      <c r="H2" s="1117"/>
      <c r="I2" s="1117"/>
      <c r="J2" s="1117"/>
      <c r="K2" s="1118"/>
      <c r="L2" s="1118"/>
      <c r="M2" s="1117"/>
    </row>
    <row r="3" spans="1:13" ht="57.75" customHeight="1">
      <c r="A3" s="2905" t="s">
        <v>1529</v>
      </c>
      <c r="B3" s="2732"/>
      <c r="C3" s="2732"/>
      <c r="D3" s="2732"/>
      <c r="E3" s="2732"/>
      <c r="F3" s="2732"/>
      <c r="G3" s="2732"/>
      <c r="H3" s="2732"/>
      <c r="I3" s="2732"/>
      <c r="J3" s="2732"/>
      <c r="K3" s="2732"/>
      <c r="L3" s="2732"/>
      <c r="M3" s="2732"/>
    </row>
    <row r="4" spans="1:13" ht="45" customHeight="1">
      <c r="A4" s="2810" t="s">
        <v>1530</v>
      </c>
      <c r="B4" s="2732"/>
      <c r="C4" s="2732"/>
      <c r="D4" s="2732"/>
      <c r="E4" s="2732"/>
      <c r="F4" s="2732"/>
      <c r="G4" s="2732"/>
      <c r="H4" s="2732"/>
      <c r="I4" s="2732"/>
      <c r="J4" s="2732"/>
      <c r="K4" s="2732"/>
      <c r="L4" s="2732"/>
      <c r="M4" s="2732"/>
    </row>
    <row r="5" spans="1:13" ht="19.5" customHeight="1">
      <c r="A5" s="2906"/>
      <c r="B5" s="2732"/>
      <c r="C5" s="2732"/>
      <c r="D5" s="2732"/>
      <c r="E5" s="2732"/>
      <c r="F5" s="2732"/>
      <c r="G5" s="2732"/>
      <c r="H5" s="2732"/>
      <c r="I5" s="2732"/>
      <c r="J5" s="2732"/>
      <c r="K5" s="2732"/>
      <c r="L5" s="2732"/>
      <c r="M5" s="2732"/>
    </row>
    <row r="6" spans="1:13" ht="13.5" customHeight="1">
      <c r="A6" s="1120"/>
      <c r="B6" s="1120"/>
      <c r="C6" s="1120"/>
      <c r="D6" s="1120"/>
      <c r="E6" s="1120"/>
      <c r="F6" s="1121"/>
      <c r="G6" s="1120"/>
      <c r="H6" s="1120"/>
      <c r="I6" s="1120"/>
      <c r="J6" s="1120"/>
      <c r="K6" s="1122"/>
      <c r="L6" s="1122"/>
      <c r="M6" s="1123"/>
    </row>
    <row r="7" spans="1:13" ht="51.75" customHeight="1">
      <c r="A7" s="2907" t="s">
        <v>186</v>
      </c>
      <c r="B7" s="2900" t="s">
        <v>1531</v>
      </c>
      <c r="C7" s="2899" t="s">
        <v>1532</v>
      </c>
      <c r="D7" s="2899" t="s">
        <v>1533</v>
      </c>
      <c r="E7" s="2899" t="s">
        <v>1534</v>
      </c>
      <c r="F7" s="2900" t="s">
        <v>439</v>
      </c>
      <c r="G7" s="2828" t="s">
        <v>529</v>
      </c>
      <c r="H7" s="2900" t="s">
        <v>1535</v>
      </c>
      <c r="I7" s="2900" t="s">
        <v>530</v>
      </c>
      <c r="J7" s="2900" t="s">
        <v>531</v>
      </c>
      <c r="K7" s="2900" t="s">
        <v>532</v>
      </c>
      <c r="L7" s="2900" t="s">
        <v>533</v>
      </c>
      <c r="M7" s="2908" t="s">
        <v>32</v>
      </c>
    </row>
    <row r="8" spans="1:13" ht="75.75" customHeight="1">
      <c r="A8" s="2843"/>
      <c r="B8" s="2779"/>
      <c r="C8" s="2779"/>
      <c r="D8" s="2779"/>
      <c r="E8" s="2779"/>
      <c r="F8" s="2779"/>
      <c r="G8" s="2779"/>
      <c r="H8" s="2779"/>
      <c r="I8" s="2779"/>
      <c r="J8" s="2779"/>
      <c r="K8" s="2779"/>
      <c r="L8" s="2779"/>
      <c r="M8" s="2826"/>
    </row>
    <row r="9" spans="1:13" ht="30" customHeight="1">
      <c r="A9" s="1124" t="s">
        <v>465</v>
      </c>
      <c r="B9" s="1125" t="s">
        <v>466</v>
      </c>
      <c r="C9" s="1125" t="s">
        <v>467</v>
      </c>
      <c r="D9" s="1125" t="s">
        <v>468</v>
      </c>
      <c r="E9" s="1125" t="s">
        <v>469</v>
      </c>
      <c r="F9" s="1126" t="s">
        <v>470</v>
      </c>
      <c r="G9" s="1126" t="s">
        <v>471</v>
      </c>
      <c r="H9" s="1126" t="s">
        <v>1536</v>
      </c>
      <c r="I9" s="1126" t="s">
        <v>1537</v>
      </c>
      <c r="J9" s="1126" t="s">
        <v>1538</v>
      </c>
      <c r="K9" s="1126" t="s">
        <v>475</v>
      </c>
      <c r="L9" s="1126" t="s">
        <v>625</v>
      </c>
      <c r="M9" s="1127" t="s">
        <v>534</v>
      </c>
    </row>
    <row r="10" spans="1:13" ht="24" customHeight="1">
      <c r="A10" s="1128" t="s">
        <v>258</v>
      </c>
      <c r="B10" s="1129" t="s">
        <v>1539</v>
      </c>
      <c r="C10" s="1130" t="s">
        <v>1540</v>
      </c>
      <c r="D10" s="1131"/>
      <c r="E10" s="1129"/>
      <c r="F10" s="1132">
        <f t="shared" ref="F10:L10" si="0">+F11+F15</f>
        <v>0</v>
      </c>
      <c r="G10" s="1132">
        <f t="shared" si="0"/>
        <v>0</v>
      </c>
      <c r="H10" s="1132">
        <f t="shared" si="0"/>
        <v>0</v>
      </c>
      <c r="I10" s="1132">
        <f t="shared" si="0"/>
        <v>0</v>
      </c>
      <c r="J10" s="1132">
        <f t="shared" si="0"/>
        <v>0</v>
      </c>
      <c r="K10" s="1132">
        <f t="shared" si="0"/>
        <v>0</v>
      </c>
      <c r="L10" s="1132">
        <f t="shared" si="0"/>
        <v>0</v>
      </c>
      <c r="M10" s="1133"/>
    </row>
    <row r="11" spans="1:13" ht="19.5" customHeight="1">
      <c r="A11" s="1134" t="s">
        <v>200</v>
      </c>
      <c r="B11" s="1135" t="s">
        <v>1541</v>
      </c>
      <c r="C11" s="1135"/>
      <c r="D11" s="1136"/>
      <c r="E11" s="1135"/>
      <c r="F11" s="1137">
        <f t="shared" ref="F11:L11" si="1">SUM(F12:F14)</f>
        <v>0</v>
      </c>
      <c r="G11" s="1137">
        <f t="shared" si="1"/>
        <v>0</v>
      </c>
      <c r="H11" s="1137">
        <f t="shared" si="1"/>
        <v>0</v>
      </c>
      <c r="I11" s="1137">
        <f t="shared" si="1"/>
        <v>0</v>
      </c>
      <c r="J11" s="1137">
        <f t="shared" si="1"/>
        <v>0</v>
      </c>
      <c r="K11" s="1137">
        <f t="shared" si="1"/>
        <v>0</v>
      </c>
      <c r="L11" s="1137">
        <f t="shared" si="1"/>
        <v>0</v>
      </c>
      <c r="M11" s="1138"/>
    </row>
    <row r="12" spans="1:13" ht="13.5" customHeight="1">
      <c r="A12" s="1139">
        <v>1</v>
      </c>
      <c r="B12" s="1140" t="s">
        <v>1542</v>
      </c>
      <c r="C12" s="1140"/>
      <c r="D12" s="1141"/>
      <c r="E12" s="1140"/>
      <c r="F12" s="1142">
        <v>0</v>
      </c>
      <c r="G12" s="1142">
        <v>0</v>
      </c>
      <c r="H12" s="1142">
        <v>0</v>
      </c>
      <c r="I12" s="1142">
        <f>G12-H12</f>
        <v>0</v>
      </c>
      <c r="J12" s="1142">
        <f>F12-I12</f>
        <v>0</v>
      </c>
      <c r="K12" s="1142">
        <v>0</v>
      </c>
      <c r="L12" s="1142">
        <v>0</v>
      </c>
      <c r="M12" s="1143"/>
    </row>
    <row r="13" spans="1:13" ht="13.5" customHeight="1">
      <c r="A13" s="1139">
        <v>2</v>
      </c>
      <c r="B13" s="1140" t="s">
        <v>1543</v>
      </c>
      <c r="C13" s="1140"/>
      <c r="D13" s="1141"/>
      <c r="E13" s="1141"/>
      <c r="F13" s="1142"/>
      <c r="G13" s="1142"/>
      <c r="H13" s="1142"/>
      <c r="I13" s="1142"/>
      <c r="J13" s="1142"/>
      <c r="K13" s="1142"/>
      <c r="L13" s="1142"/>
      <c r="M13" s="1143"/>
    </row>
    <row r="14" spans="1:13" ht="13.5" customHeight="1">
      <c r="A14" s="1139">
        <v>3</v>
      </c>
      <c r="B14" s="1140" t="s">
        <v>1543</v>
      </c>
      <c r="C14" s="1140"/>
      <c r="D14" s="1141"/>
      <c r="E14" s="1141"/>
      <c r="F14" s="1142"/>
      <c r="G14" s="1142"/>
      <c r="H14" s="1142"/>
      <c r="I14" s="1142"/>
      <c r="J14" s="1142"/>
      <c r="K14" s="1142"/>
      <c r="L14" s="1142"/>
      <c r="M14" s="1143"/>
    </row>
    <row r="15" spans="1:13" ht="13.5" customHeight="1">
      <c r="A15" s="1144" t="s">
        <v>206</v>
      </c>
      <c r="B15" s="1145" t="s">
        <v>1544</v>
      </c>
      <c r="C15" s="1146"/>
      <c r="D15" s="1146"/>
      <c r="E15" s="1140"/>
      <c r="F15" s="1147">
        <f t="shared" ref="F15:L15" si="2">SUM(F16:F18)</f>
        <v>0</v>
      </c>
      <c r="G15" s="1147">
        <f t="shared" si="2"/>
        <v>0</v>
      </c>
      <c r="H15" s="1147">
        <f t="shared" si="2"/>
        <v>0</v>
      </c>
      <c r="I15" s="1147">
        <f t="shared" si="2"/>
        <v>0</v>
      </c>
      <c r="J15" s="1147">
        <f t="shared" si="2"/>
        <v>0</v>
      </c>
      <c r="K15" s="1147">
        <f t="shared" si="2"/>
        <v>0</v>
      </c>
      <c r="L15" s="1147">
        <f t="shared" si="2"/>
        <v>0</v>
      </c>
      <c r="M15" s="1148"/>
    </row>
    <row r="16" spans="1:13" ht="13.5" customHeight="1">
      <c r="A16" s="1139">
        <v>1</v>
      </c>
      <c r="B16" s="1140" t="s">
        <v>1542</v>
      </c>
      <c r="C16" s="1146"/>
      <c r="D16" s="1149"/>
      <c r="E16" s="1141"/>
      <c r="F16" s="1142">
        <v>0</v>
      </c>
      <c r="G16" s="1142">
        <v>0</v>
      </c>
      <c r="H16" s="1142">
        <v>0</v>
      </c>
      <c r="I16" s="1142">
        <f>G16-H16</f>
        <v>0</v>
      </c>
      <c r="J16" s="1142">
        <f>F16-I16</f>
        <v>0</v>
      </c>
      <c r="K16" s="1142">
        <v>0</v>
      </c>
      <c r="L16" s="1142">
        <v>0</v>
      </c>
      <c r="M16" s="1148"/>
    </row>
    <row r="17" spans="1:13" ht="13.5" customHeight="1">
      <c r="A17" s="1139">
        <v>2</v>
      </c>
      <c r="B17" s="1140" t="s">
        <v>1543</v>
      </c>
      <c r="C17" s="1140"/>
      <c r="D17" s="1141"/>
      <c r="E17" s="1141"/>
      <c r="F17" s="1142"/>
      <c r="G17" s="1142"/>
      <c r="H17" s="1142"/>
      <c r="I17" s="1142"/>
      <c r="J17" s="1142"/>
      <c r="K17" s="1142"/>
      <c r="L17" s="1142"/>
      <c r="M17" s="1143"/>
    </row>
    <row r="18" spans="1:13" ht="13.5" customHeight="1">
      <c r="A18" s="1139">
        <v>3</v>
      </c>
      <c r="B18" s="1140" t="s">
        <v>1543</v>
      </c>
      <c r="C18" s="1140"/>
      <c r="D18" s="1141"/>
      <c r="E18" s="1141"/>
      <c r="F18" s="1142"/>
      <c r="G18" s="1142"/>
      <c r="H18" s="1142"/>
      <c r="I18" s="1142"/>
      <c r="J18" s="1142"/>
      <c r="K18" s="1142"/>
      <c r="L18" s="1142"/>
      <c r="M18" s="1143"/>
    </row>
    <row r="19" spans="1:13" ht="22.5" customHeight="1">
      <c r="A19" s="1139"/>
      <c r="B19" s="1145" t="s">
        <v>1545</v>
      </c>
      <c r="C19" s="1146"/>
      <c r="D19" s="1146"/>
      <c r="E19" s="1140"/>
      <c r="F19" s="1147"/>
      <c r="G19" s="1142"/>
      <c r="H19" s="1142"/>
      <c r="I19" s="1142"/>
      <c r="J19" s="1142"/>
      <c r="K19" s="1142"/>
      <c r="L19" s="1142"/>
      <c r="M19" s="1148"/>
    </row>
    <row r="20" spans="1:13" ht="20.25" customHeight="1">
      <c r="A20" s="1139"/>
      <c r="B20" s="1141" t="s">
        <v>1546</v>
      </c>
      <c r="C20" s="1146"/>
      <c r="D20" s="1146"/>
      <c r="E20" s="1140"/>
      <c r="F20" s="1142"/>
      <c r="G20" s="1142"/>
      <c r="H20" s="1142"/>
      <c r="I20" s="1142"/>
      <c r="J20" s="1142"/>
      <c r="K20" s="1142"/>
      <c r="L20" s="1142"/>
      <c r="M20" s="1148"/>
    </row>
    <row r="21" spans="1:13" ht="13.5" customHeight="1">
      <c r="A21" s="1139"/>
      <c r="B21" s="1141" t="s">
        <v>1547</v>
      </c>
      <c r="C21" s="1146"/>
      <c r="D21" s="1146"/>
      <c r="E21" s="1140"/>
      <c r="F21" s="1142"/>
      <c r="G21" s="1142"/>
      <c r="H21" s="1142"/>
      <c r="I21" s="1142"/>
      <c r="J21" s="1142"/>
      <c r="K21" s="1142"/>
      <c r="L21" s="1142"/>
      <c r="M21" s="1148"/>
    </row>
    <row r="22" spans="1:13" ht="13.5" customHeight="1">
      <c r="A22" s="1139"/>
      <c r="B22" s="1141" t="s">
        <v>1548</v>
      </c>
      <c r="C22" s="1146"/>
      <c r="D22" s="1146"/>
      <c r="E22" s="1140"/>
      <c r="F22" s="1142"/>
      <c r="G22" s="1142"/>
      <c r="H22" s="1142"/>
      <c r="I22" s="1142"/>
      <c r="J22" s="1142"/>
      <c r="K22" s="1142"/>
      <c r="L22" s="1142"/>
      <c r="M22" s="1148"/>
    </row>
    <row r="23" spans="1:13" ht="13.5" customHeight="1">
      <c r="A23" s="1139"/>
      <c r="B23" s="1141" t="s">
        <v>1549</v>
      </c>
      <c r="C23" s="1146"/>
      <c r="D23" s="1146"/>
      <c r="E23" s="1140"/>
      <c r="F23" s="1147"/>
      <c r="G23" s="1147"/>
      <c r="H23" s="1147"/>
      <c r="I23" s="1147"/>
      <c r="J23" s="1147"/>
      <c r="K23" s="1147"/>
      <c r="L23" s="1147"/>
      <c r="M23" s="1148"/>
    </row>
    <row r="24" spans="1:13" ht="13.5" customHeight="1">
      <c r="A24" s="1139"/>
      <c r="B24" s="1141" t="s">
        <v>1550</v>
      </c>
      <c r="C24" s="1146"/>
      <c r="D24" s="1146"/>
      <c r="E24" s="1140"/>
      <c r="F24" s="1147"/>
      <c r="G24" s="1147"/>
      <c r="H24" s="1147"/>
      <c r="I24" s="1147"/>
      <c r="J24" s="1147"/>
      <c r="K24" s="1147"/>
      <c r="L24" s="1147"/>
      <c r="M24" s="1148"/>
    </row>
    <row r="25" spans="1:13" ht="13.5" customHeight="1">
      <c r="A25" s="1139"/>
      <c r="B25" s="1141" t="s">
        <v>1551</v>
      </c>
      <c r="C25" s="1146"/>
      <c r="D25" s="1146"/>
      <c r="E25" s="1140"/>
      <c r="F25" s="1142"/>
      <c r="G25" s="1142"/>
      <c r="H25" s="1142"/>
      <c r="I25" s="1142"/>
      <c r="J25" s="1142"/>
      <c r="K25" s="1142"/>
      <c r="L25" s="1142"/>
      <c r="M25" s="1148"/>
    </row>
    <row r="26" spans="1:13" ht="13.5" customHeight="1">
      <c r="A26" s="1139"/>
      <c r="B26" s="1141" t="s">
        <v>1552</v>
      </c>
      <c r="C26" s="1146"/>
      <c r="D26" s="1146"/>
      <c r="E26" s="1140"/>
      <c r="F26" s="1147"/>
      <c r="G26" s="1142"/>
      <c r="H26" s="1142"/>
      <c r="I26" s="1142"/>
      <c r="J26" s="1142"/>
      <c r="K26" s="1142"/>
      <c r="L26" s="1142"/>
      <c r="M26" s="1148"/>
    </row>
    <row r="27" spans="1:13" ht="13.5" customHeight="1">
      <c r="A27" s="1139"/>
      <c r="B27" s="1141" t="s">
        <v>1553</v>
      </c>
      <c r="C27" s="1146"/>
      <c r="D27" s="1146"/>
      <c r="E27" s="1140"/>
      <c r="F27" s="1147"/>
      <c r="G27" s="1142"/>
      <c r="H27" s="1142"/>
      <c r="I27" s="1142"/>
      <c r="J27" s="1142"/>
      <c r="K27" s="1142"/>
      <c r="L27" s="1142"/>
      <c r="M27" s="1150"/>
    </row>
    <row r="28" spans="1:13" ht="24" customHeight="1">
      <c r="A28" s="1128" t="s">
        <v>284</v>
      </c>
      <c r="B28" s="1129" t="s">
        <v>1554</v>
      </c>
      <c r="C28" s="1130" t="s">
        <v>1555</v>
      </c>
      <c r="D28" s="1131"/>
      <c r="E28" s="1129"/>
      <c r="F28" s="1132">
        <f t="shared" ref="F28:L28" si="3">+F29+F33</f>
        <v>0</v>
      </c>
      <c r="G28" s="1132">
        <f t="shared" si="3"/>
        <v>0</v>
      </c>
      <c r="H28" s="1132">
        <f t="shared" si="3"/>
        <v>0</v>
      </c>
      <c r="I28" s="1132">
        <f t="shared" si="3"/>
        <v>0</v>
      </c>
      <c r="J28" s="1132">
        <f t="shared" si="3"/>
        <v>0</v>
      </c>
      <c r="K28" s="1132">
        <f t="shared" si="3"/>
        <v>0</v>
      </c>
      <c r="L28" s="1132">
        <f t="shared" si="3"/>
        <v>0</v>
      </c>
      <c r="M28" s="1133"/>
    </row>
    <row r="29" spans="1:13" ht="19.5" customHeight="1">
      <c r="A29" s="1134" t="s">
        <v>200</v>
      </c>
      <c r="B29" s="1135" t="s">
        <v>1541</v>
      </c>
      <c r="C29" s="1135"/>
      <c r="D29" s="1136"/>
      <c r="E29" s="1135"/>
      <c r="F29" s="1137">
        <f t="shared" ref="F29:L29" si="4">SUM(F30:F32)</f>
        <v>0</v>
      </c>
      <c r="G29" s="1137">
        <f t="shared" si="4"/>
        <v>0</v>
      </c>
      <c r="H29" s="1137">
        <f t="shared" si="4"/>
        <v>0</v>
      </c>
      <c r="I29" s="1137">
        <f t="shared" si="4"/>
        <v>0</v>
      </c>
      <c r="J29" s="1137">
        <f t="shared" si="4"/>
        <v>0</v>
      </c>
      <c r="K29" s="1137">
        <f t="shared" si="4"/>
        <v>0</v>
      </c>
      <c r="L29" s="1137">
        <f t="shared" si="4"/>
        <v>0</v>
      </c>
      <c r="M29" s="1138"/>
    </row>
    <row r="30" spans="1:13" ht="13.5" customHeight="1">
      <c r="A30" s="1139">
        <v>1</v>
      </c>
      <c r="B30" s="1140" t="s">
        <v>1542</v>
      </c>
      <c r="C30" s="1140"/>
      <c r="D30" s="1141"/>
      <c r="E30" s="1140"/>
      <c r="F30" s="1142">
        <v>0</v>
      </c>
      <c r="G30" s="1142">
        <v>0</v>
      </c>
      <c r="H30" s="1142">
        <v>0</v>
      </c>
      <c r="I30" s="1142">
        <f>G30-H30</f>
        <v>0</v>
      </c>
      <c r="J30" s="1142">
        <f>F30-I30</f>
        <v>0</v>
      </c>
      <c r="K30" s="1142">
        <v>0</v>
      </c>
      <c r="L30" s="1142">
        <v>0</v>
      </c>
      <c r="M30" s="1143"/>
    </row>
    <row r="31" spans="1:13" ht="13.5" customHeight="1">
      <c r="A31" s="1139">
        <v>2</v>
      </c>
      <c r="B31" s="1140" t="s">
        <v>1543</v>
      </c>
      <c r="C31" s="1140"/>
      <c r="D31" s="1141"/>
      <c r="E31" s="1141"/>
      <c r="F31" s="1142"/>
      <c r="G31" s="1142"/>
      <c r="H31" s="1142"/>
      <c r="I31" s="1142"/>
      <c r="J31" s="1142"/>
      <c r="K31" s="1142"/>
      <c r="L31" s="1142"/>
      <c r="M31" s="1143"/>
    </row>
    <row r="32" spans="1:13" ht="13.5" customHeight="1">
      <c r="A32" s="1139">
        <v>3</v>
      </c>
      <c r="B32" s="1140" t="s">
        <v>1543</v>
      </c>
      <c r="C32" s="1140"/>
      <c r="D32" s="1141"/>
      <c r="E32" s="1141"/>
      <c r="F32" s="1142"/>
      <c r="G32" s="1142"/>
      <c r="H32" s="1142"/>
      <c r="I32" s="1142"/>
      <c r="J32" s="1142"/>
      <c r="K32" s="1142"/>
      <c r="L32" s="1142"/>
      <c r="M32" s="1143"/>
    </row>
    <row r="33" spans="1:13" ht="13.5" customHeight="1">
      <c r="A33" s="1144" t="s">
        <v>206</v>
      </c>
      <c r="B33" s="1145" t="s">
        <v>1544</v>
      </c>
      <c r="C33" s="1146"/>
      <c r="D33" s="1146"/>
      <c r="E33" s="1140"/>
      <c r="F33" s="1147">
        <f t="shared" ref="F33:L33" si="5">SUM(F34:F36)</f>
        <v>0</v>
      </c>
      <c r="G33" s="1147">
        <f t="shared" si="5"/>
        <v>0</v>
      </c>
      <c r="H33" s="1147">
        <f t="shared" si="5"/>
        <v>0</v>
      </c>
      <c r="I33" s="1147">
        <f t="shared" si="5"/>
        <v>0</v>
      </c>
      <c r="J33" s="1147">
        <f t="shared" si="5"/>
        <v>0</v>
      </c>
      <c r="K33" s="1147">
        <f t="shared" si="5"/>
        <v>0</v>
      </c>
      <c r="L33" s="1147">
        <f t="shared" si="5"/>
        <v>0</v>
      </c>
      <c r="M33" s="1148"/>
    </row>
    <row r="34" spans="1:13" ht="13.5" customHeight="1">
      <c r="A34" s="1139">
        <v>1</v>
      </c>
      <c r="B34" s="1140" t="s">
        <v>1542</v>
      </c>
      <c r="C34" s="1146"/>
      <c r="D34" s="1149"/>
      <c r="E34" s="1141"/>
      <c r="F34" s="1142">
        <v>0</v>
      </c>
      <c r="G34" s="1142">
        <v>0</v>
      </c>
      <c r="H34" s="1142">
        <v>0</v>
      </c>
      <c r="I34" s="1142">
        <f>G34-H34</f>
        <v>0</v>
      </c>
      <c r="J34" s="1142">
        <f>F34-I34</f>
        <v>0</v>
      </c>
      <c r="K34" s="1142">
        <v>0</v>
      </c>
      <c r="L34" s="1142">
        <v>0</v>
      </c>
      <c r="M34" s="1148"/>
    </row>
    <row r="35" spans="1:13" ht="13.5" customHeight="1">
      <c r="A35" s="1139">
        <v>2</v>
      </c>
      <c r="B35" s="1140" t="s">
        <v>1543</v>
      </c>
      <c r="C35" s="1140"/>
      <c r="D35" s="1141"/>
      <c r="E35" s="1141"/>
      <c r="F35" s="1142"/>
      <c r="G35" s="1142"/>
      <c r="H35" s="1142"/>
      <c r="I35" s="1142"/>
      <c r="J35" s="1142"/>
      <c r="K35" s="1142"/>
      <c r="L35" s="1142"/>
      <c r="M35" s="1143"/>
    </row>
    <row r="36" spans="1:13" ht="13.5" customHeight="1">
      <c r="A36" s="1139">
        <v>3</v>
      </c>
      <c r="B36" s="1140" t="s">
        <v>1543</v>
      </c>
      <c r="C36" s="1140"/>
      <c r="D36" s="1141"/>
      <c r="E36" s="1141"/>
      <c r="F36" s="1142"/>
      <c r="G36" s="1142"/>
      <c r="H36" s="1142"/>
      <c r="I36" s="1142"/>
      <c r="J36" s="1142"/>
      <c r="K36" s="1142"/>
      <c r="L36" s="1142"/>
      <c r="M36" s="1143"/>
    </row>
    <row r="37" spans="1:13" ht="22.5" customHeight="1">
      <c r="A37" s="1139"/>
      <c r="B37" s="1145" t="s">
        <v>1556</v>
      </c>
      <c r="C37" s="1146"/>
      <c r="D37" s="1146"/>
      <c r="E37" s="1140"/>
      <c r="F37" s="1147"/>
      <c r="G37" s="1142"/>
      <c r="H37" s="1142"/>
      <c r="I37" s="1142"/>
      <c r="J37" s="1142"/>
      <c r="K37" s="1142"/>
      <c r="L37" s="1142"/>
      <c r="M37" s="1148"/>
    </row>
    <row r="38" spans="1:13" ht="20.25" customHeight="1">
      <c r="A38" s="1139"/>
      <c r="B38" s="1141" t="s">
        <v>1546</v>
      </c>
      <c r="C38" s="1146"/>
      <c r="D38" s="1146"/>
      <c r="E38" s="1140"/>
      <c r="F38" s="1142"/>
      <c r="G38" s="1142"/>
      <c r="H38" s="1142"/>
      <c r="I38" s="1142"/>
      <c r="J38" s="1142"/>
      <c r="K38" s="1142"/>
      <c r="L38" s="1142"/>
      <c r="M38" s="1148"/>
    </row>
    <row r="39" spans="1:13" ht="13.5" customHeight="1">
      <c r="A39" s="1139"/>
      <c r="B39" s="1141" t="s">
        <v>1547</v>
      </c>
      <c r="C39" s="1146"/>
      <c r="D39" s="1146"/>
      <c r="E39" s="1140"/>
      <c r="F39" s="1142"/>
      <c r="G39" s="1142"/>
      <c r="H39" s="1142"/>
      <c r="I39" s="1142"/>
      <c r="J39" s="1142"/>
      <c r="K39" s="1142"/>
      <c r="L39" s="1142"/>
      <c r="M39" s="1148"/>
    </row>
    <row r="40" spans="1:13" ht="13.5" customHeight="1">
      <c r="A40" s="1139"/>
      <c r="B40" s="1141" t="s">
        <v>1548</v>
      </c>
      <c r="C40" s="1146"/>
      <c r="D40" s="1146"/>
      <c r="E40" s="1140"/>
      <c r="F40" s="1142"/>
      <c r="G40" s="1142"/>
      <c r="H40" s="1142"/>
      <c r="I40" s="1142"/>
      <c r="J40" s="1142"/>
      <c r="K40" s="1142"/>
      <c r="L40" s="1142"/>
      <c r="M40" s="1148"/>
    </row>
    <row r="41" spans="1:13" ht="13.5" customHeight="1">
      <c r="A41" s="1139"/>
      <c r="B41" s="1141" t="s">
        <v>1549</v>
      </c>
      <c r="C41" s="1146"/>
      <c r="D41" s="1146"/>
      <c r="E41" s="1140"/>
      <c r="F41" s="1147"/>
      <c r="G41" s="1147"/>
      <c r="H41" s="1147"/>
      <c r="I41" s="1147"/>
      <c r="J41" s="1147"/>
      <c r="K41" s="1147"/>
      <c r="L41" s="1147"/>
      <c r="M41" s="1148"/>
    </row>
    <row r="42" spans="1:13" ht="13.5" customHeight="1">
      <c r="A42" s="1139"/>
      <c r="B42" s="1141" t="s">
        <v>1550</v>
      </c>
      <c r="C42" s="1146"/>
      <c r="D42" s="1146"/>
      <c r="E42" s="1140"/>
      <c r="F42" s="1147"/>
      <c r="G42" s="1147"/>
      <c r="H42" s="1147"/>
      <c r="I42" s="1147"/>
      <c r="J42" s="1147"/>
      <c r="K42" s="1147"/>
      <c r="L42" s="1147"/>
      <c r="M42" s="1148"/>
    </row>
    <row r="43" spans="1:13" ht="13.5" customHeight="1">
      <c r="A43" s="1139"/>
      <c r="B43" s="1141" t="s">
        <v>1551</v>
      </c>
      <c r="C43" s="1146"/>
      <c r="D43" s="1146"/>
      <c r="E43" s="1140"/>
      <c r="F43" s="1142"/>
      <c r="G43" s="1142"/>
      <c r="H43" s="1142"/>
      <c r="I43" s="1142"/>
      <c r="J43" s="1142"/>
      <c r="K43" s="1142"/>
      <c r="L43" s="1142"/>
      <c r="M43" s="1148"/>
    </row>
    <row r="44" spans="1:13" ht="13.5" customHeight="1">
      <c r="A44" s="1139"/>
      <c r="B44" s="1141" t="s">
        <v>1552</v>
      </c>
      <c r="C44" s="1146"/>
      <c r="D44" s="1146"/>
      <c r="E44" s="1140"/>
      <c r="F44" s="1147"/>
      <c r="G44" s="1142"/>
      <c r="H44" s="1142"/>
      <c r="I44" s="1142"/>
      <c r="J44" s="1142"/>
      <c r="K44" s="1142"/>
      <c r="L44" s="1142"/>
      <c r="M44" s="1148"/>
    </row>
    <row r="45" spans="1:13" ht="13.5" customHeight="1">
      <c r="A45" s="1139"/>
      <c r="B45" s="1141" t="s">
        <v>1553</v>
      </c>
      <c r="C45" s="1146"/>
      <c r="D45" s="1146"/>
      <c r="E45" s="1140"/>
      <c r="F45" s="1147"/>
      <c r="G45" s="1142"/>
      <c r="H45" s="1142"/>
      <c r="I45" s="1142"/>
      <c r="J45" s="1142"/>
      <c r="K45" s="1142"/>
      <c r="L45" s="1142"/>
      <c r="M45" s="1150"/>
    </row>
    <row r="46" spans="1:13" ht="13.5" customHeight="1">
      <c r="A46" s="1151"/>
      <c r="B46" s="1152"/>
      <c r="C46" s="1152"/>
      <c r="D46" s="1153"/>
      <c r="E46" s="1152"/>
      <c r="F46" s="1154"/>
      <c r="G46" s="1154"/>
      <c r="H46" s="1154"/>
      <c r="I46" s="1154"/>
      <c r="J46" s="1154"/>
      <c r="K46" s="1154"/>
      <c r="L46" s="1154"/>
      <c r="M46" s="1155"/>
    </row>
    <row r="47" spans="1:13" ht="25.5" customHeight="1">
      <c r="A47" s="1128"/>
      <c r="B47" s="1129" t="s">
        <v>1557</v>
      </c>
      <c r="C47" s="1156"/>
      <c r="D47" s="1131"/>
      <c r="E47" s="1129"/>
      <c r="F47" s="1132"/>
      <c r="G47" s="1132"/>
      <c r="H47" s="1132"/>
      <c r="I47" s="1132"/>
      <c r="J47" s="1132"/>
      <c r="K47" s="1132"/>
      <c r="L47" s="1132"/>
      <c r="M47" s="1133"/>
    </row>
    <row r="48" spans="1:13" ht="28.5" customHeight="1">
      <c r="A48" s="2154"/>
      <c r="B48" s="1135" t="s">
        <v>1558</v>
      </c>
      <c r="C48" s="1135"/>
      <c r="D48" s="1136"/>
      <c r="E48" s="1135"/>
      <c r="F48" s="1137"/>
      <c r="G48" s="1137"/>
      <c r="H48" s="1137"/>
      <c r="I48" s="1137"/>
      <c r="J48" s="1137"/>
      <c r="K48" s="1137"/>
      <c r="L48" s="1137"/>
      <c r="M48" s="1157"/>
    </row>
    <row r="49" spans="2:13" ht="13.5" customHeight="1">
      <c r="B49" s="2155" t="s">
        <v>1559</v>
      </c>
      <c r="C49" s="2155"/>
      <c r="D49" s="2156"/>
      <c r="E49" s="2155"/>
      <c r="F49" s="1137"/>
      <c r="G49" s="1137"/>
      <c r="H49" s="1137"/>
      <c r="I49" s="1137"/>
      <c r="J49" s="1137"/>
      <c r="K49" s="1137"/>
      <c r="L49" s="1137"/>
      <c r="M49" s="1158"/>
    </row>
    <row r="50" spans="2:13" ht="13.5" customHeight="1">
      <c r="B50" s="2155" t="s">
        <v>1560</v>
      </c>
      <c r="C50" s="2155"/>
      <c r="D50" s="2156"/>
      <c r="E50" s="2155"/>
      <c r="F50" s="2157"/>
      <c r="G50" s="2157"/>
      <c r="H50" s="2157"/>
      <c r="I50" s="2157"/>
      <c r="J50" s="2157"/>
      <c r="K50" s="2157"/>
      <c r="L50" s="2157"/>
      <c r="M50" s="1158"/>
    </row>
    <row r="51" spans="2:13" ht="13.5" customHeight="1">
      <c r="B51" s="1159" t="s">
        <v>1561</v>
      </c>
      <c r="C51" s="1159"/>
      <c r="D51" s="1160"/>
      <c r="E51" s="1159"/>
      <c r="F51" s="1161"/>
      <c r="G51" s="1162"/>
      <c r="H51" s="1162"/>
      <c r="I51" s="1162"/>
      <c r="J51" s="1162"/>
      <c r="K51" s="1161"/>
      <c r="L51" s="1161"/>
      <c r="M51" s="1163"/>
    </row>
    <row r="52" spans="2:13" ht="21" customHeight="1">
      <c r="B52" s="39"/>
      <c r="C52" s="39"/>
      <c r="D52" s="39"/>
      <c r="E52" s="39"/>
      <c r="F52" s="177"/>
      <c r="G52" s="87"/>
      <c r="H52" s="87"/>
      <c r="I52" s="87"/>
      <c r="J52" s="2901" t="s">
        <v>1562</v>
      </c>
      <c r="K52" s="2902"/>
      <c r="L52" s="2902"/>
      <c r="M52" s="2902"/>
    </row>
    <row r="53" spans="2:13" ht="21" customHeight="1">
      <c r="B53" s="39"/>
      <c r="C53" s="39"/>
      <c r="D53" s="39"/>
      <c r="E53" s="39"/>
      <c r="F53" s="177"/>
      <c r="G53" s="87"/>
      <c r="H53" s="87"/>
      <c r="I53" s="87"/>
      <c r="J53" s="2903" t="s">
        <v>1563</v>
      </c>
      <c r="K53" s="2732"/>
      <c r="L53" s="2732"/>
      <c r="M53" s="2732"/>
    </row>
    <row r="54" spans="2:13" ht="13.5" customHeight="1">
      <c r="B54" s="36" t="s">
        <v>1564</v>
      </c>
      <c r="C54" s="39"/>
      <c r="D54" s="39"/>
      <c r="E54" s="39"/>
      <c r="F54" s="177"/>
      <c r="G54" s="87"/>
      <c r="H54" s="87"/>
      <c r="I54" s="87"/>
      <c r="J54" s="87"/>
      <c r="K54" s="1118"/>
      <c r="L54" s="1118"/>
      <c r="M54" s="13"/>
    </row>
  </sheetData>
  <mergeCells count="20">
    <mergeCell ref="A7:A8"/>
    <mergeCell ref="B7:B8"/>
    <mergeCell ref="M7:M8"/>
    <mergeCell ref="H7:H8"/>
    <mergeCell ref="I7:I8"/>
    <mergeCell ref="J7:J8"/>
    <mergeCell ref="K7:K8"/>
    <mergeCell ref="L7:L8"/>
    <mergeCell ref="C7:C8"/>
    <mergeCell ref="D7:D8"/>
    <mergeCell ref="A1:E1"/>
    <mergeCell ref="A2:E2"/>
    <mergeCell ref="A3:M3"/>
    <mergeCell ref="A4:M4"/>
    <mergeCell ref="A5:M5"/>
    <mergeCell ref="E7:E8"/>
    <mergeCell ref="F7:F8"/>
    <mergeCell ref="G7:G8"/>
    <mergeCell ref="J52:M52"/>
    <mergeCell ref="J53:M53"/>
  </mergeCells>
  <pageMargins left="0.24" right="0.17" top="0.39" bottom="0.21"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N1:T29"/>
  <sheetViews>
    <sheetView workbookViewId="0"/>
  </sheetViews>
  <sheetFormatPr defaultColWidth="14.42578125" defaultRowHeight="15" customHeight="1"/>
  <cols>
    <col min="1" max="14" width="8.7109375" customWidth="1"/>
    <col min="15" max="15" width="24.42578125" customWidth="1"/>
    <col min="16" max="16" width="48.7109375" customWidth="1"/>
    <col min="17" max="17" width="11.28515625" customWidth="1"/>
    <col min="18" max="18" width="13.7109375" customWidth="1"/>
    <col min="19" max="19" width="12.42578125" customWidth="1"/>
    <col min="20" max="94" width="8.7109375" customWidth="1"/>
  </cols>
  <sheetData>
    <row r="1" spans="14:20" ht="15.75">
      <c r="N1" s="2914" t="s">
        <v>1565</v>
      </c>
      <c r="O1" s="2796"/>
      <c r="P1" s="2914" t="s">
        <v>1566</v>
      </c>
      <c r="Q1" s="2796"/>
      <c r="R1" s="2796"/>
      <c r="S1" s="2796"/>
      <c r="T1" s="2796"/>
    </row>
    <row r="2" spans="14:20" ht="15.75">
      <c r="N2" s="2915" t="s">
        <v>23</v>
      </c>
      <c r="O2" s="2796"/>
      <c r="P2" s="2915" t="s">
        <v>1567</v>
      </c>
      <c r="Q2" s="2796"/>
      <c r="R2" s="2796"/>
      <c r="S2" s="2796"/>
      <c r="T2" s="2796"/>
    </row>
    <row r="3" spans="14:20" ht="16.5">
      <c r="N3" s="2158"/>
      <c r="O3" s="2159"/>
      <c r="P3" s="2160"/>
      <c r="Q3" s="2158"/>
      <c r="R3" s="2158"/>
      <c r="S3" s="2160"/>
      <c r="T3" s="2158"/>
    </row>
    <row r="4" spans="14:20" ht="16.5">
      <c r="N4" s="2158"/>
      <c r="O4" s="2909" t="s">
        <v>1568</v>
      </c>
      <c r="P4" s="2796"/>
      <c r="Q4" s="2796"/>
      <c r="R4" s="2796"/>
      <c r="S4" s="2796"/>
      <c r="T4" s="2158"/>
    </row>
    <row r="5" spans="14:20" ht="16.5">
      <c r="N5" s="2909" t="s">
        <v>1569</v>
      </c>
      <c r="O5" s="2796"/>
      <c r="P5" s="2796"/>
      <c r="Q5" s="2796"/>
      <c r="R5" s="2796"/>
      <c r="S5" s="2796"/>
      <c r="T5" s="2796"/>
    </row>
    <row r="6" spans="14:20" ht="16.5">
      <c r="N6" s="2910" t="s">
        <v>1570</v>
      </c>
      <c r="O6" s="2796"/>
      <c r="P6" s="2796"/>
      <c r="Q6" s="2796"/>
      <c r="R6" s="2796"/>
      <c r="S6" s="2796"/>
      <c r="T6" s="2796"/>
    </row>
    <row r="7" spans="14:20" ht="16.5">
      <c r="N7" s="2158"/>
      <c r="O7" s="2159"/>
      <c r="P7" s="2160"/>
      <c r="Q7" s="2158"/>
      <c r="R7" s="2158"/>
      <c r="S7" s="2160"/>
      <c r="T7" s="2158"/>
    </row>
    <row r="8" spans="14:20" ht="15.75">
      <c r="N8" s="1165" t="s">
        <v>1571</v>
      </c>
      <c r="O8" s="1166" t="s">
        <v>1572</v>
      </c>
      <c r="P8" s="1167" t="s">
        <v>1573</v>
      </c>
      <c r="Q8" s="1168" t="s">
        <v>1574</v>
      </c>
      <c r="R8" s="1168" t="s">
        <v>1575</v>
      </c>
      <c r="S8" s="1168" t="s">
        <v>1576</v>
      </c>
      <c r="T8" s="1168" t="s">
        <v>1577</v>
      </c>
    </row>
    <row r="9" spans="14:20" ht="16.5">
      <c r="N9" s="2912">
        <v>1</v>
      </c>
      <c r="O9" s="2913" t="s">
        <v>1578</v>
      </c>
      <c r="P9" s="2161" t="s">
        <v>495</v>
      </c>
      <c r="Q9" s="2162">
        <v>26</v>
      </c>
      <c r="R9" s="2162">
        <v>49</v>
      </c>
      <c r="S9" s="2163">
        <v>30</v>
      </c>
      <c r="T9" s="2911">
        <v>1410</v>
      </c>
    </row>
    <row r="10" spans="14:20" ht="16.5">
      <c r="N10" s="2834"/>
      <c r="O10" s="2834"/>
      <c r="P10" s="2161" t="s">
        <v>496</v>
      </c>
      <c r="Q10" s="2162">
        <v>21</v>
      </c>
      <c r="R10" s="2162">
        <v>21</v>
      </c>
      <c r="S10" s="2163">
        <v>30</v>
      </c>
      <c r="T10" s="2834"/>
    </row>
    <row r="11" spans="14:20" ht="16.5">
      <c r="N11" s="2834"/>
      <c r="O11" s="2834"/>
      <c r="P11" s="2161" t="s">
        <v>497</v>
      </c>
      <c r="Q11" s="2162">
        <v>40</v>
      </c>
      <c r="R11" s="2162">
        <v>47</v>
      </c>
      <c r="S11" s="2163">
        <v>50</v>
      </c>
      <c r="T11" s="2834"/>
    </row>
    <row r="12" spans="14:20" ht="16.5">
      <c r="N12" s="2834"/>
      <c r="O12" s="2834"/>
      <c r="P12" s="2161" t="s">
        <v>498</v>
      </c>
      <c r="Q12" s="2162">
        <v>120</v>
      </c>
      <c r="R12" s="2162">
        <v>110</v>
      </c>
      <c r="S12" s="2163">
        <v>120</v>
      </c>
      <c r="T12" s="2834"/>
    </row>
    <row r="13" spans="14:20" ht="16.5">
      <c r="N13" s="2834"/>
      <c r="O13" s="2834"/>
      <c r="P13" s="2161" t="s">
        <v>499</v>
      </c>
      <c r="Q13" s="2162">
        <v>30</v>
      </c>
      <c r="R13" s="2162">
        <v>32</v>
      </c>
      <c r="S13" s="2163">
        <v>30</v>
      </c>
      <c r="T13" s="2834"/>
    </row>
    <row r="14" spans="14:20" ht="16.5">
      <c r="N14" s="2834"/>
      <c r="O14" s="2834"/>
      <c r="P14" s="2161" t="s">
        <v>500</v>
      </c>
      <c r="Q14" s="2162">
        <v>15</v>
      </c>
      <c r="R14" s="2162">
        <v>27</v>
      </c>
      <c r="S14" s="2163">
        <v>30</v>
      </c>
      <c r="T14" s="2834"/>
    </row>
    <row r="15" spans="14:20" ht="16.5">
      <c r="N15" s="2834"/>
      <c r="O15" s="2834"/>
      <c r="P15" s="2161" t="s">
        <v>501</v>
      </c>
      <c r="Q15" s="2162">
        <v>300</v>
      </c>
      <c r="R15" s="2162">
        <v>182</v>
      </c>
      <c r="S15" s="2163">
        <v>300</v>
      </c>
      <c r="T15" s="2834"/>
    </row>
    <row r="16" spans="14:20" ht="16.5">
      <c r="N16" s="2834"/>
      <c r="O16" s="2834"/>
      <c r="P16" s="2164" t="s">
        <v>502</v>
      </c>
      <c r="Q16" s="2165"/>
      <c r="R16" s="2166"/>
      <c r="S16" s="2166">
        <v>30</v>
      </c>
      <c r="T16" s="2834"/>
    </row>
    <row r="17" spans="14:20" ht="16.5">
      <c r="N17" s="2834"/>
      <c r="O17" s="2834"/>
      <c r="P17" s="2161" t="s">
        <v>504</v>
      </c>
      <c r="Q17" s="2162">
        <v>520</v>
      </c>
      <c r="R17" s="2162">
        <v>437</v>
      </c>
      <c r="S17" s="2163">
        <v>520</v>
      </c>
      <c r="T17" s="2834"/>
    </row>
    <row r="18" spans="14:20" ht="16.5">
      <c r="N18" s="2834"/>
      <c r="O18" s="2834"/>
      <c r="P18" s="2161" t="s">
        <v>506</v>
      </c>
      <c r="Q18" s="2162">
        <v>30</v>
      </c>
      <c r="R18" s="2162">
        <v>27</v>
      </c>
      <c r="S18" s="2163">
        <v>30</v>
      </c>
      <c r="T18" s="2834"/>
    </row>
    <row r="19" spans="14:20" ht="16.5">
      <c r="N19" s="2834"/>
      <c r="O19" s="2834"/>
      <c r="P19" s="2161" t="s">
        <v>507</v>
      </c>
      <c r="Q19" s="2162">
        <v>14</v>
      </c>
      <c r="R19" s="2162">
        <v>35</v>
      </c>
      <c r="S19" s="2163">
        <v>30</v>
      </c>
      <c r="T19" s="2834"/>
    </row>
    <row r="20" spans="14:20" ht="16.5">
      <c r="N20" s="2834"/>
      <c r="O20" s="2834"/>
      <c r="P20" s="2161" t="s">
        <v>508</v>
      </c>
      <c r="Q20" s="2162">
        <v>41</v>
      </c>
      <c r="R20" s="2162">
        <v>61</v>
      </c>
      <c r="S20" s="2163">
        <v>30</v>
      </c>
      <c r="T20" s="2834"/>
    </row>
    <row r="21" spans="14:20" ht="15.75" customHeight="1">
      <c r="N21" s="2834"/>
      <c r="O21" s="2834"/>
      <c r="P21" s="2161" t="s">
        <v>509</v>
      </c>
      <c r="Q21" s="2162">
        <v>27</v>
      </c>
      <c r="R21" s="2162">
        <v>51</v>
      </c>
      <c r="S21" s="2163">
        <v>30</v>
      </c>
      <c r="T21" s="2834"/>
    </row>
    <row r="22" spans="14:20" ht="15.75" customHeight="1">
      <c r="N22" s="2779"/>
      <c r="O22" s="2779"/>
      <c r="P22" s="2161" t="s">
        <v>510</v>
      </c>
      <c r="Q22" s="2162">
        <v>136</v>
      </c>
      <c r="R22" s="2162">
        <v>113</v>
      </c>
      <c r="S22" s="2163">
        <v>150</v>
      </c>
      <c r="T22" s="2779"/>
    </row>
    <row r="23" spans="14:20" ht="15.75" customHeight="1">
      <c r="N23" s="2912">
        <v>2</v>
      </c>
      <c r="O23" s="2913" t="s">
        <v>1579</v>
      </c>
      <c r="P23" s="2161" t="s">
        <v>1580</v>
      </c>
      <c r="Q23" s="2162">
        <v>200</v>
      </c>
      <c r="R23" s="2162">
        <v>217</v>
      </c>
      <c r="S23" s="2163">
        <v>200</v>
      </c>
      <c r="T23" s="2911">
        <v>530</v>
      </c>
    </row>
    <row r="24" spans="14:20" ht="15.75" customHeight="1">
      <c r="N24" s="2834"/>
      <c r="O24" s="2834"/>
      <c r="P24" s="2164" t="s">
        <v>1581</v>
      </c>
      <c r="Q24" s="2165"/>
      <c r="R24" s="2166"/>
      <c r="S24" s="2166">
        <v>30</v>
      </c>
      <c r="T24" s="2834"/>
    </row>
    <row r="25" spans="14:20" ht="15.75" customHeight="1">
      <c r="N25" s="2834"/>
      <c r="O25" s="2834"/>
      <c r="P25" s="2161" t="s">
        <v>1582</v>
      </c>
      <c r="Q25" s="2162">
        <v>270</v>
      </c>
      <c r="R25" s="2162">
        <v>199</v>
      </c>
      <c r="S25" s="2163">
        <v>270</v>
      </c>
      <c r="T25" s="2834"/>
    </row>
    <row r="26" spans="14:20" ht="15.75" customHeight="1">
      <c r="N26" s="2779"/>
      <c r="O26" s="2779"/>
      <c r="P26" s="2161" t="s">
        <v>1583</v>
      </c>
      <c r="Q26" s="2162">
        <v>30</v>
      </c>
      <c r="R26" s="2162">
        <v>25</v>
      </c>
      <c r="S26" s="2163">
        <v>30</v>
      </c>
      <c r="T26" s="2779"/>
    </row>
    <row r="27" spans="14:20" ht="15.75" customHeight="1">
      <c r="N27" s="2912">
        <v>3</v>
      </c>
      <c r="O27" s="2913" t="s">
        <v>1584</v>
      </c>
      <c r="P27" s="2161" t="s">
        <v>1585</v>
      </c>
      <c r="Q27" s="2162">
        <v>30</v>
      </c>
      <c r="R27" s="2162">
        <v>30</v>
      </c>
      <c r="S27" s="2163">
        <v>30</v>
      </c>
      <c r="T27" s="2911">
        <v>60</v>
      </c>
    </row>
    <row r="28" spans="14:20" ht="15.75" customHeight="1">
      <c r="N28" s="2779"/>
      <c r="O28" s="2779"/>
      <c r="P28" s="2164" t="s">
        <v>1586</v>
      </c>
      <c r="Q28" s="2165"/>
      <c r="R28" s="2166"/>
      <c r="S28" s="2166">
        <v>30</v>
      </c>
      <c r="T28" s="2779"/>
    </row>
    <row r="29" spans="14:20" ht="15.75" customHeight="1">
      <c r="N29" s="1169">
        <v>4</v>
      </c>
      <c r="O29" s="2161" t="s">
        <v>1587</v>
      </c>
      <c r="P29" s="2161" t="s">
        <v>1588</v>
      </c>
      <c r="Q29" s="2162">
        <v>30</v>
      </c>
      <c r="R29" s="2162">
        <v>25</v>
      </c>
      <c r="S29" s="2163">
        <v>30</v>
      </c>
      <c r="T29" s="2163">
        <v>30</v>
      </c>
    </row>
  </sheetData>
  <mergeCells count="16">
    <mergeCell ref="N1:O1"/>
    <mergeCell ref="P1:T1"/>
    <mergeCell ref="N2:O2"/>
    <mergeCell ref="P2:T2"/>
    <mergeCell ref="O4:S4"/>
    <mergeCell ref="N5:T5"/>
    <mergeCell ref="N6:T6"/>
    <mergeCell ref="T23:T26"/>
    <mergeCell ref="T27:T28"/>
    <mergeCell ref="N9:N22"/>
    <mergeCell ref="O9:O22"/>
    <mergeCell ref="T9:T22"/>
    <mergeCell ref="N23:N26"/>
    <mergeCell ref="O23:O26"/>
    <mergeCell ref="N27:N28"/>
    <mergeCell ref="O27:O28"/>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8"/>
  <sheetViews>
    <sheetView workbookViewId="0">
      <pane xSplit="1" ySplit="6" topLeftCell="B7" activePane="bottomRight" state="frozen"/>
      <selection pane="topRight" activeCell="B1" sqref="B1"/>
      <selection pane="bottomLeft" activeCell="A7" sqref="A7"/>
      <selection pane="bottomRight" activeCell="B1" sqref="B1"/>
    </sheetView>
  </sheetViews>
  <sheetFormatPr defaultColWidth="14.42578125" defaultRowHeight="15" customHeight="1"/>
  <cols>
    <col min="1" max="1" width="7.140625" customWidth="1"/>
    <col min="2" max="2" width="52" customWidth="1"/>
    <col min="3" max="4" width="13.140625" customWidth="1"/>
    <col min="5" max="5" width="13.7109375" customWidth="1"/>
    <col min="6" max="6" width="15" customWidth="1"/>
    <col min="7" max="8" width="10.7109375" customWidth="1"/>
    <col min="9" max="9" width="31.7109375" customWidth="1"/>
    <col min="10" max="10" width="32.140625" customWidth="1"/>
    <col min="11" max="26" width="10.7109375" customWidth="1"/>
  </cols>
  <sheetData>
    <row r="3" spans="1:13" ht="18.75" customHeight="1">
      <c r="A3" s="1170"/>
      <c r="B3" s="2917" t="s">
        <v>1589</v>
      </c>
      <c r="C3" s="2732"/>
      <c r="D3" s="2732"/>
      <c r="E3" s="2732"/>
      <c r="F3" s="2732"/>
      <c r="I3" s="1171"/>
      <c r="J3" s="1172" t="s">
        <v>1590</v>
      </c>
      <c r="K3" s="1172"/>
      <c r="L3" s="1172"/>
      <c r="M3" s="45"/>
    </row>
    <row r="4" spans="1:13" ht="18.75" customHeight="1">
      <c r="A4" s="1170"/>
      <c r="B4" s="1173"/>
      <c r="C4" s="1174"/>
      <c r="D4" s="1174"/>
      <c r="E4" s="1174"/>
      <c r="F4" s="1174"/>
      <c r="G4" s="1174"/>
      <c r="H4" s="45"/>
      <c r="I4" s="45"/>
      <c r="J4" s="45"/>
      <c r="K4" s="45"/>
      <c r="L4" s="45"/>
      <c r="M4" s="45"/>
    </row>
    <row r="5" spans="1:13" ht="18.75" customHeight="1">
      <c r="A5" s="2918" t="s">
        <v>186</v>
      </c>
      <c r="B5" s="2168" t="s">
        <v>1591</v>
      </c>
      <c r="C5" s="2916" t="s">
        <v>1592</v>
      </c>
      <c r="D5" s="2919" t="s">
        <v>1593</v>
      </c>
      <c r="E5" s="2920" t="s">
        <v>1594</v>
      </c>
      <c r="F5" s="2783"/>
      <c r="G5" s="2916" t="s">
        <v>32</v>
      </c>
      <c r="I5" s="1175" t="s">
        <v>27</v>
      </c>
      <c r="J5" s="1176" t="s">
        <v>1595</v>
      </c>
      <c r="K5" s="1176" t="s">
        <v>1596</v>
      </c>
      <c r="L5" s="1176" t="s">
        <v>1597</v>
      </c>
      <c r="M5" s="1176" t="s">
        <v>1598</v>
      </c>
    </row>
    <row r="6" spans="1:13" ht="18.75" customHeight="1">
      <c r="A6" s="2779"/>
      <c r="B6" s="1177" t="s">
        <v>1599</v>
      </c>
      <c r="C6" s="2779"/>
      <c r="D6" s="2779"/>
      <c r="E6" s="1178" t="s">
        <v>1600</v>
      </c>
      <c r="F6" s="1178" t="s">
        <v>1601</v>
      </c>
      <c r="G6" s="2779"/>
      <c r="I6" s="1179"/>
      <c r="J6" s="1180"/>
      <c r="K6" s="1180"/>
      <c r="L6" s="1180"/>
      <c r="M6" s="1180"/>
    </row>
    <row r="7" spans="1:13" ht="56.25">
      <c r="A7" s="2169">
        <v>1</v>
      </c>
      <c r="B7" s="1181" t="s">
        <v>1602</v>
      </c>
      <c r="C7" s="1182">
        <v>0.75</v>
      </c>
      <c r="D7" s="1182">
        <v>0.75</v>
      </c>
      <c r="E7" s="2170"/>
      <c r="F7" s="1183"/>
      <c r="G7" s="1184" t="s">
        <v>1603</v>
      </c>
      <c r="I7" s="1185" t="s">
        <v>200</v>
      </c>
      <c r="J7" s="1186" t="s">
        <v>1604</v>
      </c>
      <c r="K7" s="1187">
        <v>1</v>
      </c>
      <c r="L7" s="1187">
        <v>1</v>
      </c>
      <c r="M7" s="1187">
        <v>1</v>
      </c>
    </row>
    <row r="8" spans="1:13" ht="93.75">
      <c r="A8" s="2169">
        <v>2</v>
      </c>
      <c r="B8" s="1181" t="s">
        <v>1605</v>
      </c>
      <c r="C8" s="1182">
        <v>0.7</v>
      </c>
      <c r="D8" s="1182">
        <v>0.7</v>
      </c>
      <c r="E8" s="2170"/>
      <c r="F8" s="1183"/>
      <c r="G8" s="1184" t="s">
        <v>1603</v>
      </c>
      <c r="I8" s="1185" t="s">
        <v>206</v>
      </c>
      <c r="J8" s="1186" t="s">
        <v>1606</v>
      </c>
      <c r="K8" s="1187">
        <v>0.7</v>
      </c>
      <c r="L8" s="1187">
        <v>0</v>
      </c>
      <c r="M8" s="1187">
        <v>0.7</v>
      </c>
    </row>
    <row r="9" spans="1:13" ht="56.25">
      <c r="A9" s="2169">
        <v>3</v>
      </c>
      <c r="B9" s="1188" t="s">
        <v>1607</v>
      </c>
      <c r="C9" s="1182">
        <v>0.65</v>
      </c>
      <c r="D9" s="1182">
        <v>0.65</v>
      </c>
      <c r="E9" s="2170"/>
      <c r="F9" s="1183"/>
      <c r="G9" s="1184"/>
      <c r="I9" s="1185" t="s">
        <v>211</v>
      </c>
      <c r="J9" s="1186" t="s">
        <v>1608</v>
      </c>
      <c r="K9" s="1187">
        <v>0.6</v>
      </c>
      <c r="L9" s="1187">
        <v>0.6</v>
      </c>
      <c r="M9" s="1187">
        <v>0.6</v>
      </c>
    </row>
    <row r="10" spans="1:13" ht="56.25">
      <c r="A10" s="2169"/>
      <c r="B10" s="1181" t="s">
        <v>1609</v>
      </c>
      <c r="C10" s="1184"/>
      <c r="D10" s="1184"/>
      <c r="E10" s="2170"/>
      <c r="F10" s="1183"/>
      <c r="G10" s="1184" t="s">
        <v>1603</v>
      </c>
      <c r="I10" s="1185" t="s">
        <v>215</v>
      </c>
      <c r="J10" s="1186" t="s">
        <v>1610</v>
      </c>
      <c r="K10" s="1187">
        <v>1</v>
      </c>
      <c r="L10" s="1187">
        <v>1</v>
      </c>
      <c r="M10" s="1187">
        <v>1</v>
      </c>
    </row>
    <row r="11" spans="1:13" ht="37.5">
      <c r="A11" s="2169"/>
      <c r="B11" s="1189" t="s">
        <v>1611</v>
      </c>
      <c r="C11" s="1182"/>
      <c r="D11" s="1182"/>
      <c r="E11" s="2170"/>
      <c r="F11" s="1183"/>
      <c r="G11" s="1184" t="s">
        <v>1603</v>
      </c>
      <c r="I11" s="1185" t="s">
        <v>219</v>
      </c>
      <c r="J11" s="1186" t="s">
        <v>1612</v>
      </c>
      <c r="K11" s="1187">
        <v>0.1</v>
      </c>
      <c r="L11" s="1187">
        <v>0.1</v>
      </c>
      <c r="M11" s="1187">
        <v>0.1</v>
      </c>
    </row>
    <row r="12" spans="1:13" ht="44.25" customHeight="1">
      <c r="A12" s="2169">
        <v>4</v>
      </c>
      <c r="B12" s="1181" t="s">
        <v>1613</v>
      </c>
      <c r="C12" s="1182">
        <v>0.4</v>
      </c>
      <c r="D12" s="1182">
        <v>0.4</v>
      </c>
      <c r="E12" s="2170"/>
      <c r="F12" s="1183"/>
      <c r="G12" s="1184" t="s">
        <v>1603</v>
      </c>
      <c r="I12" s="1185" t="s">
        <v>224</v>
      </c>
      <c r="J12" s="1186" t="s">
        <v>1614</v>
      </c>
      <c r="K12" s="1187">
        <v>0.1</v>
      </c>
      <c r="L12" s="1187">
        <v>0.1</v>
      </c>
      <c r="M12" s="1187">
        <v>0</v>
      </c>
    </row>
    <row r="13" spans="1:13" ht="66" customHeight="1">
      <c r="A13" s="2169">
        <v>5</v>
      </c>
      <c r="B13" s="1181" t="s">
        <v>1615</v>
      </c>
      <c r="C13" s="1182">
        <v>0.3</v>
      </c>
      <c r="D13" s="1182">
        <v>0.3</v>
      </c>
      <c r="E13" s="2170"/>
      <c r="F13" s="1183"/>
      <c r="G13" s="1184" t="s">
        <v>1603</v>
      </c>
      <c r="H13" s="45"/>
      <c r="I13" s="45"/>
      <c r="J13" s="45"/>
      <c r="K13" s="45"/>
      <c r="L13" s="45"/>
      <c r="M13" s="45"/>
    </row>
    <row r="14" spans="1:13" ht="18.75" customHeight="1">
      <c r="A14" s="2171"/>
      <c r="B14" s="1189" t="s">
        <v>1616</v>
      </c>
      <c r="C14" s="1182"/>
      <c r="D14" s="1182"/>
      <c r="E14" s="2170"/>
      <c r="F14" s="1183"/>
      <c r="G14" s="1184" t="s">
        <v>1603</v>
      </c>
      <c r="H14" s="45"/>
      <c r="I14" s="45"/>
      <c r="J14" s="45"/>
      <c r="K14" s="45"/>
      <c r="L14" s="45"/>
      <c r="M14" s="45"/>
    </row>
    <row r="15" spans="1:13" ht="18.75" customHeight="1">
      <c r="A15" s="2169">
        <v>6</v>
      </c>
      <c r="B15" s="1181" t="s">
        <v>1613</v>
      </c>
      <c r="C15" s="1182">
        <v>0.3</v>
      </c>
      <c r="D15" s="1182">
        <v>0.3</v>
      </c>
      <c r="E15" s="2170"/>
      <c r="F15" s="1183"/>
      <c r="G15" s="1184" t="s">
        <v>1603</v>
      </c>
      <c r="H15" s="45"/>
      <c r="I15" s="45"/>
      <c r="J15" s="45"/>
      <c r="K15" s="45"/>
      <c r="L15" s="45"/>
      <c r="M15" s="45"/>
    </row>
    <row r="16" spans="1:13" ht="18.75" customHeight="1">
      <c r="A16" s="2169">
        <v>7</v>
      </c>
      <c r="B16" s="1181" t="s">
        <v>1615</v>
      </c>
      <c r="C16" s="1182">
        <v>0.2</v>
      </c>
      <c r="D16" s="1182">
        <v>0.2</v>
      </c>
      <c r="E16" s="2170"/>
      <c r="F16" s="1183"/>
      <c r="G16" s="1184" t="s">
        <v>1603</v>
      </c>
      <c r="H16" s="45"/>
      <c r="I16" s="45"/>
      <c r="J16" s="45"/>
      <c r="K16" s="45"/>
      <c r="L16" s="45"/>
      <c r="M16" s="45"/>
    </row>
    <row r="17" spans="1:7" ht="18.75" customHeight="1">
      <c r="A17" s="2171">
        <v>8</v>
      </c>
      <c r="B17" s="1181" t="s">
        <v>1617</v>
      </c>
      <c r="C17" s="1182">
        <v>0.2</v>
      </c>
      <c r="D17" s="1182">
        <v>0.2</v>
      </c>
      <c r="E17" s="2170"/>
      <c r="F17" s="1183"/>
      <c r="G17" s="1184" t="s">
        <v>1603</v>
      </c>
    </row>
    <row r="18" spans="1:7" ht="18.75" customHeight="1">
      <c r="A18" s="2169">
        <v>9</v>
      </c>
      <c r="B18" s="1188" t="s">
        <v>1618</v>
      </c>
      <c r="C18" s="1182">
        <v>0.2</v>
      </c>
      <c r="D18" s="1182">
        <v>0.2</v>
      </c>
      <c r="E18" s="2170"/>
      <c r="F18" s="1183"/>
      <c r="G18" s="1184"/>
    </row>
    <row r="19" spans="1:7" ht="18.75" customHeight="1">
      <c r="A19" s="2169">
        <v>10</v>
      </c>
      <c r="B19" s="1181" t="s">
        <v>1619</v>
      </c>
      <c r="C19" s="1182">
        <v>0.15</v>
      </c>
      <c r="D19" s="1182">
        <v>0.15</v>
      </c>
      <c r="E19" s="2170"/>
      <c r="F19" s="1183"/>
      <c r="G19" s="1184" t="s">
        <v>1603</v>
      </c>
    </row>
    <row r="20" spans="1:7" ht="18.75" customHeight="1">
      <c r="A20" s="2169">
        <v>11</v>
      </c>
      <c r="B20" s="1181" t="s">
        <v>1620</v>
      </c>
      <c r="C20" s="1182">
        <v>0.1</v>
      </c>
      <c r="D20" s="1182">
        <v>0.1</v>
      </c>
      <c r="E20" s="2170"/>
      <c r="F20" s="1183"/>
      <c r="G20" s="1184" t="s">
        <v>1603</v>
      </c>
    </row>
    <row r="21" spans="1:7" ht="18.75" customHeight="1">
      <c r="A21" s="2169">
        <v>12</v>
      </c>
      <c r="B21" s="1188" t="s">
        <v>1621</v>
      </c>
      <c r="C21" s="1182">
        <v>0.1</v>
      </c>
      <c r="D21" s="1182">
        <v>0.1</v>
      </c>
      <c r="E21" s="2170"/>
      <c r="F21" s="1183"/>
      <c r="G21" s="1184"/>
    </row>
    <row r="22" spans="1:7" ht="18.75" customHeight="1">
      <c r="A22" s="2169">
        <v>13</v>
      </c>
      <c r="B22" s="1181" t="s">
        <v>1622</v>
      </c>
      <c r="C22" s="1182">
        <v>0.85</v>
      </c>
      <c r="D22" s="1182">
        <v>0.85</v>
      </c>
      <c r="E22" s="2170"/>
      <c r="F22" s="1183"/>
      <c r="G22" s="1184" t="s">
        <v>1603</v>
      </c>
    </row>
    <row r="23" spans="1:7" ht="18.75" customHeight="1">
      <c r="A23" s="2169">
        <v>14</v>
      </c>
      <c r="B23" s="1181" t="s">
        <v>1623</v>
      </c>
      <c r="C23" s="1182">
        <v>0.7</v>
      </c>
      <c r="D23" s="2172">
        <v>0.7</v>
      </c>
      <c r="E23" s="2170"/>
      <c r="F23" s="1183"/>
      <c r="G23" s="1184" t="s">
        <v>1603</v>
      </c>
    </row>
    <row r="24" spans="1:7" ht="18.75" customHeight="1">
      <c r="A24" s="2169">
        <v>15</v>
      </c>
      <c r="B24" s="1181" t="s">
        <v>1624</v>
      </c>
      <c r="C24" s="1182">
        <v>0.15</v>
      </c>
      <c r="D24" s="2172">
        <v>0.15</v>
      </c>
      <c r="E24" s="2170"/>
      <c r="F24" s="1183"/>
      <c r="G24" s="1184" t="s">
        <v>1603</v>
      </c>
    </row>
    <row r="25" spans="1:7" ht="18.75" customHeight="1">
      <c r="A25" s="2169">
        <v>16</v>
      </c>
      <c r="B25" s="1181" t="s">
        <v>1625</v>
      </c>
      <c r="C25" s="1182">
        <v>0.1</v>
      </c>
      <c r="D25" s="2172">
        <v>0.1</v>
      </c>
      <c r="E25" s="2170"/>
      <c r="F25" s="1183"/>
      <c r="G25" s="1184" t="s">
        <v>1603</v>
      </c>
    </row>
    <row r="26" spans="1:7" ht="39.75" customHeight="1">
      <c r="A26" s="2169">
        <v>17</v>
      </c>
      <c r="B26" s="1181" t="s">
        <v>1626</v>
      </c>
      <c r="C26" s="1182">
        <v>0.65</v>
      </c>
      <c r="D26" s="2172">
        <v>0.65</v>
      </c>
      <c r="E26" s="2170"/>
      <c r="F26" s="1183"/>
      <c r="G26" s="1184" t="s">
        <v>1603</v>
      </c>
    </row>
    <row r="27" spans="1:7" ht="36" customHeight="1">
      <c r="A27" s="2171">
        <v>26</v>
      </c>
      <c r="B27" s="2173" t="s">
        <v>1627</v>
      </c>
      <c r="C27" s="1190">
        <v>0.2</v>
      </c>
      <c r="D27" s="2174">
        <v>0.2</v>
      </c>
      <c r="E27" s="2170"/>
      <c r="F27" s="1183"/>
      <c r="G27" s="1191"/>
    </row>
    <row r="28" spans="1:7" ht="66.75">
      <c r="A28" s="2171">
        <v>18</v>
      </c>
      <c r="B28" s="1181" t="s">
        <v>1628</v>
      </c>
      <c r="C28" s="1182">
        <v>0.15</v>
      </c>
      <c r="D28" s="2172">
        <v>0.15</v>
      </c>
      <c r="E28" s="2170"/>
      <c r="F28" s="1183"/>
      <c r="G28" s="1184" t="s">
        <v>1603</v>
      </c>
    </row>
    <row r="29" spans="1:7" ht="52.5" customHeight="1">
      <c r="A29" s="2171">
        <v>19</v>
      </c>
      <c r="B29" s="1181" t="s">
        <v>1629</v>
      </c>
      <c r="C29" s="1182">
        <v>0.1</v>
      </c>
      <c r="D29" s="2172">
        <v>0.1</v>
      </c>
      <c r="E29" s="2170"/>
      <c r="F29" s="1183"/>
      <c r="G29" s="1184" t="s">
        <v>1603</v>
      </c>
    </row>
    <row r="30" spans="1:7" ht="34.5">
      <c r="A30" s="2171">
        <v>20</v>
      </c>
      <c r="B30" s="1188" t="s">
        <v>1630</v>
      </c>
      <c r="C30" s="1190">
        <v>0.1</v>
      </c>
      <c r="D30" s="2174">
        <v>0.1</v>
      </c>
      <c r="E30" s="2170"/>
      <c r="F30" s="1183"/>
      <c r="G30" s="1191"/>
    </row>
    <row r="31" spans="1:7" ht="18.75" customHeight="1">
      <c r="A31" s="2171"/>
      <c r="B31" s="1189" t="s">
        <v>1631</v>
      </c>
      <c r="C31" s="1182"/>
      <c r="D31" s="2172"/>
      <c r="E31" s="2170"/>
      <c r="F31" s="1183"/>
      <c r="G31" s="1184" t="s">
        <v>1603</v>
      </c>
    </row>
    <row r="32" spans="1:7" ht="18.75" customHeight="1">
      <c r="A32" s="2169">
        <v>21</v>
      </c>
      <c r="B32" s="1181" t="s">
        <v>1632</v>
      </c>
      <c r="C32" s="1182">
        <v>0.7</v>
      </c>
      <c r="D32" s="2172">
        <v>0.7</v>
      </c>
      <c r="E32" s="2170"/>
      <c r="F32" s="1183"/>
      <c r="G32" s="1184" t="s">
        <v>1603</v>
      </c>
    </row>
    <row r="33" spans="1:7" ht="18.75" customHeight="1">
      <c r="A33" s="2169">
        <v>22</v>
      </c>
      <c r="B33" s="1181" t="s">
        <v>1633</v>
      </c>
      <c r="C33" s="1182">
        <v>0.6</v>
      </c>
      <c r="D33" s="2172">
        <v>0.6</v>
      </c>
      <c r="E33" s="2170"/>
      <c r="F33" s="1183"/>
      <c r="G33" s="1184" t="s">
        <v>1603</v>
      </c>
    </row>
    <row r="34" spans="1:7" ht="18.75" customHeight="1">
      <c r="A34" s="2171">
        <v>23</v>
      </c>
      <c r="B34" s="1181" t="s">
        <v>1634</v>
      </c>
      <c r="C34" s="1182">
        <v>0.6</v>
      </c>
      <c r="D34" s="2172">
        <v>0.6</v>
      </c>
      <c r="E34" s="2170"/>
      <c r="F34" s="1183"/>
      <c r="G34" s="1184" t="s">
        <v>1603</v>
      </c>
    </row>
    <row r="35" spans="1:7" ht="49.5" customHeight="1">
      <c r="A35" s="2171"/>
      <c r="B35" s="1181" t="s">
        <v>1635</v>
      </c>
      <c r="C35" s="1182">
        <v>0.4</v>
      </c>
      <c r="D35" s="2172">
        <v>0.4</v>
      </c>
      <c r="E35" s="2170"/>
      <c r="F35" s="1183"/>
      <c r="G35" s="1184" t="s">
        <v>1603</v>
      </c>
    </row>
    <row r="36" spans="1:7" ht="120.75" customHeight="1">
      <c r="A36" s="2171">
        <v>25</v>
      </c>
      <c r="B36" s="1181" t="s">
        <v>1636</v>
      </c>
      <c r="C36" s="1182">
        <v>0.3</v>
      </c>
      <c r="D36" s="2172">
        <v>0.3</v>
      </c>
      <c r="E36" s="2170"/>
      <c r="F36" s="1183"/>
      <c r="G36" s="1184" t="s">
        <v>1603</v>
      </c>
    </row>
    <row r="37" spans="1:7" ht="18.75" customHeight="1">
      <c r="A37" s="2167">
        <v>24</v>
      </c>
      <c r="B37" s="1192" t="s">
        <v>1637</v>
      </c>
      <c r="C37" s="1193">
        <v>0.35</v>
      </c>
      <c r="D37" s="1040"/>
      <c r="E37" s="1194"/>
      <c r="F37" s="1194"/>
      <c r="G37" s="1195" t="s">
        <v>1603</v>
      </c>
    </row>
    <row r="38" spans="1:7" ht="18.75" customHeight="1">
      <c r="A38" s="2167">
        <v>27</v>
      </c>
      <c r="B38" s="1196" t="s">
        <v>1638</v>
      </c>
      <c r="C38" s="1197">
        <v>0.5</v>
      </c>
      <c r="D38" s="1198"/>
      <c r="E38" s="1194"/>
      <c r="F38" s="1194"/>
      <c r="G38" s="1194" t="s">
        <v>1639</v>
      </c>
    </row>
  </sheetData>
  <mergeCells count="6">
    <mergeCell ref="G5:G6"/>
    <mergeCell ref="B3:F3"/>
    <mergeCell ref="A5:A6"/>
    <mergeCell ref="C5:C6"/>
    <mergeCell ref="D5:D6"/>
    <mergeCell ref="E5:F5"/>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workbookViewId="0">
      <pane xSplit="2" ySplit="7" topLeftCell="C111"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4.7109375" customWidth="1"/>
    <col min="2" max="2" width="31.140625" customWidth="1"/>
    <col min="3" max="3" width="11.28515625" customWidth="1"/>
    <col min="4" max="4" width="9.42578125" customWidth="1"/>
    <col min="5" max="5" width="12.28515625" customWidth="1"/>
    <col min="6" max="6" width="9.7109375" customWidth="1"/>
    <col min="7" max="7" width="8.7109375" customWidth="1"/>
    <col min="8" max="8" width="11.42578125" customWidth="1"/>
    <col min="9" max="10" width="10.28515625" customWidth="1"/>
    <col min="11" max="11" width="17" customWidth="1"/>
    <col min="12" max="12" width="12.28515625" customWidth="1"/>
    <col min="13" max="13" width="53.140625" customWidth="1"/>
    <col min="14" max="27" width="8.7109375" customWidth="1"/>
  </cols>
  <sheetData>
    <row r="1" spans="1:13" ht="18" customHeight="1">
      <c r="A1" s="2775" t="s">
        <v>23</v>
      </c>
      <c r="B1" s="2732"/>
      <c r="C1" s="2798"/>
      <c r="D1" s="2732"/>
      <c r="E1" s="2732"/>
      <c r="F1" s="2732"/>
      <c r="G1" s="2732"/>
      <c r="H1" s="2732"/>
      <c r="I1" s="1199"/>
      <c r="J1" s="1200"/>
      <c r="K1" s="19" t="s">
        <v>1640</v>
      </c>
      <c r="L1" s="119"/>
      <c r="M1" s="95"/>
    </row>
    <row r="2" spans="1:13" ht="15.75">
      <c r="A2" s="2773" t="s">
        <v>183</v>
      </c>
      <c r="B2" s="2732"/>
      <c r="C2" s="2798"/>
      <c r="D2" s="2732"/>
      <c r="E2" s="2732"/>
      <c r="F2" s="2732"/>
      <c r="G2" s="2732"/>
      <c r="H2" s="2732"/>
      <c r="I2" s="1199"/>
      <c r="J2" s="1200"/>
      <c r="K2" s="86"/>
      <c r="L2" s="119"/>
      <c r="M2" s="95"/>
    </row>
    <row r="3" spans="1:13" ht="18.75" customHeight="1">
      <c r="A3" s="174" t="s">
        <v>1641</v>
      </c>
      <c r="B3" s="13"/>
      <c r="C3" s="13"/>
      <c r="D3" s="13"/>
      <c r="E3" s="13"/>
      <c r="F3" s="13"/>
      <c r="G3" s="13"/>
      <c r="H3" s="13"/>
      <c r="I3" s="13"/>
      <c r="J3" s="13"/>
      <c r="K3" s="13"/>
      <c r="L3" s="119"/>
      <c r="M3" s="95"/>
    </row>
    <row r="4" spans="1:13" ht="21" customHeight="1">
      <c r="A4" s="2905" t="s">
        <v>1642</v>
      </c>
      <c r="B4" s="2732"/>
      <c r="C4" s="2732"/>
      <c r="D4" s="2732"/>
      <c r="E4" s="2732"/>
      <c r="F4" s="2732"/>
      <c r="G4" s="2732"/>
      <c r="H4" s="2732"/>
      <c r="I4" s="2732"/>
      <c r="J4" s="2732"/>
      <c r="K4" s="2732"/>
      <c r="L4" s="2732"/>
      <c r="M4" s="44"/>
    </row>
    <row r="5" spans="1:13" ht="18.75" customHeight="1">
      <c r="A5" s="2585" t="s">
        <v>1643</v>
      </c>
    </row>
    <row r="6" spans="1:13" ht="45" customHeight="1">
      <c r="A6" s="153" t="s">
        <v>186</v>
      </c>
      <c r="B6" s="153" t="s">
        <v>1644</v>
      </c>
      <c r="C6" s="153" t="s">
        <v>1645</v>
      </c>
      <c r="D6" s="153" t="s">
        <v>1646</v>
      </c>
      <c r="E6" s="153" t="s">
        <v>1647</v>
      </c>
      <c r="F6" s="153" t="s">
        <v>1648</v>
      </c>
      <c r="G6" s="2923" t="s">
        <v>1649</v>
      </c>
      <c r="H6" s="2782"/>
      <c r="I6" s="2783"/>
      <c r="J6" s="153" t="s">
        <v>1650</v>
      </c>
      <c r="K6" s="153" t="s">
        <v>32</v>
      </c>
      <c r="L6" s="253" t="s">
        <v>1651</v>
      </c>
      <c r="M6" s="2921" t="s">
        <v>1652</v>
      </c>
    </row>
    <row r="7" spans="1:13" ht="39" customHeight="1">
      <c r="A7" s="153"/>
      <c r="B7" s="153"/>
      <c r="C7" s="153"/>
      <c r="D7" s="153"/>
      <c r="E7" s="153"/>
      <c r="F7" s="153"/>
      <c r="G7" s="153" t="s">
        <v>1653</v>
      </c>
      <c r="H7" s="153" t="s">
        <v>1654</v>
      </c>
      <c r="I7" s="153" t="s">
        <v>1655</v>
      </c>
      <c r="J7" s="153"/>
      <c r="K7" s="153"/>
      <c r="L7" s="261"/>
      <c r="M7" s="2922"/>
    </row>
    <row r="8" spans="1:13" ht="50.25" customHeight="1">
      <c r="A8" s="253" t="s">
        <v>200</v>
      </c>
      <c r="B8" s="1106" t="s">
        <v>1656</v>
      </c>
      <c r="C8" s="261"/>
      <c r="D8" s="261"/>
      <c r="E8" s="261"/>
      <c r="F8" s="1202">
        <f>SUM(F10:F79)</f>
        <v>227400</v>
      </c>
      <c r="G8" s="261"/>
      <c r="H8" s="261"/>
      <c r="I8" s="1202">
        <f t="shared" ref="I8:J8" si="0">SUM(I10:I79)</f>
        <v>2488007</v>
      </c>
      <c r="J8" s="1202">
        <f t="shared" si="0"/>
        <v>2260607</v>
      </c>
      <c r="K8" s="261"/>
      <c r="L8" s="261"/>
      <c r="M8" s="2543"/>
    </row>
    <row r="9" spans="1:13" ht="27.75" customHeight="1">
      <c r="A9" s="163"/>
      <c r="B9" s="1106" t="s">
        <v>546</v>
      </c>
      <c r="C9" s="252"/>
      <c r="D9" s="1106"/>
      <c r="E9" s="252"/>
      <c r="F9" s="1203"/>
      <c r="G9" s="252"/>
      <c r="H9" s="252"/>
      <c r="I9" s="1204"/>
      <c r="J9" s="1205"/>
      <c r="K9" s="1206"/>
      <c r="L9" s="253"/>
      <c r="M9" s="2544"/>
    </row>
    <row r="10" spans="1:13" ht="27.75" customHeight="1">
      <c r="A10" s="163">
        <v>1</v>
      </c>
      <c r="B10" s="164" t="s">
        <v>1657</v>
      </c>
      <c r="C10" s="163" t="s">
        <v>1658</v>
      </c>
      <c r="D10" s="164" t="s">
        <v>1659</v>
      </c>
      <c r="E10" s="163" t="s">
        <v>1660</v>
      </c>
      <c r="F10" s="1203">
        <v>10800</v>
      </c>
      <c r="G10" s="163">
        <v>1</v>
      </c>
      <c r="H10" s="163">
        <v>3</v>
      </c>
      <c r="I10" s="1207">
        <v>15000</v>
      </c>
      <c r="J10" s="1208">
        <f>(I10-F10)</f>
        <v>4200</v>
      </c>
      <c r="K10" s="1209" t="s">
        <v>1661</v>
      </c>
      <c r="L10" s="261" t="s">
        <v>1662</v>
      </c>
      <c r="M10" s="2545"/>
    </row>
    <row r="11" spans="1:13" ht="27.75" customHeight="1">
      <c r="A11" s="163">
        <v>2</v>
      </c>
      <c r="B11" s="164" t="s">
        <v>1663</v>
      </c>
      <c r="C11" s="163" t="s">
        <v>1658</v>
      </c>
      <c r="D11" s="164" t="s">
        <v>1659</v>
      </c>
      <c r="E11" s="163" t="s">
        <v>1660</v>
      </c>
      <c r="F11" s="1210">
        <v>3600</v>
      </c>
      <c r="G11" s="163">
        <v>2</v>
      </c>
      <c r="H11" s="163">
        <v>3</v>
      </c>
      <c r="I11" s="1207">
        <v>18000</v>
      </c>
      <c r="J11" s="1208">
        <f t="shared" ref="J11:J83" si="1">I11-F11</f>
        <v>14400</v>
      </c>
      <c r="K11" s="1209" t="s">
        <v>1661</v>
      </c>
      <c r="L11" s="261" t="s">
        <v>1664</v>
      </c>
      <c r="M11" s="2545"/>
    </row>
    <row r="12" spans="1:13" ht="32.25" customHeight="1">
      <c r="A12" s="163">
        <v>3</v>
      </c>
      <c r="B12" s="164" t="s">
        <v>1665</v>
      </c>
      <c r="C12" s="163" t="s">
        <v>1658</v>
      </c>
      <c r="D12" s="164" t="s">
        <v>1666</v>
      </c>
      <c r="E12" s="163" t="s">
        <v>1660</v>
      </c>
      <c r="F12" s="1203">
        <v>10800</v>
      </c>
      <c r="G12" s="163">
        <v>2</v>
      </c>
      <c r="H12" s="163">
        <v>2</v>
      </c>
      <c r="I12" s="1207">
        <v>24000</v>
      </c>
      <c r="J12" s="1208">
        <f t="shared" si="1"/>
        <v>13200</v>
      </c>
      <c r="K12" s="1209" t="s">
        <v>1667</v>
      </c>
      <c r="L12" s="261" t="s">
        <v>1664</v>
      </c>
      <c r="M12" s="2545"/>
    </row>
    <row r="13" spans="1:13" ht="21" customHeight="1">
      <c r="A13" s="163">
        <v>4</v>
      </c>
      <c r="B13" s="1211" t="s">
        <v>1668</v>
      </c>
      <c r="C13" s="1209" t="s">
        <v>1658</v>
      </c>
      <c r="D13" s="1212" t="s">
        <v>1666</v>
      </c>
      <c r="E13" s="1209" t="s">
        <v>1660</v>
      </c>
      <c r="F13" s="1213">
        <v>10800</v>
      </c>
      <c r="G13" s="1209">
        <v>1</v>
      </c>
      <c r="H13" s="1209">
        <v>4</v>
      </c>
      <c r="I13" s="1207">
        <v>36000</v>
      </c>
      <c r="J13" s="1208">
        <f t="shared" si="1"/>
        <v>25200</v>
      </c>
      <c r="K13" s="1209" t="s">
        <v>1669</v>
      </c>
      <c r="L13" s="1209" t="s">
        <v>1664</v>
      </c>
      <c r="M13" s="2545"/>
    </row>
    <row r="14" spans="1:13" ht="21" customHeight="1">
      <c r="A14" s="163">
        <v>5</v>
      </c>
      <c r="B14" s="1211" t="s">
        <v>1670</v>
      </c>
      <c r="C14" s="1209" t="s">
        <v>1658</v>
      </c>
      <c r="D14" s="1212" t="s">
        <v>1659</v>
      </c>
      <c r="E14" s="1209" t="s">
        <v>1660</v>
      </c>
      <c r="F14" s="1213">
        <v>7200</v>
      </c>
      <c r="G14" s="1209">
        <v>1</v>
      </c>
      <c r="H14" s="1209" t="s">
        <v>1671</v>
      </c>
      <c r="I14" s="1207">
        <v>12000</v>
      </c>
      <c r="J14" s="1208">
        <f t="shared" si="1"/>
        <v>4800</v>
      </c>
      <c r="K14" s="1209" t="s">
        <v>1672</v>
      </c>
      <c r="L14" s="1209" t="s">
        <v>1664</v>
      </c>
      <c r="M14" s="2545"/>
    </row>
    <row r="15" spans="1:13" ht="21" customHeight="1">
      <c r="A15" s="163">
        <v>6</v>
      </c>
      <c r="B15" s="164" t="s">
        <v>1673</v>
      </c>
      <c r="C15" s="163" t="s">
        <v>1658</v>
      </c>
      <c r="D15" s="1212" t="s">
        <v>1674</v>
      </c>
      <c r="E15" s="163" t="s">
        <v>1660</v>
      </c>
      <c r="F15" s="1210">
        <v>0</v>
      </c>
      <c r="G15" s="163">
        <v>1</v>
      </c>
      <c r="H15" s="163" t="s">
        <v>1675</v>
      </c>
      <c r="I15" s="1207">
        <v>3600</v>
      </c>
      <c r="J15" s="1208">
        <f t="shared" si="1"/>
        <v>3600</v>
      </c>
      <c r="K15" s="1209" t="s">
        <v>1676</v>
      </c>
      <c r="L15" s="261" t="s">
        <v>1664</v>
      </c>
      <c r="M15" s="2545"/>
    </row>
    <row r="16" spans="1:13" ht="18.75" customHeight="1">
      <c r="A16" s="163">
        <v>7</v>
      </c>
      <c r="B16" s="164" t="s">
        <v>1677</v>
      </c>
      <c r="C16" s="163" t="s">
        <v>1658</v>
      </c>
      <c r="D16" s="1212" t="s">
        <v>1678</v>
      </c>
      <c r="E16" s="163" t="s">
        <v>1660</v>
      </c>
      <c r="F16" s="1210">
        <v>3600</v>
      </c>
      <c r="G16" s="163">
        <v>2</v>
      </c>
      <c r="H16" s="163">
        <v>1</v>
      </c>
      <c r="I16" s="1207">
        <v>14400</v>
      </c>
      <c r="J16" s="1208">
        <f t="shared" si="1"/>
        <v>10800</v>
      </c>
      <c r="K16" s="1209" t="s">
        <v>1679</v>
      </c>
      <c r="L16" s="261" t="s">
        <v>1664</v>
      </c>
      <c r="M16" s="2546"/>
    </row>
    <row r="17" spans="1:13" ht="24.75" customHeight="1">
      <c r="A17" s="163">
        <v>8</v>
      </c>
      <c r="B17" s="164" t="s">
        <v>1680</v>
      </c>
      <c r="C17" s="163" t="s">
        <v>1658</v>
      </c>
      <c r="D17" s="1212" t="s">
        <v>1681</v>
      </c>
      <c r="E17" s="163" t="s">
        <v>1660</v>
      </c>
      <c r="F17" s="1210">
        <v>7200</v>
      </c>
      <c r="G17" s="163">
        <v>2</v>
      </c>
      <c r="H17" s="163" t="s">
        <v>1682</v>
      </c>
      <c r="I17" s="1207">
        <v>4500</v>
      </c>
      <c r="J17" s="1208">
        <f t="shared" si="1"/>
        <v>-2700</v>
      </c>
      <c r="K17" s="1209" t="s">
        <v>1676</v>
      </c>
      <c r="L17" s="261" t="s">
        <v>1664</v>
      </c>
      <c r="M17" s="2542"/>
    </row>
    <row r="18" spans="1:13" ht="20.25" customHeight="1">
      <c r="A18" s="163">
        <v>9</v>
      </c>
      <c r="B18" s="164" t="s">
        <v>1683</v>
      </c>
      <c r="C18" s="163" t="s">
        <v>1658</v>
      </c>
      <c r="D18" s="1212" t="s">
        <v>1684</v>
      </c>
      <c r="E18" s="163" t="s">
        <v>1660</v>
      </c>
      <c r="F18" s="1210">
        <v>2400</v>
      </c>
      <c r="G18" s="163">
        <v>1</v>
      </c>
      <c r="H18" s="163" t="s">
        <v>1685</v>
      </c>
      <c r="I18" s="1207">
        <v>19200</v>
      </c>
      <c r="J18" s="1208">
        <f t="shared" si="1"/>
        <v>16800</v>
      </c>
      <c r="K18" s="1209" t="s">
        <v>1686</v>
      </c>
      <c r="L18" s="261" t="s">
        <v>1664</v>
      </c>
      <c r="M18" s="2543"/>
    </row>
    <row r="19" spans="1:13" ht="30.75" customHeight="1">
      <c r="A19" s="163"/>
      <c r="B19" s="1106" t="s">
        <v>547</v>
      </c>
      <c r="C19" s="163"/>
      <c r="D19" s="164"/>
      <c r="E19" s="163"/>
      <c r="F19" s="1210"/>
      <c r="G19" s="163"/>
      <c r="H19" s="163"/>
      <c r="I19" s="1214"/>
      <c r="J19" s="1208">
        <f t="shared" si="1"/>
        <v>0</v>
      </c>
      <c r="K19" s="261"/>
      <c r="L19" s="261"/>
      <c r="M19" s="2544"/>
    </row>
    <row r="20" spans="1:13" ht="29.25" customHeight="1">
      <c r="A20" s="163">
        <v>10</v>
      </c>
      <c r="B20" s="164" t="s">
        <v>1687</v>
      </c>
      <c r="C20" s="163" t="s">
        <v>1658</v>
      </c>
      <c r="D20" s="164" t="s">
        <v>1688</v>
      </c>
      <c r="E20" s="163" t="s">
        <v>1660</v>
      </c>
      <c r="F20" s="1210">
        <v>144000</v>
      </c>
      <c r="G20" s="163">
        <v>1</v>
      </c>
      <c r="H20" s="163" t="s">
        <v>1689</v>
      </c>
      <c r="I20" s="1207">
        <v>150000</v>
      </c>
      <c r="J20" s="1208">
        <f t="shared" si="1"/>
        <v>6000</v>
      </c>
      <c r="K20" s="261" t="s">
        <v>1690</v>
      </c>
      <c r="L20" s="261"/>
      <c r="M20" s="2545"/>
    </row>
    <row r="21" spans="1:13" ht="17.25" customHeight="1">
      <c r="A21" s="163">
        <v>11</v>
      </c>
      <c r="B21" s="429" t="s">
        <v>1102</v>
      </c>
      <c r="C21" s="163" t="s">
        <v>1658</v>
      </c>
      <c r="D21" s="164" t="s">
        <v>1691</v>
      </c>
      <c r="E21" s="163" t="s">
        <v>1660</v>
      </c>
      <c r="F21" s="1203"/>
      <c r="G21" s="163">
        <v>1</v>
      </c>
      <c r="H21" s="163" t="s">
        <v>1689</v>
      </c>
      <c r="I21" s="1207">
        <v>15000</v>
      </c>
      <c r="J21" s="1208">
        <f t="shared" si="1"/>
        <v>15000</v>
      </c>
      <c r="K21" s="261" t="s">
        <v>1692</v>
      </c>
      <c r="L21" s="261"/>
      <c r="M21" s="2545"/>
    </row>
    <row r="22" spans="1:13" ht="15.75" customHeight="1">
      <c r="A22" s="163">
        <v>12</v>
      </c>
      <c r="B22" s="164" t="s">
        <v>1103</v>
      </c>
      <c r="C22" s="163" t="s">
        <v>1658</v>
      </c>
      <c r="D22" s="164" t="s">
        <v>1691</v>
      </c>
      <c r="E22" s="163" t="s">
        <v>1660</v>
      </c>
      <c r="F22" s="1210">
        <v>12000</v>
      </c>
      <c r="G22" s="163">
        <v>1</v>
      </c>
      <c r="H22" s="163" t="s">
        <v>1693</v>
      </c>
      <c r="I22" s="1207">
        <v>15000</v>
      </c>
      <c r="J22" s="1208">
        <f t="shared" si="1"/>
        <v>3000</v>
      </c>
      <c r="K22" s="261" t="s">
        <v>1692</v>
      </c>
      <c r="L22" s="261"/>
      <c r="M22" s="2545"/>
    </row>
    <row r="23" spans="1:13" ht="17.25" customHeight="1">
      <c r="A23" s="163">
        <v>13</v>
      </c>
      <c r="B23" s="429" t="s">
        <v>1095</v>
      </c>
      <c r="C23" s="163" t="s">
        <v>1658</v>
      </c>
      <c r="D23" s="164" t="s">
        <v>1694</v>
      </c>
      <c r="E23" s="163" t="s">
        <v>1660</v>
      </c>
      <c r="F23" s="1203"/>
      <c r="G23" s="163">
        <v>2</v>
      </c>
      <c r="H23" s="163" t="s">
        <v>1695</v>
      </c>
      <c r="I23" s="1207">
        <v>12000</v>
      </c>
      <c r="J23" s="1208">
        <f t="shared" si="1"/>
        <v>12000</v>
      </c>
      <c r="K23" s="261" t="s">
        <v>1696</v>
      </c>
      <c r="L23" s="261"/>
      <c r="M23" s="2545"/>
    </row>
    <row r="24" spans="1:13" ht="17.25" customHeight="1">
      <c r="A24" s="163">
        <v>14</v>
      </c>
      <c r="B24" s="429" t="s">
        <v>1097</v>
      </c>
      <c r="C24" s="163" t="s">
        <v>1658</v>
      </c>
      <c r="D24" s="164" t="s">
        <v>1694</v>
      </c>
      <c r="E24" s="163" t="s">
        <v>1660</v>
      </c>
      <c r="F24" s="1203"/>
      <c r="G24" s="163">
        <v>2</v>
      </c>
      <c r="H24" s="163" t="s">
        <v>1695</v>
      </c>
      <c r="I24" s="1207">
        <v>12000</v>
      </c>
      <c r="J24" s="1208">
        <f t="shared" si="1"/>
        <v>12000</v>
      </c>
      <c r="K24" s="261" t="s">
        <v>1696</v>
      </c>
      <c r="L24" s="261"/>
      <c r="M24" s="2545"/>
    </row>
    <row r="25" spans="1:13" ht="17.25" customHeight="1">
      <c r="A25" s="163">
        <v>15</v>
      </c>
      <c r="B25" s="164" t="s">
        <v>1098</v>
      </c>
      <c r="C25" s="163" t="s">
        <v>1658</v>
      </c>
      <c r="D25" s="164" t="s">
        <v>1691</v>
      </c>
      <c r="E25" s="163" t="s">
        <v>1660</v>
      </c>
      <c r="F25" s="1203"/>
      <c r="G25" s="163">
        <v>2</v>
      </c>
      <c r="H25" s="163" t="s">
        <v>1695</v>
      </c>
      <c r="I25" s="1207">
        <v>15000</v>
      </c>
      <c r="J25" s="1208">
        <f t="shared" si="1"/>
        <v>15000</v>
      </c>
      <c r="K25" s="261" t="s">
        <v>1692</v>
      </c>
      <c r="L25" s="261"/>
      <c r="M25" s="2545"/>
    </row>
    <row r="26" spans="1:13" ht="17.25" customHeight="1">
      <c r="A26" s="1215">
        <v>16</v>
      </c>
      <c r="B26" s="1216" t="s">
        <v>1697</v>
      </c>
      <c r="C26" s="1215" t="s">
        <v>1658</v>
      </c>
      <c r="D26" s="1217" t="s">
        <v>1694</v>
      </c>
      <c r="E26" s="1215" t="s">
        <v>1660</v>
      </c>
      <c r="F26" s="1218"/>
      <c r="G26" s="1215">
        <v>1</v>
      </c>
      <c r="H26" s="1215" t="s">
        <v>1671</v>
      </c>
      <c r="I26" s="1219">
        <v>25000</v>
      </c>
      <c r="J26" s="1208">
        <f t="shared" si="1"/>
        <v>25000</v>
      </c>
      <c r="K26" s="341"/>
      <c r="L26" s="1220"/>
      <c r="M26" s="2546"/>
    </row>
    <row r="27" spans="1:13" ht="17.25" customHeight="1">
      <c r="A27" s="367">
        <v>17</v>
      </c>
      <c r="B27" s="1221" t="s">
        <v>1105</v>
      </c>
      <c r="C27" s="367" t="s">
        <v>1658</v>
      </c>
      <c r="D27" s="413" t="s">
        <v>1694</v>
      </c>
      <c r="E27" s="367" t="s">
        <v>1660</v>
      </c>
      <c r="F27" s="1222"/>
      <c r="G27" s="367">
        <v>1</v>
      </c>
      <c r="H27" s="367" t="s">
        <v>1698</v>
      </c>
      <c r="I27" s="1223">
        <v>15000</v>
      </c>
      <c r="J27" s="1208">
        <f t="shared" si="1"/>
        <v>15000</v>
      </c>
      <c r="K27" s="1224"/>
      <c r="L27" s="401"/>
      <c r="M27" s="2545"/>
    </row>
    <row r="28" spans="1:13" ht="17.25" customHeight="1">
      <c r="A28" s="367">
        <v>18</v>
      </c>
      <c r="B28" s="1221" t="s">
        <v>1106</v>
      </c>
      <c r="C28" s="367" t="s">
        <v>1658</v>
      </c>
      <c r="D28" s="413" t="s">
        <v>1694</v>
      </c>
      <c r="E28" s="367" t="s">
        <v>1660</v>
      </c>
      <c r="F28" s="1222"/>
      <c r="G28" s="367">
        <v>1</v>
      </c>
      <c r="H28" s="367" t="s">
        <v>1698</v>
      </c>
      <c r="I28" s="1223">
        <v>15000</v>
      </c>
      <c r="J28" s="1208">
        <f t="shared" si="1"/>
        <v>15000</v>
      </c>
      <c r="K28" s="1224"/>
      <c r="L28" s="401"/>
      <c r="M28" s="2545"/>
    </row>
    <row r="29" spans="1:13" ht="17.25" customHeight="1">
      <c r="A29" s="367">
        <v>19</v>
      </c>
      <c r="B29" s="1221" t="s">
        <v>1107</v>
      </c>
      <c r="C29" s="367" t="s">
        <v>1658</v>
      </c>
      <c r="D29" s="413" t="s">
        <v>1694</v>
      </c>
      <c r="E29" s="367" t="s">
        <v>1660</v>
      </c>
      <c r="F29" s="1222"/>
      <c r="G29" s="367">
        <v>1</v>
      </c>
      <c r="H29" s="367" t="s">
        <v>1698</v>
      </c>
      <c r="I29" s="1223">
        <v>15000</v>
      </c>
      <c r="J29" s="1208">
        <f t="shared" si="1"/>
        <v>15000</v>
      </c>
      <c r="K29" s="1224"/>
      <c r="L29" s="401"/>
      <c r="M29" s="2545"/>
    </row>
    <row r="30" spans="1:13" ht="17.25" customHeight="1">
      <c r="A30" s="367">
        <v>20</v>
      </c>
      <c r="B30" s="1221" t="s">
        <v>1108</v>
      </c>
      <c r="C30" s="367" t="s">
        <v>1658</v>
      </c>
      <c r="D30" s="413" t="s">
        <v>1694</v>
      </c>
      <c r="E30" s="367" t="s">
        <v>1660</v>
      </c>
      <c r="F30" s="1222"/>
      <c r="G30" s="367">
        <v>1</v>
      </c>
      <c r="H30" s="367" t="s">
        <v>1698</v>
      </c>
      <c r="I30" s="1223">
        <v>15000</v>
      </c>
      <c r="J30" s="1208">
        <f t="shared" si="1"/>
        <v>15000</v>
      </c>
      <c r="K30" s="1224"/>
      <c r="L30" s="401"/>
      <c r="M30" s="2546"/>
    </row>
    <row r="31" spans="1:13" ht="17.25" customHeight="1">
      <c r="A31" s="319">
        <v>21</v>
      </c>
      <c r="B31" s="409" t="s">
        <v>1699</v>
      </c>
      <c r="C31" s="319" t="s">
        <v>1658</v>
      </c>
      <c r="D31" s="323" t="s">
        <v>1691</v>
      </c>
      <c r="E31" s="319" t="s">
        <v>1660</v>
      </c>
      <c r="F31" s="641"/>
      <c r="G31" s="319">
        <v>1</v>
      </c>
      <c r="H31" s="319" t="s">
        <v>1693</v>
      </c>
      <c r="I31" s="1225">
        <v>30000</v>
      </c>
      <c r="J31" s="1208">
        <f t="shared" si="1"/>
        <v>30000</v>
      </c>
      <c r="K31" s="1226" t="s">
        <v>1700</v>
      </c>
      <c r="L31" s="400" t="s">
        <v>1701</v>
      </c>
      <c r="M31" s="2545"/>
    </row>
    <row r="32" spans="1:13" ht="17.25" customHeight="1">
      <c r="A32" s="319">
        <v>22</v>
      </c>
      <c r="B32" s="1227" t="s">
        <v>1702</v>
      </c>
      <c r="C32" s="319" t="s">
        <v>1658</v>
      </c>
      <c r="D32" s="323" t="s">
        <v>1691</v>
      </c>
      <c r="E32" s="319" t="s">
        <v>1660</v>
      </c>
      <c r="F32" s="641"/>
      <c r="G32" s="319">
        <v>1</v>
      </c>
      <c r="H32" s="319" t="s">
        <v>1693</v>
      </c>
      <c r="I32" s="1225">
        <v>1000</v>
      </c>
      <c r="J32" s="1208">
        <f t="shared" si="1"/>
        <v>1000</v>
      </c>
      <c r="K32" s="1226" t="s">
        <v>1703</v>
      </c>
      <c r="L32" s="400" t="s">
        <v>1701</v>
      </c>
      <c r="M32" s="2545"/>
    </row>
    <row r="33" spans="1:13" ht="17.25" customHeight="1">
      <c r="A33" s="319">
        <v>23</v>
      </c>
      <c r="B33" s="1227" t="s">
        <v>1704</v>
      </c>
      <c r="C33" s="319" t="s">
        <v>1658</v>
      </c>
      <c r="D33" s="323" t="s">
        <v>1691</v>
      </c>
      <c r="E33" s="319" t="s">
        <v>1660</v>
      </c>
      <c r="F33" s="641"/>
      <c r="G33" s="319">
        <v>1</v>
      </c>
      <c r="H33" s="319" t="s">
        <v>1693</v>
      </c>
      <c r="I33" s="1225">
        <v>600000</v>
      </c>
      <c r="J33" s="1208">
        <f t="shared" si="1"/>
        <v>600000</v>
      </c>
      <c r="K33" s="1226" t="s">
        <v>1703</v>
      </c>
      <c r="L33" s="400" t="s">
        <v>1701</v>
      </c>
      <c r="M33" s="2545"/>
    </row>
    <row r="34" spans="1:13" ht="17.25" customHeight="1">
      <c r="A34" s="319">
        <v>24</v>
      </c>
      <c r="B34" s="1227" t="s">
        <v>1705</v>
      </c>
      <c r="C34" s="319" t="s">
        <v>1658</v>
      </c>
      <c r="D34" s="323" t="s">
        <v>1691</v>
      </c>
      <c r="E34" s="319" t="s">
        <v>1660</v>
      </c>
      <c r="F34" s="641"/>
      <c r="G34" s="319">
        <v>1</v>
      </c>
      <c r="H34" s="319" t="s">
        <v>1693</v>
      </c>
      <c r="I34" s="1225">
        <v>13980</v>
      </c>
      <c r="J34" s="1208">
        <f t="shared" si="1"/>
        <v>13980</v>
      </c>
      <c r="K34" s="1226" t="s">
        <v>1706</v>
      </c>
      <c r="L34" s="400" t="s">
        <v>1701</v>
      </c>
      <c r="M34" s="2546"/>
    </row>
    <row r="35" spans="1:13" ht="17.25" customHeight="1">
      <c r="A35" s="319">
        <v>25</v>
      </c>
      <c r="B35" s="1227" t="s">
        <v>1707</v>
      </c>
      <c r="C35" s="319" t="s">
        <v>1658</v>
      </c>
      <c r="D35" s="323" t="s">
        <v>1691</v>
      </c>
      <c r="E35" s="319" t="s">
        <v>1660</v>
      </c>
      <c r="F35" s="641"/>
      <c r="G35" s="319">
        <v>1</v>
      </c>
      <c r="H35" s="319" t="s">
        <v>1693</v>
      </c>
      <c r="I35" s="1225">
        <v>320000</v>
      </c>
      <c r="J35" s="1208">
        <f t="shared" si="1"/>
        <v>320000</v>
      </c>
      <c r="K35" s="1226" t="s">
        <v>1700</v>
      </c>
      <c r="L35" s="400" t="s">
        <v>1701</v>
      </c>
      <c r="M35" s="2545"/>
    </row>
    <row r="36" spans="1:13" ht="17.25" customHeight="1">
      <c r="A36" s="319">
        <v>26</v>
      </c>
      <c r="B36" s="1227" t="s">
        <v>1708</v>
      </c>
      <c r="C36" s="319" t="s">
        <v>1658</v>
      </c>
      <c r="D36" s="323" t="s">
        <v>1691</v>
      </c>
      <c r="E36" s="319" t="s">
        <v>1660</v>
      </c>
      <c r="F36" s="641"/>
      <c r="G36" s="319">
        <v>1</v>
      </c>
      <c r="H36" s="319" t="s">
        <v>1693</v>
      </c>
      <c r="I36" s="1225">
        <v>160</v>
      </c>
      <c r="J36" s="1208">
        <f t="shared" si="1"/>
        <v>160</v>
      </c>
      <c r="K36" s="1226" t="s">
        <v>1709</v>
      </c>
      <c r="L36" s="400" t="s">
        <v>1701</v>
      </c>
      <c r="M36" s="2545"/>
    </row>
    <row r="37" spans="1:13" ht="17.25" customHeight="1">
      <c r="A37" s="319">
        <v>27</v>
      </c>
      <c r="B37" s="1227" t="s">
        <v>1710</v>
      </c>
      <c r="C37" s="319" t="s">
        <v>1658</v>
      </c>
      <c r="D37" s="323" t="s">
        <v>1691</v>
      </c>
      <c r="E37" s="319" t="s">
        <v>1660</v>
      </c>
      <c r="F37" s="641"/>
      <c r="G37" s="319">
        <v>1</v>
      </c>
      <c r="H37" s="319" t="s">
        <v>1693</v>
      </c>
      <c r="I37" s="1225">
        <v>380</v>
      </c>
      <c r="J37" s="1208">
        <f t="shared" si="1"/>
        <v>380</v>
      </c>
      <c r="K37" s="1226" t="s">
        <v>1703</v>
      </c>
      <c r="L37" s="400" t="s">
        <v>1701</v>
      </c>
      <c r="M37" s="2545"/>
    </row>
    <row r="38" spans="1:13" ht="17.25" customHeight="1">
      <c r="A38" s="319">
        <v>28</v>
      </c>
      <c r="B38" s="1227" t="s">
        <v>1711</v>
      </c>
      <c r="C38" s="319" t="s">
        <v>1658</v>
      </c>
      <c r="D38" s="323" t="s">
        <v>1691</v>
      </c>
      <c r="E38" s="319" t="s">
        <v>1660</v>
      </c>
      <c r="F38" s="641"/>
      <c r="G38" s="319">
        <v>1</v>
      </c>
      <c r="H38" s="319" t="s">
        <v>1693</v>
      </c>
      <c r="I38" s="1225">
        <v>260</v>
      </c>
      <c r="J38" s="1208">
        <f t="shared" si="1"/>
        <v>260</v>
      </c>
      <c r="K38" s="1226" t="s">
        <v>1706</v>
      </c>
      <c r="L38" s="400" t="s">
        <v>1701</v>
      </c>
      <c r="M38" s="2546"/>
    </row>
    <row r="39" spans="1:13" ht="17.25" customHeight="1">
      <c r="A39" s="319">
        <v>29</v>
      </c>
      <c r="B39" s="1227" t="s">
        <v>1712</v>
      </c>
      <c r="C39" s="319" t="s">
        <v>1658</v>
      </c>
      <c r="D39" s="323" t="s">
        <v>1691</v>
      </c>
      <c r="E39" s="319" t="s">
        <v>1660</v>
      </c>
      <c r="F39" s="641"/>
      <c r="G39" s="319">
        <v>1</v>
      </c>
      <c r="H39" s="319" t="s">
        <v>1693</v>
      </c>
      <c r="I39" s="1225">
        <v>160</v>
      </c>
      <c r="J39" s="1208">
        <f t="shared" si="1"/>
        <v>160</v>
      </c>
      <c r="K39" s="1226" t="s">
        <v>1709</v>
      </c>
      <c r="L39" s="400" t="s">
        <v>1701</v>
      </c>
      <c r="M39" s="2545"/>
    </row>
    <row r="40" spans="1:13" ht="17.25" customHeight="1">
      <c r="A40" s="319">
        <v>30</v>
      </c>
      <c r="B40" s="1227" t="s">
        <v>1713</v>
      </c>
      <c r="C40" s="319" t="s">
        <v>1658</v>
      </c>
      <c r="D40" s="323" t="s">
        <v>1691</v>
      </c>
      <c r="E40" s="319" t="s">
        <v>1660</v>
      </c>
      <c r="F40" s="641"/>
      <c r="G40" s="319">
        <v>1</v>
      </c>
      <c r="H40" s="319" t="s">
        <v>1693</v>
      </c>
      <c r="I40" s="1225">
        <v>120</v>
      </c>
      <c r="J40" s="1208">
        <f t="shared" si="1"/>
        <v>120</v>
      </c>
      <c r="K40" s="1226" t="s">
        <v>1703</v>
      </c>
      <c r="L40" s="400" t="s">
        <v>1701</v>
      </c>
      <c r="M40" s="2545"/>
    </row>
    <row r="41" spans="1:13" ht="17.25" customHeight="1">
      <c r="A41" s="319">
        <v>31</v>
      </c>
      <c r="B41" s="1227" t="s">
        <v>1714</v>
      </c>
      <c r="C41" s="319" t="s">
        <v>1658</v>
      </c>
      <c r="D41" s="323" t="s">
        <v>1691</v>
      </c>
      <c r="E41" s="319" t="s">
        <v>1660</v>
      </c>
      <c r="F41" s="641"/>
      <c r="G41" s="319">
        <v>1</v>
      </c>
      <c r="H41" s="319" t="s">
        <v>1693</v>
      </c>
      <c r="I41" s="2016">
        <v>120</v>
      </c>
      <c r="J41" s="1208">
        <f t="shared" si="1"/>
        <v>120</v>
      </c>
      <c r="K41" s="1226" t="s">
        <v>1703</v>
      </c>
      <c r="L41" s="400" t="s">
        <v>1701</v>
      </c>
      <c r="M41" s="2545"/>
    </row>
    <row r="42" spans="1:13" ht="17.25" customHeight="1">
      <c r="A42" s="319">
        <v>32</v>
      </c>
      <c r="B42" s="1227" t="s">
        <v>1715</v>
      </c>
      <c r="C42" s="319" t="s">
        <v>1658</v>
      </c>
      <c r="D42" s="323" t="s">
        <v>1691</v>
      </c>
      <c r="E42" s="319" t="s">
        <v>1660</v>
      </c>
      <c r="F42" s="641"/>
      <c r="G42" s="319">
        <v>1</v>
      </c>
      <c r="H42" s="319" t="s">
        <v>1693</v>
      </c>
      <c r="I42" s="1225">
        <v>1385</v>
      </c>
      <c r="J42" s="1208">
        <f t="shared" si="1"/>
        <v>1385</v>
      </c>
      <c r="K42" s="1226" t="s">
        <v>1706</v>
      </c>
      <c r="L42" s="400" t="s">
        <v>1701</v>
      </c>
      <c r="M42" s="2546"/>
    </row>
    <row r="43" spans="1:13" ht="17.25" customHeight="1">
      <c r="A43" s="319">
        <v>33</v>
      </c>
      <c r="B43" s="1227" t="s">
        <v>1716</v>
      </c>
      <c r="C43" s="319" t="s">
        <v>1658</v>
      </c>
      <c r="D43" s="323" t="s">
        <v>1691</v>
      </c>
      <c r="E43" s="319" t="s">
        <v>1660</v>
      </c>
      <c r="F43" s="641"/>
      <c r="G43" s="319">
        <v>1</v>
      </c>
      <c r="H43" s="319" t="s">
        <v>1693</v>
      </c>
      <c r="I43" s="1225">
        <v>1250</v>
      </c>
      <c r="J43" s="1208">
        <f t="shared" si="1"/>
        <v>1250</v>
      </c>
      <c r="K43" s="1226" t="s">
        <v>1706</v>
      </c>
      <c r="L43" s="400" t="s">
        <v>1701</v>
      </c>
      <c r="M43" s="2545"/>
    </row>
    <row r="44" spans="1:13" ht="17.25" customHeight="1">
      <c r="A44" s="319">
        <v>34</v>
      </c>
      <c r="B44" s="1227" t="s">
        <v>1717</v>
      </c>
      <c r="C44" s="319" t="s">
        <v>1658</v>
      </c>
      <c r="D44" s="323" t="s">
        <v>1691</v>
      </c>
      <c r="E44" s="319" t="s">
        <v>1660</v>
      </c>
      <c r="F44" s="641"/>
      <c r="G44" s="319">
        <v>1</v>
      </c>
      <c r="H44" s="319" t="s">
        <v>1693</v>
      </c>
      <c r="I44" s="1225">
        <v>600</v>
      </c>
      <c r="J44" s="1208">
        <f t="shared" si="1"/>
        <v>600</v>
      </c>
      <c r="K44" s="1226" t="s">
        <v>1718</v>
      </c>
      <c r="L44" s="400" t="s">
        <v>1701</v>
      </c>
      <c r="M44" s="2545"/>
    </row>
    <row r="45" spans="1:13" ht="17.25" customHeight="1">
      <c r="A45" s="319">
        <v>35</v>
      </c>
      <c r="B45" s="1227" t="s">
        <v>1719</v>
      </c>
      <c r="C45" s="319" t="s">
        <v>1658</v>
      </c>
      <c r="D45" s="323" t="s">
        <v>1691</v>
      </c>
      <c r="E45" s="319" t="s">
        <v>1660</v>
      </c>
      <c r="F45" s="641"/>
      <c r="G45" s="319">
        <v>1</v>
      </c>
      <c r="H45" s="319" t="s">
        <v>1693</v>
      </c>
      <c r="I45" s="1225">
        <v>4000</v>
      </c>
      <c r="J45" s="1208">
        <f t="shared" si="1"/>
        <v>4000</v>
      </c>
      <c r="K45" s="1226" t="s">
        <v>1706</v>
      </c>
      <c r="L45" s="400" t="s">
        <v>1701</v>
      </c>
      <c r="M45" s="2545"/>
    </row>
    <row r="46" spans="1:13" ht="17.25" customHeight="1">
      <c r="A46" s="319">
        <v>36</v>
      </c>
      <c r="B46" s="1227" t="s">
        <v>1720</v>
      </c>
      <c r="C46" s="319" t="s">
        <v>1658</v>
      </c>
      <c r="D46" s="323" t="s">
        <v>1691</v>
      </c>
      <c r="E46" s="319" t="s">
        <v>1660</v>
      </c>
      <c r="F46" s="641"/>
      <c r="G46" s="319">
        <v>1</v>
      </c>
      <c r="H46" s="319" t="s">
        <v>1693</v>
      </c>
      <c r="I46" s="1225">
        <v>500</v>
      </c>
      <c r="J46" s="1208">
        <f t="shared" si="1"/>
        <v>500</v>
      </c>
      <c r="K46" s="1226" t="s">
        <v>1706</v>
      </c>
      <c r="L46" s="400" t="s">
        <v>1701</v>
      </c>
      <c r="M46" s="2546"/>
    </row>
    <row r="47" spans="1:13" ht="17.25" customHeight="1">
      <c r="A47" s="319">
        <v>37</v>
      </c>
      <c r="B47" s="1227" t="s">
        <v>1721</v>
      </c>
      <c r="C47" s="319" t="s">
        <v>1658</v>
      </c>
      <c r="D47" s="323" t="s">
        <v>1691</v>
      </c>
      <c r="E47" s="319" t="s">
        <v>1660</v>
      </c>
      <c r="F47" s="641"/>
      <c r="G47" s="319">
        <v>1</v>
      </c>
      <c r="H47" s="319" t="s">
        <v>1693</v>
      </c>
      <c r="I47" s="1225">
        <v>500</v>
      </c>
      <c r="J47" s="1208">
        <f t="shared" si="1"/>
        <v>500</v>
      </c>
      <c r="K47" s="1226" t="s">
        <v>1706</v>
      </c>
      <c r="L47" s="400" t="s">
        <v>1701</v>
      </c>
      <c r="M47" s="2545"/>
    </row>
    <row r="48" spans="1:13" ht="17.25" customHeight="1">
      <c r="A48" s="319">
        <v>38</v>
      </c>
      <c r="B48" s="1227" t="s">
        <v>1722</v>
      </c>
      <c r="C48" s="319" t="s">
        <v>1658</v>
      </c>
      <c r="D48" s="323" t="s">
        <v>1691</v>
      </c>
      <c r="E48" s="319" t="s">
        <v>1660</v>
      </c>
      <c r="F48" s="641"/>
      <c r="G48" s="319">
        <v>1</v>
      </c>
      <c r="H48" s="319" t="s">
        <v>1693</v>
      </c>
      <c r="I48" s="1225">
        <v>637</v>
      </c>
      <c r="J48" s="1208">
        <f t="shared" si="1"/>
        <v>637</v>
      </c>
      <c r="K48" s="1226" t="s">
        <v>1706</v>
      </c>
      <c r="L48" s="400" t="s">
        <v>1701</v>
      </c>
      <c r="M48" s="2545"/>
    </row>
    <row r="49" spans="1:13" ht="17.25" customHeight="1">
      <c r="A49" s="319">
        <v>39</v>
      </c>
      <c r="B49" s="1227" t="s">
        <v>1723</v>
      </c>
      <c r="C49" s="319" t="s">
        <v>1658</v>
      </c>
      <c r="D49" s="323" t="s">
        <v>1691</v>
      </c>
      <c r="E49" s="319" t="s">
        <v>1660</v>
      </c>
      <c r="F49" s="641"/>
      <c r="G49" s="319">
        <v>1</v>
      </c>
      <c r="H49" s="319" t="s">
        <v>1693</v>
      </c>
      <c r="I49" s="1225">
        <v>795</v>
      </c>
      <c r="J49" s="1208">
        <f t="shared" si="1"/>
        <v>795</v>
      </c>
      <c r="K49" s="1226" t="s">
        <v>1724</v>
      </c>
      <c r="L49" s="400" t="s">
        <v>1701</v>
      </c>
      <c r="M49" s="2545"/>
    </row>
    <row r="50" spans="1:13" ht="17.25" customHeight="1">
      <c r="A50" s="319">
        <v>40</v>
      </c>
      <c r="B50" s="1227" t="s">
        <v>1725</v>
      </c>
      <c r="C50" s="319" t="s">
        <v>1658</v>
      </c>
      <c r="D50" s="323" t="s">
        <v>1691</v>
      </c>
      <c r="E50" s="319" t="s">
        <v>1660</v>
      </c>
      <c r="F50" s="641"/>
      <c r="G50" s="319">
        <v>1</v>
      </c>
      <c r="H50" s="319" t="s">
        <v>1693</v>
      </c>
      <c r="I50" s="1225">
        <v>1870</v>
      </c>
      <c r="J50" s="1208">
        <f t="shared" si="1"/>
        <v>1870</v>
      </c>
      <c r="K50" s="1226" t="s">
        <v>1706</v>
      </c>
      <c r="L50" s="400" t="s">
        <v>1701</v>
      </c>
      <c r="M50" s="2546"/>
    </row>
    <row r="51" spans="1:13" ht="17.25" customHeight="1">
      <c r="A51" s="319">
        <v>41</v>
      </c>
      <c r="B51" s="1227" t="s">
        <v>1726</v>
      </c>
      <c r="C51" s="319" t="s">
        <v>1658</v>
      </c>
      <c r="D51" s="323" t="s">
        <v>1691</v>
      </c>
      <c r="E51" s="319" t="s">
        <v>1660</v>
      </c>
      <c r="F51" s="641"/>
      <c r="G51" s="319">
        <v>1</v>
      </c>
      <c r="H51" s="319" t="s">
        <v>1693</v>
      </c>
      <c r="I51" s="1225">
        <v>1725</v>
      </c>
      <c r="J51" s="1208">
        <f t="shared" si="1"/>
        <v>1725</v>
      </c>
      <c r="K51" s="1226" t="s">
        <v>1724</v>
      </c>
      <c r="L51" s="400" t="s">
        <v>1701</v>
      </c>
      <c r="M51" s="2545"/>
    </row>
    <row r="52" spans="1:13" ht="17.25" customHeight="1">
      <c r="A52" s="319">
        <v>42</v>
      </c>
      <c r="B52" s="1227" t="s">
        <v>1727</v>
      </c>
      <c r="C52" s="319" t="s">
        <v>1658</v>
      </c>
      <c r="D52" s="323" t="s">
        <v>1691</v>
      </c>
      <c r="E52" s="319" t="s">
        <v>1660</v>
      </c>
      <c r="F52" s="641"/>
      <c r="G52" s="319">
        <v>1</v>
      </c>
      <c r="H52" s="319" t="s">
        <v>1693</v>
      </c>
      <c r="I52" s="1225">
        <v>1970</v>
      </c>
      <c r="J52" s="1208">
        <f t="shared" si="1"/>
        <v>1970</v>
      </c>
      <c r="K52" s="1226" t="s">
        <v>1724</v>
      </c>
      <c r="L52" s="400" t="s">
        <v>1701</v>
      </c>
      <c r="M52" s="2545"/>
    </row>
    <row r="53" spans="1:13" ht="17.25" customHeight="1">
      <c r="A53" s="319"/>
      <c r="B53" s="1228" t="s">
        <v>545</v>
      </c>
      <c r="C53" s="319"/>
      <c r="D53" s="323"/>
      <c r="E53" s="319"/>
      <c r="F53" s="641"/>
      <c r="G53" s="319"/>
      <c r="H53" s="319"/>
      <c r="I53" s="1229"/>
      <c r="J53" s="1208">
        <f t="shared" si="1"/>
        <v>0</v>
      </c>
      <c r="K53" s="1933"/>
      <c r="L53" s="400"/>
      <c r="M53" s="2545"/>
    </row>
    <row r="54" spans="1:13" ht="17.25" customHeight="1">
      <c r="A54" s="367">
        <v>43</v>
      </c>
      <c r="B54" s="1230" t="s">
        <v>1728</v>
      </c>
      <c r="C54" s="367" t="s">
        <v>1729</v>
      </c>
      <c r="D54" s="413" t="s">
        <v>1730</v>
      </c>
      <c r="E54" s="367" t="s">
        <v>1731</v>
      </c>
      <c r="F54" s="1222"/>
      <c r="G54" s="367" t="s">
        <v>1732</v>
      </c>
      <c r="H54" s="367">
        <v>3</v>
      </c>
      <c r="I54" s="1223">
        <v>200000</v>
      </c>
      <c r="J54" s="1208">
        <f t="shared" si="1"/>
        <v>200000</v>
      </c>
      <c r="K54" s="402"/>
      <c r="L54" s="402" t="s">
        <v>1733</v>
      </c>
      <c r="M54" s="2546"/>
    </row>
    <row r="55" spans="1:13" ht="17.25" customHeight="1">
      <c r="A55" s="367">
        <v>44</v>
      </c>
      <c r="B55" s="1231" t="s">
        <v>1734</v>
      </c>
      <c r="C55" s="367" t="s">
        <v>1729</v>
      </c>
      <c r="D55" s="413" t="s">
        <v>1730</v>
      </c>
      <c r="E55" s="367" t="s">
        <v>1731</v>
      </c>
      <c r="F55" s="1222"/>
      <c r="G55" s="367" t="s">
        <v>1732</v>
      </c>
      <c r="H55" s="367">
        <v>3</v>
      </c>
      <c r="I55" s="1223">
        <v>200000</v>
      </c>
      <c r="J55" s="1208">
        <f t="shared" si="1"/>
        <v>200000</v>
      </c>
      <c r="K55" s="402"/>
      <c r="L55" s="402" t="s">
        <v>1733</v>
      </c>
      <c r="M55" s="2545"/>
    </row>
    <row r="56" spans="1:13" ht="17.25" customHeight="1">
      <c r="A56" s="367">
        <v>45</v>
      </c>
      <c r="B56" s="373" t="s">
        <v>1735</v>
      </c>
      <c r="C56" s="319" t="s">
        <v>207</v>
      </c>
      <c r="D56" s="323" t="s">
        <v>1730</v>
      </c>
      <c r="E56" s="319" t="s">
        <v>1731</v>
      </c>
      <c r="F56" s="641"/>
      <c r="G56" s="319">
        <v>2</v>
      </c>
      <c r="H56" s="319">
        <v>3</v>
      </c>
      <c r="I56" s="1229">
        <v>20000</v>
      </c>
      <c r="J56" s="1208">
        <f t="shared" si="1"/>
        <v>20000</v>
      </c>
      <c r="K56" s="400"/>
      <c r="L56" s="400" t="s">
        <v>1733</v>
      </c>
      <c r="M56" s="2545"/>
    </row>
    <row r="57" spans="1:13" ht="17.25" customHeight="1">
      <c r="A57" s="367">
        <v>46</v>
      </c>
      <c r="B57" s="373" t="s">
        <v>1736</v>
      </c>
      <c r="C57" s="319" t="s">
        <v>207</v>
      </c>
      <c r="D57" s="323" t="s">
        <v>1730</v>
      </c>
      <c r="E57" s="319" t="s">
        <v>1731</v>
      </c>
      <c r="F57" s="641"/>
      <c r="G57" s="319">
        <v>2</v>
      </c>
      <c r="H57" s="319">
        <v>3</v>
      </c>
      <c r="I57" s="1229">
        <v>20000</v>
      </c>
      <c r="J57" s="1208">
        <f t="shared" si="1"/>
        <v>20000</v>
      </c>
      <c r="K57" s="400"/>
      <c r="L57" s="400" t="s">
        <v>1733</v>
      </c>
      <c r="M57" s="2545"/>
    </row>
    <row r="58" spans="1:13" ht="17.25" customHeight="1">
      <c r="A58" s="367">
        <v>47</v>
      </c>
      <c r="B58" s="373" t="s">
        <v>1737</v>
      </c>
      <c r="C58" s="319" t="s">
        <v>207</v>
      </c>
      <c r="D58" s="323" t="s">
        <v>1730</v>
      </c>
      <c r="E58" s="319" t="s">
        <v>1731</v>
      </c>
      <c r="F58" s="641"/>
      <c r="G58" s="319">
        <v>2</v>
      </c>
      <c r="H58" s="319">
        <v>3</v>
      </c>
      <c r="I58" s="1229">
        <v>20000</v>
      </c>
      <c r="J58" s="1208">
        <f t="shared" si="1"/>
        <v>20000</v>
      </c>
      <c r="K58" s="400"/>
      <c r="L58" s="400" t="s">
        <v>1733</v>
      </c>
      <c r="M58" s="2546"/>
    </row>
    <row r="59" spans="1:13" ht="17.25" customHeight="1">
      <c r="A59" s="367">
        <v>48</v>
      </c>
      <c r="B59" s="373" t="s">
        <v>1738</v>
      </c>
      <c r="C59" s="319" t="s">
        <v>1658</v>
      </c>
      <c r="D59" s="323" t="s">
        <v>1739</v>
      </c>
      <c r="E59" s="319" t="s">
        <v>1731</v>
      </c>
      <c r="F59" s="641"/>
      <c r="G59" s="319">
        <v>1</v>
      </c>
      <c r="H59" s="319">
        <v>4</v>
      </c>
      <c r="I59" s="1229">
        <v>10000</v>
      </c>
      <c r="J59" s="1208">
        <f t="shared" si="1"/>
        <v>10000</v>
      </c>
      <c r="K59" s="400"/>
      <c r="L59" s="400" t="s">
        <v>1733</v>
      </c>
      <c r="M59" s="2545"/>
    </row>
    <row r="60" spans="1:13" ht="17.25" customHeight="1">
      <c r="A60" s="367">
        <v>49</v>
      </c>
      <c r="B60" s="373" t="s">
        <v>1740</v>
      </c>
      <c r="C60" s="319" t="s">
        <v>1658</v>
      </c>
      <c r="D60" s="323" t="s">
        <v>1739</v>
      </c>
      <c r="E60" s="319" t="s">
        <v>1731</v>
      </c>
      <c r="F60" s="641"/>
      <c r="G60" s="319">
        <v>2</v>
      </c>
      <c r="H60" s="319">
        <v>4</v>
      </c>
      <c r="I60" s="1229">
        <v>10000</v>
      </c>
      <c r="J60" s="1208">
        <f t="shared" si="1"/>
        <v>10000</v>
      </c>
      <c r="K60" s="400"/>
      <c r="L60" s="400" t="s">
        <v>1733</v>
      </c>
      <c r="M60" s="2545"/>
    </row>
    <row r="61" spans="1:13" ht="17.25" customHeight="1">
      <c r="A61" s="367">
        <v>50</v>
      </c>
      <c r="B61" s="373" t="s">
        <v>1741</v>
      </c>
      <c r="C61" s="319" t="s">
        <v>1658</v>
      </c>
      <c r="D61" s="323" t="s">
        <v>1739</v>
      </c>
      <c r="E61" s="319" t="s">
        <v>1731</v>
      </c>
      <c r="F61" s="641"/>
      <c r="G61" s="319">
        <v>2</v>
      </c>
      <c r="H61" s="319">
        <v>5</v>
      </c>
      <c r="I61" s="1229">
        <v>10000</v>
      </c>
      <c r="J61" s="1208">
        <f t="shared" si="1"/>
        <v>10000</v>
      </c>
      <c r="K61" s="400"/>
      <c r="L61" s="400" t="s">
        <v>1733</v>
      </c>
      <c r="M61" s="2545"/>
    </row>
    <row r="62" spans="1:13" ht="17.25" customHeight="1">
      <c r="A62" s="367">
        <v>51</v>
      </c>
      <c r="B62" s="323" t="s">
        <v>822</v>
      </c>
      <c r="C62" s="319" t="s">
        <v>207</v>
      </c>
      <c r="D62" s="323" t="s">
        <v>1730</v>
      </c>
      <c r="E62" s="319" t="s">
        <v>1731</v>
      </c>
      <c r="F62" s="641"/>
      <c r="G62" s="319">
        <v>2</v>
      </c>
      <c r="H62" s="319">
        <v>3</v>
      </c>
      <c r="I62" s="1229">
        <v>20000</v>
      </c>
      <c r="J62" s="1208">
        <f t="shared" si="1"/>
        <v>20000</v>
      </c>
      <c r="K62" s="400"/>
      <c r="L62" s="400" t="s">
        <v>1733</v>
      </c>
      <c r="M62" s="2546"/>
    </row>
    <row r="63" spans="1:13" ht="17.25" customHeight="1">
      <c r="A63" s="367">
        <v>52</v>
      </c>
      <c r="B63" s="323" t="s">
        <v>1742</v>
      </c>
      <c r="C63" s="319" t="s">
        <v>1658</v>
      </c>
      <c r="D63" s="323" t="s">
        <v>1399</v>
      </c>
      <c r="E63" s="319" t="s">
        <v>1731</v>
      </c>
      <c r="F63" s="641"/>
      <c r="G63" s="319">
        <v>2</v>
      </c>
      <c r="H63" s="319">
        <v>5</v>
      </c>
      <c r="I63" s="1229">
        <v>20000</v>
      </c>
      <c r="J63" s="1208">
        <f t="shared" si="1"/>
        <v>20000</v>
      </c>
      <c r="K63" s="400"/>
      <c r="L63" s="400" t="s">
        <v>1733</v>
      </c>
      <c r="M63" s="2545"/>
    </row>
    <row r="64" spans="1:13" ht="17.25" customHeight="1">
      <c r="A64" s="367">
        <v>53</v>
      </c>
      <c r="B64" s="373" t="s">
        <v>1743</v>
      </c>
      <c r="C64" s="319" t="s">
        <v>1658</v>
      </c>
      <c r="D64" s="1232" t="s">
        <v>1381</v>
      </c>
      <c r="E64" s="319" t="s">
        <v>1731</v>
      </c>
      <c r="F64" s="1232"/>
      <c r="G64" s="319">
        <v>2</v>
      </c>
      <c r="H64" s="319">
        <v>5</v>
      </c>
      <c r="I64" s="1229">
        <v>20000</v>
      </c>
      <c r="J64" s="1208">
        <f t="shared" si="1"/>
        <v>20000</v>
      </c>
      <c r="K64" s="400"/>
      <c r="L64" s="400" t="s">
        <v>1733</v>
      </c>
      <c r="M64" s="2545"/>
    </row>
    <row r="65" spans="1:13" ht="17.25" customHeight="1">
      <c r="A65" s="367">
        <v>54</v>
      </c>
      <c r="B65" s="373" t="s">
        <v>1744</v>
      </c>
      <c r="C65" s="319" t="s">
        <v>1658</v>
      </c>
      <c r="D65" s="1232" t="s">
        <v>1381</v>
      </c>
      <c r="E65" s="319" t="s">
        <v>1731</v>
      </c>
      <c r="F65" s="1232"/>
      <c r="G65" s="319">
        <v>2</v>
      </c>
      <c r="H65" s="319">
        <v>5</v>
      </c>
      <c r="I65" s="1229">
        <v>20000</v>
      </c>
      <c r="J65" s="1208">
        <f t="shared" si="1"/>
        <v>20000</v>
      </c>
      <c r="K65" s="400"/>
      <c r="L65" s="400" t="s">
        <v>1733</v>
      </c>
      <c r="M65" s="2545"/>
    </row>
    <row r="66" spans="1:13" ht="20.25" customHeight="1">
      <c r="A66" s="319"/>
      <c r="B66" s="1228" t="s">
        <v>551</v>
      </c>
      <c r="C66" s="319"/>
      <c r="D66" s="323"/>
      <c r="E66" s="319"/>
      <c r="F66" s="641"/>
      <c r="G66" s="319"/>
      <c r="H66" s="319"/>
      <c r="I66" s="1229"/>
      <c r="J66" s="1208">
        <f t="shared" si="1"/>
        <v>0</v>
      </c>
      <c r="K66" s="400"/>
      <c r="L66" s="400"/>
      <c r="M66" s="2546"/>
    </row>
    <row r="67" spans="1:13" ht="20.25" customHeight="1">
      <c r="A67" s="319">
        <v>55</v>
      </c>
      <c r="B67" s="344" t="s">
        <v>1745</v>
      </c>
      <c r="C67" s="319" t="s">
        <v>1658</v>
      </c>
      <c r="D67" s="1232" t="s">
        <v>1746</v>
      </c>
      <c r="E67" s="319" t="s">
        <v>1660</v>
      </c>
      <c r="F67" s="641"/>
      <c r="G67" s="367" t="s">
        <v>1732</v>
      </c>
      <c r="H67" s="319">
        <v>3</v>
      </c>
      <c r="I67" s="1229">
        <v>2500</v>
      </c>
      <c r="J67" s="1208">
        <f t="shared" si="1"/>
        <v>2500</v>
      </c>
      <c r="K67" s="400"/>
      <c r="L67" s="400" t="s">
        <v>1747</v>
      </c>
      <c r="M67" s="2546"/>
    </row>
    <row r="68" spans="1:13" ht="20.25" customHeight="1">
      <c r="A68" s="319">
        <v>56</v>
      </c>
      <c r="B68" s="344" t="s">
        <v>1748</v>
      </c>
      <c r="C68" s="319" t="s">
        <v>1658</v>
      </c>
      <c r="D68" s="1232" t="s">
        <v>1746</v>
      </c>
      <c r="E68" s="319" t="s">
        <v>1660</v>
      </c>
      <c r="F68" s="641"/>
      <c r="G68" s="367" t="s">
        <v>1732</v>
      </c>
      <c r="H68" s="319">
        <v>3</v>
      </c>
      <c r="I68" s="1229">
        <v>2500</v>
      </c>
      <c r="J68" s="1208">
        <f t="shared" si="1"/>
        <v>2500</v>
      </c>
      <c r="K68" s="400"/>
      <c r="L68" s="400" t="s">
        <v>1747</v>
      </c>
      <c r="M68" s="2545"/>
    </row>
    <row r="69" spans="1:13" ht="20.25" customHeight="1">
      <c r="A69" s="319">
        <v>57</v>
      </c>
      <c r="B69" s="344" t="s">
        <v>1749</v>
      </c>
      <c r="C69" s="319" t="s">
        <v>1658</v>
      </c>
      <c r="D69" s="1232" t="s">
        <v>1746</v>
      </c>
      <c r="E69" s="319" t="s">
        <v>1660</v>
      </c>
      <c r="F69" s="641"/>
      <c r="G69" s="367" t="s">
        <v>1732</v>
      </c>
      <c r="H69" s="319">
        <v>3</v>
      </c>
      <c r="I69" s="1229">
        <v>8000</v>
      </c>
      <c r="J69" s="1208">
        <f t="shared" si="1"/>
        <v>8000</v>
      </c>
      <c r="K69" s="400"/>
      <c r="L69" s="400" t="s">
        <v>1747</v>
      </c>
      <c r="M69" s="2545"/>
    </row>
    <row r="70" spans="1:13" ht="20.25" customHeight="1">
      <c r="A70" s="319">
        <v>58</v>
      </c>
      <c r="B70" s="344" t="s">
        <v>1750</v>
      </c>
      <c r="C70" s="319" t="s">
        <v>1658</v>
      </c>
      <c r="D70" s="1232" t="s">
        <v>1746</v>
      </c>
      <c r="E70" s="319" t="s">
        <v>1660</v>
      </c>
      <c r="F70" s="641"/>
      <c r="G70" s="367" t="s">
        <v>1732</v>
      </c>
      <c r="H70" s="319">
        <v>3</v>
      </c>
      <c r="I70" s="1229">
        <v>8000</v>
      </c>
      <c r="J70" s="1208">
        <f t="shared" si="1"/>
        <v>8000</v>
      </c>
      <c r="K70" s="400"/>
      <c r="L70" s="400" t="s">
        <v>1747</v>
      </c>
      <c r="M70" s="2545"/>
    </row>
    <row r="71" spans="1:13" ht="20.25" customHeight="1">
      <c r="A71" s="319">
        <v>59</v>
      </c>
      <c r="B71" s="344" t="s">
        <v>1751</v>
      </c>
      <c r="C71" s="319" t="s">
        <v>1658</v>
      </c>
      <c r="D71" s="1232" t="s">
        <v>1746</v>
      </c>
      <c r="E71" s="319" t="s">
        <v>1660</v>
      </c>
      <c r="F71" s="641"/>
      <c r="G71" s="367" t="s">
        <v>1732</v>
      </c>
      <c r="H71" s="319">
        <v>3</v>
      </c>
      <c r="I71" s="1229">
        <v>6000</v>
      </c>
      <c r="J71" s="1208">
        <f t="shared" si="1"/>
        <v>6000</v>
      </c>
      <c r="K71" s="400"/>
      <c r="L71" s="400" t="s">
        <v>1747</v>
      </c>
      <c r="M71" s="2546"/>
    </row>
    <row r="72" spans="1:13" ht="20.25" customHeight="1">
      <c r="A72" s="319">
        <v>60</v>
      </c>
      <c r="B72" s="344" t="s">
        <v>1752</v>
      </c>
      <c r="C72" s="319" t="s">
        <v>1658</v>
      </c>
      <c r="D72" s="1232" t="s">
        <v>1746</v>
      </c>
      <c r="E72" s="319" t="s">
        <v>1660</v>
      </c>
      <c r="F72" s="641"/>
      <c r="G72" s="367" t="s">
        <v>1732</v>
      </c>
      <c r="H72" s="319">
        <v>3</v>
      </c>
      <c r="I72" s="1229">
        <v>250</v>
      </c>
      <c r="J72" s="1208">
        <f t="shared" si="1"/>
        <v>250</v>
      </c>
      <c r="K72" s="400"/>
      <c r="L72" s="400" t="s">
        <v>1747</v>
      </c>
      <c r="M72" s="2546"/>
    </row>
    <row r="73" spans="1:13" ht="20.25" customHeight="1">
      <c r="A73" s="319">
        <v>61</v>
      </c>
      <c r="B73" s="344" t="s">
        <v>1753</v>
      </c>
      <c r="C73" s="319" t="s">
        <v>1658</v>
      </c>
      <c r="D73" s="1232" t="s">
        <v>1746</v>
      </c>
      <c r="E73" s="319" t="s">
        <v>1660</v>
      </c>
      <c r="F73" s="641"/>
      <c r="G73" s="367" t="s">
        <v>1732</v>
      </c>
      <c r="H73" s="319">
        <v>3</v>
      </c>
      <c r="I73" s="1229">
        <v>270</v>
      </c>
      <c r="J73" s="1208">
        <f t="shared" si="1"/>
        <v>270</v>
      </c>
      <c r="K73" s="400"/>
      <c r="L73" s="400" t="s">
        <v>1747</v>
      </c>
      <c r="M73" s="2545"/>
    </row>
    <row r="74" spans="1:13" ht="20.25" customHeight="1">
      <c r="A74" s="319">
        <v>62</v>
      </c>
      <c r="B74" s="344" t="s">
        <v>1754</v>
      </c>
      <c r="C74" s="319" t="s">
        <v>1658</v>
      </c>
      <c r="D74" s="1232" t="s">
        <v>1746</v>
      </c>
      <c r="E74" s="319" t="s">
        <v>1660</v>
      </c>
      <c r="F74" s="641"/>
      <c r="G74" s="367" t="s">
        <v>1732</v>
      </c>
      <c r="H74" s="319">
        <v>3</v>
      </c>
      <c r="I74" s="1229">
        <v>630</v>
      </c>
      <c r="J74" s="1208">
        <f t="shared" si="1"/>
        <v>630</v>
      </c>
      <c r="K74" s="400"/>
      <c r="L74" s="400" t="s">
        <v>1747</v>
      </c>
      <c r="M74" s="2545"/>
    </row>
    <row r="75" spans="1:13" ht="20.25" customHeight="1">
      <c r="A75" s="319">
        <v>63</v>
      </c>
      <c r="B75" s="344" t="s">
        <v>1755</v>
      </c>
      <c r="C75" s="319" t="s">
        <v>1658</v>
      </c>
      <c r="D75" s="1232" t="s">
        <v>1746</v>
      </c>
      <c r="E75" s="319" t="s">
        <v>1660</v>
      </c>
      <c r="F75" s="641"/>
      <c r="G75" s="367" t="s">
        <v>1732</v>
      </c>
      <c r="H75" s="319">
        <v>3</v>
      </c>
      <c r="I75" s="1229">
        <v>45</v>
      </c>
      <c r="J75" s="1208">
        <f t="shared" si="1"/>
        <v>45</v>
      </c>
      <c r="K75" s="400"/>
      <c r="L75" s="400" t="s">
        <v>1747</v>
      </c>
      <c r="M75" s="2545"/>
    </row>
    <row r="76" spans="1:13" ht="23.25" customHeight="1">
      <c r="A76" s="319">
        <v>64</v>
      </c>
      <c r="B76" s="323" t="s">
        <v>1756</v>
      </c>
      <c r="C76" s="319" t="s">
        <v>1658</v>
      </c>
      <c r="D76" s="1232" t="s">
        <v>1381</v>
      </c>
      <c r="E76" s="319" t="s">
        <v>1660</v>
      </c>
      <c r="F76" s="641"/>
      <c r="G76" s="319">
        <v>2</v>
      </c>
      <c r="H76" s="319">
        <v>3</v>
      </c>
      <c r="I76" s="1229">
        <v>247000</v>
      </c>
      <c r="J76" s="1208">
        <f t="shared" si="1"/>
        <v>247000</v>
      </c>
      <c r="K76" s="400" t="s">
        <v>1757</v>
      </c>
      <c r="L76" s="400" t="s">
        <v>1758</v>
      </c>
      <c r="M76" s="2546"/>
    </row>
    <row r="77" spans="1:13" ht="24.75" customHeight="1">
      <c r="A77" s="319">
        <v>65</v>
      </c>
      <c r="B77" s="373" t="s">
        <v>1759</v>
      </c>
      <c r="C77" s="319" t="s">
        <v>1658</v>
      </c>
      <c r="D77" s="323" t="s">
        <v>1760</v>
      </c>
      <c r="E77" s="319" t="s">
        <v>1660</v>
      </c>
      <c r="F77" s="641"/>
      <c r="G77" s="319">
        <v>1</v>
      </c>
      <c r="H77" s="319" t="s">
        <v>1761</v>
      </c>
      <c r="I77" s="1229">
        <v>195700</v>
      </c>
      <c r="J77" s="1208">
        <f t="shared" si="1"/>
        <v>195700</v>
      </c>
      <c r="K77" s="400" t="s">
        <v>1757</v>
      </c>
      <c r="L77" s="400" t="s">
        <v>1758</v>
      </c>
      <c r="M77" s="2546"/>
    </row>
    <row r="78" spans="1:13" ht="17.25" customHeight="1">
      <c r="A78" s="319"/>
      <c r="B78" s="349" t="s">
        <v>548</v>
      </c>
      <c r="C78" s="319"/>
      <c r="D78" s="323"/>
      <c r="E78" s="319"/>
      <c r="F78" s="641"/>
      <c r="G78" s="319"/>
      <c r="H78" s="319"/>
      <c r="I78" s="1229"/>
      <c r="J78" s="1208">
        <f t="shared" si="1"/>
        <v>0</v>
      </c>
      <c r="K78" s="331"/>
      <c r="L78" s="400"/>
      <c r="M78" s="2545"/>
    </row>
    <row r="79" spans="1:13" ht="30.75" customHeight="1">
      <c r="A79" s="319">
        <v>66</v>
      </c>
      <c r="B79" s="373" t="s">
        <v>1762</v>
      </c>
      <c r="C79" s="319" t="s">
        <v>1658</v>
      </c>
      <c r="D79" s="322" t="s">
        <v>1763</v>
      </c>
      <c r="E79" s="400" t="s">
        <v>1764</v>
      </c>
      <c r="F79" s="1229">
        <v>15000</v>
      </c>
      <c r="G79" s="400">
        <v>2</v>
      </c>
      <c r="H79" s="400">
        <v>3</v>
      </c>
      <c r="I79" s="1229">
        <v>15000</v>
      </c>
      <c r="J79" s="1208">
        <f t="shared" si="1"/>
        <v>0</v>
      </c>
      <c r="K79" s="400" t="s">
        <v>1765</v>
      </c>
      <c r="L79" s="400" t="s">
        <v>1766</v>
      </c>
      <c r="M79" s="2545"/>
    </row>
    <row r="80" spans="1:13" ht="33.75" customHeight="1">
      <c r="A80" s="312"/>
      <c r="B80" s="349" t="s">
        <v>1767</v>
      </c>
      <c r="C80" s="319"/>
      <c r="D80" s="323"/>
      <c r="E80" s="319"/>
      <c r="F80" s="307"/>
      <c r="G80" s="319"/>
      <c r="H80" s="319"/>
      <c r="I80" s="307"/>
      <c r="J80" s="1208">
        <f t="shared" si="1"/>
        <v>0</v>
      </c>
      <c r="K80" s="400"/>
      <c r="L80" s="400"/>
      <c r="M80" s="2545"/>
    </row>
    <row r="81" spans="1:13" ht="33.75" customHeight="1">
      <c r="A81" s="312" t="s">
        <v>206</v>
      </c>
      <c r="B81" s="349" t="s">
        <v>1768</v>
      </c>
      <c r="C81" s="319"/>
      <c r="D81" s="323"/>
      <c r="E81" s="319"/>
      <c r="F81" s="307">
        <f>F82+F96+F104</f>
        <v>1123238.5</v>
      </c>
      <c r="G81" s="319"/>
      <c r="H81" s="319"/>
      <c r="I81" s="307">
        <f>I82+I96+I104</f>
        <v>3194430</v>
      </c>
      <c r="J81" s="1233">
        <f t="shared" si="1"/>
        <v>2071191.5</v>
      </c>
      <c r="K81" s="400"/>
      <c r="L81" s="400"/>
      <c r="M81" s="2546"/>
    </row>
    <row r="82" spans="1:13" ht="27" customHeight="1">
      <c r="A82" s="312">
        <v>1</v>
      </c>
      <c r="B82" s="349" t="s">
        <v>1769</v>
      </c>
      <c r="C82" s="312"/>
      <c r="D82" s="349"/>
      <c r="E82" s="312"/>
      <c r="F82" s="307">
        <f>SUM(F83:F92)</f>
        <v>1028238.5</v>
      </c>
      <c r="G82" s="312"/>
      <c r="H82" s="312"/>
      <c r="I82" s="307">
        <f>SUM(I83:I92)</f>
        <v>2058842</v>
      </c>
      <c r="J82" s="1208">
        <f t="shared" si="1"/>
        <v>1030603.5</v>
      </c>
      <c r="K82" s="331"/>
      <c r="L82" s="400"/>
      <c r="M82" s="2546"/>
    </row>
    <row r="83" spans="1:13" ht="25.5">
      <c r="A83" s="1234">
        <v>44562</v>
      </c>
      <c r="B83" s="2198" t="s">
        <v>1770</v>
      </c>
      <c r="C83" s="2152" t="s">
        <v>1658</v>
      </c>
      <c r="D83" s="2199" t="s">
        <v>1771</v>
      </c>
      <c r="E83" s="2199" t="s">
        <v>1772</v>
      </c>
      <c r="F83" s="2200">
        <f>525*1922.5</f>
        <v>1009312.5</v>
      </c>
      <c r="G83" s="2199"/>
      <c r="H83" s="2199">
        <v>5</v>
      </c>
      <c r="I83" s="151">
        <f>789*1922.5</f>
        <v>1516852.5</v>
      </c>
      <c r="J83" s="1208">
        <f t="shared" si="1"/>
        <v>507540</v>
      </c>
      <c r="K83" s="261" t="s">
        <v>1773</v>
      </c>
      <c r="L83" s="261"/>
      <c r="M83" s="2545"/>
    </row>
    <row r="84" spans="1:13" ht="15.75">
      <c r="A84" s="2201">
        <v>44593</v>
      </c>
      <c r="B84" s="2198" t="s">
        <v>1774</v>
      </c>
      <c r="C84" s="2152" t="s">
        <v>1658</v>
      </c>
      <c r="D84" s="2199"/>
      <c r="E84" s="2199"/>
      <c r="F84" s="2200"/>
      <c r="G84" s="2199"/>
      <c r="H84" s="2199"/>
      <c r="I84" s="151">
        <f>'Phụ lục dự toán B4'!G32/1000</f>
        <v>196178</v>
      </c>
      <c r="J84" s="1208"/>
      <c r="K84" s="261"/>
      <c r="L84" s="261"/>
      <c r="M84" s="2545"/>
    </row>
    <row r="85" spans="1:13" ht="15.75">
      <c r="A85" s="2201">
        <v>44621</v>
      </c>
      <c r="B85" s="2198" t="s">
        <v>1775</v>
      </c>
      <c r="C85" s="2152" t="s">
        <v>1658</v>
      </c>
      <c r="D85" s="2199"/>
      <c r="E85" s="2199"/>
      <c r="F85" s="2200"/>
      <c r="G85" s="2199"/>
      <c r="H85" s="2199"/>
      <c r="I85" s="151">
        <f>'Phụ lục dự toán B4'!G65/1000</f>
        <v>131650</v>
      </c>
      <c r="J85" s="1208"/>
      <c r="K85" s="261"/>
      <c r="L85" s="261"/>
      <c r="M85" s="2545"/>
    </row>
    <row r="86" spans="1:13" ht="18.75" customHeight="1">
      <c r="A86" s="1235">
        <v>44652</v>
      </c>
      <c r="B86" s="373" t="s">
        <v>1776</v>
      </c>
      <c r="C86" s="400" t="s">
        <v>1658</v>
      </c>
      <c r="D86" s="322" t="s">
        <v>1777</v>
      </c>
      <c r="E86" s="322" t="s">
        <v>1778</v>
      </c>
      <c r="F86" s="322">
        <v>7440</v>
      </c>
      <c r="G86" s="322">
        <v>2</v>
      </c>
      <c r="H86" s="322">
        <v>2</v>
      </c>
      <c r="I86" s="1236">
        <v>56098</v>
      </c>
      <c r="J86" s="1208">
        <f t="shared" ref="J86:J95" si="2">I86-F86</f>
        <v>48658</v>
      </c>
      <c r="K86" s="400" t="s">
        <v>1779</v>
      </c>
      <c r="L86" s="400" t="s">
        <v>1780</v>
      </c>
      <c r="M86" s="2546"/>
    </row>
    <row r="87" spans="1:13" ht="18" customHeight="1">
      <c r="A87" s="1235">
        <v>44682</v>
      </c>
      <c r="B87" s="373" t="s">
        <v>1781</v>
      </c>
      <c r="C87" s="400" t="s">
        <v>1658</v>
      </c>
      <c r="D87" s="322" t="s">
        <v>1782</v>
      </c>
      <c r="E87" s="322" t="s">
        <v>1778</v>
      </c>
      <c r="F87" s="322">
        <v>7440</v>
      </c>
      <c r="G87" s="322">
        <v>1</v>
      </c>
      <c r="H87" s="322">
        <v>2</v>
      </c>
      <c r="I87" s="1236">
        <v>13540.8</v>
      </c>
      <c r="J87" s="1208">
        <f t="shared" si="2"/>
        <v>6100.7999999999993</v>
      </c>
      <c r="K87" s="400" t="s">
        <v>1779</v>
      </c>
      <c r="L87" s="400" t="s">
        <v>1780</v>
      </c>
      <c r="M87" s="2546"/>
    </row>
    <row r="88" spans="1:13" ht="15.75">
      <c r="A88" s="1237" t="s">
        <v>1783</v>
      </c>
      <c r="B88" s="1238" t="s">
        <v>1784</v>
      </c>
      <c r="C88" s="400" t="s">
        <v>1658</v>
      </c>
      <c r="D88" s="322" t="s">
        <v>1785</v>
      </c>
      <c r="E88" s="322" t="s">
        <v>1778</v>
      </c>
      <c r="F88" s="322"/>
      <c r="G88" s="322">
        <v>1</v>
      </c>
      <c r="H88" s="322">
        <v>1</v>
      </c>
      <c r="I88" s="1236">
        <v>7616.7</v>
      </c>
      <c r="J88" s="1208">
        <f t="shared" si="2"/>
        <v>7616.7</v>
      </c>
      <c r="K88" s="400"/>
      <c r="L88" s="400"/>
      <c r="M88" s="2545"/>
    </row>
    <row r="89" spans="1:13" ht="22.5" customHeight="1">
      <c r="A89" s="1237" t="s">
        <v>1786</v>
      </c>
      <c r="B89" s="373" t="s">
        <v>1096</v>
      </c>
      <c r="C89" s="319" t="s">
        <v>1658</v>
      </c>
      <c r="D89" s="323" t="s">
        <v>1787</v>
      </c>
      <c r="E89" s="319" t="s">
        <v>1660</v>
      </c>
      <c r="F89" s="641"/>
      <c r="G89" s="312">
        <v>2</v>
      </c>
      <c r="H89" s="312">
        <v>2</v>
      </c>
      <c r="I89" s="1229">
        <v>42906</v>
      </c>
      <c r="J89" s="1208">
        <f t="shared" si="2"/>
        <v>42906</v>
      </c>
      <c r="K89" s="400" t="s">
        <v>1788</v>
      </c>
      <c r="L89" s="400" t="s">
        <v>1701</v>
      </c>
      <c r="M89" s="2545"/>
    </row>
    <row r="90" spans="1:13" ht="21" customHeight="1">
      <c r="A90" s="319"/>
      <c r="B90" s="349" t="s">
        <v>1228</v>
      </c>
      <c r="C90" s="319"/>
      <c r="D90" s="323"/>
      <c r="E90" s="319"/>
      <c r="F90" s="308"/>
      <c r="G90" s="319"/>
      <c r="H90" s="319"/>
      <c r="I90" s="307"/>
      <c r="J90" s="1208">
        <f t="shared" si="2"/>
        <v>0</v>
      </c>
      <c r="K90" s="400"/>
      <c r="L90" s="400"/>
      <c r="M90" s="2545"/>
    </row>
    <row r="91" spans="1:13" ht="21" customHeight="1">
      <c r="A91" s="1235">
        <v>44713</v>
      </c>
      <c r="B91" s="323" t="s">
        <v>1789</v>
      </c>
      <c r="C91" s="319"/>
      <c r="D91" s="323" t="s">
        <v>1790</v>
      </c>
      <c r="E91" s="319" t="s">
        <v>1778</v>
      </c>
      <c r="F91" s="1239">
        <v>2023</v>
      </c>
      <c r="G91" s="319" t="s">
        <v>1791</v>
      </c>
      <c r="H91" s="319"/>
      <c r="I91" s="151">
        <f>'Phụ lục dự toán B4'!G86/1000</f>
        <v>84000</v>
      </c>
      <c r="J91" s="1208">
        <f t="shared" si="2"/>
        <v>81977</v>
      </c>
      <c r="K91" s="400" t="s">
        <v>1792</v>
      </c>
      <c r="L91" s="400" t="s">
        <v>252</v>
      </c>
      <c r="M91" s="2546" t="s">
        <v>1793</v>
      </c>
    </row>
    <row r="92" spans="1:13" ht="15.75">
      <c r="A92" s="1235">
        <v>44743</v>
      </c>
      <c r="B92" s="323" t="s">
        <v>1794</v>
      </c>
      <c r="C92" s="319"/>
      <c r="D92" s="323" t="s">
        <v>1790</v>
      </c>
      <c r="E92" s="319" t="s">
        <v>1778</v>
      </c>
      <c r="F92" s="1239">
        <v>2023</v>
      </c>
      <c r="G92" s="319" t="s">
        <v>1791</v>
      </c>
      <c r="H92" s="319"/>
      <c r="I92" s="1240">
        <v>10000</v>
      </c>
      <c r="J92" s="1208">
        <f t="shared" si="2"/>
        <v>7977</v>
      </c>
      <c r="K92" s="400" t="s">
        <v>1795</v>
      </c>
      <c r="L92" s="400" t="s">
        <v>252</v>
      </c>
      <c r="M92" s="2546" t="s">
        <v>1796</v>
      </c>
    </row>
    <row r="93" spans="1:13" ht="15.75">
      <c r="A93" s="319"/>
      <c r="B93" s="323"/>
      <c r="C93" s="319"/>
      <c r="D93" s="323"/>
      <c r="E93" s="319"/>
      <c r="F93" s="308"/>
      <c r="G93" s="319"/>
      <c r="H93" s="319"/>
      <c r="I93" s="307"/>
      <c r="J93" s="1208">
        <f t="shared" si="2"/>
        <v>0</v>
      </c>
      <c r="K93" s="400"/>
      <c r="L93" s="400"/>
      <c r="M93" s="2545"/>
    </row>
    <row r="94" spans="1:13" ht="15.75" customHeight="1">
      <c r="A94" s="319">
        <v>2</v>
      </c>
      <c r="B94" s="323" t="s">
        <v>1797</v>
      </c>
      <c r="C94" s="319"/>
      <c r="D94" s="323"/>
      <c r="E94" s="319"/>
      <c r="F94" s="1239"/>
      <c r="G94" s="319"/>
      <c r="H94" s="319"/>
      <c r="I94" s="316"/>
      <c r="J94" s="1208">
        <f t="shared" si="2"/>
        <v>0</v>
      </c>
      <c r="K94" s="400"/>
      <c r="L94" s="400"/>
      <c r="M94" s="2545"/>
    </row>
    <row r="95" spans="1:13" ht="15.75" customHeight="1">
      <c r="A95" s="319"/>
      <c r="B95" s="349"/>
      <c r="C95" s="400"/>
      <c r="D95" s="373"/>
      <c r="E95" s="373"/>
      <c r="F95" s="1239"/>
      <c r="G95" s="373"/>
      <c r="H95" s="373"/>
      <c r="I95" s="316"/>
      <c r="J95" s="1208">
        <f t="shared" si="2"/>
        <v>0</v>
      </c>
      <c r="K95" s="400"/>
      <c r="L95" s="400"/>
      <c r="M95" s="2545"/>
    </row>
    <row r="96" spans="1:13" ht="15.75" customHeight="1">
      <c r="A96" s="312">
        <v>4</v>
      </c>
      <c r="B96" s="1228" t="s">
        <v>1798</v>
      </c>
      <c r="C96" s="331"/>
      <c r="D96" s="318"/>
      <c r="E96" s="318"/>
      <c r="F96" s="307">
        <f>SUM(F97:F105)</f>
        <v>95000</v>
      </c>
      <c r="G96" s="1228"/>
      <c r="H96" s="1228"/>
      <c r="I96" s="307">
        <f t="shared" ref="I96:J96" si="3">SUM(I97:I102)</f>
        <v>848340</v>
      </c>
      <c r="J96" s="307">
        <f t="shared" si="3"/>
        <v>753340</v>
      </c>
      <c r="K96" s="331"/>
      <c r="L96" s="400"/>
      <c r="M96" s="2546" t="s">
        <v>1799</v>
      </c>
    </row>
    <row r="97" spans="1:13" ht="30.75" customHeight="1">
      <c r="A97" s="1235">
        <v>44565</v>
      </c>
      <c r="B97" s="373" t="s">
        <v>1245</v>
      </c>
      <c r="C97" s="319" t="s">
        <v>1658</v>
      </c>
      <c r="D97" s="319" t="s">
        <v>1800</v>
      </c>
      <c r="E97" s="319" t="s">
        <v>1778</v>
      </c>
      <c r="F97" s="1239">
        <v>95000</v>
      </c>
      <c r="G97" s="319">
        <v>1</v>
      </c>
      <c r="H97" s="319">
        <v>1</v>
      </c>
      <c r="I97" s="316">
        <f>65*1600</f>
        <v>104000</v>
      </c>
      <c r="J97" s="1208">
        <f t="shared" ref="J97:J102" si="4">I97-F97</f>
        <v>9000</v>
      </c>
      <c r="K97" s="400" t="s">
        <v>1801</v>
      </c>
      <c r="L97" s="400"/>
      <c r="M97" s="2546"/>
    </row>
    <row r="98" spans="1:13" ht="38.25">
      <c r="A98" s="1235">
        <v>44596</v>
      </c>
      <c r="B98" s="323" t="s">
        <v>1802</v>
      </c>
      <c r="C98" s="319" t="s">
        <v>1658</v>
      </c>
      <c r="D98" s="323" t="s">
        <v>1803</v>
      </c>
      <c r="E98" s="319" t="s">
        <v>1804</v>
      </c>
      <c r="F98" s="1225"/>
      <c r="G98" s="319">
        <v>2</v>
      </c>
      <c r="H98" s="319" t="s">
        <v>1805</v>
      </c>
      <c r="I98" s="151">
        <f>'Phụ lục dự toán B4'!I225/1000</f>
        <v>123240</v>
      </c>
      <c r="J98" s="1208">
        <f t="shared" si="4"/>
        <v>123240</v>
      </c>
      <c r="K98" s="400" t="s">
        <v>1792</v>
      </c>
      <c r="L98" s="400"/>
      <c r="M98" s="2545"/>
    </row>
    <row r="99" spans="1:13" ht="38.25">
      <c r="A99" s="1235">
        <v>44624</v>
      </c>
      <c r="B99" s="323" t="s">
        <v>1806</v>
      </c>
      <c r="C99" s="319" t="s">
        <v>1658</v>
      </c>
      <c r="D99" s="323" t="s">
        <v>1803</v>
      </c>
      <c r="E99" s="319" t="s">
        <v>1804</v>
      </c>
      <c r="F99" s="1225"/>
      <c r="G99" s="319">
        <v>1</v>
      </c>
      <c r="H99" s="319">
        <v>2</v>
      </c>
      <c r="I99" s="1241">
        <f>'Phụ lục dự toán B4'!I366/1000</f>
        <v>123240</v>
      </c>
      <c r="J99" s="2202">
        <f t="shared" si="4"/>
        <v>123240</v>
      </c>
      <c r="K99" s="400" t="s">
        <v>1792</v>
      </c>
      <c r="L99" s="400"/>
      <c r="M99" s="2545"/>
    </row>
    <row r="100" spans="1:13" ht="38.25">
      <c r="A100" s="1235">
        <v>44655</v>
      </c>
      <c r="B100" s="323" t="s">
        <v>1807</v>
      </c>
      <c r="C100" s="319" t="s">
        <v>1658</v>
      </c>
      <c r="D100" s="323" t="s">
        <v>1808</v>
      </c>
      <c r="E100" s="319" t="s">
        <v>1809</v>
      </c>
      <c r="F100" s="1225"/>
      <c r="G100" s="319">
        <v>2</v>
      </c>
      <c r="H100" s="343">
        <v>2</v>
      </c>
      <c r="I100" s="1242">
        <f>'Phụ lục dự toán B4'!I517/1000</f>
        <v>126460</v>
      </c>
      <c r="J100" s="2203">
        <f t="shared" si="4"/>
        <v>126460</v>
      </c>
      <c r="K100" s="1243" t="s">
        <v>1792</v>
      </c>
      <c r="L100" s="400"/>
      <c r="M100" s="2545"/>
    </row>
    <row r="101" spans="1:13" ht="30">
      <c r="A101" s="1235">
        <v>44685</v>
      </c>
      <c r="B101" s="323" t="s">
        <v>1806</v>
      </c>
      <c r="C101" s="378" t="s">
        <v>1658</v>
      </c>
      <c r="D101" s="409" t="s">
        <v>1810</v>
      </c>
      <c r="E101" s="319" t="s">
        <v>1811</v>
      </c>
      <c r="F101" s="1244"/>
      <c r="G101" s="319">
        <v>2</v>
      </c>
      <c r="H101" s="319">
        <v>2</v>
      </c>
      <c r="I101" s="2203">
        <f>'Phụ lục dự toán B4'!N557/1000</f>
        <v>157200</v>
      </c>
      <c r="J101" s="2203">
        <f t="shared" si="4"/>
        <v>157200</v>
      </c>
      <c r="K101" s="400" t="s">
        <v>1792</v>
      </c>
      <c r="L101" s="400"/>
      <c r="M101" s="2546" t="s">
        <v>1812</v>
      </c>
    </row>
    <row r="102" spans="1:13" ht="60">
      <c r="A102" s="1235">
        <v>44716</v>
      </c>
      <c r="B102" s="323" t="s">
        <v>1813</v>
      </c>
      <c r="C102" s="378" t="s">
        <v>1658</v>
      </c>
      <c r="D102" s="409" t="s">
        <v>1814</v>
      </c>
      <c r="E102" s="409" t="s">
        <v>1815</v>
      </c>
      <c r="F102" s="1239"/>
      <c r="G102" s="319">
        <v>1</v>
      </c>
      <c r="H102" s="319">
        <v>2</v>
      </c>
      <c r="I102" s="316">
        <f>'Phụ lục dự toán B4'!I567/1000</f>
        <v>214200</v>
      </c>
      <c r="J102" s="1208">
        <f t="shared" si="4"/>
        <v>214200</v>
      </c>
      <c r="K102" s="400" t="s">
        <v>1792</v>
      </c>
      <c r="L102" s="400"/>
      <c r="M102" s="2546" t="s">
        <v>1812</v>
      </c>
    </row>
    <row r="103" spans="1:13" ht="15.75">
      <c r="A103" s="13"/>
      <c r="B103" s="13"/>
      <c r="C103" s="13"/>
      <c r="D103" s="13"/>
      <c r="E103" s="13"/>
      <c r="F103" s="13"/>
      <c r="G103" s="13"/>
      <c r="H103" s="13"/>
      <c r="I103" s="13"/>
      <c r="J103" s="13"/>
      <c r="K103" s="400"/>
      <c r="L103" s="400"/>
      <c r="M103" s="2545"/>
    </row>
    <row r="104" spans="1:13" ht="38.25">
      <c r="A104" s="312">
        <v>5</v>
      </c>
      <c r="B104" s="1228" t="s">
        <v>1816</v>
      </c>
      <c r="C104" s="400"/>
      <c r="D104" s="322"/>
      <c r="E104" s="322"/>
      <c r="F104" s="307">
        <f>SUM(F106:F113)</f>
        <v>0</v>
      </c>
      <c r="G104" s="373"/>
      <c r="H104" s="373"/>
      <c r="I104" s="307">
        <f t="shared" ref="I104:J104" si="5">SUM(I105:I114)</f>
        <v>287248</v>
      </c>
      <c r="J104" s="307">
        <f t="shared" si="5"/>
        <v>237248</v>
      </c>
      <c r="K104" s="378"/>
      <c r="L104" s="378"/>
      <c r="M104" s="2545"/>
    </row>
    <row r="105" spans="1:13" ht="51">
      <c r="A105" s="1235">
        <v>44746</v>
      </c>
      <c r="B105" s="323" t="s">
        <v>1817</v>
      </c>
      <c r="C105" s="319" t="s">
        <v>1658</v>
      </c>
      <c r="D105" s="319" t="s">
        <v>1818</v>
      </c>
      <c r="E105" s="319" t="s">
        <v>1819</v>
      </c>
      <c r="F105" s="1239"/>
      <c r="G105" s="319" t="s">
        <v>1820</v>
      </c>
      <c r="H105" s="319"/>
      <c r="I105" s="316">
        <f>'Phụ lục dự toán B4'!G654/1000</f>
        <v>20159</v>
      </c>
      <c r="J105" s="1208">
        <f t="shared" ref="J105:J109" si="6">I105-F105</f>
        <v>20159</v>
      </c>
      <c r="K105" s="400"/>
      <c r="L105" s="400"/>
      <c r="M105" s="2545" t="s">
        <v>1812</v>
      </c>
    </row>
    <row r="106" spans="1:13" ht="25.5">
      <c r="A106" s="1235">
        <v>44566</v>
      </c>
      <c r="B106" s="323" t="s">
        <v>1821</v>
      </c>
      <c r="C106" s="319" t="s">
        <v>1658</v>
      </c>
      <c r="D106" s="323" t="s">
        <v>1822</v>
      </c>
      <c r="E106" s="319" t="s">
        <v>1660</v>
      </c>
      <c r="F106" s="308"/>
      <c r="G106" s="319">
        <v>2</v>
      </c>
      <c r="H106" s="319"/>
      <c r="I106" s="151">
        <f>'Phụ lục dự toán B4'!G699/1000</f>
        <v>19359</v>
      </c>
      <c r="J106" s="1208">
        <f t="shared" si="6"/>
        <v>19359</v>
      </c>
      <c r="K106" s="400" t="s">
        <v>1792</v>
      </c>
      <c r="L106" s="400"/>
      <c r="M106" s="2546"/>
    </row>
    <row r="107" spans="1:13" ht="25.5">
      <c r="A107" s="1235">
        <v>44597</v>
      </c>
      <c r="B107" s="323" t="s">
        <v>1823</v>
      </c>
      <c r="C107" s="319" t="s">
        <v>1658</v>
      </c>
      <c r="D107" s="373" t="s">
        <v>1824</v>
      </c>
      <c r="E107" s="373" t="s">
        <v>1660</v>
      </c>
      <c r="F107" s="1239"/>
      <c r="G107" s="319" t="s">
        <v>1820</v>
      </c>
      <c r="H107" s="373"/>
      <c r="I107" s="151">
        <f>'Phụ lục dự toán B4'!G735/1000</f>
        <v>16150</v>
      </c>
      <c r="J107" s="1208">
        <f t="shared" si="6"/>
        <v>16150</v>
      </c>
      <c r="K107" s="400" t="s">
        <v>1792</v>
      </c>
      <c r="L107" s="400"/>
      <c r="M107" s="2546"/>
    </row>
    <row r="108" spans="1:13" ht="94.5">
      <c r="A108" s="1235">
        <v>44625</v>
      </c>
      <c r="B108" s="1245" t="s">
        <v>1825</v>
      </c>
      <c r="C108" s="319" t="s">
        <v>1658</v>
      </c>
      <c r="D108" s="323" t="s">
        <v>1826</v>
      </c>
      <c r="E108" s="319" t="s">
        <v>1827</v>
      </c>
      <c r="F108" s="1239"/>
      <c r="G108" s="319">
        <v>1</v>
      </c>
      <c r="H108" s="319"/>
      <c r="I108" s="1246">
        <f>'Phụ lục dự toán B4'!H764/1000</f>
        <v>68850</v>
      </c>
      <c r="J108" s="1247">
        <f t="shared" si="6"/>
        <v>68850</v>
      </c>
      <c r="K108" s="411" t="s">
        <v>1828</v>
      </c>
      <c r="L108" s="400" t="s">
        <v>626</v>
      </c>
      <c r="M108" s="2727" t="s">
        <v>1829</v>
      </c>
    </row>
    <row r="109" spans="1:13" ht="47.25">
      <c r="A109" s="1235">
        <v>44656</v>
      </c>
      <c r="B109" s="323" t="s">
        <v>1830</v>
      </c>
      <c r="C109" s="319" t="s">
        <v>1658</v>
      </c>
      <c r="D109" s="323" t="s">
        <v>1826</v>
      </c>
      <c r="E109" s="319" t="s">
        <v>1831</v>
      </c>
      <c r="F109" s="1239"/>
      <c r="G109" s="319" t="s">
        <v>1832</v>
      </c>
      <c r="H109" s="319"/>
      <c r="I109" s="151">
        <f>'Phụ lục dự toán B4'!G773/1000</f>
        <v>3000</v>
      </c>
      <c r="J109" s="1208">
        <f t="shared" si="6"/>
        <v>3000</v>
      </c>
      <c r="K109" s="400"/>
      <c r="L109" s="400" t="s">
        <v>626</v>
      </c>
      <c r="M109" s="2727" t="s">
        <v>1833</v>
      </c>
    </row>
    <row r="110" spans="1:13" ht="38.25">
      <c r="A110" s="1235">
        <v>44686</v>
      </c>
      <c r="B110" s="323" t="s">
        <v>1834</v>
      </c>
      <c r="C110" s="319" t="s">
        <v>1658</v>
      </c>
      <c r="D110" s="323" t="s">
        <v>1826</v>
      </c>
      <c r="E110" s="13"/>
      <c r="F110" s="319" t="s">
        <v>1831</v>
      </c>
      <c r="G110" s="319"/>
      <c r="H110" s="319"/>
      <c r="I110" s="151">
        <f>'Phụ lục dự toán B4'!G782/1000</f>
        <v>10000</v>
      </c>
      <c r="J110" s="1208">
        <f>I110</f>
        <v>10000</v>
      </c>
      <c r="K110" s="400"/>
      <c r="L110" s="400" t="s">
        <v>626</v>
      </c>
      <c r="M110" s="2727" t="s">
        <v>1835</v>
      </c>
    </row>
    <row r="111" spans="1:13" ht="33.75" customHeight="1">
      <c r="A111" s="1235">
        <v>44717</v>
      </c>
      <c r="B111" s="373" t="s">
        <v>1836</v>
      </c>
      <c r="C111" s="319" t="s">
        <v>1658</v>
      </c>
      <c r="D111" s="323" t="s">
        <v>1837</v>
      </c>
      <c r="E111" s="373"/>
      <c r="F111" s="1239"/>
      <c r="G111" s="373"/>
      <c r="H111" s="373"/>
      <c r="I111" s="151">
        <f>'Phụ lục dự toán B4'!H812/1000</f>
        <v>89730</v>
      </c>
      <c r="J111" s="1208">
        <f>I111-F111</f>
        <v>89730</v>
      </c>
      <c r="K111" s="400" t="s">
        <v>1792</v>
      </c>
      <c r="L111" s="400" t="s">
        <v>1838</v>
      </c>
      <c r="M111" s="2546"/>
    </row>
    <row r="112" spans="1:13" ht="25.5">
      <c r="A112" s="1248">
        <v>45112</v>
      </c>
      <c r="B112" s="1249" t="s">
        <v>1839</v>
      </c>
      <c r="C112" s="1250" t="s">
        <v>1840</v>
      </c>
      <c r="D112" s="1251" t="s">
        <v>1841</v>
      </c>
      <c r="E112" s="1250" t="s">
        <v>1660</v>
      </c>
      <c r="F112" s="1252"/>
      <c r="G112" s="1252"/>
      <c r="H112" s="1252"/>
      <c r="I112" s="1253">
        <v>10000</v>
      </c>
      <c r="J112" s="1254"/>
      <c r="K112" s="1255"/>
      <c r="L112" s="1255" t="s">
        <v>1842</v>
      </c>
    </row>
    <row r="113" spans="1:13" ht="38.25">
      <c r="A113" s="1235">
        <v>44778</v>
      </c>
      <c r="B113" s="373" t="s">
        <v>1843</v>
      </c>
      <c r="C113" s="319" t="s">
        <v>1658</v>
      </c>
      <c r="D113" s="323" t="s">
        <v>1844</v>
      </c>
      <c r="E113" s="319" t="s">
        <v>1660</v>
      </c>
      <c r="F113" s="1232"/>
      <c r="G113" s="1232">
        <v>1</v>
      </c>
      <c r="H113" s="1232"/>
      <c r="I113" s="1240">
        <v>10000</v>
      </c>
      <c r="J113" s="1208">
        <f>I113-F113</f>
        <v>10000</v>
      </c>
      <c r="K113" s="1256"/>
      <c r="L113" s="1256"/>
      <c r="M113" t="s">
        <v>1845</v>
      </c>
    </row>
    <row r="114" spans="1:13" ht="29.25" customHeight="1">
      <c r="A114" s="1248">
        <v>45174</v>
      </c>
      <c r="B114" s="1250" t="s">
        <v>1846</v>
      </c>
      <c r="C114" s="1250"/>
      <c r="D114" s="1251"/>
      <c r="E114" s="1250" t="s">
        <v>1660</v>
      </c>
      <c r="F114" s="1257"/>
      <c r="G114" s="1258">
        <v>1</v>
      </c>
      <c r="H114" s="1257"/>
      <c r="I114" s="1258">
        <v>40000</v>
      </c>
      <c r="J114" s="1257"/>
      <c r="K114" s="1259" t="s">
        <v>1795</v>
      </c>
      <c r="L114" s="1259" t="s">
        <v>1780</v>
      </c>
    </row>
    <row r="115" spans="1:13" ht="15.75" customHeight="1">
      <c r="A115" s="2925" t="s">
        <v>1847</v>
      </c>
      <c r="B115" s="2783"/>
      <c r="C115" s="319"/>
      <c r="D115" s="323"/>
      <c r="E115" s="319"/>
      <c r="F115" s="307">
        <f t="shared" ref="F115:J115" si="7">F8+F81</f>
        <v>1350638.5</v>
      </c>
      <c r="G115" s="307">
        <f t="shared" si="7"/>
        <v>0</v>
      </c>
      <c r="H115" s="307">
        <f t="shared" si="7"/>
        <v>0</v>
      </c>
      <c r="I115" s="307">
        <f t="shared" si="7"/>
        <v>5682437</v>
      </c>
      <c r="J115" s="307">
        <f t="shared" si="7"/>
        <v>4331798.5</v>
      </c>
      <c r="K115" s="400"/>
      <c r="L115" s="400"/>
    </row>
    <row r="116" spans="1:13" ht="15.75" customHeight="1">
      <c r="A116" s="2204"/>
      <c r="B116" s="13"/>
      <c r="C116" s="2205"/>
      <c r="D116" s="1869"/>
      <c r="E116" s="2205"/>
      <c r="F116" s="2206"/>
      <c r="G116" s="2206"/>
      <c r="H116" s="2206"/>
      <c r="I116" s="2206"/>
      <c r="J116" s="2206"/>
      <c r="K116" s="1863"/>
      <c r="L116" s="1863"/>
    </row>
    <row r="117" spans="1:13" ht="22.5" customHeight="1">
      <c r="A117" s="139"/>
      <c r="B117" s="1118"/>
      <c r="C117" s="177"/>
      <c r="D117" s="91"/>
      <c r="E117" s="1118"/>
      <c r="F117" s="1118"/>
      <c r="G117" s="1118"/>
      <c r="H117" s="96" t="s">
        <v>1848</v>
      </c>
      <c r="I117" s="2924" t="s">
        <v>231</v>
      </c>
      <c r="J117" s="2732"/>
      <c r="K117" s="2732"/>
      <c r="L117" s="2732"/>
    </row>
    <row r="118" spans="1:13" ht="15.75" hidden="1" customHeight="1">
      <c r="A118" s="2926" t="s">
        <v>1849</v>
      </c>
      <c r="B118" s="2732"/>
      <c r="C118" s="136"/>
      <c r="D118" s="230"/>
      <c r="E118" s="230"/>
      <c r="F118" s="230"/>
      <c r="G118" s="230"/>
      <c r="H118" s="230"/>
      <c r="I118" s="2798" t="s">
        <v>1850</v>
      </c>
      <c r="J118" s="2732"/>
      <c r="K118" s="2732"/>
      <c r="L118" s="119"/>
    </row>
    <row r="119" spans="1:13" ht="15.75" hidden="1" customHeight="1">
      <c r="A119" s="2927" t="s">
        <v>1851</v>
      </c>
      <c r="B119" s="2732"/>
      <c r="C119" s="2732"/>
      <c r="D119" s="2732"/>
      <c r="E119" s="2732"/>
      <c r="F119" s="2732"/>
      <c r="G119" s="2732"/>
      <c r="H119" s="2732"/>
      <c r="I119" s="2732"/>
      <c r="J119" s="2732"/>
      <c r="K119" s="2732"/>
      <c r="L119" s="119"/>
    </row>
    <row r="120" spans="1:13" ht="15.75" hidden="1" customHeight="1">
      <c r="A120" s="1261" t="s">
        <v>1852</v>
      </c>
      <c r="B120" s="91"/>
      <c r="C120" s="136"/>
      <c r="D120" s="91"/>
      <c r="E120" s="91"/>
      <c r="F120" s="91"/>
      <c r="G120" s="91"/>
      <c r="H120" s="91"/>
      <c r="I120" s="1262"/>
      <c r="J120" s="1263"/>
      <c r="K120" s="119"/>
      <c r="L120" s="119"/>
    </row>
    <row r="121" spans="1:13" ht="15.75" customHeight="1">
      <c r="A121" s="2823" t="s">
        <v>1853</v>
      </c>
      <c r="B121" s="2732"/>
      <c r="C121" s="2732"/>
      <c r="D121" s="2903" t="s">
        <v>1854</v>
      </c>
      <c r="E121" s="2732"/>
      <c r="F121" s="2732"/>
      <c r="G121" s="2732"/>
      <c r="H121" s="2732"/>
      <c r="I121" s="2928" t="s">
        <v>235</v>
      </c>
      <c r="J121" s="2732"/>
      <c r="K121" s="2732"/>
      <c r="L121" s="2732"/>
    </row>
    <row r="122" spans="1:13" ht="15.75" customHeight="1">
      <c r="A122" s="119"/>
      <c r="B122" s="91"/>
      <c r="C122" s="136"/>
      <c r="D122" s="91"/>
      <c r="E122" s="91"/>
      <c r="F122" s="91"/>
      <c r="G122" s="91"/>
      <c r="H122" s="178"/>
      <c r="I122" s="1199"/>
      <c r="J122" s="1200"/>
      <c r="K122" s="43"/>
      <c r="L122" s="119"/>
    </row>
    <row r="123" spans="1:13" ht="15.75" customHeight="1">
      <c r="A123" s="119"/>
      <c r="B123" s="91"/>
      <c r="C123" s="136"/>
      <c r="D123" s="91"/>
      <c r="E123" s="91"/>
      <c r="F123" s="91"/>
      <c r="G123" s="91"/>
      <c r="H123" s="178"/>
      <c r="I123" s="1199"/>
      <c r="J123" s="1200"/>
      <c r="K123" s="43"/>
      <c r="L123" s="119"/>
    </row>
    <row r="124" spans="1:13" ht="15.75" customHeight="1">
      <c r="A124" s="119"/>
      <c r="B124" s="91"/>
      <c r="C124" s="136"/>
      <c r="D124" s="91"/>
      <c r="E124" s="91"/>
      <c r="F124" s="91"/>
      <c r="G124" s="91"/>
      <c r="H124" s="178"/>
      <c r="I124" s="1199"/>
      <c r="J124" s="1200"/>
      <c r="K124" s="43"/>
      <c r="L124" s="119"/>
    </row>
    <row r="125" spans="1:13" ht="15.75" customHeight="1">
      <c r="A125" s="119"/>
      <c r="B125" s="91"/>
      <c r="C125" s="136"/>
      <c r="D125" s="91"/>
      <c r="E125" s="91"/>
      <c r="F125" s="91"/>
      <c r="G125" s="91"/>
      <c r="H125" s="2798"/>
      <c r="I125" s="2732"/>
      <c r="J125" s="2732"/>
      <c r="K125" s="2732"/>
      <c r="L125" s="119"/>
    </row>
  </sheetData>
  <sheetProtection sheet="1" objects="1" scenarios="1"/>
  <protectedRanges>
    <protectedRange sqref="M8:M114" name="vàng"/>
  </protectedRanges>
  <mergeCells count="16">
    <mergeCell ref="M6:M7"/>
    <mergeCell ref="H125:K125"/>
    <mergeCell ref="A1:B1"/>
    <mergeCell ref="C1:H1"/>
    <mergeCell ref="A2:B2"/>
    <mergeCell ref="C2:H2"/>
    <mergeCell ref="A4:L4"/>
    <mergeCell ref="G6:I6"/>
    <mergeCell ref="I117:L117"/>
    <mergeCell ref="A115:B115"/>
    <mergeCell ref="A118:B118"/>
    <mergeCell ref="A121:C121"/>
    <mergeCell ref="I118:K118"/>
    <mergeCell ref="A119:K119"/>
    <mergeCell ref="D121:H121"/>
    <mergeCell ref="I121:L121"/>
  </mergeCells>
  <conditionalFormatting sqref="I9 I19">
    <cfRule type="notContainsBlanks" dxfId="4" priority="1">
      <formula>LEN(TRIM(I9))&gt;0</formula>
    </cfRule>
  </conditionalFormatting>
  <pageMargins left="0.51" right="0.17" top="0.31" bottom="0.17" header="0" footer="0"/>
  <pageSetup paperSize="9" scale="94"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6"/>
  <sheetViews>
    <sheetView workbookViewId="0">
      <selection activeCell="A10" sqref="A10:M10"/>
    </sheetView>
  </sheetViews>
  <sheetFormatPr defaultColWidth="14.42578125" defaultRowHeight="15" customHeight="1"/>
  <cols>
    <col min="1" max="1" width="6" customWidth="1"/>
    <col min="2" max="2" width="9.28515625" customWidth="1"/>
    <col min="3" max="3" width="54.42578125" customWidth="1"/>
    <col min="4" max="4" width="10.7109375" customWidth="1"/>
    <col min="5" max="5" width="12.28515625" customWidth="1"/>
    <col min="6" max="6" width="13.42578125" customWidth="1"/>
    <col min="7" max="7" width="16" customWidth="1"/>
    <col min="8" max="8" width="17.140625" customWidth="1"/>
    <col min="9" max="9" width="17.7109375" customWidth="1"/>
    <col min="10" max="10" width="29.7109375" customWidth="1"/>
    <col min="11" max="11" width="14.28515625" customWidth="1"/>
    <col min="12" max="12" width="10.7109375" customWidth="1"/>
    <col min="13" max="13" width="13.28515625" customWidth="1"/>
    <col min="14" max="14" width="12.42578125" customWidth="1"/>
    <col min="15" max="26" width="10.7109375" customWidth="1"/>
  </cols>
  <sheetData>
    <row r="1" spans="1:8" ht="15.75" customHeight="1">
      <c r="A1" s="2904" t="s">
        <v>1855</v>
      </c>
      <c r="B1" s="2732"/>
      <c r="C1" s="13"/>
      <c r="D1" s="13"/>
      <c r="E1" s="13"/>
      <c r="F1" s="13"/>
      <c r="G1" s="13"/>
      <c r="H1" s="13"/>
    </row>
    <row r="2" spans="1:8" ht="15.75" customHeight="1">
      <c r="A2" s="36"/>
      <c r="B2" s="2774" t="s">
        <v>1856</v>
      </c>
      <c r="C2" s="2732"/>
      <c r="D2" s="2732"/>
      <c r="E2" s="2732"/>
      <c r="F2" s="2732"/>
      <c r="G2" s="2732"/>
      <c r="H2" s="2732"/>
    </row>
    <row r="3" spans="1:8" ht="15.75" customHeight="1">
      <c r="A3" s="36"/>
      <c r="B3" s="39"/>
      <c r="C3" s="1201"/>
      <c r="D3" s="139"/>
      <c r="E3" s="13"/>
      <c r="F3" s="1264"/>
      <c r="G3" s="14"/>
      <c r="H3" s="237" t="s">
        <v>1857</v>
      </c>
    </row>
    <row r="4" spans="1:8" ht="15.75" customHeight="1">
      <c r="A4" s="36"/>
      <c r="B4" s="1265" t="s">
        <v>27</v>
      </c>
      <c r="C4" s="1265" t="s">
        <v>1858</v>
      </c>
      <c r="D4" s="1265" t="s">
        <v>242</v>
      </c>
      <c r="E4" s="1265" t="s">
        <v>1859</v>
      </c>
      <c r="F4" s="1266" t="s">
        <v>1860</v>
      </c>
      <c r="G4" s="1267" t="s">
        <v>1861</v>
      </c>
      <c r="H4" s="1265" t="s">
        <v>32</v>
      </c>
    </row>
    <row r="5" spans="1:8" ht="15.75" customHeight="1">
      <c r="A5" s="36"/>
      <c r="B5" s="1265" t="s">
        <v>258</v>
      </c>
      <c r="C5" s="1268" t="s">
        <v>1862</v>
      </c>
      <c r="D5" s="1269"/>
      <c r="E5" s="1269"/>
      <c r="F5" s="1270"/>
      <c r="G5" s="1271">
        <f>SUM(G6:G7)</f>
        <v>117000000</v>
      </c>
      <c r="H5" s="1272"/>
    </row>
    <row r="6" spans="1:8" ht="15.75" customHeight="1">
      <c r="A6" s="36"/>
      <c r="B6" s="1269">
        <v>1</v>
      </c>
      <c r="C6" s="654" t="s">
        <v>1863</v>
      </c>
      <c r="D6" s="1269" t="s">
        <v>1864</v>
      </c>
      <c r="E6" s="1269">
        <v>2600</v>
      </c>
      <c r="F6" s="1270">
        <v>25000</v>
      </c>
      <c r="G6" s="1273">
        <v>65000000</v>
      </c>
      <c r="H6" s="1274" t="s">
        <v>1865</v>
      </c>
    </row>
    <row r="7" spans="1:8" ht="15.75" customHeight="1">
      <c r="A7" s="36"/>
      <c r="B7" s="1275">
        <v>2</v>
      </c>
      <c r="C7" s="654" t="s">
        <v>1866</v>
      </c>
      <c r="D7" s="1269" t="s">
        <v>1864</v>
      </c>
      <c r="E7" s="1269">
        <v>2080</v>
      </c>
      <c r="F7" s="1270">
        <v>25000</v>
      </c>
      <c r="G7" s="1273">
        <f>E7*F7</f>
        <v>52000000</v>
      </c>
      <c r="H7" s="1274" t="s">
        <v>1867</v>
      </c>
    </row>
    <row r="8" spans="1:8" ht="15.75" customHeight="1">
      <c r="A8" s="36"/>
      <c r="B8" s="1206" t="s">
        <v>284</v>
      </c>
      <c r="C8" s="1268" t="s">
        <v>1868</v>
      </c>
      <c r="D8" s="1269"/>
      <c r="E8" s="1269"/>
      <c r="F8" s="1270"/>
      <c r="G8" s="1271">
        <f>SUM(G9:G15)</f>
        <v>40378000</v>
      </c>
      <c r="H8" s="1276"/>
    </row>
    <row r="9" spans="1:8" ht="15.75" customHeight="1">
      <c r="A9" s="36"/>
      <c r="B9" s="1269">
        <v>1</v>
      </c>
      <c r="C9" s="654" t="s">
        <v>1869</v>
      </c>
      <c r="D9" s="1269" t="s">
        <v>1864</v>
      </c>
      <c r="E9" s="1269">
        <v>520</v>
      </c>
      <c r="F9" s="1270">
        <v>25000</v>
      </c>
      <c r="G9" s="1273">
        <v>13000000</v>
      </c>
      <c r="H9" s="1277" t="s">
        <v>1870</v>
      </c>
    </row>
    <row r="10" spans="1:8" ht="15.75" customHeight="1">
      <c r="A10" s="36"/>
      <c r="B10" s="1265">
        <v>2</v>
      </c>
      <c r="C10" s="654" t="s">
        <v>1871</v>
      </c>
      <c r="D10" s="1269" t="s">
        <v>1864</v>
      </c>
      <c r="E10" s="1269">
        <v>624</v>
      </c>
      <c r="F10" s="1270">
        <v>22000</v>
      </c>
      <c r="G10" s="1273">
        <v>13728000</v>
      </c>
      <c r="H10" s="1277" t="s">
        <v>1872</v>
      </c>
    </row>
    <row r="11" spans="1:8" ht="15.75" customHeight="1">
      <c r="A11" s="36"/>
      <c r="B11" s="1269">
        <v>3</v>
      </c>
      <c r="C11" s="654" t="s">
        <v>1873</v>
      </c>
      <c r="D11" s="1269" t="s">
        <v>1864</v>
      </c>
      <c r="E11" s="1269">
        <v>104</v>
      </c>
      <c r="F11" s="1270">
        <v>25000</v>
      </c>
      <c r="G11" s="1273">
        <v>2600000</v>
      </c>
      <c r="H11" s="1277" t="s">
        <v>1874</v>
      </c>
    </row>
    <row r="12" spans="1:8" ht="15.75" customHeight="1">
      <c r="A12" s="36"/>
      <c r="B12" s="1269">
        <v>4</v>
      </c>
      <c r="C12" s="654" t="s">
        <v>1875</v>
      </c>
      <c r="D12" s="1269" t="s">
        <v>1876</v>
      </c>
      <c r="E12" s="1269">
        <v>13</v>
      </c>
      <c r="F12" s="1270">
        <v>300000</v>
      </c>
      <c r="G12" s="1273">
        <f>E12*F12</f>
        <v>3900000</v>
      </c>
      <c r="H12" s="1277" t="s">
        <v>1877</v>
      </c>
    </row>
    <row r="13" spans="1:8" ht="15.75" customHeight="1">
      <c r="A13" s="36"/>
      <c r="B13" s="1269">
        <v>5</v>
      </c>
      <c r="C13" s="654" t="s">
        <v>1878</v>
      </c>
      <c r="D13" s="1269" t="s">
        <v>1879</v>
      </c>
      <c r="E13" s="1269">
        <v>26</v>
      </c>
      <c r="F13" s="1270">
        <v>100000</v>
      </c>
      <c r="G13" s="1273">
        <v>2600000</v>
      </c>
      <c r="H13" s="1277" t="s">
        <v>1880</v>
      </c>
    </row>
    <row r="14" spans="1:8" ht="15.75" customHeight="1">
      <c r="A14" s="36"/>
      <c r="B14" s="1269">
        <v>6</v>
      </c>
      <c r="C14" s="654" t="s">
        <v>1881</v>
      </c>
      <c r="D14" s="1269" t="s">
        <v>1876</v>
      </c>
      <c r="E14" s="1269">
        <v>13</v>
      </c>
      <c r="F14" s="1270">
        <v>200000</v>
      </c>
      <c r="G14" s="1273">
        <f t="shared" ref="G14:G15" si="0">E14*F14</f>
        <v>2600000</v>
      </c>
      <c r="H14" s="1277" t="s">
        <v>1882</v>
      </c>
    </row>
    <row r="15" spans="1:8" ht="15.75" customHeight="1">
      <c r="A15" s="36"/>
      <c r="B15" s="1269">
        <v>7</v>
      </c>
      <c r="C15" s="654" t="s">
        <v>1883</v>
      </c>
      <c r="D15" s="1269" t="s">
        <v>1876</v>
      </c>
      <c r="E15" s="1269">
        <v>13</v>
      </c>
      <c r="F15" s="1270">
        <v>150000</v>
      </c>
      <c r="G15" s="1273">
        <f t="shared" si="0"/>
        <v>1950000</v>
      </c>
      <c r="H15" s="1277" t="s">
        <v>1884</v>
      </c>
    </row>
    <row r="16" spans="1:8" ht="15.75" customHeight="1">
      <c r="A16" s="36"/>
      <c r="B16" s="1265" t="s">
        <v>345</v>
      </c>
      <c r="C16" s="1268" t="s">
        <v>1885</v>
      </c>
      <c r="D16" s="993"/>
      <c r="E16" s="993"/>
      <c r="F16" s="1272"/>
      <c r="G16" s="1271">
        <f>SUM(G17:G18)</f>
        <v>3200000</v>
      </c>
      <c r="H16" s="1278"/>
    </row>
    <row r="17" spans="1:8" ht="15.75" customHeight="1">
      <c r="A17" s="36"/>
      <c r="B17" s="1269">
        <v>1</v>
      </c>
      <c r="C17" s="654" t="s">
        <v>1886</v>
      </c>
      <c r="D17" s="1269" t="s">
        <v>1876</v>
      </c>
      <c r="E17" s="1269">
        <v>13</v>
      </c>
      <c r="F17" s="1270">
        <v>200000</v>
      </c>
      <c r="G17" s="1273">
        <f t="shared" ref="G17:G18" si="1">E17*F17</f>
        <v>2600000</v>
      </c>
      <c r="H17" s="1277" t="s">
        <v>1882</v>
      </c>
    </row>
    <row r="18" spans="1:8" ht="15.75" customHeight="1">
      <c r="A18" s="36"/>
      <c r="B18" s="1269">
        <v>2</v>
      </c>
      <c r="C18" s="28" t="s">
        <v>1887</v>
      </c>
      <c r="D18" s="1279" t="s">
        <v>1888</v>
      </c>
      <c r="E18" s="1279">
        <v>2</v>
      </c>
      <c r="F18" s="1280">
        <v>300000</v>
      </c>
      <c r="G18" s="1273">
        <f t="shared" si="1"/>
        <v>600000</v>
      </c>
      <c r="H18" s="1281" t="s">
        <v>1889</v>
      </c>
    </row>
    <row r="19" spans="1:8" ht="15.75" customHeight="1">
      <c r="A19" s="36"/>
      <c r="B19" s="1265" t="s">
        <v>411</v>
      </c>
      <c r="C19" s="1282" t="s">
        <v>1890</v>
      </c>
      <c r="D19" s="1283"/>
      <c r="E19" s="1269"/>
      <c r="F19" s="1270"/>
      <c r="G19" s="1271">
        <f>G20+G21</f>
        <v>5850000</v>
      </c>
      <c r="H19" s="1277"/>
    </row>
    <row r="20" spans="1:8" ht="15.75" customHeight="1">
      <c r="A20" s="36"/>
      <c r="B20" s="1269">
        <v>1</v>
      </c>
      <c r="C20" s="654" t="s">
        <v>1891</v>
      </c>
      <c r="D20" s="1269" t="s">
        <v>1888</v>
      </c>
      <c r="E20" s="1269">
        <v>260</v>
      </c>
      <c r="F20" s="1270">
        <v>10000</v>
      </c>
      <c r="G20" s="1273">
        <f>E20*F20</f>
        <v>2600000</v>
      </c>
      <c r="H20" s="1277" t="s">
        <v>1892</v>
      </c>
    </row>
    <row r="21" spans="1:8" ht="15.75" customHeight="1">
      <c r="A21" s="36"/>
      <c r="B21" s="1269">
        <v>2</v>
      </c>
      <c r="C21" s="654" t="s">
        <v>1893</v>
      </c>
      <c r="D21" s="1269"/>
      <c r="E21" s="1269"/>
      <c r="F21" s="1270"/>
      <c r="G21" s="1284">
        <f>SUM(G22:G23)</f>
        <v>3250000</v>
      </c>
      <c r="H21" s="1277"/>
    </row>
    <row r="22" spans="1:8" ht="15.75" customHeight="1">
      <c r="A22" s="36"/>
      <c r="B22" s="1269"/>
      <c r="C22" s="654" t="s">
        <v>1894</v>
      </c>
      <c r="D22" s="1269" t="s">
        <v>1876</v>
      </c>
      <c r="E22" s="1269">
        <v>13</v>
      </c>
      <c r="F22" s="1270">
        <v>150000</v>
      </c>
      <c r="G22" s="1273">
        <f t="shared" ref="G22:G23" si="2">E22*F22</f>
        <v>1950000</v>
      </c>
      <c r="H22" s="1277" t="s">
        <v>1895</v>
      </c>
    </row>
    <row r="23" spans="1:8" ht="15.75" customHeight="1">
      <c r="A23" s="36"/>
      <c r="B23" s="1269"/>
      <c r="C23" s="654" t="s">
        <v>1896</v>
      </c>
      <c r="D23" s="1269" t="s">
        <v>1876</v>
      </c>
      <c r="E23" s="1269">
        <v>13</v>
      </c>
      <c r="F23" s="1270">
        <v>100000</v>
      </c>
      <c r="G23" s="1273">
        <f t="shared" si="2"/>
        <v>1300000</v>
      </c>
      <c r="H23" s="1277" t="s">
        <v>1897</v>
      </c>
    </row>
    <row r="24" spans="1:8" ht="15.75" customHeight="1">
      <c r="A24" s="36"/>
      <c r="B24" s="1269" t="s">
        <v>1898</v>
      </c>
      <c r="C24" s="1285" t="s">
        <v>1899</v>
      </c>
      <c r="D24" s="1285"/>
      <c r="E24" s="1285"/>
      <c r="F24" s="1285"/>
      <c r="G24" s="1271">
        <f>G25+G28</f>
        <v>29750000</v>
      </c>
      <c r="H24" s="1286"/>
    </row>
    <row r="25" spans="1:8" ht="15.75" customHeight="1">
      <c r="A25" s="36"/>
      <c r="B25" s="1269">
        <v>1</v>
      </c>
      <c r="C25" s="296" t="s">
        <v>1900</v>
      </c>
      <c r="D25" s="1269"/>
      <c r="E25" s="1269"/>
      <c r="F25" s="1270"/>
      <c r="G25" s="1284">
        <f>G26+G27</f>
        <v>1800000</v>
      </c>
      <c r="H25" s="1277"/>
    </row>
    <row r="26" spans="1:8" ht="15.75" customHeight="1">
      <c r="A26" s="36"/>
      <c r="B26" s="1269"/>
      <c r="C26" s="654" t="s">
        <v>1901</v>
      </c>
      <c r="D26" s="1269" t="s">
        <v>1902</v>
      </c>
      <c r="E26" s="1269">
        <v>1</v>
      </c>
      <c r="F26" s="1270">
        <v>500000</v>
      </c>
      <c r="G26" s="1273">
        <f t="shared" ref="G26:G27" si="3">E26*F26</f>
        <v>500000</v>
      </c>
      <c r="H26" s="1277" t="s">
        <v>1903</v>
      </c>
    </row>
    <row r="27" spans="1:8" ht="15.75" customHeight="1">
      <c r="A27" s="36"/>
      <c r="B27" s="1269"/>
      <c r="C27" s="654" t="s">
        <v>1904</v>
      </c>
      <c r="D27" s="1269" t="s">
        <v>1905</v>
      </c>
      <c r="E27" s="1269">
        <v>13</v>
      </c>
      <c r="F27" s="1270">
        <v>100000</v>
      </c>
      <c r="G27" s="1273">
        <f t="shared" si="3"/>
        <v>1300000</v>
      </c>
      <c r="H27" s="1277" t="s">
        <v>1906</v>
      </c>
    </row>
    <row r="28" spans="1:8" ht="15.75" customHeight="1">
      <c r="A28" s="36"/>
      <c r="B28" s="1269">
        <v>2</v>
      </c>
      <c r="C28" s="296" t="s">
        <v>1907</v>
      </c>
      <c r="D28" s="1269"/>
      <c r="E28" s="1269"/>
      <c r="F28" s="1270"/>
      <c r="G28" s="1284">
        <f>SUM(G29:G31)</f>
        <v>27950000</v>
      </c>
      <c r="H28" s="1277"/>
    </row>
    <row r="29" spans="1:8" ht="15.75" customHeight="1">
      <c r="A29" s="36"/>
      <c r="B29" s="1269"/>
      <c r="C29" s="654"/>
      <c r="D29" s="1269" t="s">
        <v>1888</v>
      </c>
      <c r="E29" s="1269">
        <v>234</v>
      </c>
      <c r="F29" s="1270">
        <v>50000</v>
      </c>
      <c r="G29" s="1273">
        <f t="shared" ref="G29:G31" si="4">E29*F29</f>
        <v>11700000</v>
      </c>
      <c r="H29" s="1277" t="s">
        <v>1908</v>
      </c>
    </row>
    <row r="30" spans="1:8" ht="15.75" customHeight="1">
      <c r="A30" s="36"/>
      <c r="B30" s="1269"/>
      <c r="C30" s="654"/>
      <c r="D30" s="1269" t="s">
        <v>1888</v>
      </c>
      <c r="E30" s="1269">
        <v>195</v>
      </c>
      <c r="F30" s="1270">
        <v>50000</v>
      </c>
      <c r="G30" s="1273">
        <f t="shared" si="4"/>
        <v>9750000</v>
      </c>
      <c r="H30" s="1277" t="s">
        <v>1909</v>
      </c>
    </row>
    <row r="31" spans="1:8" ht="15.75" customHeight="1">
      <c r="A31" s="36"/>
      <c r="B31" s="1279"/>
      <c r="C31" s="993"/>
      <c r="D31" s="1269" t="s">
        <v>1902</v>
      </c>
      <c r="E31" s="1275">
        <v>13</v>
      </c>
      <c r="F31" s="1287">
        <v>500000</v>
      </c>
      <c r="G31" s="1273">
        <f t="shared" si="4"/>
        <v>6500000</v>
      </c>
      <c r="H31" s="1277" t="s">
        <v>1910</v>
      </c>
    </row>
    <row r="32" spans="1:8" ht="15.75" customHeight="1">
      <c r="A32" s="36"/>
      <c r="B32" s="1269"/>
      <c r="C32" s="1288" t="s">
        <v>1911</v>
      </c>
      <c r="D32" s="1269"/>
      <c r="E32" s="1269"/>
      <c r="F32" s="1270"/>
      <c r="G32" s="1271">
        <f>G5+G8+G16+G19+G24</f>
        <v>196178000</v>
      </c>
      <c r="H32" s="1289"/>
    </row>
    <row r="34" spans="1:8" ht="15.75" customHeight="1">
      <c r="A34" s="2904" t="s">
        <v>1912</v>
      </c>
      <c r="B34" s="2732"/>
      <c r="C34" s="1290"/>
      <c r="D34" s="708"/>
      <c r="E34" s="708"/>
      <c r="F34" s="708"/>
      <c r="G34" s="1291"/>
      <c r="H34" s="296"/>
    </row>
    <row r="35" spans="1:8" ht="15.75" customHeight="1">
      <c r="A35" s="36"/>
      <c r="B35" s="2774" t="s">
        <v>1913</v>
      </c>
      <c r="C35" s="2732"/>
      <c r="D35" s="2732"/>
      <c r="E35" s="2732"/>
      <c r="F35" s="2732"/>
      <c r="G35" s="2732"/>
      <c r="H35" s="2732"/>
    </row>
    <row r="36" spans="1:8" ht="15.75" customHeight="1">
      <c r="A36" s="36"/>
      <c r="B36" s="2937" t="s">
        <v>1914</v>
      </c>
      <c r="C36" s="2737"/>
      <c r="D36" s="2737"/>
      <c r="E36" s="2737"/>
      <c r="F36" s="2737"/>
      <c r="G36" s="2737"/>
      <c r="H36" s="2737"/>
    </row>
    <row r="37" spans="1:8" ht="15.75" customHeight="1">
      <c r="A37" s="36"/>
      <c r="B37" s="2207" t="s">
        <v>27</v>
      </c>
      <c r="C37" s="1293" t="s">
        <v>1858</v>
      </c>
      <c r="D37" s="1293" t="s">
        <v>242</v>
      </c>
      <c r="E37" s="1293" t="s">
        <v>1859</v>
      </c>
      <c r="F37" s="1293" t="s">
        <v>1860</v>
      </c>
      <c r="G37" s="1294" t="s">
        <v>1861</v>
      </c>
      <c r="H37" s="1293" t="s">
        <v>32</v>
      </c>
    </row>
    <row r="38" spans="1:8" ht="15.75" customHeight="1">
      <c r="A38" s="36"/>
      <c r="B38" s="2207" t="s">
        <v>258</v>
      </c>
      <c r="C38" s="1295" t="s">
        <v>1915</v>
      </c>
      <c r="D38" s="1296"/>
      <c r="E38" s="1296"/>
      <c r="F38" s="1297"/>
      <c r="G38" s="1298"/>
      <c r="H38" s="1299"/>
    </row>
    <row r="39" spans="1:8" ht="15.75" customHeight="1">
      <c r="A39" s="36"/>
      <c r="B39" s="2208">
        <v>1</v>
      </c>
      <c r="C39" s="1300" t="s">
        <v>1916</v>
      </c>
      <c r="D39" s="1296" t="s">
        <v>1864</v>
      </c>
      <c r="E39" s="1296">
        <v>960</v>
      </c>
      <c r="F39" s="1301">
        <v>50000</v>
      </c>
      <c r="G39" s="1302">
        <f t="shared" ref="G39:G40" si="5">PRODUCT(E39:F39)</f>
        <v>48000000</v>
      </c>
      <c r="H39" s="1303"/>
    </row>
    <row r="40" spans="1:8" ht="15.75" customHeight="1">
      <c r="A40" s="36"/>
      <c r="B40" s="2209">
        <v>2</v>
      </c>
      <c r="C40" s="1304" t="s">
        <v>1917</v>
      </c>
      <c r="D40" s="1296" t="s">
        <v>1864</v>
      </c>
      <c r="E40" s="1296">
        <v>960</v>
      </c>
      <c r="F40" s="1301">
        <v>50000</v>
      </c>
      <c r="G40" s="1302">
        <f t="shared" si="5"/>
        <v>48000000</v>
      </c>
      <c r="H40" s="1303"/>
    </row>
    <row r="41" spans="1:8" ht="15.75" customHeight="1">
      <c r="A41" s="36"/>
      <c r="B41" s="2210" t="s">
        <v>284</v>
      </c>
      <c r="C41" s="1295" t="s">
        <v>1918</v>
      </c>
      <c r="D41" s="1296"/>
      <c r="E41" s="1296"/>
      <c r="F41" s="1296"/>
      <c r="G41" s="1302"/>
      <c r="H41" s="1299"/>
    </row>
    <row r="42" spans="1:8" ht="15.75" customHeight="1">
      <c r="A42" s="36"/>
      <c r="B42" s="2208">
        <v>1</v>
      </c>
      <c r="C42" s="1304" t="s">
        <v>1869</v>
      </c>
      <c r="D42" s="1296" t="s">
        <v>1864</v>
      </c>
      <c r="E42" s="1296">
        <v>9</v>
      </c>
      <c r="F42" s="1301">
        <v>50000</v>
      </c>
      <c r="G42" s="1302">
        <f t="shared" ref="G42:G48" si="6">PRODUCT(E42:F42)</f>
        <v>450000</v>
      </c>
      <c r="H42" s="1305"/>
    </row>
    <row r="43" spans="1:8" ht="15.75" customHeight="1">
      <c r="A43" s="36"/>
      <c r="B43" s="2207">
        <v>2</v>
      </c>
      <c r="C43" s="1304" t="s">
        <v>1871</v>
      </c>
      <c r="D43" s="1296" t="s">
        <v>1864</v>
      </c>
      <c r="E43" s="1296">
        <v>9</v>
      </c>
      <c r="F43" s="1301">
        <v>50000</v>
      </c>
      <c r="G43" s="1302">
        <f t="shared" si="6"/>
        <v>450000</v>
      </c>
      <c r="H43" s="1305"/>
    </row>
    <row r="44" spans="1:8" ht="15.75" customHeight="1">
      <c r="A44" s="36"/>
      <c r="B44" s="2208">
        <v>3</v>
      </c>
      <c r="C44" s="1304" t="s">
        <v>1919</v>
      </c>
      <c r="D44" s="1296" t="s">
        <v>1864</v>
      </c>
      <c r="E44" s="1296">
        <v>9</v>
      </c>
      <c r="F44" s="1301">
        <v>50000</v>
      </c>
      <c r="G44" s="1302">
        <f t="shared" si="6"/>
        <v>450000</v>
      </c>
      <c r="H44" s="1305"/>
    </row>
    <row r="45" spans="1:8" ht="15.75" customHeight="1">
      <c r="A45" s="36"/>
      <c r="B45" s="2208">
        <v>4</v>
      </c>
      <c r="C45" s="1304" t="s">
        <v>1920</v>
      </c>
      <c r="D45" s="1296" t="s">
        <v>1876</v>
      </c>
      <c r="E45" s="1296">
        <v>9</v>
      </c>
      <c r="F45" s="1301">
        <v>300000</v>
      </c>
      <c r="G45" s="1302">
        <f t="shared" si="6"/>
        <v>2700000</v>
      </c>
      <c r="H45" s="1305"/>
    </row>
    <row r="46" spans="1:8" ht="15.75" customHeight="1">
      <c r="A46" s="36"/>
      <c r="B46" s="2208">
        <v>5</v>
      </c>
      <c r="C46" s="1304" t="s">
        <v>1878</v>
      </c>
      <c r="D46" s="1296" t="s">
        <v>1879</v>
      </c>
      <c r="E46" s="1296">
        <v>9</v>
      </c>
      <c r="F46" s="1301">
        <v>100000</v>
      </c>
      <c r="G46" s="1302">
        <f t="shared" si="6"/>
        <v>900000</v>
      </c>
      <c r="H46" s="1305"/>
    </row>
    <row r="47" spans="1:8" ht="15.75" customHeight="1">
      <c r="A47" s="36"/>
      <c r="B47" s="2208">
        <v>6</v>
      </c>
      <c r="C47" s="1304" t="s">
        <v>1881</v>
      </c>
      <c r="D47" s="1296" t="s">
        <v>1876</v>
      </c>
      <c r="E47" s="1296">
        <v>9</v>
      </c>
      <c r="F47" s="1301">
        <v>200000</v>
      </c>
      <c r="G47" s="1302">
        <f t="shared" si="6"/>
        <v>1800000</v>
      </c>
      <c r="H47" s="1305"/>
    </row>
    <row r="48" spans="1:8" ht="15.75" customHeight="1">
      <c r="A48" s="36"/>
      <c r="B48" s="2208">
        <v>7</v>
      </c>
      <c r="C48" s="1304" t="s">
        <v>1883</v>
      </c>
      <c r="D48" s="1296" t="s">
        <v>1876</v>
      </c>
      <c r="E48" s="1296">
        <v>9</v>
      </c>
      <c r="F48" s="1301">
        <v>150000</v>
      </c>
      <c r="G48" s="1302">
        <f t="shared" si="6"/>
        <v>1350000</v>
      </c>
      <c r="H48" s="1305"/>
    </row>
    <row r="49" spans="1:8" ht="15.75" customHeight="1">
      <c r="A49" s="36"/>
      <c r="B49" s="2207" t="s">
        <v>345</v>
      </c>
      <c r="C49" s="1295" t="s">
        <v>1885</v>
      </c>
      <c r="D49" s="1299"/>
      <c r="E49" s="1299"/>
      <c r="F49" s="1306"/>
      <c r="G49" s="1302"/>
      <c r="H49" s="1303"/>
    </row>
    <row r="50" spans="1:8" ht="15.75" customHeight="1">
      <c r="A50" s="36"/>
      <c r="B50" s="2208">
        <v>1</v>
      </c>
      <c r="C50" s="1304" t="s">
        <v>1886</v>
      </c>
      <c r="D50" s="1296" t="s">
        <v>1876</v>
      </c>
      <c r="E50" s="1296">
        <v>9</v>
      </c>
      <c r="F50" s="1301">
        <v>200000</v>
      </c>
      <c r="G50" s="1302">
        <f t="shared" ref="G50:G51" si="7">PRODUCT(E50:F50)</f>
        <v>1800000</v>
      </c>
      <c r="H50" s="1305"/>
    </row>
    <row r="51" spans="1:8" ht="15.75" customHeight="1">
      <c r="A51" s="36"/>
      <c r="B51" s="2208">
        <v>2</v>
      </c>
      <c r="C51" s="1304" t="s">
        <v>1887</v>
      </c>
      <c r="D51" s="1306" t="s">
        <v>1888</v>
      </c>
      <c r="E51" s="1306">
        <v>2</v>
      </c>
      <c r="F51" s="1301">
        <v>300000</v>
      </c>
      <c r="G51" s="1302">
        <f t="shared" si="7"/>
        <v>600000</v>
      </c>
      <c r="H51" s="1305"/>
    </row>
    <row r="52" spans="1:8" ht="15.75" customHeight="1">
      <c r="A52" s="36"/>
      <c r="B52" s="2208" t="s">
        <v>411</v>
      </c>
      <c r="C52" s="1116" t="s">
        <v>1890</v>
      </c>
      <c r="D52" s="2208"/>
      <c r="E52" s="1296"/>
      <c r="F52" s="1296"/>
      <c r="G52" s="1302"/>
      <c r="H52" s="1305"/>
    </row>
    <row r="53" spans="1:8" ht="15.75" customHeight="1">
      <c r="A53" s="36"/>
      <c r="B53" s="2208">
        <v>1</v>
      </c>
      <c r="C53" s="2211" t="s">
        <v>1891</v>
      </c>
      <c r="D53" s="1296" t="s">
        <v>1888</v>
      </c>
      <c r="E53" s="1296">
        <v>160</v>
      </c>
      <c r="F53" s="1301">
        <v>100000</v>
      </c>
      <c r="G53" s="1302">
        <f>PRODUCT(E53:F53)</f>
        <v>16000000</v>
      </c>
      <c r="H53" s="1305"/>
    </row>
    <row r="54" spans="1:8" ht="15.75" customHeight="1">
      <c r="A54" s="36"/>
      <c r="B54" s="2208">
        <v>2</v>
      </c>
      <c r="C54" s="1304" t="s">
        <v>1893</v>
      </c>
      <c r="D54" s="1296"/>
      <c r="E54" s="1296"/>
      <c r="F54" s="1296"/>
      <c r="G54" s="1302"/>
      <c r="H54" s="1305"/>
    </row>
    <row r="55" spans="1:8" ht="15.75" customHeight="1">
      <c r="A55" s="36"/>
      <c r="B55" s="2208"/>
      <c r="C55" s="1304" t="s">
        <v>1894</v>
      </c>
      <c r="D55" s="1296" t="s">
        <v>1876</v>
      </c>
      <c r="E55" s="1296">
        <v>9</v>
      </c>
      <c r="F55" s="1301">
        <v>150000</v>
      </c>
      <c r="G55" s="1302">
        <f t="shared" ref="G55:G56" si="8">PRODUCT(E55:F55)</f>
        <v>1350000</v>
      </c>
      <c r="H55" s="1305"/>
    </row>
    <row r="56" spans="1:8" ht="15.75" customHeight="1">
      <c r="A56" s="36"/>
      <c r="B56" s="2208"/>
      <c r="C56" s="1304" t="s">
        <v>1921</v>
      </c>
      <c r="D56" s="1296" t="s">
        <v>1876</v>
      </c>
      <c r="E56" s="1296">
        <v>9</v>
      </c>
      <c r="F56" s="1301">
        <v>100000</v>
      </c>
      <c r="G56" s="1302">
        <f t="shared" si="8"/>
        <v>900000</v>
      </c>
      <c r="H56" s="1305"/>
    </row>
    <row r="57" spans="1:8" ht="15.75" customHeight="1">
      <c r="A57" s="36"/>
      <c r="B57" s="2208" t="s">
        <v>1922</v>
      </c>
      <c r="C57" s="1307" t="s">
        <v>1899</v>
      </c>
      <c r="D57" s="1308"/>
      <c r="E57" s="1308"/>
      <c r="F57" s="1293"/>
      <c r="G57" s="1302"/>
      <c r="H57" s="1303"/>
    </row>
    <row r="58" spans="1:8" ht="15.75" customHeight="1">
      <c r="A58" s="36"/>
      <c r="B58" s="2208">
        <v>1</v>
      </c>
      <c r="C58" s="1309" t="s">
        <v>1900</v>
      </c>
      <c r="D58" s="2208"/>
      <c r="E58" s="1296"/>
      <c r="F58" s="1296"/>
      <c r="G58" s="1302"/>
      <c r="H58" s="1305"/>
    </row>
    <row r="59" spans="1:8" ht="15.75" customHeight="1">
      <c r="A59" s="36"/>
      <c r="B59" s="2208"/>
      <c r="C59" s="2211" t="s">
        <v>1901</v>
      </c>
      <c r="D59" s="1296" t="s">
        <v>1902</v>
      </c>
      <c r="E59" s="1296">
        <v>1</v>
      </c>
      <c r="F59" s="1310">
        <v>500000</v>
      </c>
      <c r="G59" s="1302">
        <f t="shared" ref="G59:G60" si="9">PRODUCT(E59:F59)</f>
        <v>500000</v>
      </c>
      <c r="H59" s="1305"/>
    </row>
    <row r="60" spans="1:8" ht="15.75" customHeight="1">
      <c r="A60" s="36"/>
      <c r="B60" s="2208"/>
      <c r="C60" s="1304" t="s">
        <v>1904</v>
      </c>
      <c r="D60" s="1296" t="s">
        <v>1905</v>
      </c>
      <c r="E60" s="1296">
        <v>9</v>
      </c>
      <c r="F60" s="1301">
        <v>100000</v>
      </c>
      <c r="G60" s="1302">
        <f t="shared" si="9"/>
        <v>900000</v>
      </c>
      <c r="H60" s="1305"/>
    </row>
    <row r="61" spans="1:8" ht="15.75" customHeight="1">
      <c r="A61" s="36"/>
      <c r="B61" s="2208">
        <v>2</v>
      </c>
      <c r="C61" s="1309" t="s">
        <v>1907</v>
      </c>
      <c r="D61" s="2208"/>
      <c r="E61" s="1296"/>
      <c r="F61" s="1296"/>
      <c r="G61" s="1302"/>
      <c r="H61" s="1305"/>
    </row>
    <row r="62" spans="1:8" ht="15.75" customHeight="1">
      <c r="A62" s="36"/>
      <c r="B62" s="2208"/>
      <c r="C62" s="2212"/>
      <c r="D62" s="1296" t="s">
        <v>1888</v>
      </c>
      <c r="E62" s="1296">
        <v>25</v>
      </c>
      <c r="F62" s="1301">
        <v>50000</v>
      </c>
      <c r="G62" s="1302">
        <f t="shared" ref="G62:G64" si="10">PRODUCT(E62:F62)</f>
        <v>1250000</v>
      </c>
      <c r="H62" s="1305"/>
    </row>
    <row r="63" spans="1:8" ht="15.75" customHeight="1">
      <c r="A63" s="36"/>
      <c r="B63" s="2208"/>
      <c r="C63" s="1311"/>
      <c r="D63" s="1296" t="s">
        <v>1888</v>
      </c>
      <c r="E63" s="1296">
        <v>25</v>
      </c>
      <c r="F63" s="1301">
        <v>50000</v>
      </c>
      <c r="G63" s="1302">
        <f t="shared" si="10"/>
        <v>1250000</v>
      </c>
      <c r="H63" s="1305"/>
    </row>
    <row r="64" spans="1:8" ht="15.75" customHeight="1">
      <c r="A64" s="36"/>
      <c r="B64" s="2209"/>
      <c r="C64" s="1299"/>
      <c r="D64" s="1296" t="s">
        <v>1902</v>
      </c>
      <c r="E64" s="1306">
        <v>6</v>
      </c>
      <c r="F64" s="1310">
        <v>500000</v>
      </c>
      <c r="G64" s="1302">
        <f t="shared" si="10"/>
        <v>3000000</v>
      </c>
      <c r="H64" s="1305"/>
    </row>
    <row r="65" spans="1:9" ht="15.75" customHeight="1">
      <c r="A65" s="36"/>
      <c r="B65" s="2208"/>
      <c r="C65" s="1308" t="s">
        <v>1911</v>
      </c>
      <c r="D65" s="1296"/>
      <c r="E65" s="1296"/>
      <c r="F65" s="1296"/>
      <c r="G65" s="1312">
        <f>SUM(G39:G64)</f>
        <v>131650000</v>
      </c>
      <c r="H65" s="1297"/>
      <c r="I65" s="13"/>
    </row>
    <row r="66" spans="1:9" ht="15.75" customHeight="1">
      <c r="A66" s="2213"/>
      <c r="B66" s="2214"/>
      <c r="C66" s="2215"/>
      <c r="D66" s="2214"/>
      <c r="E66" s="2214"/>
      <c r="F66" s="2214"/>
      <c r="G66" s="2216"/>
      <c r="H66" s="2217"/>
      <c r="I66" s="2218"/>
    </row>
    <row r="67" spans="1:9" ht="15" customHeight="1">
      <c r="A67" s="2904" t="s">
        <v>1923</v>
      </c>
      <c r="B67" s="2732"/>
      <c r="C67" s="13"/>
      <c r="D67" s="13"/>
      <c r="E67" s="13"/>
      <c r="F67" s="13"/>
      <c r="G67" s="13"/>
      <c r="H67" s="13"/>
      <c r="I67" s="13"/>
    </row>
    <row r="68" spans="1:9" ht="15.75">
      <c r="A68" s="13"/>
      <c r="B68" s="2938" t="s">
        <v>1924</v>
      </c>
      <c r="C68" s="2732"/>
      <c r="D68" s="2732"/>
      <c r="E68" s="2732"/>
      <c r="F68" s="2732"/>
      <c r="G68" s="2732"/>
      <c r="H68" s="2732"/>
      <c r="I68" s="296"/>
    </row>
    <row r="69" spans="1:9" ht="15.75">
      <c r="A69" s="36"/>
      <c r="B69" s="2939" t="s">
        <v>1925</v>
      </c>
      <c r="C69" s="2782"/>
      <c r="D69" s="2782"/>
      <c r="E69" s="2782"/>
      <c r="F69" s="2782"/>
      <c r="G69" s="2782"/>
      <c r="H69" s="2783"/>
      <c r="I69" s="654"/>
    </row>
    <row r="70" spans="1:9" ht="15.75">
      <c r="A70" s="36"/>
      <c r="B70" s="654"/>
      <c r="C70" s="2940" t="s">
        <v>1926</v>
      </c>
      <c r="D70" s="2782"/>
      <c r="E70" s="2782"/>
      <c r="F70" s="2782"/>
      <c r="G70" s="2782"/>
      <c r="H70" s="2783"/>
      <c r="I70" s="2220"/>
    </row>
    <row r="71" spans="1:9" ht="15.75">
      <c r="A71" s="36"/>
      <c r="B71" s="2941" t="s">
        <v>1927</v>
      </c>
      <c r="C71" s="2782"/>
      <c r="D71" s="2782"/>
      <c r="E71" s="2782"/>
      <c r="F71" s="2782"/>
      <c r="G71" s="2782"/>
      <c r="H71" s="2783"/>
      <c r="I71" s="654"/>
    </row>
    <row r="72" spans="1:9" ht="31.5">
      <c r="A72" s="36"/>
      <c r="B72" s="1313" t="s">
        <v>27</v>
      </c>
      <c r="C72" s="1313" t="s">
        <v>1928</v>
      </c>
      <c r="D72" s="1313" t="s">
        <v>242</v>
      </c>
      <c r="E72" s="1313" t="s">
        <v>1859</v>
      </c>
      <c r="F72" s="1314" t="s">
        <v>1860</v>
      </c>
      <c r="G72" s="1314" t="s">
        <v>1929</v>
      </c>
      <c r="H72" s="1313" t="s">
        <v>1930</v>
      </c>
      <c r="I72" s="1315" t="s">
        <v>1931</v>
      </c>
    </row>
    <row r="73" spans="1:9" ht="15.75">
      <c r="A73" s="36"/>
      <c r="B73" s="1313" t="s">
        <v>200</v>
      </c>
      <c r="C73" s="1316" t="s">
        <v>1932</v>
      </c>
      <c r="D73" s="1317"/>
      <c r="E73" s="1317"/>
      <c r="F73" s="1318"/>
      <c r="G73" s="1319"/>
      <c r="H73" s="1317"/>
      <c r="I73" s="654"/>
    </row>
    <row r="74" spans="1:9" ht="45">
      <c r="A74" s="36"/>
      <c r="B74" s="2221"/>
      <c r="C74" s="2222" t="s">
        <v>1933</v>
      </c>
      <c r="D74" s="2221" t="s">
        <v>1934</v>
      </c>
      <c r="E74" s="2221">
        <v>24</v>
      </c>
      <c r="F74" s="2223">
        <v>3500000</v>
      </c>
      <c r="G74" s="2224">
        <f>E74*F74</f>
        <v>84000000</v>
      </c>
      <c r="H74" s="2222" t="s">
        <v>1935</v>
      </c>
      <c r="I74" s="2222" t="s">
        <v>1936</v>
      </c>
    </row>
    <row r="75" spans="1:9" ht="42.75">
      <c r="A75" s="36"/>
      <c r="B75" s="1313" t="s">
        <v>206</v>
      </c>
      <c r="C75" s="1316" t="s">
        <v>1937</v>
      </c>
      <c r="D75" s="1279"/>
      <c r="E75" s="1279"/>
      <c r="F75" s="1320"/>
      <c r="G75" s="1319">
        <v>84000000</v>
      </c>
      <c r="H75" s="1317"/>
      <c r="I75" s="296"/>
    </row>
    <row r="76" spans="1:9" ht="30">
      <c r="A76" s="36"/>
      <c r="B76" s="1321">
        <v>1</v>
      </c>
      <c r="C76" s="1322" t="s">
        <v>1938</v>
      </c>
      <c r="D76" s="1323" t="s">
        <v>1939</v>
      </c>
      <c r="E76" s="1323">
        <v>7</v>
      </c>
      <c r="F76" s="1324">
        <v>4000000</v>
      </c>
      <c r="G76" s="1325">
        <f>E76*F76</f>
        <v>28000000</v>
      </c>
      <c r="H76" s="296"/>
      <c r="I76" s="1326" t="s">
        <v>1940</v>
      </c>
    </row>
    <row r="77" spans="1:9" ht="15.75">
      <c r="A77" s="36"/>
      <c r="B77" s="1147">
        <v>2</v>
      </c>
      <c r="C77" s="1145" t="s">
        <v>1941</v>
      </c>
      <c r="D77" s="1142"/>
      <c r="E77" s="1142"/>
      <c r="F77" s="1327"/>
      <c r="G77" s="1328">
        <f>SUM(G78:G79)</f>
        <v>54000000</v>
      </c>
      <c r="H77" s="1149"/>
      <c r="I77" s="654"/>
    </row>
    <row r="78" spans="1:9" ht="15.75">
      <c r="A78" s="36"/>
      <c r="B78" s="1142">
        <v>2.1</v>
      </c>
      <c r="C78" s="1141" t="s">
        <v>1942</v>
      </c>
      <c r="D78" s="1142" t="s">
        <v>1943</v>
      </c>
      <c r="E78" s="1142">
        <v>72</v>
      </c>
      <c r="F78" s="1329">
        <v>400000</v>
      </c>
      <c r="G78" s="2225">
        <f t="shared" ref="G78:G79" si="11">E78*F78</f>
        <v>28800000</v>
      </c>
      <c r="H78" s="1149" t="s">
        <v>1944</v>
      </c>
      <c r="I78" s="654" t="s">
        <v>1945</v>
      </c>
    </row>
    <row r="79" spans="1:9" ht="30">
      <c r="A79" s="36"/>
      <c r="B79" s="1142">
        <v>2.2000000000000002</v>
      </c>
      <c r="C79" s="1141" t="s">
        <v>1946</v>
      </c>
      <c r="D79" s="1142" t="s">
        <v>1947</v>
      </c>
      <c r="E79" s="1142">
        <v>168</v>
      </c>
      <c r="F79" s="1327">
        <v>150000</v>
      </c>
      <c r="G79" s="2225">
        <f t="shared" si="11"/>
        <v>25200000</v>
      </c>
      <c r="H79" s="1149" t="s">
        <v>1944</v>
      </c>
      <c r="I79" s="654"/>
    </row>
    <row r="80" spans="1:9" ht="15.75">
      <c r="A80" s="36"/>
      <c r="B80" s="2226">
        <v>3</v>
      </c>
      <c r="C80" s="1330" t="s">
        <v>1948</v>
      </c>
      <c r="D80" s="2226"/>
      <c r="E80" s="2226"/>
      <c r="F80" s="2227"/>
      <c r="G80" s="2227">
        <f>SUM(G81:G85)</f>
        <v>1040000</v>
      </c>
      <c r="H80" s="2228"/>
      <c r="I80" s="1331"/>
    </row>
    <row r="81" spans="1:11" ht="15.75">
      <c r="A81" s="36"/>
      <c r="B81" s="2229">
        <v>3.1</v>
      </c>
      <c r="C81" s="2230" t="s">
        <v>1949</v>
      </c>
      <c r="D81" s="2229" t="s">
        <v>1950</v>
      </c>
      <c r="E81" s="2229">
        <v>1</v>
      </c>
      <c r="F81" s="2225">
        <v>260000</v>
      </c>
      <c r="G81" s="2225">
        <f t="shared" ref="G81:G84" si="12">E81*F81</f>
        <v>260000</v>
      </c>
      <c r="H81" s="2231"/>
      <c r="I81" s="2942" t="s">
        <v>1951</v>
      </c>
      <c r="J81" s="296"/>
      <c r="K81" s="298"/>
    </row>
    <row r="82" spans="1:11" ht="15.75">
      <c r="A82" s="36"/>
      <c r="B82" s="2229">
        <v>3.2</v>
      </c>
      <c r="C82" s="2230" t="s">
        <v>1952</v>
      </c>
      <c r="D82" s="2229" t="s">
        <v>1950</v>
      </c>
      <c r="E82" s="2229">
        <v>1</v>
      </c>
      <c r="F82" s="2225">
        <v>260000</v>
      </c>
      <c r="G82" s="2225">
        <f t="shared" si="12"/>
        <v>260000</v>
      </c>
      <c r="H82" s="2231"/>
      <c r="I82" s="2834"/>
      <c r="J82" s="296"/>
      <c r="K82" s="298"/>
    </row>
    <row r="83" spans="1:11">
      <c r="A83" s="36"/>
      <c r="B83" s="2229">
        <v>3.3</v>
      </c>
      <c r="C83" s="2230" t="s">
        <v>1953</v>
      </c>
      <c r="D83" s="2229" t="s">
        <v>1950</v>
      </c>
      <c r="E83" s="2229">
        <v>1</v>
      </c>
      <c r="F83" s="2225">
        <v>260000</v>
      </c>
      <c r="G83" s="2225">
        <f t="shared" si="12"/>
        <v>260000</v>
      </c>
      <c r="H83" s="2231"/>
      <c r="I83" s="2834"/>
      <c r="J83" s="13"/>
      <c r="K83" s="87"/>
    </row>
    <row r="84" spans="1:11">
      <c r="A84" s="36"/>
      <c r="B84" s="2229">
        <v>3.4</v>
      </c>
      <c r="C84" s="2230" t="s">
        <v>1954</v>
      </c>
      <c r="D84" s="2229" t="s">
        <v>1950</v>
      </c>
      <c r="E84" s="2229">
        <v>1</v>
      </c>
      <c r="F84" s="2225">
        <v>260000</v>
      </c>
      <c r="G84" s="2225">
        <f t="shared" si="12"/>
        <v>260000</v>
      </c>
      <c r="H84" s="2231"/>
      <c r="I84" s="2834"/>
      <c r="J84" s="13"/>
      <c r="K84" s="87"/>
    </row>
    <row r="85" spans="1:11">
      <c r="A85" s="36"/>
      <c r="B85" s="1154"/>
      <c r="C85" s="1152"/>
      <c r="D85" s="2229"/>
      <c r="E85" s="2229"/>
      <c r="F85" s="2225"/>
      <c r="G85" s="2225"/>
      <c r="H85" s="2231"/>
      <c r="I85" s="2779"/>
      <c r="J85" s="13"/>
      <c r="K85" s="87"/>
    </row>
    <row r="86" spans="1:11" ht="15.75">
      <c r="A86" s="36"/>
      <c r="B86" s="1313" t="s">
        <v>211</v>
      </c>
      <c r="C86" s="1316" t="s">
        <v>1955</v>
      </c>
      <c r="D86" s="1279"/>
      <c r="E86" s="1279"/>
      <c r="F86" s="1332"/>
      <c r="G86" s="1319">
        <v>84000000</v>
      </c>
      <c r="H86" s="1333"/>
      <c r="I86" s="654"/>
      <c r="J86" s="13"/>
      <c r="K86" s="87"/>
    </row>
    <row r="87" spans="1:11" ht="15.75">
      <c r="A87" s="2213"/>
      <c r="B87" s="2232"/>
      <c r="C87" s="2233"/>
      <c r="D87" s="2234"/>
      <c r="E87" s="2234"/>
      <c r="F87" s="2235"/>
      <c r="G87" s="2236"/>
      <c r="H87" s="2237"/>
      <c r="I87" s="2238"/>
      <c r="J87" s="2218"/>
      <c r="K87" s="2219"/>
    </row>
    <row r="88" spans="1:11" ht="15.75" customHeight="1">
      <c r="A88" s="2943" t="s">
        <v>1956</v>
      </c>
      <c r="B88" s="2732"/>
      <c r="C88" s="1334"/>
      <c r="D88" s="177"/>
      <c r="E88" s="177"/>
      <c r="F88" s="1335"/>
      <c r="G88" s="1336"/>
      <c r="H88" s="1118"/>
      <c r="I88" s="296"/>
      <c r="J88" s="13"/>
      <c r="K88" s="87"/>
    </row>
    <row r="89" spans="1:11" ht="15.75" customHeight="1">
      <c r="A89" s="36" t="s">
        <v>1898</v>
      </c>
      <c r="B89" s="2934" t="s">
        <v>1957</v>
      </c>
      <c r="C89" s="2732"/>
      <c r="D89" s="2732"/>
      <c r="E89" s="2732"/>
      <c r="F89" s="2732"/>
      <c r="G89" s="2732"/>
      <c r="H89" s="2732"/>
      <c r="I89" s="2732"/>
      <c r="J89" s="2732"/>
      <c r="K89" s="2732"/>
    </row>
    <row r="90" spans="1:11" ht="15.75" customHeight="1">
      <c r="A90" s="13"/>
      <c r="B90" s="2934" t="s">
        <v>1958</v>
      </c>
      <c r="C90" s="2732"/>
      <c r="D90" s="2732"/>
      <c r="E90" s="2732"/>
      <c r="F90" s="2732"/>
      <c r="G90" s="2732"/>
      <c r="H90" s="2732"/>
      <c r="I90" s="2732"/>
      <c r="J90" s="2732"/>
      <c r="K90" s="2732"/>
    </row>
    <row r="91" spans="1:11" ht="15.75" customHeight="1">
      <c r="A91" s="36"/>
      <c r="B91" s="13"/>
      <c r="C91" s="13"/>
      <c r="D91" s="13"/>
      <c r="E91" s="13"/>
      <c r="F91" s="13"/>
      <c r="G91" s="13"/>
      <c r="H91" s="13"/>
      <c r="I91" s="13"/>
      <c r="J91" s="13"/>
      <c r="K91" s="87"/>
    </row>
    <row r="92" spans="1:11" ht="15.75" customHeight="1">
      <c r="A92" s="36"/>
      <c r="B92" s="2239" t="s">
        <v>186</v>
      </c>
      <c r="C92" s="2240" t="s">
        <v>1928</v>
      </c>
      <c r="D92" s="2240" t="s">
        <v>242</v>
      </c>
      <c r="E92" s="2240" t="s">
        <v>1959</v>
      </c>
      <c r="F92" s="2240" t="s">
        <v>1859</v>
      </c>
      <c r="G92" s="2240" t="s">
        <v>1960</v>
      </c>
      <c r="H92" s="2240" t="s">
        <v>1961</v>
      </c>
      <c r="I92" s="2240" t="s">
        <v>1929</v>
      </c>
      <c r="J92" s="2240" t="s">
        <v>1962</v>
      </c>
      <c r="K92" s="2241" t="s">
        <v>1963</v>
      </c>
    </row>
    <row r="93" spans="1:11" ht="15.75" customHeight="1">
      <c r="A93" s="36"/>
      <c r="B93" s="1275" t="s">
        <v>200</v>
      </c>
      <c r="C93" s="2242" t="s">
        <v>206</v>
      </c>
      <c r="D93" s="1306" t="s">
        <v>211</v>
      </c>
      <c r="E93" s="1306">
        <v>1</v>
      </c>
      <c r="F93" s="1306">
        <v>2</v>
      </c>
      <c r="G93" s="1306">
        <v>3</v>
      </c>
      <c r="H93" s="1306">
        <v>4</v>
      </c>
      <c r="I93" s="1306"/>
      <c r="J93" s="1306"/>
      <c r="K93" s="1338"/>
    </row>
    <row r="94" spans="1:11" ht="15.75" customHeight="1">
      <c r="A94" s="36"/>
      <c r="B94" s="1275" t="s">
        <v>200</v>
      </c>
      <c r="C94" s="2243" t="s">
        <v>1932</v>
      </c>
      <c r="D94" s="2244"/>
      <c r="E94" s="2242"/>
      <c r="F94" s="2242"/>
      <c r="G94" s="1306"/>
      <c r="H94" s="1306"/>
      <c r="I94" s="1339"/>
      <c r="J94" s="1299"/>
      <c r="K94" s="1340"/>
    </row>
    <row r="95" spans="1:11" ht="15.75" customHeight="1">
      <c r="A95" s="36"/>
      <c r="B95" s="1275">
        <v>1</v>
      </c>
      <c r="C95" s="2245" t="s">
        <v>1964</v>
      </c>
      <c r="D95" s="2245"/>
      <c r="E95" s="2246">
        <v>2</v>
      </c>
      <c r="F95" s="2245">
        <v>220</v>
      </c>
      <c r="G95" s="1341">
        <v>340000</v>
      </c>
      <c r="H95" s="1342">
        <v>1.3</v>
      </c>
      <c r="I95" s="1343">
        <f>PRODUCT(E95:F95:G95:H95)</f>
        <v>194480000</v>
      </c>
      <c r="J95" s="1304" t="s">
        <v>1965</v>
      </c>
      <c r="K95" s="2247"/>
    </row>
    <row r="96" spans="1:11" ht="15.75" customHeight="1">
      <c r="A96" s="36"/>
      <c r="B96" s="1344" t="s">
        <v>206</v>
      </c>
      <c r="C96" s="1345" t="s">
        <v>1966</v>
      </c>
      <c r="D96" s="1311"/>
      <c r="E96" s="2245"/>
      <c r="F96" s="1342"/>
      <c r="G96" s="1342"/>
      <c r="H96" s="2248"/>
      <c r="I96" s="1341"/>
      <c r="J96" s="1311"/>
      <c r="K96" s="2247"/>
    </row>
    <row r="97" spans="2:11" ht="15.75" customHeight="1">
      <c r="B97" s="1344" t="s">
        <v>258</v>
      </c>
      <c r="C97" s="1345" t="s">
        <v>1967</v>
      </c>
      <c r="D97" s="1311"/>
      <c r="E97" s="1342"/>
      <c r="F97" s="1342"/>
      <c r="G97" s="1342"/>
      <c r="H97" s="1342"/>
      <c r="I97" s="1346"/>
      <c r="J97" s="1311"/>
      <c r="K97" s="2247"/>
    </row>
    <row r="98" spans="2:11" ht="15.75" customHeight="1">
      <c r="B98" s="656">
        <v>1</v>
      </c>
      <c r="C98" s="1347" t="s">
        <v>1968</v>
      </c>
      <c r="D98" s="1311"/>
      <c r="E98" s="1342"/>
      <c r="F98" s="1342"/>
      <c r="G98" s="1342"/>
      <c r="H98" s="1342"/>
      <c r="I98" s="1346"/>
      <c r="J98" s="2249"/>
      <c r="K98" s="1348"/>
    </row>
    <row r="99" spans="2:11" ht="15.75" customHeight="1">
      <c r="B99" s="1349">
        <v>44562</v>
      </c>
      <c r="C99" s="1304" t="s">
        <v>1969</v>
      </c>
      <c r="D99" s="1342"/>
      <c r="E99" s="1342"/>
      <c r="F99" s="1342"/>
      <c r="G99" s="1342"/>
      <c r="H99" s="1342"/>
      <c r="I99" s="1346"/>
      <c r="J99" s="2250" t="s">
        <v>1970</v>
      </c>
      <c r="K99" s="2247"/>
    </row>
    <row r="100" spans="2:11" ht="15.75" customHeight="1">
      <c r="B100" s="656"/>
      <c r="C100" s="1304" t="s">
        <v>1971</v>
      </c>
      <c r="D100" s="1342" t="s">
        <v>1972</v>
      </c>
      <c r="E100" s="1342">
        <v>30</v>
      </c>
      <c r="F100" s="1342"/>
      <c r="G100" s="1341">
        <v>100000</v>
      </c>
      <c r="H100" s="1342"/>
      <c r="I100" s="1350">
        <f t="shared" ref="I100:I116" si="13">PRODUCT(E100:G100)</f>
        <v>3000000</v>
      </c>
      <c r="J100" s="2251" t="s">
        <v>1973</v>
      </c>
      <c r="K100" s="2247"/>
    </row>
    <row r="101" spans="2:11" ht="15.75" customHeight="1">
      <c r="B101" s="1349">
        <v>44593</v>
      </c>
      <c r="C101" s="1351" t="s">
        <v>1974</v>
      </c>
      <c r="D101" s="1342"/>
      <c r="E101" s="1342"/>
      <c r="F101" s="1342"/>
      <c r="G101" s="1342"/>
      <c r="H101" s="1342"/>
      <c r="I101" s="1350">
        <f t="shared" si="13"/>
        <v>0</v>
      </c>
      <c r="J101" s="2249"/>
      <c r="K101" s="2247"/>
    </row>
    <row r="102" spans="2:11" ht="15.75" customHeight="1">
      <c r="B102" s="656"/>
      <c r="C102" s="1304" t="s">
        <v>1975</v>
      </c>
      <c r="D102" s="1342" t="s">
        <v>1972</v>
      </c>
      <c r="E102" s="1342">
        <v>30</v>
      </c>
      <c r="F102" s="1342"/>
      <c r="G102" s="1341">
        <v>100000</v>
      </c>
      <c r="H102" s="1342"/>
      <c r="I102" s="1350">
        <f t="shared" si="13"/>
        <v>3000000</v>
      </c>
      <c r="J102" s="2251" t="s">
        <v>1976</v>
      </c>
      <c r="K102" s="2247"/>
    </row>
    <row r="103" spans="2:11" ht="15.75" customHeight="1">
      <c r="B103" s="656"/>
      <c r="C103" s="1304" t="s">
        <v>1977</v>
      </c>
      <c r="D103" s="1342" t="s">
        <v>1972</v>
      </c>
      <c r="E103" s="1342">
        <v>30</v>
      </c>
      <c r="F103" s="1342"/>
      <c r="G103" s="1341">
        <v>100000</v>
      </c>
      <c r="H103" s="1342"/>
      <c r="I103" s="1350">
        <f t="shared" si="13"/>
        <v>3000000</v>
      </c>
      <c r="J103" s="2249"/>
      <c r="K103" s="2247"/>
    </row>
    <row r="104" spans="2:11" ht="15.75" customHeight="1">
      <c r="B104" s="1349">
        <v>44621</v>
      </c>
      <c r="C104" s="1304" t="s">
        <v>1978</v>
      </c>
      <c r="D104" s="1342"/>
      <c r="E104" s="1342"/>
      <c r="F104" s="1342"/>
      <c r="G104" s="1342"/>
      <c r="H104" s="1342"/>
      <c r="I104" s="1350">
        <f t="shared" si="13"/>
        <v>0</v>
      </c>
      <c r="J104" s="2249"/>
      <c r="K104" s="2247"/>
    </row>
    <row r="105" spans="2:11" ht="15.75" customHeight="1">
      <c r="B105" s="656"/>
      <c r="C105" s="1304" t="s">
        <v>1979</v>
      </c>
      <c r="D105" s="1342" t="s">
        <v>1972</v>
      </c>
      <c r="E105" s="1342">
        <v>30</v>
      </c>
      <c r="F105" s="1342"/>
      <c r="G105" s="1341">
        <v>100000</v>
      </c>
      <c r="H105" s="1342"/>
      <c r="I105" s="1350">
        <f t="shared" si="13"/>
        <v>3000000</v>
      </c>
      <c r="J105" s="2251"/>
      <c r="K105" s="2247"/>
    </row>
    <row r="106" spans="2:11" ht="15.75" customHeight="1">
      <c r="B106" s="1349">
        <v>44652</v>
      </c>
      <c r="C106" s="1304" t="s">
        <v>1980</v>
      </c>
      <c r="D106" s="1342" t="s">
        <v>1972</v>
      </c>
      <c r="E106" s="1342">
        <v>30</v>
      </c>
      <c r="F106" s="1342"/>
      <c r="G106" s="1341">
        <v>100000</v>
      </c>
      <c r="H106" s="1342"/>
      <c r="I106" s="1350">
        <f t="shared" si="13"/>
        <v>3000000</v>
      </c>
      <c r="J106" s="2211"/>
      <c r="K106" s="2252"/>
    </row>
    <row r="107" spans="2:11" ht="15.75" customHeight="1">
      <c r="B107" s="656"/>
      <c r="C107" s="1304" t="s">
        <v>1981</v>
      </c>
      <c r="D107" s="1342" t="s">
        <v>1972</v>
      </c>
      <c r="E107" s="1342">
        <v>30</v>
      </c>
      <c r="F107" s="1342"/>
      <c r="G107" s="1341">
        <v>100000</v>
      </c>
      <c r="H107" s="1342"/>
      <c r="I107" s="1350">
        <f t="shared" si="13"/>
        <v>3000000</v>
      </c>
      <c r="J107" s="2251"/>
      <c r="K107" s="2247"/>
    </row>
    <row r="108" spans="2:11" ht="15.75" customHeight="1">
      <c r="B108" s="1349">
        <v>44682</v>
      </c>
      <c r="C108" s="1304" t="s">
        <v>1982</v>
      </c>
      <c r="D108" s="1342"/>
      <c r="E108" s="1342"/>
      <c r="F108" s="1342"/>
      <c r="G108" s="1342"/>
      <c r="H108" s="1342"/>
      <c r="I108" s="1350">
        <f t="shared" si="13"/>
        <v>0</v>
      </c>
      <c r="J108" s="2253"/>
      <c r="K108" s="2247"/>
    </row>
    <row r="109" spans="2:11" ht="15.75" customHeight="1">
      <c r="B109" s="656"/>
      <c r="C109" s="1304" t="s">
        <v>1983</v>
      </c>
      <c r="D109" s="1342" t="s">
        <v>1972</v>
      </c>
      <c r="E109" s="1342">
        <v>30</v>
      </c>
      <c r="F109" s="1342"/>
      <c r="G109" s="1341">
        <v>90000</v>
      </c>
      <c r="H109" s="1342"/>
      <c r="I109" s="1350">
        <f t="shared" si="13"/>
        <v>2700000</v>
      </c>
      <c r="J109" s="2253"/>
      <c r="K109" s="2247"/>
    </row>
    <row r="110" spans="2:11" ht="15.75" customHeight="1">
      <c r="B110" s="1349">
        <v>44713</v>
      </c>
      <c r="C110" s="1304" t="s">
        <v>1984</v>
      </c>
      <c r="D110" s="1342" t="s">
        <v>1972</v>
      </c>
      <c r="E110" s="1342"/>
      <c r="F110" s="1342"/>
      <c r="G110" s="1342"/>
      <c r="H110" s="1342"/>
      <c r="I110" s="1350">
        <f t="shared" si="13"/>
        <v>0</v>
      </c>
      <c r="J110" s="2253"/>
      <c r="K110" s="2247"/>
    </row>
    <row r="111" spans="2:11" ht="15.75" customHeight="1">
      <c r="B111" s="656"/>
      <c r="C111" s="1304" t="s">
        <v>1985</v>
      </c>
      <c r="D111" s="1342"/>
      <c r="E111" s="1342">
        <v>30</v>
      </c>
      <c r="F111" s="1342"/>
      <c r="G111" s="1341">
        <v>90000</v>
      </c>
      <c r="H111" s="1342"/>
      <c r="I111" s="1350">
        <f t="shared" si="13"/>
        <v>2700000</v>
      </c>
      <c r="J111" s="2253"/>
      <c r="K111" s="2247"/>
    </row>
    <row r="112" spans="2:11" ht="15.75" customHeight="1">
      <c r="B112" s="1349">
        <v>44743</v>
      </c>
      <c r="C112" s="1304" t="s">
        <v>1986</v>
      </c>
      <c r="D112" s="1342" t="s">
        <v>1972</v>
      </c>
      <c r="E112" s="1342"/>
      <c r="F112" s="1342"/>
      <c r="G112" s="1342"/>
      <c r="H112" s="1342"/>
      <c r="I112" s="1350">
        <f t="shared" si="13"/>
        <v>0</v>
      </c>
      <c r="J112" s="2254" t="s">
        <v>1987</v>
      </c>
      <c r="K112" s="2247"/>
    </row>
    <row r="113" spans="2:11" ht="15.75" customHeight="1">
      <c r="B113" s="656"/>
      <c r="C113" s="1304" t="s">
        <v>1988</v>
      </c>
      <c r="D113" s="1342"/>
      <c r="E113" s="1342">
        <v>30</v>
      </c>
      <c r="F113" s="1342"/>
      <c r="G113" s="1341">
        <v>90000</v>
      </c>
      <c r="H113" s="1342"/>
      <c r="I113" s="1350">
        <f t="shared" si="13"/>
        <v>2700000</v>
      </c>
      <c r="J113" s="2255"/>
      <c r="K113" s="2247"/>
    </row>
    <row r="114" spans="2:11" ht="15.75" customHeight="1">
      <c r="B114" s="1349">
        <v>44774</v>
      </c>
      <c r="C114" s="1304" t="s">
        <v>1989</v>
      </c>
      <c r="D114" s="1342"/>
      <c r="E114" s="1342"/>
      <c r="F114" s="1342"/>
      <c r="G114" s="1342"/>
      <c r="H114" s="1342"/>
      <c r="I114" s="1350">
        <f t="shared" si="13"/>
        <v>0</v>
      </c>
      <c r="J114" s="2256"/>
      <c r="K114" s="2247"/>
    </row>
    <row r="115" spans="2:11" ht="15.75" customHeight="1">
      <c r="B115" s="656"/>
      <c r="C115" s="1304" t="s">
        <v>1990</v>
      </c>
      <c r="D115" s="1342" t="s">
        <v>1972</v>
      </c>
      <c r="E115" s="1342">
        <v>30</v>
      </c>
      <c r="F115" s="1342"/>
      <c r="G115" s="1341">
        <v>90000</v>
      </c>
      <c r="H115" s="1342"/>
      <c r="I115" s="1350">
        <f t="shared" si="13"/>
        <v>2700000</v>
      </c>
      <c r="J115" s="2255" t="s">
        <v>1976</v>
      </c>
      <c r="K115" s="2247"/>
    </row>
    <row r="116" spans="2:11" ht="15.75" customHeight="1">
      <c r="B116" s="656"/>
      <c r="C116" s="1304" t="s">
        <v>1991</v>
      </c>
      <c r="D116" s="1342" t="s">
        <v>1972</v>
      </c>
      <c r="E116" s="1342">
        <v>30</v>
      </c>
      <c r="F116" s="1342"/>
      <c r="G116" s="1341">
        <v>90000</v>
      </c>
      <c r="H116" s="1342"/>
      <c r="I116" s="1350">
        <f t="shared" si="13"/>
        <v>2700000</v>
      </c>
      <c r="J116" s="2256"/>
      <c r="K116" s="2247"/>
    </row>
    <row r="117" spans="2:11" ht="15.75" customHeight="1">
      <c r="B117" s="656"/>
      <c r="C117" s="2257"/>
      <c r="D117" s="2258"/>
      <c r="E117" s="2258"/>
      <c r="F117" s="2258"/>
      <c r="G117" s="2258"/>
      <c r="H117" s="2258"/>
      <c r="I117" s="1350"/>
      <c r="J117" s="2256"/>
      <c r="K117" s="2247"/>
    </row>
    <row r="118" spans="2:11" ht="15.75" customHeight="1">
      <c r="B118" s="656"/>
      <c r="C118" s="2212"/>
      <c r="D118" s="2245"/>
      <c r="E118" s="2245"/>
      <c r="F118" s="2245"/>
      <c r="G118" s="2245"/>
      <c r="H118" s="2245"/>
      <c r="I118" s="1346"/>
      <c r="J118" s="1311"/>
      <c r="K118" s="1348"/>
    </row>
    <row r="119" spans="2:11" ht="15.75" customHeight="1">
      <c r="B119" s="1344" t="s">
        <v>284</v>
      </c>
      <c r="C119" s="1345" t="s">
        <v>1992</v>
      </c>
      <c r="D119" s="1352"/>
      <c r="E119" s="1339"/>
      <c r="F119" s="1339"/>
      <c r="G119" s="1339"/>
      <c r="H119" s="1339"/>
      <c r="I119" s="1346"/>
      <c r="J119" s="1311"/>
      <c r="K119" s="2247"/>
    </row>
    <row r="120" spans="2:11" ht="15.75" customHeight="1">
      <c r="B120" s="656">
        <v>1</v>
      </c>
      <c r="C120" s="1304" t="s">
        <v>1993</v>
      </c>
      <c r="D120" s="1304" t="s">
        <v>1994</v>
      </c>
      <c r="E120" s="1342">
        <v>2</v>
      </c>
      <c r="F120" s="1342">
        <v>220</v>
      </c>
      <c r="G120" s="1342">
        <v>6000</v>
      </c>
      <c r="H120" s="1342"/>
      <c r="I120" s="1350">
        <f>PRODUCT(E120:F120:G120)</f>
        <v>2640000</v>
      </c>
      <c r="J120" s="1304" t="s">
        <v>1995</v>
      </c>
      <c r="K120" s="2247"/>
    </row>
    <row r="121" spans="2:11" ht="15.75" customHeight="1">
      <c r="B121" s="1344" t="s">
        <v>345</v>
      </c>
      <c r="C121" s="1353" t="s">
        <v>1996</v>
      </c>
      <c r="D121" s="1311"/>
      <c r="E121" s="1342"/>
      <c r="F121" s="1342"/>
      <c r="G121" s="1342"/>
      <c r="H121" s="1342"/>
      <c r="I121" s="1346"/>
      <c r="J121" s="1311"/>
      <c r="K121" s="1348"/>
    </row>
    <row r="122" spans="2:11" ht="15.75" customHeight="1">
      <c r="B122" s="656"/>
      <c r="C122" s="1345" t="s">
        <v>1997</v>
      </c>
      <c r="D122" s="1311"/>
      <c r="E122" s="1342"/>
      <c r="F122" s="1342"/>
      <c r="G122" s="1342"/>
      <c r="H122" s="1342"/>
      <c r="I122" s="1346"/>
      <c r="J122" s="1354">
        <f>SUM(J123:J215)</f>
        <v>72900000</v>
      </c>
      <c r="K122" s="1348"/>
    </row>
    <row r="123" spans="2:11" ht="15.75" customHeight="1">
      <c r="B123" s="2259">
        <v>1</v>
      </c>
      <c r="C123" s="2260" t="s">
        <v>1998</v>
      </c>
      <c r="D123" s="2249"/>
      <c r="E123" s="2258"/>
      <c r="F123" s="2258"/>
      <c r="G123" s="2258"/>
      <c r="H123" s="2258"/>
      <c r="I123" s="1346"/>
      <c r="J123" s="1355">
        <f>SUM(I124:I131)</f>
        <v>8100000</v>
      </c>
      <c r="K123" s="1348"/>
    </row>
    <row r="124" spans="2:11" ht="15.75" customHeight="1">
      <c r="B124" s="2261"/>
      <c r="C124" s="1304" t="s">
        <v>1999</v>
      </c>
      <c r="D124" s="1304" t="s">
        <v>2000</v>
      </c>
      <c r="E124" s="1342"/>
      <c r="F124" s="1342">
        <v>1</v>
      </c>
      <c r="G124" s="1341">
        <v>450000</v>
      </c>
      <c r="H124" s="1342"/>
      <c r="I124" s="1350">
        <f t="shared" ref="I124:I131" si="14">PRODUCT(F124:G124)</f>
        <v>450000</v>
      </c>
      <c r="J124" s="1304" t="s">
        <v>2001</v>
      </c>
      <c r="K124" s="1348"/>
    </row>
    <row r="125" spans="2:11" ht="15.75" customHeight="1">
      <c r="B125" s="2261"/>
      <c r="C125" s="1304" t="s">
        <v>2002</v>
      </c>
      <c r="D125" s="1304" t="s">
        <v>2003</v>
      </c>
      <c r="E125" s="1342"/>
      <c r="F125" s="1342">
        <v>4</v>
      </c>
      <c r="G125" s="1341">
        <v>100000</v>
      </c>
      <c r="H125" s="1342"/>
      <c r="I125" s="1350">
        <f t="shared" si="14"/>
        <v>400000</v>
      </c>
      <c r="J125" s="1311"/>
      <c r="K125" s="1348"/>
    </row>
    <row r="126" spans="2:11" ht="15.75" customHeight="1">
      <c r="B126" s="2261"/>
      <c r="C126" s="1304" t="s">
        <v>2004</v>
      </c>
      <c r="D126" s="1304" t="s">
        <v>2005</v>
      </c>
      <c r="E126" s="1342"/>
      <c r="F126" s="1342">
        <v>20</v>
      </c>
      <c r="G126" s="1341">
        <v>50000</v>
      </c>
      <c r="H126" s="1342"/>
      <c r="I126" s="1350">
        <f t="shared" si="14"/>
        <v>1000000</v>
      </c>
      <c r="J126" s="1311"/>
      <c r="K126" s="1348"/>
    </row>
    <row r="127" spans="2:11" ht="15.75" customHeight="1">
      <c r="B127" s="2261"/>
      <c r="C127" s="1304" t="s">
        <v>2006</v>
      </c>
      <c r="D127" s="1304" t="s">
        <v>2005</v>
      </c>
      <c r="E127" s="1342"/>
      <c r="F127" s="1342">
        <v>20</v>
      </c>
      <c r="G127" s="1341">
        <v>50000</v>
      </c>
      <c r="H127" s="1342"/>
      <c r="I127" s="1350">
        <f t="shared" si="14"/>
        <v>1000000</v>
      </c>
      <c r="J127" s="1311"/>
      <c r="K127" s="1348"/>
    </row>
    <row r="128" spans="2:11" ht="15.75" customHeight="1">
      <c r="B128" s="2261"/>
      <c r="C128" s="1304" t="s">
        <v>2007</v>
      </c>
      <c r="D128" s="1304" t="s">
        <v>2005</v>
      </c>
      <c r="E128" s="1342"/>
      <c r="F128" s="1342">
        <v>40</v>
      </c>
      <c r="G128" s="1341">
        <v>50000</v>
      </c>
      <c r="H128" s="1342"/>
      <c r="I128" s="1350">
        <f t="shared" si="14"/>
        <v>2000000</v>
      </c>
      <c r="J128" s="1311"/>
      <c r="K128" s="1348"/>
    </row>
    <row r="129" spans="2:10" ht="15.75" customHeight="1">
      <c r="B129" s="2261"/>
      <c r="C129" s="1304" t="s">
        <v>2008</v>
      </c>
      <c r="D129" s="1304" t="s">
        <v>2009</v>
      </c>
      <c r="E129" s="1342"/>
      <c r="F129" s="1342">
        <v>40</v>
      </c>
      <c r="G129" s="1341">
        <v>50000</v>
      </c>
      <c r="H129" s="1342"/>
      <c r="I129" s="1350">
        <f t="shared" si="14"/>
        <v>2000000</v>
      </c>
      <c r="J129" s="1311"/>
    </row>
    <row r="130" spans="2:10" ht="15.75" customHeight="1">
      <c r="B130" s="2261"/>
      <c r="C130" s="1304" t="s">
        <v>2010</v>
      </c>
      <c r="D130" s="1304" t="s">
        <v>2005</v>
      </c>
      <c r="E130" s="1342"/>
      <c r="F130" s="1342">
        <v>20</v>
      </c>
      <c r="G130" s="1341">
        <v>50000</v>
      </c>
      <c r="H130" s="1342"/>
      <c r="I130" s="1350">
        <f t="shared" si="14"/>
        <v>1000000</v>
      </c>
      <c r="J130" s="1311"/>
    </row>
    <row r="131" spans="2:10" ht="15.75" customHeight="1">
      <c r="B131" s="2261">
        <v>2</v>
      </c>
      <c r="C131" s="1304" t="s">
        <v>2011</v>
      </c>
      <c r="D131" s="1304" t="s">
        <v>2012</v>
      </c>
      <c r="E131" s="1342"/>
      <c r="F131" s="1342">
        <v>5</v>
      </c>
      <c r="G131" s="1341">
        <v>50000</v>
      </c>
      <c r="H131" s="1342"/>
      <c r="I131" s="1350">
        <f t="shared" si="14"/>
        <v>250000</v>
      </c>
      <c r="J131" s="1311"/>
    </row>
    <row r="132" spans="2:10" ht="15.75" customHeight="1">
      <c r="B132" s="2261"/>
      <c r="C132" s="2260" t="s">
        <v>2013</v>
      </c>
      <c r="D132" s="2249"/>
      <c r="E132" s="2258"/>
      <c r="F132" s="2258"/>
      <c r="G132" s="2258"/>
      <c r="H132" s="2258"/>
      <c r="I132" s="1350"/>
      <c r="J132" s="1355">
        <f>SUM(I133:I140)</f>
        <v>8100000</v>
      </c>
    </row>
    <row r="133" spans="2:10" ht="15.75" customHeight="1">
      <c r="B133" s="2261"/>
      <c r="C133" s="1304" t="s">
        <v>1999</v>
      </c>
      <c r="D133" s="1304" t="s">
        <v>2000</v>
      </c>
      <c r="E133" s="1342"/>
      <c r="F133" s="1342">
        <v>1</v>
      </c>
      <c r="G133" s="1341">
        <v>450000</v>
      </c>
      <c r="H133" s="1342"/>
      <c r="I133" s="1350">
        <f t="shared" ref="I133:I140" si="15">PRODUCT(F133:G133)</f>
        <v>450000</v>
      </c>
      <c r="J133" s="1304" t="s">
        <v>2001</v>
      </c>
    </row>
    <row r="134" spans="2:10" ht="15.75" customHeight="1">
      <c r="B134" s="2261"/>
      <c r="C134" s="1304" t="s">
        <v>2002</v>
      </c>
      <c r="D134" s="1304" t="s">
        <v>2003</v>
      </c>
      <c r="E134" s="1342"/>
      <c r="F134" s="1342">
        <v>4</v>
      </c>
      <c r="G134" s="1341">
        <v>100000</v>
      </c>
      <c r="H134" s="1342"/>
      <c r="I134" s="1350">
        <f t="shared" si="15"/>
        <v>400000</v>
      </c>
      <c r="J134" s="1311"/>
    </row>
    <row r="135" spans="2:10" ht="15.75" customHeight="1">
      <c r="B135" s="2261"/>
      <c r="C135" s="1304" t="s">
        <v>2004</v>
      </c>
      <c r="D135" s="1304" t="s">
        <v>2005</v>
      </c>
      <c r="E135" s="1342"/>
      <c r="F135" s="1342">
        <v>20</v>
      </c>
      <c r="G135" s="1341">
        <v>50000</v>
      </c>
      <c r="H135" s="1342"/>
      <c r="I135" s="1350">
        <f t="shared" si="15"/>
        <v>1000000</v>
      </c>
      <c r="J135" s="1311"/>
    </row>
    <row r="136" spans="2:10" ht="15.75" customHeight="1">
      <c r="B136" s="2261"/>
      <c r="C136" s="1304" t="s">
        <v>2006</v>
      </c>
      <c r="D136" s="1304" t="s">
        <v>2005</v>
      </c>
      <c r="E136" s="1342"/>
      <c r="F136" s="1342">
        <v>20</v>
      </c>
      <c r="G136" s="1341">
        <v>50000</v>
      </c>
      <c r="H136" s="1342"/>
      <c r="I136" s="1350">
        <f t="shared" si="15"/>
        <v>1000000</v>
      </c>
      <c r="J136" s="1311"/>
    </row>
    <row r="137" spans="2:10" ht="15.75" customHeight="1">
      <c r="B137" s="2261"/>
      <c r="C137" s="1304" t="s">
        <v>2007</v>
      </c>
      <c r="D137" s="1304" t="s">
        <v>2005</v>
      </c>
      <c r="E137" s="1342"/>
      <c r="F137" s="1342">
        <v>40</v>
      </c>
      <c r="G137" s="1341">
        <v>50000</v>
      </c>
      <c r="H137" s="1342"/>
      <c r="I137" s="1350">
        <f t="shared" si="15"/>
        <v>2000000</v>
      </c>
      <c r="J137" s="1311"/>
    </row>
    <row r="138" spans="2:10" ht="15.75" customHeight="1">
      <c r="B138" s="2261"/>
      <c r="C138" s="1304" t="s">
        <v>2008</v>
      </c>
      <c r="D138" s="1304" t="s">
        <v>2005</v>
      </c>
      <c r="E138" s="1342"/>
      <c r="F138" s="1342">
        <v>40</v>
      </c>
      <c r="G138" s="1341">
        <v>50000</v>
      </c>
      <c r="H138" s="1342"/>
      <c r="I138" s="1350">
        <f t="shared" si="15"/>
        <v>2000000</v>
      </c>
      <c r="J138" s="1311"/>
    </row>
    <row r="139" spans="2:10" ht="15.75" customHeight="1">
      <c r="B139" s="2261">
        <v>3</v>
      </c>
      <c r="C139" s="1304" t="s">
        <v>2010</v>
      </c>
      <c r="D139" s="1304" t="s">
        <v>2005</v>
      </c>
      <c r="E139" s="1342"/>
      <c r="F139" s="1342">
        <v>20</v>
      </c>
      <c r="G139" s="1341">
        <v>50000</v>
      </c>
      <c r="H139" s="1342"/>
      <c r="I139" s="1350">
        <f t="shared" si="15"/>
        <v>1000000</v>
      </c>
      <c r="J139" s="1311"/>
    </row>
    <row r="140" spans="2:10" ht="15.75" customHeight="1">
      <c r="B140" s="2261"/>
      <c r="C140" s="1304" t="s">
        <v>2011</v>
      </c>
      <c r="D140" s="1304" t="s">
        <v>2012</v>
      </c>
      <c r="E140" s="1342"/>
      <c r="F140" s="1342">
        <v>5</v>
      </c>
      <c r="G140" s="1341">
        <v>50000</v>
      </c>
      <c r="H140" s="1342"/>
      <c r="I140" s="1350">
        <f t="shared" si="15"/>
        <v>250000</v>
      </c>
      <c r="J140" s="1311"/>
    </row>
    <row r="141" spans="2:10" ht="15.75" customHeight="1">
      <c r="B141" s="2261"/>
      <c r="C141" s="2260" t="s">
        <v>2014</v>
      </c>
      <c r="D141" s="2249"/>
      <c r="E141" s="2258"/>
      <c r="F141" s="2258"/>
      <c r="G141" s="2258"/>
      <c r="H141" s="2258"/>
      <c r="I141" s="1350"/>
      <c r="J141" s="1355">
        <f>SUM(I142:I149)</f>
        <v>8100000</v>
      </c>
    </row>
    <row r="142" spans="2:10" ht="15.75" customHeight="1">
      <c r="B142" s="2261"/>
      <c r="C142" s="1304" t="s">
        <v>1999</v>
      </c>
      <c r="D142" s="1304" t="s">
        <v>2000</v>
      </c>
      <c r="E142" s="1342"/>
      <c r="F142" s="1342">
        <v>1</v>
      </c>
      <c r="G142" s="1341">
        <v>450000</v>
      </c>
      <c r="H142" s="1342"/>
      <c r="I142" s="1350">
        <f t="shared" ref="I142:I149" si="16">PRODUCT(F142:G142)</f>
        <v>450000</v>
      </c>
      <c r="J142" s="1304" t="s">
        <v>2001</v>
      </c>
    </row>
    <row r="143" spans="2:10" ht="15.75" customHeight="1">
      <c r="B143" s="2261"/>
      <c r="C143" s="1304" t="s">
        <v>2002</v>
      </c>
      <c r="D143" s="1304" t="s">
        <v>2003</v>
      </c>
      <c r="E143" s="1342"/>
      <c r="F143" s="1342">
        <v>4</v>
      </c>
      <c r="G143" s="1341">
        <v>100000</v>
      </c>
      <c r="H143" s="1342"/>
      <c r="I143" s="1350">
        <f t="shared" si="16"/>
        <v>400000</v>
      </c>
      <c r="J143" s="1311"/>
    </row>
    <row r="144" spans="2:10" ht="15.75" customHeight="1">
      <c r="B144" s="2261"/>
      <c r="C144" s="1304" t="s">
        <v>2004</v>
      </c>
      <c r="D144" s="1304" t="s">
        <v>2005</v>
      </c>
      <c r="E144" s="1342"/>
      <c r="F144" s="1342">
        <v>20</v>
      </c>
      <c r="G144" s="1341">
        <v>50000</v>
      </c>
      <c r="H144" s="1342"/>
      <c r="I144" s="1350">
        <f t="shared" si="16"/>
        <v>1000000</v>
      </c>
      <c r="J144" s="1311"/>
    </row>
    <row r="145" spans="2:10" ht="15.75" customHeight="1">
      <c r="B145" s="2261"/>
      <c r="C145" s="1304" t="s">
        <v>2006</v>
      </c>
      <c r="D145" s="1304" t="s">
        <v>2005</v>
      </c>
      <c r="E145" s="1342"/>
      <c r="F145" s="1342">
        <v>20</v>
      </c>
      <c r="G145" s="1341">
        <v>50000</v>
      </c>
      <c r="H145" s="1342"/>
      <c r="I145" s="1350">
        <f t="shared" si="16"/>
        <v>1000000</v>
      </c>
      <c r="J145" s="1311"/>
    </row>
    <row r="146" spans="2:10" ht="15.75" customHeight="1">
      <c r="B146" s="2261"/>
      <c r="C146" s="1304" t="s">
        <v>2007</v>
      </c>
      <c r="D146" s="1304" t="s">
        <v>2005</v>
      </c>
      <c r="E146" s="1342"/>
      <c r="F146" s="1342">
        <v>40</v>
      </c>
      <c r="G146" s="1341">
        <v>50000</v>
      </c>
      <c r="H146" s="1342"/>
      <c r="I146" s="1350">
        <f t="shared" si="16"/>
        <v>2000000</v>
      </c>
      <c r="J146" s="1311"/>
    </row>
    <row r="147" spans="2:10" ht="15.75" customHeight="1">
      <c r="B147" s="2261">
        <v>4</v>
      </c>
      <c r="C147" s="1304" t="s">
        <v>2008</v>
      </c>
      <c r="D147" s="1304" t="s">
        <v>2009</v>
      </c>
      <c r="E147" s="1342"/>
      <c r="F147" s="1342">
        <v>40</v>
      </c>
      <c r="G147" s="1341">
        <v>50000</v>
      </c>
      <c r="H147" s="1342"/>
      <c r="I147" s="1350">
        <f t="shared" si="16"/>
        <v>2000000</v>
      </c>
      <c r="J147" s="1311"/>
    </row>
    <row r="148" spans="2:10" ht="15.75" customHeight="1">
      <c r="B148" s="2261"/>
      <c r="C148" s="1304" t="s">
        <v>2010</v>
      </c>
      <c r="D148" s="1304" t="s">
        <v>2005</v>
      </c>
      <c r="E148" s="1342"/>
      <c r="F148" s="1342">
        <v>20</v>
      </c>
      <c r="G148" s="1341">
        <v>50000</v>
      </c>
      <c r="H148" s="1342"/>
      <c r="I148" s="1350">
        <f t="shared" si="16"/>
        <v>1000000</v>
      </c>
      <c r="J148" s="1311"/>
    </row>
    <row r="149" spans="2:10" ht="15.75" customHeight="1">
      <c r="B149" s="2261"/>
      <c r="C149" s="1304" t="s">
        <v>2011</v>
      </c>
      <c r="D149" s="1304" t="s">
        <v>2012</v>
      </c>
      <c r="E149" s="1342"/>
      <c r="F149" s="1342">
        <v>5</v>
      </c>
      <c r="G149" s="1341">
        <v>50000</v>
      </c>
      <c r="H149" s="1342"/>
      <c r="I149" s="1350">
        <f t="shared" si="16"/>
        <v>250000</v>
      </c>
      <c r="J149" s="1311"/>
    </row>
    <row r="150" spans="2:10" ht="15.75" customHeight="1">
      <c r="B150" s="2261"/>
      <c r="C150" s="2260" t="s">
        <v>2015</v>
      </c>
      <c r="D150" s="2249"/>
      <c r="E150" s="2258"/>
      <c r="F150" s="2258"/>
      <c r="G150" s="2258"/>
      <c r="H150" s="2258"/>
      <c r="I150" s="1350"/>
      <c r="J150" s="1355">
        <f>SUM(I151:I158)</f>
        <v>8100000</v>
      </c>
    </row>
    <row r="151" spans="2:10" ht="15.75" customHeight="1">
      <c r="B151" s="2261"/>
      <c r="C151" s="1304" t="s">
        <v>1999</v>
      </c>
      <c r="D151" s="1304" t="s">
        <v>2000</v>
      </c>
      <c r="E151" s="1342"/>
      <c r="F151" s="1342">
        <v>1</v>
      </c>
      <c r="G151" s="1341">
        <v>450000</v>
      </c>
      <c r="H151" s="1342"/>
      <c r="I151" s="1350">
        <f t="shared" ref="I151:I158" si="17">PRODUCT(F151:G151)</f>
        <v>450000</v>
      </c>
      <c r="J151" s="1304" t="s">
        <v>2001</v>
      </c>
    </row>
    <row r="152" spans="2:10" ht="15.75" customHeight="1">
      <c r="B152" s="2261"/>
      <c r="C152" s="1304" t="s">
        <v>2002</v>
      </c>
      <c r="D152" s="1304" t="s">
        <v>2003</v>
      </c>
      <c r="E152" s="1342"/>
      <c r="F152" s="1342">
        <v>4</v>
      </c>
      <c r="G152" s="1341">
        <v>100000</v>
      </c>
      <c r="H152" s="1342"/>
      <c r="I152" s="1350">
        <f t="shared" si="17"/>
        <v>400000</v>
      </c>
      <c r="J152" s="1311"/>
    </row>
    <row r="153" spans="2:10" ht="15.75" customHeight="1">
      <c r="B153" s="2261"/>
      <c r="C153" s="1304" t="s">
        <v>2004</v>
      </c>
      <c r="D153" s="1304" t="s">
        <v>2005</v>
      </c>
      <c r="E153" s="1342"/>
      <c r="F153" s="1342">
        <v>20</v>
      </c>
      <c r="G153" s="1341">
        <v>50000</v>
      </c>
      <c r="H153" s="1342"/>
      <c r="I153" s="1350">
        <f t="shared" si="17"/>
        <v>1000000</v>
      </c>
      <c r="J153" s="1311"/>
    </row>
    <row r="154" spans="2:10" ht="15.75" customHeight="1">
      <c r="B154" s="2261"/>
      <c r="C154" s="1304" t="s">
        <v>2006</v>
      </c>
      <c r="D154" s="1304" t="s">
        <v>2005</v>
      </c>
      <c r="E154" s="1342"/>
      <c r="F154" s="1342">
        <v>20</v>
      </c>
      <c r="G154" s="1341">
        <v>50000</v>
      </c>
      <c r="H154" s="1342"/>
      <c r="I154" s="1350">
        <f t="shared" si="17"/>
        <v>1000000</v>
      </c>
      <c r="J154" s="1311"/>
    </row>
    <row r="155" spans="2:10" ht="15.75" customHeight="1">
      <c r="B155" s="2261">
        <v>5</v>
      </c>
      <c r="C155" s="1304" t="s">
        <v>2007</v>
      </c>
      <c r="D155" s="1304" t="s">
        <v>2005</v>
      </c>
      <c r="E155" s="1342"/>
      <c r="F155" s="1342">
        <v>40</v>
      </c>
      <c r="G155" s="1341">
        <v>50000</v>
      </c>
      <c r="H155" s="1342"/>
      <c r="I155" s="1350">
        <f t="shared" si="17"/>
        <v>2000000</v>
      </c>
      <c r="J155" s="1311"/>
    </row>
    <row r="156" spans="2:10" ht="15.75" customHeight="1">
      <c r="B156" s="2261"/>
      <c r="C156" s="1304" t="s">
        <v>2008</v>
      </c>
      <c r="D156" s="1304" t="s">
        <v>2009</v>
      </c>
      <c r="E156" s="1342"/>
      <c r="F156" s="1342">
        <v>40</v>
      </c>
      <c r="G156" s="1341">
        <v>50000</v>
      </c>
      <c r="H156" s="1342"/>
      <c r="I156" s="1350">
        <f t="shared" si="17"/>
        <v>2000000</v>
      </c>
      <c r="J156" s="1311"/>
    </row>
    <row r="157" spans="2:10" ht="15.75" customHeight="1">
      <c r="B157" s="2261"/>
      <c r="C157" s="1304" t="s">
        <v>2010</v>
      </c>
      <c r="D157" s="1304" t="s">
        <v>2005</v>
      </c>
      <c r="E157" s="1342"/>
      <c r="F157" s="1342">
        <v>20</v>
      </c>
      <c r="G157" s="1341">
        <v>50000</v>
      </c>
      <c r="H157" s="1342"/>
      <c r="I157" s="1350">
        <f t="shared" si="17"/>
        <v>1000000</v>
      </c>
      <c r="J157" s="1311"/>
    </row>
    <row r="158" spans="2:10" ht="15.75" customHeight="1">
      <c r="B158" s="2261"/>
      <c r="C158" s="1304" t="s">
        <v>2011</v>
      </c>
      <c r="D158" s="1304" t="s">
        <v>2012</v>
      </c>
      <c r="E158" s="1342"/>
      <c r="F158" s="1342">
        <v>5</v>
      </c>
      <c r="G158" s="1341">
        <v>50000</v>
      </c>
      <c r="H158" s="1342"/>
      <c r="I158" s="1350">
        <f t="shared" si="17"/>
        <v>250000</v>
      </c>
      <c r="J158" s="1311"/>
    </row>
    <row r="159" spans="2:10" ht="15.75" customHeight="1">
      <c r="B159" s="2261"/>
      <c r="C159" s="2260" t="s">
        <v>2016</v>
      </c>
      <c r="D159" s="2249"/>
      <c r="E159" s="2258"/>
      <c r="F159" s="2258"/>
      <c r="G159" s="2258"/>
      <c r="H159" s="2258"/>
      <c r="I159" s="1350"/>
      <c r="J159" s="1304" t="s">
        <v>2001</v>
      </c>
    </row>
    <row r="160" spans="2:10" ht="15.75" customHeight="1">
      <c r="B160" s="2261"/>
      <c r="C160" s="1304" t="s">
        <v>1999</v>
      </c>
      <c r="D160" s="1304" t="s">
        <v>2000</v>
      </c>
      <c r="E160" s="1342"/>
      <c r="F160" s="1342">
        <v>1</v>
      </c>
      <c r="G160" s="1341">
        <v>450000</v>
      </c>
      <c r="H160" s="1342"/>
      <c r="I160" s="1350">
        <f t="shared" ref="I160:I167" si="18">PRODUCT(F160:G160)</f>
        <v>450000</v>
      </c>
      <c r="J160" s="1311"/>
    </row>
    <row r="161" spans="2:10" ht="15.75" customHeight="1">
      <c r="B161" s="2261"/>
      <c r="C161" s="1304" t="s">
        <v>2002</v>
      </c>
      <c r="D161" s="1304" t="s">
        <v>2003</v>
      </c>
      <c r="E161" s="1342"/>
      <c r="F161" s="1342">
        <v>4</v>
      </c>
      <c r="G161" s="1341">
        <v>100000</v>
      </c>
      <c r="H161" s="1342"/>
      <c r="I161" s="1350">
        <f t="shared" si="18"/>
        <v>400000</v>
      </c>
      <c r="J161" s="1311"/>
    </row>
    <row r="162" spans="2:10" ht="15.75" customHeight="1">
      <c r="B162" s="2261"/>
      <c r="C162" s="1304" t="s">
        <v>2004</v>
      </c>
      <c r="D162" s="1304" t="s">
        <v>2005</v>
      </c>
      <c r="E162" s="1342"/>
      <c r="F162" s="1342">
        <v>20</v>
      </c>
      <c r="G162" s="1341">
        <v>50000</v>
      </c>
      <c r="H162" s="1342"/>
      <c r="I162" s="1350">
        <f t="shared" si="18"/>
        <v>1000000</v>
      </c>
      <c r="J162" s="1311"/>
    </row>
    <row r="163" spans="2:10" ht="15.75" customHeight="1">
      <c r="B163" s="2261">
        <v>6</v>
      </c>
      <c r="C163" s="1304" t="s">
        <v>2006</v>
      </c>
      <c r="D163" s="1304" t="s">
        <v>2005</v>
      </c>
      <c r="E163" s="1342"/>
      <c r="F163" s="1342">
        <v>20</v>
      </c>
      <c r="G163" s="1341">
        <v>50000</v>
      </c>
      <c r="H163" s="1342"/>
      <c r="I163" s="1350">
        <f t="shared" si="18"/>
        <v>1000000</v>
      </c>
      <c r="J163" s="1311"/>
    </row>
    <row r="164" spans="2:10" ht="15.75" customHeight="1">
      <c r="B164" s="2261"/>
      <c r="C164" s="1304" t="s">
        <v>2007</v>
      </c>
      <c r="D164" s="1304" t="s">
        <v>2005</v>
      </c>
      <c r="E164" s="1342"/>
      <c r="F164" s="1342">
        <v>40</v>
      </c>
      <c r="G164" s="1341">
        <v>50000</v>
      </c>
      <c r="H164" s="1342"/>
      <c r="I164" s="1350">
        <f t="shared" si="18"/>
        <v>2000000</v>
      </c>
      <c r="J164" s="1311"/>
    </row>
    <row r="165" spans="2:10" ht="15.75" customHeight="1">
      <c r="B165" s="2261"/>
      <c r="C165" s="1304" t="s">
        <v>2008</v>
      </c>
      <c r="D165" s="1304" t="s">
        <v>2009</v>
      </c>
      <c r="E165" s="1342"/>
      <c r="F165" s="1342">
        <v>40</v>
      </c>
      <c r="G165" s="1341">
        <v>50000</v>
      </c>
      <c r="H165" s="1342"/>
      <c r="I165" s="1350">
        <f t="shared" si="18"/>
        <v>2000000</v>
      </c>
      <c r="J165" s="1311"/>
    </row>
    <row r="166" spans="2:10" ht="15.75" customHeight="1">
      <c r="B166" s="2261"/>
      <c r="C166" s="1304" t="s">
        <v>2010</v>
      </c>
      <c r="D166" s="1304" t="s">
        <v>2005</v>
      </c>
      <c r="E166" s="1342"/>
      <c r="F166" s="1342">
        <v>20</v>
      </c>
      <c r="G166" s="1341">
        <v>50000</v>
      </c>
      <c r="H166" s="1342"/>
      <c r="I166" s="1350">
        <f t="shared" si="18"/>
        <v>1000000</v>
      </c>
      <c r="J166" s="1311"/>
    </row>
    <row r="167" spans="2:10" ht="15.75" customHeight="1">
      <c r="B167" s="2261"/>
      <c r="C167" s="1304" t="s">
        <v>2011</v>
      </c>
      <c r="D167" s="1304" t="s">
        <v>2012</v>
      </c>
      <c r="E167" s="1342"/>
      <c r="F167" s="1342">
        <v>5</v>
      </c>
      <c r="G167" s="1341">
        <v>50000</v>
      </c>
      <c r="H167" s="1342"/>
      <c r="I167" s="1350">
        <f t="shared" si="18"/>
        <v>250000</v>
      </c>
      <c r="J167" s="1311"/>
    </row>
    <row r="168" spans="2:10" ht="15.75" customHeight="1">
      <c r="B168" s="2261"/>
      <c r="C168" s="2260" t="s">
        <v>2017</v>
      </c>
      <c r="D168" s="2249"/>
      <c r="E168" s="2258"/>
      <c r="F168" s="2258"/>
      <c r="G168" s="2258"/>
      <c r="H168" s="2258"/>
      <c r="I168" s="1350"/>
      <c r="J168" s="1304" t="s">
        <v>2018</v>
      </c>
    </row>
    <row r="169" spans="2:10" ht="15.75" customHeight="1">
      <c r="B169" s="2261"/>
      <c r="C169" s="1304" t="s">
        <v>1999</v>
      </c>
      <c r="D169" s="1304" t="s">
        <v>2000</v>
      </c>
      <c r="E169" s="1342"/>
      <c r="F169" s="1342">
        <v>1</v>
      </c>
      <c r="G169" s="1341">
        <v>450000</v>
      </c>
      <c r="H169" s="1342"/>
      <c r="I169" s="1350">
        <f t="shared" ref="I169:I176" si="19">PRODUCT(F169:G169)</f>
        <v>450000</v>
      </c>
      <c r="J169" s="1304" t="s">
        <v>2018</v>
      </c>
    </row>
    <row r="170" spans="2:10" ht="15.75" customHeight="1">
      <c r="B170" s="2261"/>
      <c r="C170" s="1304" t="s">
        <v>2002</v>
      </c>
      <c r="D170" s="1304" t="s">
        <v>2003</v>
      </c>
      <c r="E170" s="1342"/>
      <c r="F170" s="1342">
        <v>4</v>
      </c>
      <c r="G170" s="1341">
        <v>100000</v>
      </c>
      <c r="H170" s="1342"/>
      <c r="I170" s="1350">
        <f t="shared" si="19"/>
        <v>400000</v>
      </c>
      <c r="J170" s="1311"/>
    </row>
    <row r="171" spans="2:10" ht="15.75" customHeight="1">
      <c r="B171" s="2261">
        <v>7</v>
      </c>
      <c r="C171" s="1304" t="s">
        <v>2004</v>
      </c>
      <c r="D171" s="1304" t="s">
        <v>2005</v>
      </c>
      <c r="E171" s="1342"/>
      <c r="F171" s="1342">
        <v>20</v>
      </c>
      <c r="G171" s="1341">
        <v>50000</v>
      </c>
      <c r="H171" s="1342"/>
      <c r="I171" s="1350">
        <f t="shared" si="19"/>
        <v>1000000</v>
      </c>
      <c r="J171" s="1311"/>
    </row>
    <row r="172" spans="2:10" ht="15.75" customHeight="1">
      <c r="B172" s="2261"/>
      <c r="C172" s="1304" t="s">
        <v>2006</v>
      </c>
      <c r="D172" s="1304" t="s">
        <v>2005</v>
      </c>
      <c r="E172" s="1342"/>
      <c r="F172" s="1342">
        <v>20</v>
      </c>
      <c r="G172" s="1341">
        <v>50000</v>
      </c>
      <c r="H172" s="1342"/>
      <c r="I172" s="1350">
        <f t="shared" si="19"/>
        <v>1000000</v>
      </c>
      <c r="J172" s="1311"/>
    </row>
    <row r="173" spans="2:10" ht="15.75" customHeight="1">
      <c r="B173" s="2261"/>
      <c r="C173" s="1304" t="s">
        <v>2007</v>
      </c>
      <c r="D173" s="1304" t="s">
        <v>2005</v>
      </c>
      <c r="E173" s="1342"/>
      <c r="F173" s="1342">
        <v>40</v>
      </c>
      <c r="G173" s="1341">
        <v>50000</v>
      </c>
      <c r="H173" s="1342"/>
      <c r="I173" s="1350">
        <f t="shared" si="19"/>
        <v>2000000</v>
      </c>
      <c r="J173" s="1311"/>
    </row>
    <row r="174" spans="2:10" ht="15.75" customHeight="1">
      <c r="B174" s="2261"/>
      <c r="C174" s="1304" t="s">
        <v>2008</v>
      </c>
      <c r="D174" s="1304" t="s">
        <v>2009</v>
      </c>
      <c r="E174" s="1342"/>
      <c r="F174" s="1342">
        <v>40</v>
      </c>
      <c r="G174" s="1341">
        <v>50000</v>
      </c>
      <c r="H174" s="1342"/>
      <c r="I174" s="1350">
        <f t="shared" si="19"/>
        <v>2000000</v>
      </c>
      <c r="J174" s="1311"/>
    </row>
    <row r="175" spans="2:10" ht="15.75" customHeight="1">
      <c r="B175" s="2261"/>
      <c r="C175" s="1304" t="s">
        <v>2010</v>
      </c>
      <c r="D175" s="1304" t="s">
        <v>2005</v>
      </c>
      <c r="E175" s="1342"/>
      <c r="F175" s="1342">
        <v>20</v>
      </c>
      <c r="G175" s="1341">
        <v>50000</v>
      </c>
      <c r="H175" s="1342"/>
      <c r="I175" s="1350">
        <f t="shared" si="19"/>
        <v>1000000</v>
      </c>
      <c r="J175" s="1311"/>
    </row>
    <row r="176" spans="2:10" ht="15.75" customHeight="1">
      <c r="B176" s="2261"/>
      <c r="C176" s="1304" t="s">
        <v>2011</v>
      </c>
      <c r="D176" s="1304" t="s">
        <v>2012</v>
      </c>
      <c r="E176" s="1342"/>
      <c r="F176" s="1342">
        <v>5</v>
      </c>
      <c r="G176" s="1341">
        <v>50000</v>
      </c>
      <c r="H176" s="1342"/>
      <c r="I176" s="1350">
        <f t="shared" si="19"/>
        <v>250000</v>
      </c>
      <c r="J176" s="1311"/>
    </row>
    <row r="177" spans="2:10" ht="15.75" customHeight="1">
      <c r="B177" s="2261"/>
      <c r="C177" s="2260" t="s">
        <v>2019</v>
      </c>
      <c r="D177" s="2249"/>
      <c r="E177" s="2258"/>
      <c r="F177" s="2258"/>
      <c r="G177" s="2258"/>
      <c r="H177" s="2258"/>
      <c r="I177" s="1350"/>
      <c r="J177" s="1355">
        <f>SUM(I178:I185)</f>
        <v>8100000</v>
      </c>
    </row>
    <row r="178" spans="2:10" ht="15.75" customHeight="1">
      <c r="B178" s="2261"/>
      <c r="C178" s="2253" t="s">
        <v>1999</v>
      </c>
      <c r="D178" s="2253" t="s">
        <v>2000</v>
      </c>
      <c r="E178" s="2246"/>
      <c r="F178" s="1342">
        <v>1</v>
      </c>
      <c r="G178" s="1341">
        <v>450000</v>
      </c>
      <c r="H178" s="1342"/>
      <c r="I178" s="1350">
        <f t="shared" ref="I178:I185" si="20">PRODUCT(F178:G178)</f>
        <v>450000</v>
      </c>
      <c r="J178" s="1304" t="s">
        <v>2018</v>
      </c>
    </row>
    <row r="179" spans="2:10" ht="15.75" customHeight="1">
      <c r="B179" s="2261">
        <v>8</v>
      </c>
      <c r="C179" s="2253" t="s">
        <v>2002</v>
      </c>
      <c r="D179" s="2253" t="s">
        <v>2003</v>
      </c>
      <c r="E179" s="2246"/>
      <c r="F179" s="1342">
        <v>4</v>
      </c>
      <c r="G179" s="1341">
        <v>100000</v>
      </c>
      <c r="H179" s="1342"/>
      <c r="I179" s="1350">
        <f t="shared" si="20"/>
        <v>400000</v>
      </c>
      <c r="J179" s="1311"/>
    </row>
    <row r="180" spans="2:10" ht="15.75" customHeight="1">
      <c r="B180" s="2261"/>
      <c r="C180" s="2253" t="s">
        <v>2004</v>
      </c>
      <c r="D180" s="2253" t="s">
        <v>2005</v>
      </c>
      <c r="E180" s="2246"/>
      <c r="F180" s="1342">
        <v>20</v>
      </c>
      <c r="G180" s="1341">
        <v>50000</v>
      </c>
      <c r="H180" s="1342"/>
      <c r="I180" s="1350">
        <f t="shared" si="20"/>
        <v>1000000</v>
      </c>
      <c r="J180" s="1311"/>
    </row>
    <row r="181" spans="2:10" ht="15.75" customHeight="1">
      <c r="B181" s="2261"/>
      <c r="C181" s="2253" t="s">
        <v>2006</v>
      </c>
      <c r="D181" s="2253" t="s">
        <v>2005</v>
      </c>
      <c r="E181" s="2246"/>
      <c r="F181" s="1342">
        <v>20</v>
      </c>
      <c r="G181" s="1341">
        <v>50000</v>
      </c>
      <c r="H181" s="1342"/>
      <c r="I181" s="1350">
        <f t="shared" si="20"/>
        <v>1000000</v>
      </c>
      <c r="J181" s="1311"/>
    </row>
    <row r="182" spans="2:10" ht="15.75" customHeight="1">
      <c r="B182" s="2261"/>
      <c r="C182" s="2253" t="s">
        <v>2007</v>
      </c>
      <c r="D182" s="2253" t="s">
        <v>2005</v>
      </c>
      <c r="E182" s="2246"/>
      <c r="F182" s="1342">
        <v>40</v>
      </c>
      <c r="G182" s="1341">
        <v>50000</v>
      </c>
      <c r="H182" s="1342"/>
      <c r="I182" s="1350">
        <f t="shared" si="20"/>
        <v>2000000</v>
      </c>
      <c r="J182" s="1311"/>
    </row>
    <row r="183" spans="2:10" ht="15.75" customHeight="1">
      <c r="B183" s="2261"/>
      <c r="C183" s="2253" t="s">
        <v>2008</v>
      </c>
      <c r="D183" s="2253" t="s">
        <v>2009</v>
      </c>
      <c r="E183" s="2246"/>
      <c r="F183" s="1342">
        <v>40</v>
      </c>
      <c r="G183" s="1341">
        <v>50000</v>
      </c>
      <c r="H183" s="1342"/>
      <c r="I183" s="1350">
        <f t="shared" si="20"/>
        <v>2000000</v>
      </c>
      <c r="J183" s="1311"/>
    </row>
    <row r="184" spans="2:10" ht="15.75" customHeight="1">
      <c r="B184" s="2261"/>
      <c r="C184" s="2253" t="s">
        <v>2010</v>
      </c>
      <c r="D184" s="2253" t="s">
        <v>2005</v>
      </c>
      <c r="E184" s="2246"/>
      <c r="F184" s="1342">
        <v>20</v>
      </c>
      <c r="G184" s="1341">
        <v>50000</v>
      </c>
      <c r="H184" s="1342"/>
      <c r="I184" s="1350">
        <f t="shared" si="20"/>
        <v>1000000</v>
      </c>
      <c r="J184" s="1311"/>
    </row>
    <row r="185" spans="2:10" ht="15.75" customHeight="1">
      <c r="B185" s="2261"/>
      <c r="C185" s="2253" t="s">
        <v>2011</v>
      </c>
      <c r="D185" s="2253" t="s">
        <v>2012</v>
      </c>
      <c r="E185" s="2246"/>
      <c r="F185" s="1342">
        <v>5</v>
      </c>
      <c r="G185" s="1341">
        <v>50000</v>
      </c>
      <c r="H185" s="1342"/>
      <c r="I185" s="1350">
        <f t="shared" si="20"/>
        <v>250000</v>
      </c>
      <c r="J185" s="1311"/>
    </row>
    <row r="186" spans="2:10" ht="15.75" customHeight="1">
      <c r="B186" s="2261"/>
      <c r="C186" s="2262" t="s">
        <v>2020</v>
      </c>
      <c r="D186" s="2257"/>
      <c r="E186" s="2246"/>
      <c r="F186" s="2258"/>
      <c r="G186" s="2258"/>
      <c r="H186" s="2258"/>
      <c r="I186" s="1350"/>
      <c r="J186" s="1355">
        <f>SUM(I187:I194)</f>
        <v>8100000</v>
      </c>
    </row>
    <row r="187" spans="2:10" ht="15.75" customHeight="1">
      <c r="B187" s="2261">
        <v>9</v>
      </c>
      <c r="C187" s="2253" t="s">
        <v>1999</v>
      </c>
      <c r="D187" s="2253" t="s">
        <v>2000</v>
      </c>
      <c r="E187" s="2246"/>
      <c r="F187" s="1342">
        <v>1</v>
      </c>
      <c r="G187" s="1341">
        <v>450000</v>
      </c>
      <c r="H187" s="1342"/>
      <c r="I187" s="1350">
        <f t="shared" ref="I187:I194" si="21">PRODUCT(F187:G187)</f>
        <v>450000</v>
      </c>
      <c r="J187" s="1304" t="s">
        <v>2018</v>
      </c>
    </row>
    <row r="188" spans="2:10" ht="15.75" customHeight="1">
      <c r="B188" s="2261"/>
      <c r="C188" s="2253" t="s">
        <v>2002</v>
      </c>
      <c r="D188" s="2253" t="s">
        <v>2003</v>
      </c>
      <c r="E188" s="2246"/>
      <c r="F188" s="1342">
        <v>4</v>
      </c>
      <c r="G188" s="1341">
        <v>100000</v>
      </c>
      <c r="H188" s="1342"/>
      <c r="I188" s="1350">
        <f t="shared" si="21"/>
        <v>400000</v>
      </c>
      <c r="J188" s="1311"/>
    </row>
    <row r="189" spans="2:10" ht="15.75" customHeight="1">
      <c r="B189" s="2261"/>
      <c r="C189" s="2253" t="s">
        <v>2004</v>
      </c>
      <c r="D189" s="2253" t="s">
        <v>2005</v>
      </c>
      <c r="E189" s="2246"/>
      <c r="F189" s="1342">
        <v>20</v>
      </c>
      <c r="G189" s="1341">
        <v>50000</v>
      </c>
      <c r="H189" s="1342"/>
      <c r="I189" s="1350">
        <f t="shared" si="21"/>
        <v>1000000</v>
      </c>
      <c r="J189" s="1311"/>
    </row>
    <row r="190" spans="2:10" ht="15.75" customHeight="1">
      <c r="B190" s="2261"/>
      <c r="C190" s="2253" t="s">
        <v>2006</v>
      </c>
      <c r="D190" s="2253" t="s">
        <v>2005</v>
      </c>
      <c r="E190" s="2246"/>
      <c r="F190" s="1342">
        <v>20</v>
      </c>
      <c r="G190" s="1341">
        <v>50000</v>
      </c>
      <c r="H190" s="1342"/>
      <c r="I190" s="1350">
        <f t="shared" si="21"/>
        <v>1000000</v>
      </c>
      <c r="J190" s="1311"/>
    </row>
    <row r="191" spans="2:10" ht="15.75" customHeight="1">
      <c r="B191" s="2261"/>
      <c r="C191" s="2253" t="s">
        <v>2007</v>
      </c>
      <c r="D191" s="2253" t="s">
        <v>2005</v>
      </c>
      <c r="E191" s="2246"/>
      <c r="F191" s="1342">
        <v>40</v>
      </c>
      <c r="G191" s="1341">
        <v>50000</v>
      </c>
      <c r="H191" s="1342"/>
      <c r="I191" s="1350">
        <f t="shared" si="21"/>
        <v>2000000</v>
      </c>
      <c r="J191" s="1311"/>
    </row>
    <row r="192" spans="2:10" ht="15.75" customHeight="1">
      <c r="B192" s="2261"/>
      <c r="C192" s="2253" t="s">
        <v>2008</v>
      </c>
      <c r="D192" s="2253" t="s">
        <v>2009</v>
      </c>
      <c r="E192" s="2246"/>
      <c r="F192" s="1342">
        <v>40</v>
      </c>
      <c r="G192" s="1341">
        <v>50000</v>
      </c>
      <c r="H192" s="1342"/>
      <c r="I192" s="1350">
        <f t="shared" si="21"/>
        <v>2000000</v>
      </c>
      <c r="J192" s="1311"/>
    </row>
    <row r="193" spans="2:10" ht="15.75" customHeight="1">
      <c r="B193" s="2261"/>
      <c r="C193" s="2253" t="s">
        <v>2010</v>
      </c>
      <c r="D193" s="2253" t="s">
        <v>2005</v>
      </c>
      <c r="E193" s="2246"/>
      <c r="F193" s="1342">
        <v>20</v>
      </c>
      <c r="G193" s="1341">
        <v>50000</v>
      </c>
      <c r="H193" s="1342"/>
      <c r="I193" s="1350">
        <f t="shared" si="21"/>
        <v>1000000</v>
      </c>
      <c r="J193" s="1311"/>
    </row>
    <row r="194" spans="2:10" ht="15.75" customHeight="1">
      <c r="B194" s="2261"/>
      <c r="C194" s="2253" t="s">
        <v>2011</v>
      </c>
      <c r="D194" s="2253" t="s">
        <v>2012</v>
      </c>
      <c r="E194" s="2246"/>
      <c r="F194" s="1342">
        <v>5</v>
      </c>
      <c r="G194" s="1341">
        <v>50000</v>
      </c>
      <c r="H194" s="1342"/>
      <c r="I194" s="1350">
        <f t="shared" si="21"/>
        <v>250000</v>
      </c>
      <c r="J194" s="1311"/>
    </row>
    <row r="195" spans="2:10" ht="15.75" customHeight="1">
      <c r="B195" s="2261"/>
      <c r="C195" s="2262" t="s">
        <v>2021</v>
      </c>
      <c r="D195" s="2257"/>
      <c r="E195" s="2246"/>
      <c r="F195" s="2258"/>
      <c r="G195" s="2258"/>
      <c r="H195" s="2258"/>
      <c r="I195" s="1350"/>
      <c r="J195" s="1355">
        <f>SUM(I196:I203)</f>
        <v>8100000</v>
      </c>
    </row>
    <row r="196" spans="2:10" ht="15.75" customHeight="1">
      <c r="B196" s="2261"/>
      <c r="C196" s="2253" t="s">
        <v>1999</v>
      </c>
      <c r="D196" s="2253" t="s">
        <v>2000</v>
      </c>
      <c r="E196" s="2246"/>
      <c r="F196" s="1342">
        <v>1</v>
      </c>
      <c r="G196" s="1341">
        <v>450000</v>
      </c>
      <c r="H196" s="1342"/>
      <c r="I196" s="1350">
        <f t="shared" ref="I196:I203" si="22">PRODUCT(F196:G196)</f>
        <v>450000</v>
      </c>
      <c r="J196" s="1304" t="s">
        <v>2018</v>
      </c>
    </row>
    <row r="197" spans="2:10" ht="15.75" customHeight="1">
      <c r="B197" s="2261"/>
      <c r="C197" s="2253" t="s">
        <v>2002</v>
      </c>
      <c r="D197" s="2253" t="s">
        <v>2003</v>
      </c>
      <c r="E197" s="2246"/>
      <c r="F197" s="1342">
        <v>4</v>
      </c>
      <c r="G197" s="1341">
        <v>100000</v>
      </c>
      <c r="H197" s="1342"/>
      <c r="I197" s="1350">
        <f t="shared" si="22"/>
        <v>400000</v>
      </c>
      <c r="J197" s="1311"/>
    </row>
    <row r="198" spans="2:10" ht="15.75" customHeight="1">
      <c r="B198" s="2261"/>
      <c r="C198" s="2253" t="s">
        <v>2004</v>
      </c>
      <c r="D198" s="2253" t="s">
        <v>2005</v>
      </c>
      <c r="E198" s="2246"/>
      <c r="F198" s="1342">
        <v>20</v>
      </c>
      <c r="G198" s="1341">
        <v>50000</v>
      </c>
      <c r="H198" s="1342"/>
      <c r="I198" s="1350">
        <f t="shared" si="22"/>
        <v>1000000</v>
      </c>
      <c r="J198" s="1311"/>
    </row>
    <row r="199" spans="2:10" ht="15.75" customHeight="1">
      <c r="B199" s="2261"/>
      <c r="C199" s="2253" t="s">
        <v>2006</v>
      </c>
      <c r="D199" s="2253" t="s">
        <v>2005</v>
      </c>
      <c r="E199" s="2246"/>
      <c r="F199" s="1342">
        <v>20</v>
      </c>
      <c r="G199" s="1341">
        <v>50000</v>
      </c>
      <c r="H199" s="1342"/>
      <c r="I199" s="1350">
        <f t="shared" si="22"/>
        <v>1000000</v>
      </c>
      <c r="J199" s="1311"/>
    </row>
    <row r="200" spans="2:10" ht="15.75" customHeight="1">
      <c r="B200" s="2261"/>
      <c r="C200" s="2253" t="s">
        <v>2007</v>
      </c>
      <c r="D200" s="2253" t="s">
        <v>2005</v>
      </c>
      <c r="E200" s="2246"/>
      <c r="F200" s="1342">
        <v>40</v>
      </c>
      <c r="G200" s="1341">
        <v>50000</v>
      </c>
      <c r="H200" s="1342"/>
      <c r="I200" s="1350">
        <f t="shared" si="22"/>
        <v>2000000</v>
      </c>
      <c r="J200" s="1311"/>
    </row>
    <row r="201" spans="2:10" ht="15.75" customHeight="1">
      <c r="B201" s="2261"/>
      <c r="C201" s="2253" t="s">
        <v>2008</v>
      </c>
      <c r="D201" s="2253" t="s">
        <v>2009</v>
      </c>
      <c r="E201" s="2246"/>
      <c r="F201" s="1342">
        <v>40</v>
      </c>
      <c r="G201" s="1341">
        <v>50000</v>
      </c>
      <c r="H201" s="1342"/>
      <c r="I201" s="1350">
        <f t="shared" si="22"/>
        <v>2000000</v>
      </c>
      <c r="J201" s="1311"/>
    </row>
    <row r="202" spans="2:10" ht="15.75" customHeight="1">
      <c r="B202" s="2261"/>
      <c r="C202" s="2253" t="s">
        <v>2010</v>
      </c>
      <c r="D202" s="2253" t="s">
        <v>2005</v>
      </c>
      <c r="E202" s="2246"/>
      <c r="F202" s="1342">
        <v>20</v>
      </c>
      <c r="G202" s="1341">
        <v>50000</v>
      </c>
      <c r="H202" s="1342"/>
      <c r="I202" s="1350">
        <f t="shared" si="22"/>
        <v>1000000</v>
      </c>
      <c r="J202" s="1311"/>
    </row>
    <row r="203" spans="2:10" ht="15.75" customHeight="1">
      <c r="B203" s="2263"/>
      <c r="C203" s="2253" t="s">
        <v>2011</v>
      </c>
      <c r="D203" s="2253" t="s">
        <v>2012</v>
      </c>
      <c r="E203" s="2246"/>
      <c r="F203" s="1342">
        <v>5</v>
      </c>
      <c r="G203" s="1341">
        <v>50000</v>
      </c>
      <c r="H203" s="1342"/>
      <c r="I203" s="1350">
        <f t="shared" si="22"/>
        <v>250000</v>
      </c>
      <c r="J203" s="1311"/>
    </row>
    <row r="204" spans="2:10" ht="15.75" customHeight="1">
      <c r="B204" s="2263"/>
      <c r="C204" s="2264"/>
      <c r="D204" s="2257"/>
      <c r="E204" s="2246"/>
      <c r="F204" s="2246"/>
      <c r="G204" s="2246"/>
      <c r="H204" s="2246"/>
      <c r="I204" s="1346"/>
      <c r="J204" s="1311"/>
    </row>
    <row r="205" spans="2:10" ht="15.75" customHeight="1">
      <c r="B205" s="2263"/>
      <c r="C205" s="2262" t="s">
        <v>2022</v>
      </c>
      <c r="D205" s="2257"/>
      <c r="E205" s="2246"/>
      <c r="F205" s="2246"/>
      <c r="G205" s="2246"/>
      <c r="H205" s="2246"/>
      <c r="I205" s="1346"/>
      <c r="J205" s="1355">
        <f>SUM(I206:I213)</f>
        <v>8100000</v>
      </c>
    </row>
    <row r="206" spans="2:10" ht="15.75" customHeight="1">
      <c r="B206" s="2263"/>
      <c r="C206" s="2253" t="s">
        <v>1999</v>
      </c>
      <c r="D206" s="2253" t="s">
        <v>2000</v>
      </c>
      <c r="E206" s="2246"/>
      <c r="F206" s="1342">
        <v>1</v>
      </c>
      <c r="G206" s="1341">
        <v>450000</v>
      </c>
      <c r="H206" s="1342"/>
      <c r="I206" s="1350">
        <f t="shared" ref="I206:I213" si="23">PRODUCT(F206:G206)</f>
        <v>450000</v>
      </c>
      <c r="J206" s="1304" t="s">
        <v>2018</v>
      </c>
    </row>
    <row r="207" spans="2:10" ht="15.75" customHeight="1">
      <c r="B207" s="2263"/>
      <c r="C207" s="2253" t="s">
        <v>2002</v>
      </c>
      <c r="D207" s="2253" t="s">
        <v>2003</v>
      </c>
      <c r="E207" s="2246"/>
      <c r="F207" s="1342">
        <v>4</v>
      </c>
      <c r="G207" s="1341">
        <v>100000</v>
      </c>
      <c r="H207" s="1342"/>
      <c r="I207" s="1350">
        <f t="shared" si="23"/>
        <v>400000</v>
      </c>
      <c r="J207" s="1311"/>
    </row>
    <row r="208" spans="2:10" ht="15.75" customHeight="1">
      <c r="B208" s="2263"/>
      <c r="C208" s="2253" t="s">
        <v>2004</v>
      </c>
      <c r="D208" s="2253" t="s">
        <v>2005</v>
      </c>
      <c r="E208" s="2246"/>
      <c r="F208" s="1342">
        <v>20</v>
      </c>
      <c r="G208" s="1341">
        <v>50000</v>
      </c>
      <c r="H208" s="1342"/>
      <c r="I208" s="1350">
        <f t="shared" si="23"/>
        <v>1000000</v>
      </c>
      <c r="J208" s="1311"/>
    </row>
    <row r="209" spans="3:10" ht="15.75" customHeight="1">
      <c r="C209" s="2253" t="s">
        <v>2006</v>
      </c>
      <c r="D209" s="2253" t="s">
        <v>2005</v>
      </c>
      <c r="E209" s="2246"/>
      <c r="F209" s="1342">
        <v>20</v>
      </c>
      <c r="G209" s="1341">
        <v>50000</v>
      </c>
      <c r="H209" s="1342"/>
      <c r="I209" s="1350">
        <f t="shared" si="23"/>
        <v>1000000</v>
      </c>
      <c r="J209" s="1311"/>
    </row>
    <row r="210" spans="3:10" ht="15.75" customHeight="1">
      <c r="C210" s="2253" t="s">
        <v>2007</v>
      </c>
      <c r="D210" s="2253" t="s">
        <v>2005</v>
      </c>
      <c r="E210" s="2246"/>
      <c r="F210" s="1342">
        <v>40</v>
      </c>
      <c r="G210" s="1341">
        <v>50000</v>
      </c>
      <c r="H210" s="1342"/>
      <c r="I210" s="1350">
        <f t="shared" si="23"/>
        <v>2000000</v>
      </c>
      <c r="J210" s="1311"/>
    </row>
    <row r="211" spans="3:10" ht="15.75" customHeight="1">
      <c r="C211" s="2253" t="s">
        <v>2008</v>
      </c>
      <c r="D211" s="2253" t="s">
        <v>2009</v>
      </c>
      <c r="E211" s="2246"/>
      <c r="F211" s="1342">
        <v>40</v>
      </c>
      <c r="G211" s="1341">
        <v>50000</v>
      </c>
      <c r="H211" s="1342"/>
      <c r="I211" s="1350">
        <f t="shared" si="23"/>
        <v>2000000</v>
      </c>
      <c r="J211" s="1311"/>
    </row>
    <row r="212" spans="3:10" ht="15.75" customHeight="1">
      <c r="C212" s="2253" t="s">
        <v>2010</v>
      </c>
      <c r="D212" s="2253" t="s">
        <v>2005</v>
      </c>
      <c r="E212" s="2246"/>
      <c r="F212" s="1342">
        <v>20</v>
      </c>
      <c r="G212" s="1341">
        <v>50000</v>
      </c>
      <c r="H212" s="1342"/>
      <c r="I212" s="1350">
        <f t="shared" si="23"/>
        <v>1000000</v>
      </c>
      <c r="J212" s="1311"/>
    </row>
    <row r="213" spans="3:10" ht="15.75" customHeight="1">
      <c r="C213" s="2253" t="s">
        <v>2011</v>
      </c>
      <c r="D213" s="2253" t="s">
        <v>2012</v>
      </c>
      <c r="E213" s="2246"/>
      <c r="F213" s="1342">
        <v>5</v>
      </c>
      <c r="G213" s="1341">
        <v>50000</v>
      </c>
      <c r="H213" s="1342"/>
      <c r="I213" s="1350">
        <f t="shared" si="23"/>
        <v>250000</v>
      </c>
      <c r="J213" s="1311"/>
    </row>
    <row r="214" spans="3:10" ht="15.75" customHeight="1">
      <c r="C214" s="2264"/>
      <c r="D214" s="2257"/>
      <c r="E214" s="2246"/>
      <c r="F214" s="2258"/>
      <c r="G214" s="2258"/>
      <c r="H214" s="2258"/>
      <c r="I214" s="1346"/>
      <c r="J214" s="1311"/>
    </row>
    <row r="215" spans="3:10" ht="15.75" customHeight="1">
      <c r="C215" s="2262" t="s">
        <v>2023</v>
      </c>
      <c r="D215" s="2257"/>
      <c r="E215" s="2246"/>
      <c r="F215" s="2246"/>
      <c r="G215" s="2246"/>
      <c r="H215" s="2246"/>
      <c r="I215" s="1346"/>
      <c r="J215" s="1355">
        <f>SUM(I216:I223)</f>
        <v>8100000</v>
      </c>
    </row>
    <row r="216" spans="3:10" ht="15.75" customHeight="1">
      <c r="C216" s="2253" t="s">
        <v>1999</v>
      </c>
      <c r="D216" s="2253" t="s">
        <v>2000</v>
      </c>
      <c r="E216" s="2246"/>
      <c r="F216" s="1342">
        <v>1</v>
      </c>
      <c r="G216" s="1341">
        <v>450000</v>
      </c>
      <c r="H216" s="1342"/>
      <c r="I216" s="1350">
        <f t="shared" ref="I216:I223" si="24">PRODUCT(F216:G216)</f>
        <v>450000</v>
      </c>
      <c r="J216" s="1304" t="s">
        <v>2018</v>
      </c>
    </row>
    <row r="217" spans="3:10" ht="15.75" customHeight="1">
      <c r="C217" s="2253" t="s">
        <v>2002</v>
      </c>
      <c r="D217" s="2253" t="s">
        <v>2003</v>
      </c>
      <c r="E217" s="2246"/>
      <c r="F217" s="1342">
        <v>4</v>
      </c>
      <c r="G217" s="1341">
        <v>100000</v>
      </c>
      <c r="H217" s="1342"/>
      <c r="I217" s="1350">
        <f t="shared" si="24"/>
        <v>400000</v>
      </c>
      <c r="J217" s="1311"/>
    </row>
    <row r="218" spans="3:10" ht="15.75" customHeight="1">
      <c r="C218" s="2253" t="s">
        <v>2004</v>
      </c>
      <c r="D218" s="2253" t="s">
        <v>2005</v>
      </c>
      <c r="E218" s="2246"/>
      <c r="F218" s="1342">
        <v>20</v>
      </c>
      <c r="G218" s="1341">
        <v>50000</v>
      </c>
      <c r="H218" s="1342"/>
      <c r="I218" s="1350">
        <f t="shared" si="24"/>
        <v>1000000</v>
      </c>
      <c r="J218" s="1311"/>
    </row>
    <row r="219" spans="3:10" ht="15.75" customHeight="1">
      <c r="C219" s="2253" t="s">
        <v>2006</v>
      </c>
      <c r="D219" s="2253" t="s">
        <v>2005</v>
      </c>
      <c r="E219" s="2246"/>
      <c r="F219" s="1342">
        <v>20</v>
      </c>
      <c r="G219" s="1341">
        <v>50000</v>
      </c>
      <c r="H219" s="1342"/>
      <c r="I219" s="1350">
        <f t="shared" si="24"/>
        <v>1000000</v>
      </c>
      <c r="J219" s="1311"/>
    </row>
    <row r="220" spans="3:10" ht="15.75" customHeight="1">
      <c r="C220" s="2253" t="s">
        <v>2007</v>
      </c>
      <c r="D220" s="2253" t="s">
        <v>2005</v>
      </c>
      <c r="E220" s="2246"/>
      <c r="F220" s="1342">
        <v>40</v>
      </c>
      <c r="G220" s="1341">
        <v>50000</v>
      </c>
      <c r="H220" s="1342"/>
      <c r="I220" s="1350">
        <f t="shared" si="24"/>
        <v>2000000</v>
      </c>
      <c r="J220" s="1311"/>
    </row>
    <row r="221" spans="3:10" ht="15.75" customHeight="1">
      <c r="C221" s="2253" t="s">
        <v>2008</v>
      </c>
      <c r="D221" s="2253" t="s">
        <v>2009</v>
      </c>
      <c r="E221" s="2246"/>
      <c r="F221" s="1342">
        <v>40</v>
      </c>
      <c r="G221" s="1341">
        <v>50000</v>
      </c>
      <c r="H221" s="1342"/>
      <c r="I221" s="1350">
        <f t="shared" si="24"/>
        <v>2000000</v>
      </c>
      <c r="J221" s="1311"/>
    </row>
    <row r="222" spans="3:10" ht="15.75" customHeight="1">
      <c r="C222" s="2253" t="s">
        <v>2010</v>
      </c>
      <c r="D222" s="2253" t="s">
        <v>2005</v>
      </c>
      <c r="E222" s="2246"/>
      <c r="F222" s="2258">
        <v>20</v>
      </c>
      <c r="G222" s="2265">
        <v>50000</v>
      </c>
      <c r="H222" s="2258"/>
      <c r="I222" s="1350">
        <f t="shared" si="24"/>
        <v>1000000</v>
      </c>
      <c r="J222" s="1311"/>
    </row>
    <row r="223" spans="3:10" ht="15.75" customHeight="1">
      <c r="C223" s="2211" t="s">
        <v>2011</v>
      </c>
      <c r="D223" s="655" t="s">
        <v>2012</v>
      </c>
      <c r="E223" s="656"/>
      <c r="F223" s="656">
        <v>5</v>
      </c>
      <c r="G223" s="1356">
        <v>50000</v>
      </c>
      <c r="H223" s="656"/>
      <c r="I223" s="1350">
        <f t="shared" si="24"/>
        <v>250000</v>
      </c>
      <c r="J223" s="1311"/>
    </row>
    <row r="225" spans="1:11" ht="15.75" customHeight="1">
      <c r="A225" s="36"/>
      <c r="B225" s="2263"/>
      <c r="C225" s="2267" t="s">
        <v>2024</v>
      </c>
      <c r="D225" s="1331"/>
      <c r="E225" s="1344"/>
      <c r="F225" s="1344"/>
      <c r="G225" s="1344"/>
      <c r="H225" s="1344"/>
      <c r="I225" s="1346">
        <f>SUM(I100:I224)</f>
        <v>123240000</v>
      </c>
      <c r="J225" s="1311"/>
      <c r="K225" s="1348"/>
    </row>
    <row r="226" spans="1:11" ht="15.75" customHeight="1">
      <c r="A226" s="36"/>
      <c r="B226" s="2209"/>
      <c r="C226" s="2267" t="s">
        <v>2025</v>
      </c>
      <c r="D226" s="654"/>
      <c r="E226" s="656"/>
      <c r="F226" s="656"/>
      <c r="G226" s="656"/>
      <c r="H226" s="656"/>
      <c r="I226" s="1346">
        <f>I95-I225</f>
        <v>71240000</v>
      </c>
      <c r="J226" s="1311"/>
      <c r="K226" s="1348"/>
    </row>
    <row r="227" spans="1:11" ht="15.75" customHeight="1">
      <c r="A227" s="36"/>
      <c r="B227" s="13"/>
      <c r="C227" s="1290"/>
      <c r="D227" s="296"/>
      <c r="E227" s="235"/>
      <c r="F227" s="235"/>
      <c r="G227" s="235"/>
      <c r="H227" s="235"/>
      <c r="I227" s="1357"/>
      <c r="J227" s="296"/>
      <c r="K227" s="298"/>
    </row>
    <row r="228" spans="1:11" ht="15.75" customHeight="1">
      <c r="A228" s="2213"/>
      <c r="B228" s="2218"/>
      <c r="C228" s="2268"/>
      <c r="D228" s="2238"/>
      <c r="E228" s="2269"/>
      <c r="F228" s="2269"/>
      <c r="G228" s="2269"/>
      <c r="H228" s="2269"/>
      <c r="I228" s="2270"/>
      <c r="J228" s="2238"/>
      <c r="K228" s="2271"/>
    </row>
    <row r="229" spans="1:11" ht="15.75" customHeight="1">
      <c r="A229" s="2904" t="s">
        <v>2026</v>
      </c>
      <c r="B229" s="2732"/>
      <c r="C229" s="1290"/>
      <c r="D229" s="296"/>
      <c r="E229" s="235"/>
      <c r="F229" s="235"/>
      <c r="G229" s="235"/>
      <c r="H229" s="235"/>
      <c r="I229" s="1357"/>
      <c r="J229" s="296"/>
      <c r="K229" s="298"/>
    </row>
    <row r="230" spans="1:11" ht="15.75" customHeight="1">
      <c r="A230" s="36"/>
      <c r="B230" s="2934" t="s">
        <v>1957</v>
      </c>
      <c r="C230" s="2732"/>
      <c r="D230" s="2732"/>
      <c r="E230" s="2732"/>
      <c r="F230" s="2732"/>
      <c r="G230" s="2732"/>
      <c r="H230" s="2732"/>
      <c r="I230" s="2732"/>
      <c r="J230" s="2732"/>
      <c r="K230" s="2732"/>
    </row>
    <row r="231" spans="1:11" ht="15.75" customHeight="1">
      <c r="A231" s="13"/>
      <c r="B231" s="2934" t="s">
        <v>1958</v>
      </c>
      <c r="C231" s="2732"/>
      <c r="D231" s="2732"/>
      <c r="E231" s="2732"/>
      <c r="F231" s="2732"/>
      <c r="G231" s="2732"/>
      <c r="H231" s="2732"/>
      <c r="I231" s="2732"/>
      <c r="J231" s="2732"/>
      <c r="K231" s="2732"/>
    </row>
    <row r="232" spans="1:11" ht="15.75" customHeight="1">
      <c r="A232" s="36"/>
      <c r="B232" s="13"/>
      <c r="C232" s="13"/>
      <c r="D232" s="13"/>
      <c r="E232" s="13"/>
      <c r="F232" s="13"/>
      <c r="G232" s="13"/>
      <c r="H232" s="13"/>
      <c r="I232" s="13"/>
      <c r="J232" s="13"/>
      <c r="K232" s="87"/>
    </row>
    <row r="233" spans="1:11" ht="15.75" customHeight="1">
      <c r="A233" s="36"/>
      <c r="B233" s="1344" t="s">
        <v>186</v>
      </c>
      <c r="C233" s="2240" t="s">
        <v>1928</v>
      </c>
      <c r="D233" s="2240" t="s">
        <v>242</v>
      </c>
      <c r="E233" s="2240" t="s">
        <v>1959</v>
      </c>
      <c r="F233" s="2240" t="s">
        <v>1859</v>
      </c>
      <c r="G233" s="2240" t="s">
        <v>1960</v>
      </c>
      <c r="H233" s="2240" t="s">
        <v>1961</v>
      </c>
      <c r="I233" s="2240" t="s">
        <v>1929</v>
      </c>
      <c r="J233" s="2240" t="s">
        <v>1962</v>
      </c>
      <c r="K233" s="2241" t="s">
        <v>1963</v>
      </c>
    </row>
    <row r="234" spans="1:11" ht="15.75" customHeight="1">
      <c r="A234" s="36"/>
      <c r="B234" s="2209" t="s">
        <v>200</v>
      </c>
      <c r="C234" s="2242" t="s">
        <v>206</v>
      </c>
      <c r="D234" s="1306" t="s">
        <v>211</v>
      </c>
      <c r="E234" s="1306">
        <v>1</v>
      </c>
      <c r="F234" s="1306">
        <v>2</v>
      </c>
      <c r="G234" s="1306">
        <v>3</v>
      </c>
      <c r="H234" s="1306">
        <v>4</v>
      </c>
      <c r="I234" s="1306"/>
      <c r="J234" s="1306"/>
      <c r="K234" s="1338"/>
    </row>
    <row r="235" spans="1:11" ht="15.75" customHeight="1">
      <c r="A235" s="36"/>
      <c r="B235" s="2209" t="s">
        <v>200</v>
      </c>
      <c r="C235" s="2272" t="s">
        <v>1932</v>
      </c>
      <c r="D235" s="2244"/>
      <c r="E235" s="2242"/>
      <c r="F235" s="2242"/>
      <c r="G235" s="1306"/>
      <c r="H235" s="1306"/>
      <c r="I235" s="1339"/>
      <c r="J235" s="1299"/>
      <c r="K235" s="1340"/>
    </row>
    <row r="236" spans="1:11" ht="15.75" customHeight="1">
      <c r="A236" s="36"/>
      <c r="B236" s="2209">
        <v>1</v>
      </c>
      <c r="C236" s="656" t="s">
        <v>1964</v>
      </c>
      <c r="D236" s="2245"/>
      <c r="E236" s="2246">
        <v>2</v>
      </c>
      <c r="F236" s="2245">
        <v>220</v>
      </c>
      <c r="G236" s="1341">
        <v>340000</v>
      </c>
      <c r="H236" s="1342">
        <v>1.3</v>
      </c>
      <c r="I236" s="1343">
        <f>PRODUCT(E236:F236:G236:H236)</f>
        <v>194480000</v>
      </c>
      <c r="J236" s="1304" t="s">
        <v>1965</v>
      </c>
      <c r="K236" s="2247"/>
    </row>
    <row r="237" spans="1:11" ht="15.75" customHeight="1">
      <c r="A237" s="36"/>
      <c r="B237" s="2273" t="s">
        <v>206</v>
      </c>
      <c r="C237" s="1345" t="s">
        <v>1966</v>
      </c>
      <c r="D237" s="1311"/>
      <c r="E237" s="2245"/>
      <c r="F237" s="1342"/>
      <c r="G237" s="1342"/>
      <c r="H237" s="2248"/>
      <c r="I237" s="1341"/>
      <c r="J237" s="1311"/>
      <c r="K237" s="2247"/>
    </row>
    <row r="238" spans="1:11" ht="15.75" customHeight="1">
      <c r="A238" s="36"/>
      <c r="B238" s="2273" t="s">
        <v>258</v>
      </c>
      <c r="C238" s="1345" t="s">
        <v>1967</v>
      </c>
      <c r="D238" s="1311"/>
      <c r="E238" s="1342"/>
      <c r="F238" s="1342"/>
      <c r="G238" s="1342"/>
      <c r="H238" s="1342"/>
      <c r="I238" s="1346"/>
      <c r="J238" s="1311"/>
      <c r="K238" s="2247"/>
    </row>
    <row r="239" spans="1:11" ht="15.75" customHeight="1">
      <c r="A239" s="36"/>
      <c r="B239" s="2274">
        <v>1</v>
      </c>
      <c r="C239" s="1347" t="s">
        <v>1968</v>
      </c>
      <c r="D239" s="1311"/>
      <c r="E239" s="1342"/>
      <c r="F239" s="1342"/>
      <c r="G239" s="1342"/>
      <c r="H239" s="1342"/>
      <c r="I239" s="1346"/>
      <c r="J239" s="2249"/>
      <c r="K239" s="1348"/>
    </row>
    <row r="240" spans="1:11" ht="15.75" customHeight="1">
      <c r="A240" s="36"/>
      <c r="B240" s="2275">
        <v>44562</v>
      </c>
      <c r="C240" s="1304" t="s">
        <v>1969</v>
      </c>
      <c r="D240" s="1342"/>
      <c r="E240" s="1342"/>
      <c r="F240" s="1342"/>
      <c r="G240" s="1342"/>
      <c r="H240" s="1342"/>
      <c r="I240" s="1346"/>
      <c r="J240" s="2250" t="s">
        <v>1970</v>
      </c>
      <c r="K240" s="2247"/>
    </row>
    <row r="241" spans="2:11" ht="15.75" customHeight="1">
      <c r="B241" s="2261"/>
      <c r="C241" s="1304" t="s">
        <v>1971</v>
      </c>
      <c r="D241" s="1342" t="s">
        <v>1972</v>
      </c>
      <c r="E241" s="1342">
        <v>30</v>
      </c>
      <c r="F241" s="1342"/>
      <c r="G241" s="1341">
        <v>100000</v>
      </c>
      <c r="H241" s="1342"/>
      <c r="I241" s="1350">
        <f t="shared" ref="I241:I257" si="25">PRODUCT(E241:G241)</f>
        <v>3000000</v>
      </c>
      <c r="J241" s="2251" t="s">
        <v>1973</v>
      </c>
      <c r="K241" s="2247"/>
    </row>
    <row r="242" spans="2:11" ht="15.75" customHeight="1">
      <c r="B242" s="2276">
        <v>44593</v>
      </c>
      <c r="C242" s="1351" t="s">
        <v>1974</v>
      </c>
      <c r="D242" s="1342"/>
      <c r="E242" s="1342"/>
      <c r="F242" s="1342"/>
      <c r="G242" s="1342"/>
      <c r="H242" s="1342"/>
      <c r="I242" s="1350">
        <f t="shared" si="25"/>
        <v>0</v>
      </c>
      <c r="J242" s="2249"/>
      <c r="K242" s="2247"/>
    </row>
    <row r="243" spans="2:11" ht="15.75" customHeight="1">
      <c r="B243" s="2261"/>
      <c r="C243" s="1304" t="s">
        <v>1975</v>
      </c>
      <c r="D243" s="1342" t="s">
        <v>1972</v>
      </c>
      <c r="E243" s="1342">
        <v>30</v>
      </c>
      <c r="F243" s="1342"/>
      <c r="G243" s="1341">
        <v>100000</v>
      </c>
      <c r="H243" s="1342"/>
      <c r="I243" s="1350">
        <f t="shared" si="25"/>
        <v>3000000</v>
      </c>
      <c r="J243" s="2251" t="s">
        <v>1976</v>
      </c>
      <c r="K243" s="2247"/>
    </row>
    <row r="244" spans="2:11" ht="15.75" customHeight="1">
      <c r="B244" s="2261"/>
      <c r="C244" s="1304" t="s">
        <v>1977</v>
      </c>
      <c r="D244" s="1342" t="s">
        <v>1972</v>
      </c>
      <c r="E244" s="1342">
        <v>30</v>
      </c>
      <c r="F244" s="1342"/>
      <c r="G244" s="1341">
        <v>100000</v>
      </c>
      <c r="H244" s="1342"/>
      <c r="I244" s="1350">
        <f t="shared" si="25"/>
        <v>3000000</v>
      </c>
      <c r="J244" s="2249"/>
      <c r="K244" s="2247"/>
    </row>
    <row r="245" spans="2:11" ht="15.75" customHeight="1">
      <c r="B245" s="2276">
        <v>44621</v>
      </c>
      <c r="C245" s="1304" t="s">
        <v>1978</v>
      </c>
      <c r="D245" s="1342"/>
      <c r="E245" s="1342"/>
      <c r="F245" s="1342"/>
      <c r="G245" s="1342"/>
      <c r="H245" s="1342"/>
      <c r="I245" s="1350">
        <f t="shared" si="25"/>
        <v>0</v>
      </c>
      <c r="J245" s="2249"/>
      <c r="K245" s="2247"/>
    </row>
    <row r="246" spans="2:11" ht="15.75" customHeight="1">
      <c r="B246" s="2261"/>
      <c r="C246" s="1304" t="s">
        <v>1979</v>
      </c>
      <c r="D246" s="1342" t="s">
        <v>1972</v>
      </c>
      <c r="E246" s="1342">
        <v>30</v>
      </c>
      <c r="F246" s="1342"/>
      <c r="G246" s="1341">
        <v>100000</v>
      </c>
      <c r="H246" s="1342"/>
      <c r="I246" s="1350">
        <f t="shared" si="25"/>
        <v>3000000</v>
      </c>
      <c r="J246" s="2251"/>
      <c r="K246" s="2247"/>
    </row>
    <row r="247" spans="2:11" ht="15.75" customHeight="1">
      <c r="B247" s="1349">
        <v>44652</v>
      </c>
      <c r="C247" s="1304" t="s">
        <v>1980</v>
      </c>
      <c r="D247" s="1342" t="s">
        <v>1972</v>
      </c>
      <c r="E247" s="1342">
        <v>30</v>
      </c>
      <c r="F247" s="1342"/>
      <c r="G247" s="1341">
        <v>100000</v>
      </c>
      <c r="H247" s="1342"/>
      <c r="I247" s="1350">
        <f t="shared" si="25"/>
        <v>3000000</v>
      </c>
      <c r="J247" s="2211"/>
      <c r="K247" s="2252"/>
    </row>
    <row r="248" spans="2:11" ht="15.75" customHeight="1">
      <c r="B248" s="2274"/>
      <c r="C248" s="1304" t="s">
        <v>1981</v>
      </c>
      <c r="D248" s="1342" t="s">
        <v>1972</v>
      </c>
      <c r="E248" s="1342">
        <v>30</v>
      </c>
      <c r="F248" s="1342"/>
      <c r="G248" s="1341">
        <v>100000</v>
      </c>
      <c r="H248" s="1342"/>
      <c r="I248" s="1350">
        <f t="shared" si="25"/>
        <v>3000000</v>
      </c>
      <c r="J248" s="2251"/>
      <c r="K248" s="2247"/>
    </row>
    <row r="249" spans="2:11" ht="15.75" customHeight="1">
      <c r="B249" s="2275">
        <v>44682</v>
      </c>
      <c r="C249" s="1304" t="s">
        <v>1982</v>
      </c>
      <c r="D249" s="1342"/>
      <c r="E249" s="1342"/>
      <c r="F249" s="1342"/>
      <c r="G249" s="1342"/>
      <c r="H249" s="1342"/>
      <c r="I249" s="1350">
        <f t="shared" si="25"/>
        <v>0</v>
      </c>
      <c r="J249" s="2253"/>
      <c r="K249" s="2247"/>
    </row>
    <row r="250" spans="2:11" ht="15.75" customHeight="1">
      <c r="B250" s="2274"/>
      <c r="C250" s="1304" t="s">
        <v>1983</v>
      </c>
      <c r="D250" s="1342" t="s">
        <v>1972</v>
      </c>
      <c r="E250" s="1342">
        <v>30</v>
      </c>
      <c r="F250" s="1342"/>
      <c r="G250" s="1341">
        <v>90000</v>
      </c>
      <c r="H250" s="1342"/>
      <c r="I250" s="1350">
        <f t="shared" si="25"/>
        <v>2700000</v>
      </c>
      <c r="J250" s="2253"/>
      <c r="K250" s="2247"/>
    </row>
    <row r="251" spans="2:11" ht="15.75" customHeight="1">
      <c r="B251" s="2275">
        <v>44713</v>
      </c>
      <c r="C251" s="1304" t="s">
        <v>1984</v>
      </c>
      <c r="D251" s="1342" t="s">
        <v>1972</v>
      </c>
      <c r="E251" s="1342"/>
      <c r="F251" s="1342"/>
      <c r="G251" s="1342"/>
      <c r="H251" s="1342"/>
      <c r="I251" s="1350">
        <f t="shared" si="25"/>
        <v>0</v>
      </c>
      <c r="J251" s="2253"/>
      <c r="K251" s="2247"/>
    </row>
    <row r="252" spans="2:11" ht="15.75" customHeight="1">
      <c r="B252" s="2274"/>
      <c r="C252" s="1304" t="s">
        <v>1985</v>
      </c>
      <c r="D252" s="1342"/>
      <c r="E252" s="1342">
        <v>30</v>
      </c>
      <c r="F252" s="1342"/>
      <c r="G252" s="1341">
        <v>90000</v>
      </c>
      <c r="H252" s="1342"/>
      <c r="I252" s="1350">
        <f t="shared" si="25"/>
        <v>2700000</v>
      </c>
      <c r="J252" s="2253"/>
      <c r="K252" s="2247"/>
    </row>
    <row r="253" spans="2:11" ht="15.75" customHeight="1">
      <c r="B253" s="2276">
        <v>44743</v>
      </c>
      <c r="C253" s="2277" t="s">
        <v>1986</v>
      </c>
      <c r="D253" s="1342" t="s">
        <v>1972</v>
      </c>
      <c r="E253" s="1342"/>
      <c r="F253" s="1342"/>
      <c r="G253" s="1342"/>
      <c r="H253" s="1342"/>
      <c r="I253" s="1350">
        <f t="shared" si="25"/>
        <v>0</v>
      </c>
      <c r="J253" s="2254" t="s">
        <v>1987</v>
      </c>
      <c r="K253" s="2247"/>
    </row>
    <row r="254" spans="2:11" ht="15.75" customHeight="1">
      <c r="B254" s="656"/>
      <c r="C254" s="1304" t="s">
        <v>1988</v>
      </c>
      <c r="D254" s="1342"/>
      <c r="E254" s="1342">
        <v>30</v>
      </c>
      <c r="F254" s="1342"/>
      <c r="G254" s="1341">
        <v>90000</v>
      </c>
      <c r="H254" s="1342"/>
      <c r="I254" s="1350">
        <f t="shared" si="25"/>
        <v>2700000</v>
      </c>
      <c r="J254" s="2255"/>
      <c r="K254" s="2247"/>
    </row>
    <row r="255" spans="2:11" ht="15.75" customHeight="1">
      <c r="B255" s="2276">
        <v>44774</v>
      </c>
      <c r="C255" s="1304" t="s">
        <v>1989</v>
      </c>
      <c r="D255" s="1342"/>
      <c r="E255" s="1342"/>
      <c r="F255" s="1342"/>
      <c r="G255" s="1342"/>
      <c r="H255" s="1342"/>
      <c r="I255" s="1350">
        <f t="shared" si="25"/>
        <v>0</v>
      </c>
      <c r="J255" s="2256"/>
      <c r="K255" s="2247"/>
    </row>
    <row r="256" spans="2:11" ht="15.75" customHeight="1">
      <c r="B256" s="2259"/>
      <c r="C256" s="1304" t="s">
        <v>1990</v>
      </c>
      <c r="D256" s="1342" t="s">
        <v>1972</v>
      </c>
      <c r="E256" s="1342">
        <v>30</v>
      </c>
      <c r="F256" s="1342"/>
      <c r="G256" s="1341">
        <v>90000</v>
      </c>
      <c r="H256" s="1342"/>
      <c r="I256" s="1350">
        <f t="shared" si="25"/>
        <v>2700000</v>
      </c>
      <c r="J256" s="2255" t="s">
        <v>1976</v>
      </c>
      <c r="K256" s="2247"/>
    </row>
    <row r="257" spans="2:11" ht="15.75" customHeight="1">
      <c r="B257" s="2261"/>
      <c r="C257" s="1304" t="s">
        <v>1991</v>
      </c>
      <c r="D257" s="1342" t="s">
        <v>1972</v>
      </c>
      <c r="E257" s="1342">
        <v>30</v>
      </c>
      <c r="F257" s="1342"/>
      <c r="G257" s="1341">
        <v>90000</v>
      </c>
      <c r="H257" s="1342"/>
      <c r="I257" s="1350">
        <f t="shared" si="25"/>
        <v>2700000</v>
      </c>
      <c r="J257" s="2256"/>
      <c r="K257" s="2247"/>
    </row>
    <row r="258" spans="2:11" ht="15.75" customHeight="1">
      <c r="B258" s="2274"/>
      <c r="C258" s="2257"/>
      <c r="D258" s="2258"/>
      <c r="E258" s="2258"/>
      <c r="F258" s="2258"/>
      <c r="G258" s="2258"/>
      <c r="H258" s="2258"/>
      <c r="I258" s="1350"/>
      <c r="J258" s="2256"/>
      <c r="K258" s="2247"/>
    </row>
    <row r="259" spans="2:11" ht="15.75" customHeight="1">
      <c r="B259" s="2261"/>
      <c r="C259" s="2212"/>
      <c r="D259" s="2245"/>
      <c r="E259" s="2245"/>
      <c r="F259" s="2245"/>
      <c r="G259" s="2245"/>
      <c r="H259" s="2245"/>
      <c r="I259" s="1346"/>
      <c r="J259" s="1311"/>
      <c r="K259" s="1348"/>
    </row>
    <row r="260" spans="2:11" ht="15.75" customHeight="1">
      <c r="B260" s="1344" t="s">
        <v>284</v>
      </c>
      <c r="C260" s="1345" t="s">
        <v>1992</v>
      </c>
      <c r="D260" s="1352"/>
      <c r="E260" s="1339"/>
      <c r="F260" s="1339"/>
      <c r="G260" s="1339"/>
      <c r="H260" s="1339"/>
      <c r="I260" s="1346"/>
      <c r="J260" s="1311"/>
      <c r="K260" s="2247"/>
    </row>
    <row r="261" spans="2:11" ht="15.75" customHeight="1">
      <c r="B261" s="2274">
        <v>1</v>
      </c>
      <c r="C261" s="1304" t="s">
        <v>1993</v>
      </c>
      <c r="D261" s="1304" t="s">
        <v>1994</v>
      </c>
      <c r="E261" s="1342">
        <v>2</v>
      </c>
      <c r="F261" s="1342">
        <v>220</v>
      </c>
      <c r="G261" s="1342">
        <v>6000</v>
      </c>
      <c r="H261" s="1342"/>
      <c r="I261" s="1350">
        <f>PRODUCT(E261:F261:G261)</f>
        <v>2640000</v>
      </c>
      <c r="J261" s="1304" t="s">
        <v>1995</v>
      </c>
      <c r="K261" s="2247"/>
    </row>
    <row r="262" spans="2:11" ht="15.75" customHeight="1">
      <c r="B262" s="2273" t="s">
        <v>345</v>
      </c>
      <c r="C262" s="1353" t="s">
        <v>1996</v>
      </c>
      <c r="D262" s="1311"/>
      <c r="E262" s="1342"/>
      <c r="F262" s="1342"/>
      <c r="G262" s="1342"/>
      <c r="H262" s="1342"/>
      <c r="I262" s="1346"/>
      <c r="J262" s="1311"/>
      <c r="K262" s="1348"/>
    </row>
    <row r="263" spans="2:11" ht="15.75" customHeight="1">
      <c r="B263" s="2261"/>
      <c r="C263" s="1345" t="s">
        <v>1997</v>
      </c>
      <c r="D263" s="1311"/>
      <c r="E263" s="1342"/>
      <c r="F263" s="1342"/>
      <c r="G263" s="1342"/>
      <c r="H263" s="1342"/>
      <c r="I263" s="1346"/>
      <c r="J263" s="1354">
        <f>SUM(J264:J356)</f>
        <v>72900000</v>
      </c>
      <c r="K263" s="1348"/>
    </row>
    <row r="264" spans="2:11" ht="15.75" customHeight="1">
      <c r="B264" s="2261">
        <v>1</v>
      </c>
      <c r="C264" s="2260" t="s">
        <v>1998</v>
      </c>
      <c r="D264" s="2249"/>
      <c r="E264" s="2258"/>
      <c r="F264" s="2258"/>
      <c r="G264" s="2258"/>
      <c r="H264" s="2258"/>
      <c r="I264" s="1346"/>
      <c r="J264" s="1355">
        <f>SUM(I265:I272)</f>
        <v>8100000</v>
      </c>
      <c r="K264" s="1348"/>
    </row>
    <row r="265" spans="2:11" ht="15.75" customHeight="1">
      <c r="B265" s="2261"/>
      <c r="C265" s="1304" t="s">
        <v>1999</v>
      </c>
      <c r="D265" s="1304" t="s">
        <v>2000</v>
      </c>
      <c r="E265" s="1342"/>
      <c r="F265" s="1342">
        <v>1</v>
      </c>
      <c r="G265" s="1341">
        <v>450000</v>
      </c>
      <c r="H265" s="1342"/>
      <c r="I265" s="1350">
        <f t="shared" ref="I265:I272" si="26">PRODUCT(F265:G265)</f>
        <v>450000</v>
      </c>
      <c r="J265" s="1304" t="s">
        <v>2001</v>
      </c>
      <c r="K265" s="1348"/>
    </row>
    <row r="266" spans="2:11" ht="15.75" customHeight="1">
      <c r="B266" s="2261"/>
      <c r="C266" s="1304" t="s">
        <v>2002</v>
      </c>
      <c r="D266" s="1304" t="s">
        <v>2003</v>
      </c>
      <c r="E266" s="1342"/>
      <c r="F266" s="1342">
        <v>4</v>
      </c>
      <c r="G266" s="1341">
        <v>100000</v>
      </c>
      <c r="H266" s="1342"/>
      <c r="I266" s="1350">
        <f t="shared" si="26"/>
        <v>400000</v>
      </c>
      <c r="J266" s="1311"/>
      <c r="K266" s="1348"/>
    </row>
    <row r="267" spans="2:11" ht="15.75" customHeight="1">
      <c r="B267" s="2261"/>
      <c r="C267" s="1304" t="s">
        <v>2004</v>
      </c>
      <c r="D267" s="1304" t="s">
        <v>2005</v>
      </c>
      <c r="E267" s="1342"/>
      <c r="F267" s="1342">
        <v>20</v>
      </c>
      <c r="G267" s="1341">
        <v>50000</v>
      </c>
      <c r="H267" s="1342"/>
      <c r="I267" s="1350">
        <f t="shared" si="26"/>
        <v>1000000</v>
      </c>
      <c r="J267" s="1311"/>
      <c r="K267" s="1348"/>
    </row>
    <row r="268" spans="2:11" ht="15.75" customHeight="1">
      <c r="B268" s="2261"/>
      <c r="C268" s="1304" t="s">
        <v>2006</v>
      </c>
      <c r="D268" s="1304" t="s">
        <v>2005</v>
      </c>
      <c r="E268" s="1342"/>
      <c r="F268" s="1342">
        <v>20</v>
      </c>
      <c r="G268" s="1341">
        <v>50000</v>
      </c>
      <c r="H268" s="1342"/>
      <c r="I268" s="1350">
        <f t="shared" si="26"/>
        <v>1000000</v>
      </c>
      <c r="J268" s="1311"/>
      <c r="K268" s="1348"/>
    </row>
    <row r="269" spans="2:11" ht="15.75" customHeight="1">
      <c r="B269" s="2261"/>
      <c r="C269" s="1304" t="s">
        <v>2007</v>
      </c>
      <c r="D269" s="1304" t="s">
        <v>2005</v>
      </c>
      <c r="E269" s="1342"/>
      <c r="F269" s="1342">
        <v>40</v>
      </c>
      <c r="G269" s="1341">
        <v>50000</v>
      </c>
      <c r="H269" s="1342"/>
      <c r="I269" s="1350">
        <f t="shared" si="26"/>
        <v>2000000</v>
      </c>
      <c r="J269" s="1311"/>
      <c r="K269" s="1348"/>
    </row>
    <row r="270" spans="2:11" ht="15.75" customHeight="1">
      <c r="B270" s="2261"/>
      <c r="C270" s="1304" t="s">
        <v>2008</v>
      </c>
      <c r="D270" s="1304" t="s">
        <v>2009</v>
      </c>
      <c r="E270" s="1342"/>
      <c r="F270" s="1342">
        <v>40</v>
      </c>
      <c r="G270" s="1341">
        <v>50000</v>
      </c>
      <c r="H270" s="1342"/>
      <c r="I270" s="1350">
        <f t="shared" si="26"/>
        <v>2000000</v>
      </c>
      <c r="J270" s="1311"/>
      <c r="K270" s="1348"/>
    </row>
    <row r="271" spans="2:11" ht="15.75" customHeight="1">
      <c r="B271" s="2261"/>
      <c r="C271" s="1304" t="s">
        <v>2010</v>
      </c>
      <c r="D271" s="1304" t="s">
        <v>2005</v>
      </c>
      <c r="E271" s="1342"/>
      <c r="F271" s="1342">
        <v>20</v>
      </c>
      <c r="G271" s="1341">
        <v>50000</v>
      </c>
      <c r="H271" s="1342"/>
      <c r="I271" s="1350">
        <f t="shared" si="26"/>
        <v>1000000</v>
      </c>
      <c r="J271" s="1311"/>
      <c r="K271" s="1348"/>
    </row>
    <row r="272" spans="2:11" ht="15.75" customHeight="1">
      <c r="B272" s="2261">
        <v>2</v>
      </c>
      <c r="C272" s="1304" t="s">
        <v>2011</v>
      </c>
      <c r="D272" s="1304" t="s">
        <v>2012</v>
      </c>
      <c r="E272" s="1342"/>
      <c r="F272" s="1342">
        <v>5</v>
      </c>
      <c r="G272" s="1341">
        <v>50000</v>
      </c>
      <c r="H272" s="1342"/>
      <c r="I272" s="1350">
        <f t="shared" si="26"/>
        <v>250000</v>
      </c>
      <c r="J272" s="1311"/>
      <c r="K272" s="1348"/>
    </row>
    <row r="273" spans="2:10" ht="15.75" customHeight="1">
      <c r="B273" s="2261"/>
      <c r="C273" s="2260" t="s">
        <v>2013</v>
      </c>
      <c r="D273" s="2249"/>
      <c r="E273" s="2258"/>
      <c r="F273" s="2258"/>
      <c r="G273" s="2258"/>
      <c r="H273" s="2258"/>
      <c r="I273" s="1350"/>
      <c r="J273" s="1355">
        <f>SUM(I274:I281)</f>
        <v>8100000</v>
      </c>
    </row>
    <row r="274" spans="2:10" ht="15.75" customHeight="1">
      <c r="B274" s="2261"/>
      <c r="C274" s="1304" t="s">
        <v>1999</v>
      </c>
      <c r="D274" s="1304" t="s">
        <v>2000</v>
      </c>
      <c r="E274" s="1342"/>
      <c r="F274" s="1342">
        <v>1</v>
      </c>
      <c r="G274" s="1341">
        <v>450000</v>
      </c>
      <c r="H274" s="1342"/>
      <c r="I274" s="1350">
        <f t="shared" ref="I274:I281" si="27">PRODUCT(F274:G274)</f>
        <v>450000</v>
      </c>
      <c r="J274" s="1304" t="s">
        <v>2001</v>
      </c>
    </row>
    <row r="275" spans="2:10" ht="15.75" customHeight="1">
      <c r="B275" s="2261"/>
      <c r="C275" s="1304" t="s">
        <v>2002</v>
      </c>
      <c r="D275" s="1304" t="s">
        <v>2003</v>
      </c>
      <c r="E275" s="1342"/>
      <c r="F275" s="1342">
        <v>4</v>
      </c>
      <c r="G275" s="1341">
        <v>100000</v>
      </c>
      <c r="H275" s="1342"/>
      <c r="I275" s="1350">
        <f t="shared" si="27"/>
        <v>400000</v>
      </c>
      <c r="J275" s="1311"/>
    </row>
    <row r="276" spans="2:10" ht="15.75" customHeight="1">
      <c r="B276" s="2261"/>
      <c r="C276" s="1304" t="s">
        <v>2004</v>
      </c>
      <c r="D276" s="1304" t="s">
        <v>2005</v>
      </c>
      <c r="E276" s="1342"/>
      <c r="F276" s="1342">
        <v>20</v>
      </c>
      <c r="G276" s="1341">
        <v>50000</v>
      </c>
      <c r="H276" s="1342"/>
      <c r="I276" s="1350">
        <f t="shared" si="27"/>
        <v>1000000</v>
      </c>
      <c r="J276" s="1311"/>
    </row>
    <row r="277" spans="2:10" ht="15.75" customHeight="1">
      <c r="B277" s="2261"/>
      <c r="C277" s="1304" t="s">
        <v>2006</v>
      </c>
      <c r="D277" s="1304" t="s">
        <v>2005</v>
      </c>
      <c r="E277" s="1342"/>
      <c r="F277" s="1342">
        <v>20</v>
      </c>
      <c r="G277" s="1341">
        <v>50000</v>
      </c>
      <c r="H277" s="1342"/>
      <c r="I277" s="1350">
        <f t="shared" si="27"/>
        <v>1000000</v>
      </c>
      <c r="J277" s="1311"/>
    </row>
    <row r="278" spans="2:10" ht="15.75" customHeight="1">
      <c r="B278" s="2261"/>
      <c r="C278" s="1304" t="s">
        <v>2007</v>
      </c>
      <c r="D278" s="1304" t="s">
        <v>2005</v>
      </c>
      <c r="E278" s="1342"/>
      <c r="F278" s="1342">
        <v>40</v>
      </c>
      <c r="G278" s="1341">
        <v>50000</v>
      </c>
      <c r="H278" s="1342"/>
      <c r="I278" s="1350">
        <f t="shared" si="27"/>
        <v>2000000</v>
      </c>
      <c r="J278" s="1311"/>
    </row>
    <row r="279" spans="2:10" ht="15.75" customHeight="1">
      <c r="B279" s="2261"/>
      <c r="C279" s="1304" t="s">
        <v>2008</v>
      </c>
      <c r="D279" s="1304" t="s">
        <v>2005</v>
      </c>
      <c r="E279" s="1342"/>
      <c r="F279" s="1342">
        <v>40</v>
      </c>
      <c r="G279" s="1341">
        <v>50000</v>
      </c>
      <c r="H279" s="1342"/>
      <c r="I279" s="1350">
        <f t="shared" si="27"/>
        <v>2000000</v>
      </c>
      <c r="J279" s="1311"/>
    </row>
    <row r="280" spans="2:10" ht="15.75" customHeight="1">
      <c r="B280" s="2261">
        <v>3</v>
      </c>
      <c r="C280" s="1304" t="s">
        <v>2010</v>
      </c>
      <c r="D280" s="1304" t="s">
        <v>2005</v>
      </c>
      <c r="E280" s="1342"/>
      <c r="F280" s="1342">
        <v>20</v>
      </c>
      <c r="G280" s="1341">
        <v>50000</v>
      </c>
      <c r="H280" s="1342"/>
      <c r="I280" s="1350">
        <f t="shared" si="27"/>
        <v>1000000</v>
      </c>
      <c r="J280" s="1311"/>
    </row>
    <row r="281" spans="2:10" ht="15.75" customHeight="1">
      <c r="B281" s="2261"/>
      <c r="C281" s="1304" t="s">
        <v>2011</v>
      </c>
      <c r="D281" s="1304" t="s">
        <v>2012</v>
      </c>
      <c r="E281" s="1342"/>
      <c r="F281" s="1342">
        <v>5</v>
      </c>
      <c r="G281" s="1341">
        <v>50000</v>
      </c>
      <c r="H281" s="1342"/>
      <c r="I281" s="1350">
        <f t="shared" si="27"/>
        <v>250000</v>
      </c>
      <c r="J281" s="1311"/>
    </row>
    <row r="282" spans="2:10" ht="15.75" customHeight="1">
      <c r="B282" s="2261"/>
      <c r="C282" s="2260" t="s">
        <v>2014</v>
      </c>
      <c r="D282" s="2249"/>
      <c r="E282" s="2258"/>
      <c r="F282" s="2258"/>
      <c r="G282" s="2258"/>
      <c r="H282" s="2258"/>
      <c r="I282" s="1350"/>
      <c r="J282" s="1355">
        <f>SUM(I283:I290)</f>
        <v>8100000</v>
      </c>
    </row>
    <row r="283" spans="2:10" ht="15.75" customHeight="1">
      <c r="B283" s="2261"/>
      <c r="C283" s="1304" t="s">
        <v>1999</v>
      </c>
      <c r="D283" s="1304" t="s">
        <v>2000</v>
      </c>
      <c r="E283" s="1342"/>
      <c r="F283" s="1342">
        <v>1</v>
      </c>
      <c r="G283" s="1341">
        <v>450000</v>
      </c>
      <c r="H283" s="1342"/>
      <c r="I283" s="1350">
        <f t="shared" ref="I283:I290" si="28">PRODUCT(F283:G283)</f>
        <v>450000</v>
      </c>
      <c r="J283" s="1304" t="s">
        <v>2001</v>
      </c>
    </row>
    <row r="284" spans="2:10" ht="15.75" customHeight="1">
      <c r="B284" s="2261"/>
      <c r="C284" s="1304" t="s">
        <v>2002</v>
      </c>
      <c r="D284" s="1304" t="s">
        <v>2003</v>
      </c>
      <c r="E284" s="1342"/>
      <c r="F284" s="1342">
        <v>4</v>
      </c>
      <c r="G284" s="1341">
        <v>100000</v>
      </c>
      <c r="H284" s="1342"/>
      <c r="I284" s="1350">
        <f t="shared" si="28"/>
        <v>400000</v>
      </c>
      <c r="J284" s="1311"/>
    </row>
    <row r="285" spans="2:10" ht="15.75" customHeight="1">
      <c r="B285" s="2261"/>
      <c r="C285" s="1304" t="s">
        <v>2004</v>
      </c>
      <c r="D285" s="1304" t="s">
        <v>2005</v>
      </c>
      <c r="E285" s="1342"/>
      <c r="F285" s="1342">
        <v>20</v>
      </c>
      <c r="G285" s="1341">
        <v>50000</v>
      </c>
      <c r="H285" s="1342"/>
      <c r="I285" s="1350">
        <f t="shared" si="28"/>
        <v>1000000</v>
      </c>
      <c r="J285" s="1311"/>
    </row>
    <row r="286" spans="2:10" ht="15.75" customHeight="1">
      <c r="B286" s="2261"/>
      <c r="C286" s="1304" t="s">
        <v>2006</v>
      </c>
      <c r="D286" s="1304" t="s">
        <v>2005</v>
      </c>
      <c r="E286" s="1342"/>
      <c r="F286" s="1342">
        <v>20</v>
      </c>
      <c r="G286" s="1341">
        <v>50000</v>
      </c>
      <c r="H286" s="1342"/>
      <c r="I286" s="1350">
        <f t="shared" si="28"/>
        <v>1000000</v>
      </c>
      <c r="J286" s="1311"/>
    </row>
    <row r="287" spans="2:10" ht="15.75" customHeight="1">
      <c r="B287" s="2261"/>
      <c r="C287" s="1304" t="s">
        <v>2007</v>
      </c>
      <c r="D287" s="1304" t="s">
        <v>2005</v>
      </c>
      <c r="E287" s="1342"/>
      <c r="F287" s="1342">
        <v>40</v>
      </c>
      <c r="G287" s="1341">
        <v>50000</v>
      </c>
      <c r="H287" s="1342"/>
      <c r="I287" s="1350">
        <f t="shared" si="28"/>
        <v>2000000</v>
      </c>
      <c r="J287" s="1311"/>
    </row>
    <row r="288" spans="2:10" ht="15.75" customHeight="1">
      <c r="B288" s="2261">
        <v>4</v>
      </c>
      <c r="C288" s="1304" t="s">
        <v>2008</v>
      </c>
      <c r="D288" s="1304" t="s">
        <v>2009</v>
      </c>
      <c r="E288" s="1342"/>
      <c r="F288" s="1342">
        <v>40</v>
      </c>
      <c r="G288" s="1341">
        <v>50000</v>
      </c>
      <c r="H288" s="1342"/>
      <c r="I288" s="1350">
        <f t="shared" si="28"/>
        <v>2000000</v>
      </c>
      <c r="J288" s="1311"/>
    </row>
    <row r="289" spans="2:10" ht="15.75" customHeight="1">
      <c r="B289" s="2261"/>
      <c r="C289" s="1304" t="s">
        <v>2010</v>
      </c>
      <c r="D289" s="1304" t="s">
        <v>2005</v>
      </c>
      <c r="E289" s="1342"/>
      <c r="F289" s="1342">
        <v>20</v>
      </c>
      <c r="G289" s="1341">
        <v>50000</v>
      </c>
      <c r="H289" s="1342"/>
      <c r="I289" s="1350">
        <f t="shared" si="28"/>
        <v>1000000</v>
      </c>
      <c r="J289" s="1311"/>
    </row>
    <row r="290" spans="2:10" ht="15.75" customHeight="1">
      <c r="B290" s="2261"/>
      <c r="C290" s="1304" t="s">
        <v>2011</v>
      </c>
      <c r="D290" s="1304" t="s">
        <v>2012</v>
      </c>
      <c r="E290" s="1342"/>
      <c r="F290" s="1342">
        <v>5</v>
      </c>
      <c r="G290" s="1341">
        <v>50000</v>
      </c>
      <c r="H290" s="1342"/>
      <c r="I290" s="1350">
        <f t="shared" si="28"/>
        <v>250000</v>
      </c>
      <c r="J290" s="1311"/>
    </row>
    <row r="291" spans="2:10" ht="15.75" customHeight="1">
      <c r="B291" s="2261"/>
      <c r="C291" s="2260" t="s">
        <v>2015</v>
      </c>
      <c r="D291" s="2249"/>
      <c r="E291" s="2258"/>
      <c r="F291" s="2258"/>
      <c r="G291" s="2258"/>
      <c r="H291" s="2258"/>
      <c r="I291" s="1350"/>
      <c r="J291" s="1355">
        <f>SUM(I292:I299)</f>
        <v>8100000</v>
      </c>
    </row>
    <row r="292" spans="2:10" ht="15.75" customHeight="1">
      <c r="B292" s="2261"/>
      <c r="C292" s="1304" t="s">
        <v>1999</v>
      </c>
      <c r="D292" s="1304" t="s">
        <v>2000</v>
      </c>
      <c r="E292" s="1342"/>
      <c r="F292" s="1342">
        <v>1</v>
      </c>
      <c r="G292" s="1341">
        <v>450000</v>
      </c>
      <c r="H292" s="1342"/>
      <c r="I292" s="1350">
        <f t="shared" ref="I292:I299" si="29">PRODUCT(F292:G292)</f>
        <v>450000</v>
      </c>
      <c r="J292" s="1304" t="s">
        <v>2001</v>
      </c>
    </row>
    <row r="293" spans="2:10" ht="15.75" customHeight="1">
      <c r="B293" s="2261"/>
      <c r="C293" s="1304" t="s">
        <v>2002</v>
      </c>
      <c r="D293" s="1304" t="s">
        <v>2003</v>
      </c>
      <c r="E293" s="1342"/>
      <c r="F293" s="1342">
        <v>4</v>
      </c>
      <c r="G293" s="1341">
        <v>100000</v>
      </c>
      <c r="H293" s="1342"/>
      <c r="I293" s="1350">
        <f t="shared" si="29"/>
        <v>400000</v>
      </c>
      <c r="J293" s="1311"/>
    </row>
    <row r="294" spans="2:10" ht="15.75" customHeight="1">
      <c r="B294" s="2261"/>
      <c r="C294" s="1304" t="s">
        <v>2004</v>
      </c>
      <c r="D294" s="1304" t="s">
        <v>2005</v>
      </c>
      <c r="E294" s="1342"/>
      <c r="F294" s="1342">
        <v>20</v>
      </c>
      <c r="G294" s="1341">
        <v>50000</v>
      </c>
      <c r="H294" s="1342"/>
      <c r="I294" s="1350">
        <f t="shared" si="29"/>
        <v>1000000</v>
      </c>
      <c r="J294" s="1311"/>
    </row>
    <row r="295" spans="2:10" ht="15.75" customHeight="1">
      <c r="B295" s="2261"/>
      <c r="C295" s="1304" t="s">
        <v>2006</v>
      </c>
      <c r="D295" s="1304" t="s">
        <v>2005</v>
      </c>
      <c r="E295" s="1342"/>
      <c r="F295" s="1342">
        <v>20</v>
      </c>
      <c r="G295" s="1341">
        <v>50000</v>
      </c>
      <c r="H295" s="1342"/>
      <c r="I295" s="1350">
        <f t="shared" si="29"/>
        <v>1000000</v>
      </c>
      <c r="J295" s="1311"/>
    </row>
    <row r="296" spans="2:10" ht="15.75" customHeight="1">
      <c r="B296" s="2261">
        <v>5</v>
      </c>
      <c r="C296" s="1304" t="s">
        <v>2007</v>
      </c>
      <c r="D296" s="1304" t="s">
        <v>2005</v>
      </c>
      <c r="E296" s="1342"/>
      <c r="F296" s="1342">
        <v>40</v>
      </c>
      <c r="G296" s="1341">
        <v>50000</v>
      </c>
      <c r="H296" s="1342"/>
      <c r="I296" s="1350">
        <f t="shared" si="29"/>
        <v>2000000</v>
      </c>
      <c r="J296" s="1311"/>
    </row>
    <row r="297" spans="2:10" ht="15.75" customHeight="1">
      <c r="B297" s="2261"/>
      <c r="C297" s="1304" t="s">
        <v>2008</v>
      </c>
      <c r="D297" s="1304" t="s">
        <v>2009</v>
      </c>
      <c r="E297" s="1342"/>
      <c r="F297" s="1342">
        <v>40</v>
      </c>
      <c r="G297" s="1341">
        <v>50000</v>
      </c>
      <c r="H297" s="1342"/>
      <c r="I297" s="1350">
        <f t="shared" si="29"/>
        <v>2000000</v>
      </c>
      <c r="J297" s="1311"/>
    </row>
    <row r="298" spans="2:10" ht="15.75" customHeight="1">
      <c r="B298" s="2261"/>
      <c r="C298" s="1304" t="s">
        <v>2010</v>
      </c>
      <c r="D298" s="1304" t="s">
        <v>2005</v>
      </c>
      <c r="E298" s="1342"/>
      <c r="F298" s="1342">
        <v>20</v>
      </c>
      <c r="G298" s="1341">
        <v>50000</v>
      </c>
      <c r="H298" s="1342"/>
      <c r="I298" s="1350">
        <f t="shared" si="29"/>
        <v>1000000</v>
      </c>
      <c r="J298" s="1311"/>
    </row>
    <row r="299" spans="2:10" ht="15.75" customHeight="1">
      <c r="B299" s="2261"/>
      <c r="C299" s="1304" t="s">
        <v>2011</v>
      </c>
      <c r="D299" s="1304" t="s">
        <v>2012</v>
      </c>
      <c r="E299" s="1342"/>
      <c r="F299" s="1342">
        <v>5</v>
      </c>
      <c r="G299" s="1341">
        <v>50000</v>
      </c>
      <c r="H299" s="1342"/>
      <c r="I299" s="1350">
        <f t="shared" si="29"/>
        <v>250000</v>
      </c>
      <c r="J299" s="1311"/>
    </row>
    <row r="300" spans="2:10" ht="15.75" customHeight="1">
      <c r="B300" s="2261"/>
      <c r="C300" s="2260" t="s">
        <v>2016</v>
      </c>
      <c r="D300" s="2249"/>
      <c r="E300" s="2258"/>
      <c r="F300" s="2258"/>
      <c r="G300" s="2258"/>
      <c r="H300" s="2258"/>
      <c r="I300" s="1350"/>
      <c r="J300" s="1304" t="s">
        <v>2001</v>
      </c>
    </row>
    <row r="301" spans="2:10" ht="15.75" customHeight="1">
      <c r="B301" s="2261"/>
      <c r="C301" s="1304" t="s">
        <v>1999</v>
      </c>
      <c r="D301" s="1304" t="s">
        <v>2000</v>
      </c>
      <c r="E301" s="1342"/>
      <c r="F301" s="1342">
        <v>1</v>
      </c>
      <c r="G301" s="1341">
        <v>450000</v>
      </c>
      <c r="H301" s="1342"/>
      <c r="I301" s="1350">
        <f t="shared" ref="I301:I308" si="30">PRODUCT(F301:G301)</f>
        <v>450000</v>
      </c>
      <c r="J301" s="1311"/>
    </row>
    <row r="302" spans="2:10" ht="15.75" customHeight="1">
      <c r="B302" s="2261"/>
      <c r="C302" s="1304" t="s">
        <v>2002</v>
      </c>
      <c r="D302" s="1304" t="s">
        <v>2003</v>
      </c>
      <c r="E302" s="1342"/>
      <c r="F302" s="1342">
        <v>4</v>
      </c>
      <c r="G302" s="1341">
        <v>100000</v>
      </c>
      <c r="H302" s="1342"/>
      <c r="I302" s="1350">
        <f t="shared" si="30"/>
        <v>400000</v>
      </c>
      <c r="J302" s="1311"/>
    </row>
    <row r="303" spans="2:10" ht="15.75" customHeight="1">
      <c r="B303" s="2261"/>
      <c r="C303" s="1304" t="s">
        <v>2004</v>
      </c>
      <c r="D303" s="1304" t="s">
        <v>2005</v>
      </c>
      <c r="E303" s="1342"/>
      <c r="F303" s="1342">
        <v>20</v>
      </c>
      <c r="G303" s="1341">
        <v>50000</v>
      </c>
      <c r="H303" s="1342"/>
      <c r="I303" s="1350">
        <f t="shared" si="30"/>
        <v>1000000</v>
      </c>
      <c r="J303" s="1311"/>
    </row>
    <row r="304" spans="2:10" ht="15.75" customHeight="1">
      <c r="B304" s="2261">
        <v>6</v>
      </c>
      <c r="C304" s="1304" t="s">
        <v>2006</v>
      </c>
      <c r="D304" s="1304" t="s">
        <v>2005</v>
      </c>
      <c r="E304" s="1342"/>
      <c r="F304" s="1342">
        <v>20</v>
      </c>
      <c r="G304" s="1341">
        <v>50000</v>
      </c>
      <c r="H304" s="1342"/>
      <c r="I304" s="1350">
        <f t="shared" si="30"/>
        <v>1000000</v>
      </c>
      <c r="J304" s="1311"/>
    </row>
    <row r="305" spans="2:10" ht="15.75" customHeight="1">
      <c r="B305" s="2261"/>
      <c r="C305" s="1304" t="s">
        <v>2007</v>
      </c>
      <c r="D305" s="1304" t="s">
        <v>2005</v>
      </c>
      <c r="E305" s="1342"/>
      <c r="F305" s="1342">
        <v>40</v>
      </c>
      <c r="G305" s="1341">
        <v>50000</v>
      </c>
      <c r="H305" s="1342"/>
      <c r="I305" s="1350">
        <f t="shared" si="30"/>
        <v>2000000</v>
      </c>
      <c r="J305" s="1311"/>
    </row>
    <row r="306" spans="2:10" ht="15.75" customHeight="1">
      <c r="B306" s="2261"/>
      <c r="C306" s="1304" t="s">
        <v>2008</v>
      </c>
      <c r="D306" s="1304" t="s">
        <v>2009</v>
      </c>
      <c r="E306" s="1342"/>
      <c r="F306" s="1342">
        <v>40</v>
      </c>
      <c r="G306" s="1341">
        <v>50000</v>
      </c>
      <c r="H306" s="1342"/>
      <c r="I306" s="1350">
        <f t="shared" si="30"/>
        <v>2000000</v>
      </c>
      <c r="J306" s="1311"/>
    </row>
    <row r="307" spans="2:10" ht="15.75" customHeight="1">
      <c r="B307" s="2261"/>
      <c r="C307" s="1304" t="s">
        <v>2010</v>
      </c>
      <c r="D307" s="1304" t="s">
        <v>2005</v>
      </c>
      <c r="E307" s="1342"/>
      <c r="F307" s="1342">
        <v>20</v>
      </c>
      <c r="G307" s="1341">
        <v>50000</v>
      </c>
      <c r="H307" s="1342"/>
      <c r="I307" s="1350">
        <f t="shared" si="30"/>
        <v>1000000</v>
      </c>
      <c r="J307" s="1311"/>
    </row>
    <row r="308" spans="2:10" ht="15.75" customHeight="1">
      <c r="B308" s="2261"/>
      <c r="C308" s="1304" t="s">
        <v>2011</v>
      </c>
      <c r="D308" s="1304" t="s">
        <v>2012</v>
      </c>
      <c r="E308" s="1342"/>
      <c r="F308" s="1342">
        <v>5</v>
      </c>
      <c r="G308" s="1341">
        <v>50000</v>
      </c>
      <c r="H308" s="1342"/>
      <c r="I308" s="1350">
        <f t="shared" si="30"/>
        <v>250000</v>
      </c>
      <c r="J308" s="1311"/>
    </row>
    <row r="309" spans="2:10" ht="15.75" customHeight="1">
      <c r="B309" s="2261"/>
      <c r="C309" s="2260" t="s">
        <v>2017</v>
      </c>
      <c r="D309" s="2249"/>
      <c r="E309" s="2258"/>
      <c r="F309" s="2258"/>
      <c r="G309" s="2258"/>
      <c r="H309" s="2258"/>
      <c r="I309" s="1350"/>
      <c r="J309" s="1304" t="s">
        <v>2018</v>
      </c>
    </row>
    <row r="310" spans="2:10" ht="15.75" customHeight="1">
      <c r="B310" s="2261"/>
      <c r="C310" s="1304" t="s">
        <v>1999</v>
      </c>
      <c r="D310" s="1304" t="s">
        <v>2000</v>
      </c>
      <c r="E310" s="1342"/>
      <c r="F310" s="1342">
        <v>1</v>
      </c>
      <c r="G310" s="1341">
        <v>450000</v>
      </c>
      <c r="H310" s="1342"/>
      <c r="I310" s="1350">
        <f t="shared" ref="I310:I317" si="31">PRODUCT(F310:G310)</f>
        <v>450000</v>
      </c>
      <c r="J310" s="1304" t="s">
        <v>2018</v>
      </c>
    </row>
    <row r="311" spans="2:10" ht="15.75" customHeight="1">
      <c r="B311" s="2261"/>
      <c r="C311" s="1304" t="s">
        <v>2002</v>
      </c>
      <c r="D311" s="1304" t="s">
        <v>2003</v>
      </c>
      <c r="E311" s="1342"/>
      <c r="F311" s="1342">
        <v>4</v>
      </c>
      <c r="G311" s="1341">
        <v>100000</v>
      </c>
      <c r="H311" s="1342"/>
      <c r="I311" s="1350">
        <f t="shared" si="31"/>
        <v>400000</v>
      </c>
      <c r="J311" s="1311"/>
    </row>
    <row r="312" spans="2:10" ht="15.75" customHeight="1">
      <c r="B312" s="2261">
        <v>7</v>
      </c>
      <c r="C312" s="1304" t="s">
        <v>2004</v>
      </c>
      <c r="D312" s="1304" t="s">
        <v>2005</v>
      </c>
      <c r="E312" s="1342"/>
      <c r="F312" s="1342">
        <v>20</v>
      </c>
      <c r="G312" s="1341">
        <v>50000</v>
      </c>
      <c r="H312" s="1342"/>
      <c r="I312" s="1350">
        <f t="shared" si="31"/>
        <v>1000000</v>
      </c>
      <c r="J312" s="1311"/>
    </row>
    <row r="313" spans="2:10" ht="15.75" customHeight="1">
      <c r="B313" s="2261"/>
      <c r="C313" s="1304" t="s">
        <v>2006</v>
      </c>
      <c r="D313" s="1304" t="s">
        <v>2005</v>
      </c>
      <c r="E313" s="1342"/>
      <c r="F313" s="1342">
        <v>20</v>
      </c>
      <c r="G313" s="1341">
        <v>50000</v>
      </c>
      <c r="H313" s="1342"/>
      <c r="I313" s="1350">
        <f t="shared" si="31"/>
        <v>1000000</v>
      </c>
      <c r="J313" s="1311"/>
    </row>
    <row r="314" spans="2:10" ht="15.75" customHeight="1">
      <c r="B314" s="2261"/>
      <c r="C314" s="1304" t="s">
        <v>2007</v>
      </c>
      <c r="D314" s="1304" t="s">
        <v>2005</v>
      </c>
      <c r="E314" s="1342"/>
      <c r="F314" s="1342">
        <v>40</v>
      </c>
      <c r="G314" s="1341">
        <v>50000</v>
      </c>
      <c r="H314" s="1342"/>
      <c r="I314" s="1350">
        <f t="shared" si="31"/>
        <v>2000000</v>
      </c>
      <c r="J314" s="1311"/>
    </row>
    <row r="315" spans="2:10" ht="15.75" customHeight="1">
      <c r="B315" s="2261"/>
      <c r="C315" s="1304" t="s">
        <v>2008</v>
      </c>
      <c r="D315" s="1304" t="s">
        <v>2009</v>
      </c>
      <c r="E315" s="1342"/>
      <c r="F315" s="1342">
        <v>40</v>
      </c>
      <c r="G315" s="1341">
        <v>50000</v>
      </c>
      <c r="H315" s="1342"/>
      <c r="I315" s="1350">
        <f t="shared" si="31"/>
        <v>2000000</v>
      </c>
      <c r="J315" s="1311"/>
    </row>
    <row r="316" spans="2:10" ht="15.75" customHeight="1">
      <c r="B316" s="2261"/>
      <c r="C316" s="1304" t="s">
        <v>2010</v>
      </c>
      <c r="D316" s="1304" t="s">
        <v>2005</v>
      </c>
      <c r="E316" s="1342"/>
      <c r="F316" s="1342">
        <v>20</v>
      </c>
      <c r="G316" s="1341">
        <v>50000</v>
      </c>
      <c r="H316" s="1342"/>
      <c r="I316" s="1350">
        <f t="shared" si="31"/>
        <v>1000000</v>
      </c>
      <c r="J316" s="1311"/>
    </row>
    <row r="317" spans="2:10" ht="15.75" customHeight="1">
      <c r="B317" s="2261"/>
      <c r="C317" s="1304" t="s">
        <v>2011</v>
      </c>
      <c r="D317" s="1304" t="s">
        <v>2012</v>
      </c>
      <c r="E317" s="1342"/>
      <c r="F317" s="1342">
        <v>5</v>
      </c>
      <c r="G317" s="1341">
        <v>50000</v>
      </c>
      <c r="H317" s="1342"/>
      <c r="I317" s="1350">
        <f t="shared" si="31"/>
        <v>250000</v>
      </c>
      <c r="J317" s="1311"/>
    </row>
    <row r="318" spans="2:10" ht="15.75" customHeight="1">
      <c r="B318" s="2261"/>
      <c r="C318" s="2260" t="s">
        <v>2019</v>
      </c>
      <c r="D318" s="2249"/>
      <c r="E318" s="2258"/>
      <c r="F318" s="2258"/>
      <c r="G318" s="2258"/>
      <c r="H318" s="2258"/>
      <c r="I318" s="1350"/>
      <c r="J318" s="1355">
        <f>SUM(I319:I326)</f>
        <v>8100000</v>
      </c>
    </row>
    <row r="319" spans="2:10" ht="15.75" customHeight="1">
      <c r="B319" s="2261"/>
      <c r="C319" s="2253" t="s">
        <v>1999</v>
      </c>
      <c r="D319" s="2253" t="s">
        <v>2000</v>
      </c>
      <c r="E319" s="2246"/>
      <c r="F319" s="1342">
        <v>1</v>
      </c>
      <c r="G319" s="1341">
        <v>450000</v>
      </c>
      <c r="H319" s="1342"/>
      <c r="I319" s="1350">
        <f t="shared" ref="I319:I326" si="32">PRODUCT(F319:G319)</f>
        <v>450000</v>
      </c>
      <c r="J319" s="1304" t="s">
        <v>2018</v>
      </c>
    </row>
    <row r="320" spans="2:10" ht="15.75" customHeight="1">
      <c r="B320" s="2261">
        <v>8</v>
      </c>
      <c r="C320" s="2253" t="s">
        <v>2002</v>
      </c>
      <c r="D320" s="2253" t="s">
        <v>2003</v>
      </c>
      <c r="E320" s="2246"/>
      <c r="F320" s="1342">
        <v>4</v>
      </c>
      <c r="G320" s="1341">
        <v>100000</v>
      </c>
      <c r="H320" s="1342"/>
      <c r="I320" s="1350">
        <f t="shared" si="32"/>
        <v>400000</v>
      </c>
      <c r="J320" s="1311"/>
    </row>
    <row r="321" spans="2:10" ht="15.75" customHeight="1">
      <c r="B321" s="2261"/>
      <c r="C321" s="2253" t="s">
        <v>2004</v>
      </c>
      <c r="D321" s="2253" t="s">
        <v>2005</v>
      </c>
      <c r="E321" s="2246"/>
      <c r="F321" s="1342">
        <v>20</v>
      </c>
      <c r="G321" s="1341">
        <v>50000</v>
      </c>
      <c r="H321" s="1342"/>
      <c r="I321" s="1350">
        <f t="shared" si="32"/>
        <v>1000000</v>
      </c>
      <c r="J321" s="1311"/>
    </row>
    <row r="322" spans="2:10" ht="15.75" customHeight="1">
      <c r="B322" s="2261"/>
      <c r="C322" s="2253" t="s">
        <v>2006</v>
      </c>
      <c r="D322" s="2253" t="s">
        <v>2005</v>
      </c>
      <c r="E322" s="2246"/>
      <c r="F322" s="1342">
        <v>20</v>
      </c>
      <c r="G322" s="1341">
        <v>50000</v>
      </c>
      <c r="H322" s="1342"/>
      <c r="I322" s="1350">
        <f t="shared" si="32"/>
        <v>1000000</v>
      </c>
      <c r="J322" s="1311"/>
    </row>
    <row r="323" spans="2:10" ht="15.75" customHeight="1">
      <c r="B323" s="2261"/>
      <c r="C323" s="2253" t="s">
        <v>2007</v>
      </c>
      <c r="D323" s="2253" t="s">
        <v>2005</v>
      </c>
      <c r="E323" s="2246"/>
      <c r="F323" s="1342">
        <v>40</v>
      </c>
      <c r="G323" s="1341">
        <v>50000</v>
      </c>
      <c r="H323" s="1342"/>
      <c r="I323" s="1350">
        <f t="shared" si="32"/>
        <v>2000000</v>
      </c>
      <c r="J323" s="1311"/>
    </row>
    <row r="324" spans="2:10" ht="15.75" customHeight="1">
      <c r="B324" s="2261"/>
      <c r="C324" s="2253" t="s">
        <v>2008</v>
      </c>
      <c r="D324" s="2253" t="s">
        <v>2009</v>
      </c>
      <c r="E324" s="2246"/>
      <c r="F324" s="1342">
        <v>40</v>
      </c>
      <c r="G324" s="1341">
        <v>50000</v>
      </c>
      <c r="H324" s="1342"/>
      <c r="I324" s="1350">
        <f t="shared" si="32"/>
        <v>2000000</v>
      </c>
      <c r="J324" s="1311"/>
    </row>
    <row r="325" spans="2:10" ht="15.75" customHeight="1">
      <c r="B325" s="2261"/>
      <c r="C325" s="2253" t="s">
        <v>2010</v>
      </c>
      <c r="D325" s="2253" t="s">
        <v>2005</v>
      </c>
      <c r="E325" s="2246"/>
      <c r="F325" s="1342">
        <v>20</v>
      </c>
      <c r="G325" s="1341">
        <v>50000</v>
      </c>
      <c r="H325" s="1342"/>
      <c r="I325" s="1350">
        <f t="shared" si="32"/>
        <v>1000000</v>
      </c>
      <c r="J325" s="1311"/>
    </row>
    <row r="326" spans="2:10" ht="15.75" customHeight="1">
      <c r="B326" s="2261"/>
      <c r="C326" s="2253" t="s">
        <v>2011</v>
      </c>
      <c r="D326" s="2253" t="s">
        <v>2012</v>
      </c>
      <c r="E326" s="2246"/>
      <c r="F326" s="1342">
        <v>5</v>
      </c>
      <c r="G326" s="1341">
        <v>50000</v>
      </c>
      <c r="H326" s="1342"/>
      <c r="I326" s="1350">
        <f t="shared" si="32"/>
        <v>250000</v>
      </c>
      <c r="J326" s="1311"/>
    </row>
    <row r="327" spans="2:10" ht="15.75" customHeight="1">
      <c r="B327" s="2261"/>
      <c r="C327" s="2262" t="s">
        <v>2020</v>
      </c>
      <c r="D327" s="2257"/>
      <c r="E327" s="2246"/>
      <c r="F327" s="2258"/>
      <c r="G327" s="2258"/>
      <c r="H327" s="2258"/>
      <c r="I327" s="1350"/>
      <c r="J327" s="1355">
        <f>SUM(I328:I335)</f>
        <v>8100000</v>
      </c>
    </row>
    <row r="328" spans="2:10" ht="15.75" customHeight="1">
      <c r="B328" s="2261">
        <v>9</v>
      </c>
      <c r="C328" s="2253" t="s">
        <v>1999</v>
      </c>
      <c r="D328" s="2253" t="s">
        <v>2000</v>
      </c>
      <c r="E328" s="2246"/>
      <c r="F328" s="1342">
        <v>1</v>
      </c>
      <c r="G328" s="1341">
        <v>450000</v>
      </c>
      <c r="H328" s="1342"/>
      <c r="I328" s="1350">
        <f t="shared" ref="I328:I335" si="33">PRODUCT(F328:G328)</f>
        <v>450000</v>
      </c>
      <c r="J328" s="1304" t="s">
        <v>2018</v>
      </c>
    </row>
    <row r="329" spans="2:10" ht="15.75" customHeight="1">
      <c r="B329" s="2261"/>
      <c r="C329" s="2253" t="s">
        <v>2002</v>
      </c>
      <c r="D329" s="2253" t="s">
        <v>2003</v>
      </c>
      <c r="E329" s="2246"/>
      <c r="F329" s="1342">
        <v>4</v>
      </c>
      <c r="G329" s="1341">
        <v>100000</v>
      </c>
      <c r="H329" s="1342"/>
      <c r="I329" s="1350">
        <f t="shared" si="33"/>
        <v>400000</v>
      </c>
      <c r="J329" s="1311"/>
    </row>
    <row r="330" spans="2:10" ht="15.75" customHeight="1">
      <c r="B330" s="2261"/>
      <c r="C330" s="2253" t="s">
        <v>2004</v>
      </c>
      <c r="D330" s="2253" t="s">
        <v>2005</v>
      </c>
      <c r="E330" s="2246"/>
      <c r="F330" s="1342">
        <v>20</v>
      </c>
      <c r="G330" s="1341">
        <v>50000</v>
      </c>
      <c r="H330" s="1342"/>
      <c r="I330" s="1350">
        <f t="shared" si="33"/>
        <v>1000000</v>
      </c>
      <c r="J330" s="1311"/>
    </row>
    <row r="331" spans="2:10" ht="15.75" customHeight="1">
      <c r="B331" s="2261"/>
      <c r="C331" s="2253" t="s">
        <v>2006</v>
      </c>
      <c r="D331" s="2253" t="s">
        <v>2005</v>
      </c>
      <c r="E331" s="2246"/>
      <c r="F331" s="1342">
        <v>20</v>
      </c>
      <c r="G331" s="1341">
        <v>50000</v>
      </c>
      <c r="H331" s="1342"/>
      <c r="I331" s="1350">
        <f t="shared" si="33"/>
        <v>1000000</v>
      </c>
      <c r="J331" s="1311"/>
    </row>
    <row r="332" spans="2:10" ht="15.75" customHeight="1">
      <c r="B332" s="2261"/>
      <c r="C332" s="2253" t="s">
        <v>2007</v>
      </c>
      <c r="D332" s="2253" t="s">
        <v>2005</v>
      </c>
      <c r="E332" s="2246"/>
      <c r="F332" s="1342">
        <v>40</v>
      </c>
      <c r="G332" s="1341">
        <v>50000</v>
      </c>
      <c r="H332" s="1342"/>
      <c r="I332" s="1350">
        <f t="shared" si="33"/>
        <v>2000000</v>
      </c>
      <c r="J332" s="1311"/>
    </row>
    <row r="333" spans="2:10" ht="15.75" customHeight="1">
      <c r="B333" s="2261"/>
      <c r="C333" s="2253" t="s">
        <v>2008</v>
      </c>
      <c r="D333" s="2253" t="s">
        <v>2009</v>
      </c>
      <c r="E333" s="2246"/>
      <c r="F333" s="1342">
        <v>40</v>
      </c>
      <c r="G333" s="1341">
        <v>50000</v>
      </c>
      <c r="H333" s="1342"/>
      <c r="I333" s="1350">
        <f t="shared" si="33"/>
        <v>2000000</v>
      </c>
      <c r="J333" s="1311"/>
    </row>
    <row r="334" spans="2:10" ht="15.75" customHeight="1">
      <c r="B334" s="2261"/>
      <c r="C334" s="2253" t="s">
        <v>2010</v>
      </c>
      <c r="D334" s="2253" t="s">
        <v>2005</v>
      </c>
      <c r="E334" s="2246"/>
      <c r="F334" s="1342">
        <v>20</v>
      </c>
      <c r="G334" s="1341">
        <v>50000</v>
      </c>
      <c r="H334" s="1342"/>
      <c r="I334" s="1350">
        <f t="shared" si="33"/>
        <v>1000000</v>
      </c>
      <c r="J334" s="1311"/>
    </row>
    <row r="335" spans="2:10" ht="15.75" customHeight="1">
      <c r="B335" s="2261"/>
      <c r="C335" s="2253" t="s">
        <v>2011</v>
      </c>
      <c r="D335" s="2253" t="s">
        <v>2012</v>
      </c>
      <c r="E335" s="2246"/>
      <c r="F335" s="1342">
        <v>5</v>
      </c>
      <c r="G335" s="1341">
        <v>50000</v>
      </c>
      <c r="H335" s="1342"/>
      <c r="I335" s="1350">
        <f t="shared" si="33"/>
        <v>250000</v>
      </c>
      <c r="J335" s="1311"/>
    </row>
    <row r="336" spans="2:10" ht="15.75" customHeight="1">
      <c r="B336" s="2261"/>
      <c r="C336" s="2262" t="s">
        <v>2021</v>
      </c>
      <c r="D336" s="2257"/>
      <c r="E336" s="2246"/>
      <c r="F336" s="2258"/>
      <c r="G336" s="2258"/>
      <c r="H336" s="2258"/>
      <c r="I336" s="1350"/>
      <c r="J336" s="1355">
        <f>SUM(I337:I344)</f>
        <v>8100000</v>
      </c>
    </row>
    <row r="337" spans="2:10" ht="15.75" customHeight="1">
      <c r="B337" s="2261"/>
      <c r="C337" s="2253" t="s">
        <v>1999</v>
      </c>
      <c r="D337" s="2253" t="s">
        <v>2000</v>
      </c>
      <c r="E337" s="2246"/>
      <c r="F337" s="1342">
        <v>1</v>
      </c>
      <c r="G337" s="1341">
        <v>450000</v>
      </c>
      <c r="H337" s="1342"/>
      <c r="I337" s="1350">
        <f t="shared" ref="I337:I344" si="34">PRODUCT(F337:G337)</f>
        <v>450000</v>
      </c>
      <c r="J337" s="1304" t="s">
        <v>2018</v>
      </c>
    </row>
    <row r="338" spans="2:10" ht="15.75" customHeight="1">
      <c r="B338" s="2261"/>
      <c r="C338" s="2253" t="s">
        <v>2002</v>
      </c>
      <c r="D338" s="2253" t="s">
        <v>2003</v>
      </c>
      <c r="E338" s="2246"/>
      <c r="F338" s="1342">
        <v>4</v>
      </c>
      <c r="G338" s="1341">
        <v>100000</v>
      </c>
      <c r="H338" s="1342"/>
      <c r="I338" s="1350">
        <f t="shared" si="34"/>
        <v>400000</v>
      </c>
      <c r="J338" s="1311"/>
    </row>
    <row r="339" spans="2:10" ht="15.75" customHeight="1">
      <c r="B339" s="2261"/>
      <c r="C339" s="2253" t="s">
        <v>2004</v>
      </c>
      <c r="D339" s="2253" t="s">
        <v>2005</v>
      </c>
      <c r="E339" s="2246"/>
      <c r="F339" s="1342">
        <v>20</v>
      </c>
      <c r="G339" s="1341">
        <v>50000</v>
      </c>
      <c r="H339" s="1342"/>
      <c r="I339" s="1350">
        <f t="shared" si="34"/>
        <v>1000000</v>
      </c>
      <c r="J339" s="1311"/>
    </row>
    <row r="340" spans="2:10" ht="15.75" customHeight="1">
      <c r="B340" s="2261"/>
      <c r="C340" s="2278" t="s">
        <v>2006</v>
      </c>
      <c r="D340" s="2253" t="s">
        <v>2005</v>
      </c>
      <c r="E340" s="2246"/>
      <c r="F340" s="1342">
        <v>20</v>
      </c>
      <c r="G340" s="1341">
        <v>50000</v>
      </c>
      <c r="H340" s="1342"/>
      <c r="I340" s="1350">
        <f t="shared" si="34"/>
        <v>1000000</v>
      </c>
      <c r="J340" s="1311"/>
    </row>
    <row r="341" spans="2:10" ht="15.75" customHeight="1">
      <c r="B341" s="2261"/>
      <c r="C341" s="2278" t="s">
        <v>2007</v>
      </c>
      <c r="D341" s="2253" t="s">
        <v>2005</v>
      </c>
      <c r="E341" s="2246"/>
      <c r="F341" s="1342">
        <v>40</v>
      </c>
      <c r="G341" s="1341">
        <v>50000</v>
      </c>
      <c r="H341" s="1342"/>
      <c r="I341" s="1350">
        <f t="shared" si="34"/>
        <v>2000000</v>
      </c>
      <c r="J341" s="1311"/>
    </row>
    <row r="342" spans="2:10" ht="15.75" customHeight="1">
      <c r="B342" s="2261"/>
      <c r="C342" s="2278" t="s">
        <v>2008</v>
      </c>
      <c r="D342" s="2253" t="s">
        <v>2009</v>
      </c>
      <c r="E342" s="2246"/>
      <c r="F342" s="1342">
        <v>40</v>
      </c>
      <c r="G342" s="1341">
        <v>50000</v>
      </c>
      <c r="H342" s="1342"/>
      <c r="I342" s="1350">
        <f t="shared" si="34"/>
        <v>2000000</v>
      </c>
      <c r="J342" s="1311"/>
    </row>
    <row r="343" spans="2:10" ht="15.75" customHeight="1">
      <c r="B343" s="2261"/>
      <c r="C343" s="2278" t="s">
        <v>2010</v>
      </c>
      <c r="D343" s="2253" t="s">
        <v>2005</v>
      </c>
      <c r="E343" s="2246"/>
      <c r="F343" s="1342">
        <v>20</v>
      </c>
      <c r="G343" s="1341">
        <v>50000</v>
      </c>
      <c r="H343" s="1342"/>
      <c r="I343" s="1350">
        <f t="shared" si="34"/>
        <v>1000000</v>
      </c>
      <c r="J343" s="1311"/>
    </row>
    <row r="344" spans="2:10" ht="15.75" customHeight="1">
      <c r="B344" s="2263"/>
      <c r="C344" s="2278" t="s">
        <v>2011</v>
      </c>
      <c r="D344" s="2253" t="s">
        <v>2012</v>
      </c>
      <c r="E344" s="2246"/>
      <c r="F344" s="1342">
        <v>5</v>
      </c>
      <c r="G344" s="1341">
        <v>50000</v>
      </c>
      <c r="H344" s="1342"/>
      <c r="I344" s="1350">
        <f t="shared" si="34"/>
        <v>250000</v>
      </c>
      <c r="J344" s="1311"/>
    </row>
    <row r="345" spans="2:10" ht="15.75" customHeight="1">
      <c r="B345" s="2263"/>
      <c r="C345" s="2279"/>
      <c r="D345" s="2257"/>
      <c r="E345" s="2246"/>
      <c r="F345" s="2246"/>
      <c r="G345" s="2246"/>
      <c r="H345" s="2246"/>
      <c r="I345" s="1346"/>
      <c r="J345" s="1311"/>
    </row>
    <row r="346" spans="2:10" ht="15.75" customHeight="1">
      <c r="B346" s="2263"/>
      <c r="C346" s="2280" t="s">
        <v>2022</v>
      </c>
      <c r="D346" s="2257"/>
      <c r="E346" s="2246"/>
      <c r="F346" s="2246"/>
      <c r="G346" s="2246"/>
      <c r="H346" s="2246"/>
      <c r="I346" s="1346"/>
      <c r="J346" s="1355">
        <f>SUM(I347:I354)</f>
        <v>8100000</v>
      </c>
    </row>
    <row r="347" spans="2:10" ht="15.75" customHeight="1">
      <c r="B347" s="2263"/>
      <c r="C347" s="2278" t="s">
        <v>1999</v>
      </c>
      <c r="D347" s="2253" t="s">
        <v>2000</v>
      </c>
      <c r="E347" s="2246"/>
      <c r="F347" s="1342">
        <v>1</v>
      </c>
      <c r="G347" s="1341">
        <v>450000</v>
      </c>
      <c r="H347" s="1342"/>
      <c r="I347" s="1350">
        <f t="shared" ref="I347:I354" si="35">PRODUCT(F347:G347)</f>
        <v>450000</v>
      </c>
      <c r="J347" s="1304" t="s">
        <v>2018</v>
      </c>
    </row>
    <row r="348" spans="2:10" ht="15.75" customHeight="1">
      <c r="B348" s="2263"/>
      <c r="C348" s="2278" t="s">
        <v>2002</v>
      </c>
      <c r="D348" s="2253" t="s">
        <v>2003</v>
      </c>
      <c r="E348" s="2246"/>
      <c r="F348" s="1342">
        <v>4</v>
      </c>
      <c r="G348" s="1341">
        <v>100000</v>
      </c>
      <c r="H348" s="1342"/>
      <c r="I348" s="1350">
        <f t="shared" si="35"/>
        <v>400000</v>
      </c>
      <c r="J348" s="1311"/>
    </row>
    <row r="349" spans="2:10" ht="15.75" customHeight="1">
      <c r="B349" s="2263"/>
      <c r="C349" s="2278" t="s">
        <v>2004</v>
      </c>
      <c r="D349" s="2253" t="s">
        <v>2005</v>
      </c>
      <c r="E349" s="2246"/>
      <c r="F349" s="1342">
        <v>20</v>
      </c>
      <c r="G349" s="1341">
        <v>50000</v>
      </c>
      <c r="H349" s="1342"/>
      <c r="I349" s="1350">
        <f t="shared" si="35"/>
        <v>1000000</v>
      </c>
      <c r="J349" s="1311"/>
    </row>
    <row r="350" spans="2:10" ht="15.75" customHeight="1">
      <c r="B350" s="2263"/>
      <c r="C350" s="2278" t="s">
        <v>2006</v>
      </c>
      <c r="D350" s="2253" t="s">
        <v>2005</v>
      </c>
      <c r="E350" s="2246"/>
      <c r="F350" s="1342">
        <v>20</v>
      </c>
      <c r="G350" s="1341">
        <v>50000</v>
      </c>
      <c r="H350" s="1342"/>
      <c r="I350" s="1350">
        <f t="shared" si="35"/>
        <v>1000000</v>
      </c>
      <c r="J350" s="1311"/>
    </row>
    <row r="351" spans="2:10" ht="15.75" customHeight="1">
      <c r="B351" s="2263"/>
      <c r="C351" s="2278" t="s">
        <v>2007</v>
      </c>
      <c r="D351" s="2253" t="s">
        <v>2005</v>
      </c>
      <c r="E351" s="2246"/>
      <c r="F351" s="1342">
        <v>40</v>
      </c>
      <c r="G351" s="1341">
        <v>50000</v>
      </c>
      <c r="H351" s="1342"/>
      <c r="I351" s="1350">
        <f t="shared" si="35"/>
        <v>2000000</v>
      </c>
      <c r="J351" s="1311"/>
    </row>
    <row r="352" spans="2:10" ht="15.75" customHeight="1">
      <c r="B352" s="2263"/>
      <c r="C352" s="2278" t="s">
        <v>2008</v>
      </c>
      <c r="D352" s="2253" t="s">
        <v>2009</v>
      </c>
      <c r="E352" s="2246"/>
      <c r="F352" s="1342">
        <v>40</v>
      </c>
      <c r="G352" s="1341">
        <v>50000</v>
      </c>
      <c r="H352" s="1342"/>
      <c r="I352" s="1350">
        <f t="shared" si="35"/>
        <v>2000000</v>
      </c>
      <c r="J352" s="1311"/>
    </row>
    <row r="353" spans="3:10" ht="15.75" customHeight="1">
      <c r="C353" s="2278" t="s">
        <v>2010</v>
      </c>
      <c r="D353" s="2253" t="s">
        <v>2005</v>
      </c>
      <c r="E353" s="2246"/>
      <c r="F353" s="1342">
        <v>20</v>
      </c>
      <c r="G353" s="1341">
        <v>50000</v>
      </c>
      <c r="H353" s="1342"/>
      <c r="I353" s="1350">
        <f t="shared" si="35"/>
        <v>1000000</v>
      </c>
      <c r="J353" s="1311"/>
    </row>
    <row r="354" spans="3:10" ht="15.75" customHeight="1">
      <c r="C354" s="2278" t="s">
        <v>2011</v>
      </c>
      <c r="D354" s="2253" t="s">
        <v>2012</v>
      </c>
      <c r="E354" s="2246"/>
      <c r="F354" s="1342">
        <v>5</v>
      </c>
      <c r="G354" s="1341">
        <v>50000</v>
      </c>
      <c r="H354" s="1342"/>
      <c r="I354" s="1350">
        <f t="shared" si="35"/>
        <v>250000</v>
      </c>
      <c r="J354" s="1311"/>
    </row>
    <row r="355" spans="3:10" ht="15.75" customHeight="1">
      <c r="C355" s="2279"/>
      <c r="D355" s="2257"/>
      <c r="E355" s="2246"/>
      <c r="F355" s="2258"/>
      <c r="G355" s="2258"/>
      <c r="H355" s="2258"/>
      <c r="I355" s="1346"/>
      <c r="J355" s="1311"/>
    </row>
    <row r="356" spans="3:10" ht="15.75" customHeight="1">
      <c r="C356" s="2280" t="s">
        <v>2023</v>
      </c>
      <c r="D356" s="2257"/>
      <c r="E356" s="2246"/>
      <c r="F356" s="656"/>
      <c r="G356" s="2245"/>
      <c r="H356" s="2245"/>
      <c r="I356" s="1346"/>
      <c r="J356" s="1355">
        <f>SUM(I357:I364)</f>
        <v>8100000</v>
      </c>
    </row>
    <row r="357" spans="3:10" ht="15.75" customHeight="1">
      <c r="C357" s="2278" t="s">
        <v>1999</v>
      </c>
      <c r="D357" s="2253" t="s">
        <v>2000</v>
      </c>
      <c r="E357" s="2246"/>
      <c r="F357" s="656">
        <v>1</v>
      </c>
      <c r="G357" s="2281">
        <v>450000</v>
      </c>
      <c r="H357" s="2245"/>
      <c r="I357" s="1350">
        <f t="shared" ref="I357:I364" si="36">PRODUCT(F357:G357)</f>
        <v>450000</v>
      </c>
      <c r="J357" s="1304" t="s">
        <v>2018</v>
      </c>
    </row>
    <row r="358" spans="3:10" ht="15.75" customHeight="1">
      <c r="C358" s="2278" t="s">
        <v>2002</v>
      </c>
      <c r="D358" s="2253" t="s">
        <v>2003</v>
      </c>
      <c r="E358" s="2246"/>
      <c r="F358" s="1342">
        <v>4</v>
      </c>
      <c r="G358" s="1341">
        <v>100000</v>
      </c>
      <c r="H358" s="1342"/>
      <c r="I358" s="1350">
        <f t="shared" si="36"/>
        <v>400000</v>
      </c>
      <c r="J358" s="1311"/>
    </row>
    <row r="359" spans="3:10" ht="15.75" customHeight="1">
      <c r="C359" s="2278" t="s">
        <v>2004</v>
      </c>
      <c r="D359" s="2253" t="s">
        <v>2005</v>
      </c>
      <c r="E359" s="2246"/>
      <c r="F359" s="1342">
        <v>20</v>
      </c>
      <c r="G359" s="1341">
        <v>50000</v>
      </c>
      <c r="H359" s="1342"/>
      <c r="I359" s="1350">
        <f t="shared" si="36"/>
        <v>1000000</v>
      </c>
      <c r="J359" s="1311"/>
    </row>
    <row r="360" spans="3:10" ht="15.75" customHeight="1">
      <c r="C360" s="2278" t="s">
        <v>2006</v>
      </c>
      <c r="D360" s="2253" t="s">
        <v>2005</v>
      </c>
      <c r="E360" s="2246"/>
      <c r="F360" s="1342">
        <v>20</v>
      </c>
      <c r="G360" s="1341">
        <v>50000</v>
      </c>
      <c r="H360" s="1342"/>
      <c r="I360" s="1350">
        <f t="shared" si="36"/>
        <v>1000000</v>
      </c>
      <c r="J360" s="1311"/>
    </row>
    <row r="361" spans="3:10" ht="15.75" customHeight="1">
      <c r="C361" s="2278" t="s">
        <v>2007</v>
      </c>
      <c r="D361" s="2253" t="s">
        <v>2005</v>
      </c>
      <c r="E361" s="2246"/>
      <c r="F361" s="1342">
        <v>40</v>
      </c>
      <c r="G361" s="1341">
        <v>50000</v>
      </c>
      <c r="H361" s="1342"/>
      <c r="I361" s="1350">
        <f t="shared" si="36"/>
        <v>2000000</v>
      </c>
      <c r="J361" s="1311"/>
    </row>
    <row r="362" spans="3:10" ht="15.75" customHeight="1">
      <c r="C362" s="2278" t="s">
        <v>2008</v>
      </c>
      <c r="D362" s="2253" t="s">
        <v>2009</v>
      </c>
      <c r="E362" s="2246"/>
      <c r="F362" s="1342">
        <v>40</v>
      </c>
      <c r="G362" s="1341">
        <v>50000</v>
      </c>
      <c r="H362" s="1342"/>
      <c r="I362" s="1350">
        <f t="shared" si="36"/>
        <v>2000000</v>
      </c>
      <c r="J362" s="1311"/>
    </row>
    <row r="363" spans="3:10" ht="15.75" customHeight="1">
      <c r="C363" s="2278" t="s">
        <v>2010</v>
      </c>
      <c r="D363" s="2253" t="s">
        <v>2005</v>
      </c>
      <c r="E363" s="2246"/>
      <c r="F363" s="2258">
        <v>20</v>
      </c>
      <c r="G363" s="2265">
        <v>50000</v>
      </c>
      <c r="H363" s="2258"/>
      <c r="I363" s="1350">
        <f t="shared" si="36"/>
        <v>1000000</v>
      </c>
      <c r="J363" s="1311"/>
    </row>
    <row r="364" spans="3:10" ht="15.75" customHeight="1">
      <c r="C364" s="655" t="s">
        <v>2011</v>
      </c>
      <c r="D364" s="655" t="s">
        <v>2012</v>
      </c>
      <c r="E364" s="656"/>
      <c r="F364" s="656">
        <v>5</v>
      </c>
      <c r="G364" s="1356">
        <v>50000</v>
      </c>
      <c r="H364" s="656"/>
      <c r="I364" s="1350">
        <f t="shared" si="36"/>
        <v>250000</v>
      </c>
      <c r="J364" s="1311"/>
    </row>
    <row r="365" spans="3:10" ht="15.75" customHeight="1">
      <c r="C365" s="1331"/>
      <c r="D365" s="654"/>
      <c r="E365" s="656"/>
      <c r="F365" s="656"/>
      <c r="G365" s="656"/>
      <c r="H365" s="656"/>
      <c r="I365" s="1346"/>
      <c r="J365" s="1311"/>
    </row>
    <row r="366" spans="3:10" ht="15.75" customHeight="1">
      <c r="C366" s="1358" t="s">
        <v>2024</v>
      </c>
      <c r="D366" s="1331"/>
      <c r="E366" s="1344"/>
      <c r="F366" s="1344"/>
      <c r="G366" s="1344"/>
      <c r="H366" s="1344"/>
      <c r="I366" s="1346">
        <f>SUM(I241:I365)</f>
        <v>123240000</v>
      </c>
      <c r="J366" s="1311"/>
    </row>
    <row r="367" spans="3:10" ht="15.75" customHeight="1">
      <c r="C367" s="1358" t="s">
        <v>2025</v>
      </c>
      <c r="D367" s="654"/>
      <c r="E367" s="656"/>
      <c r="F367" s="656"/>
      <c r="G367" s="656"/>
      <c r="H367" s="656"/>
      <c r="I367" s="1346">
        <f>I236-I366</f>
        <v>71240000</v>
      </c>
      <c r="J367" s="1311"/>
    </row>
    <row r="369" spans="1:11" ht="15.75" customHeight="1">
      <c r="A369" s="2904" t="s">
        <v>2027</v>
      </c>
      <c r="B369" s="2732"/>
      <c r="C369" s="1290"/>
      <c r="D369" s="653"/>
      <c r="E369" s="1290"/>
      <c r="F369" s="1290"/>
      <c r="G369" s="1290"/>
      <c r="H369" s="1290"/>
      <c r="I369" s="1290"/>
      <c r="J369" s="296"/>
      <c r="K369" s="87"/>
    </row>
    <row r="370" spans="1:11" ht="15.75" customHeight="1">
      <c r="A370" s="13"/>
      <c r="B370" s="13"/>
      <c r="C370" s="13"/>
      <c r="D370" s="13"/>
      <c r="E370" s="13"/>
      <c r="F370" s="1337" t="s">
        <v>1957</v>
      </c>
      <c r="G370" s="13"/>
      <c r="H370" s="13"/>
      <c r="I370" s="13"/>
      <c r="J370" s="13"/>
      <c r="K370" s="87"/>
    </row>
    <row r="371" spans="1:11" ht="15.75" customHeight="1">
      <c r="A371" s="13"/>
      <c r="B371" s="13"/>
      <c r="C371" s="13"/>
      <c r="D371" s="13"/>
      <c r="E371" s="13"/>
      <c r="F371" s="1337" t="s">
        <v>2028</v>
      </c>
      <c r="G371" s="13"/>
      <c r="H371" s="13"/>
      <c r="I371" s="13"/>
      <c r="J371" s="13"/>
      <c r="K371" s="87"/>
    </row>
    <row r="372" spans="1:11" ht="15.75" customHeight="1">
      <c r="A372" s="13"/>
      <c r="B372" s="2282"/>
      <c r="C372" s="2282"/>
      <c r="D372" s="2282"/>
      <c r="E372" s="2282"/>
      <c r="F372" s="2282"/>
      <c r="G372" s="2282"/>
      <c r="H372" s="2282"/>
      <c r="I372" s="2282"/>
      <c r="J372" s="2282"/>
      <c r="K372" s="2283"/>
    </row>
    <row r="373" spans="1:11" ht="31.5" customHeight="1">
      <c r="A373" s="1201"/>
      <c r="B373" s="2284" t="s">
        <v>186</v>
      </c>
      <c r="C373" s="1359" t="s">
        <v>1928</v>
      </c>
      <c r="D373" s="1359" t="s">
        <v>242</v>
      </c>
      <c r="E373" s="1360" t="s">
        <v>1959</v>
      </c>
      <c r="F373" s="1359" t="s">
        <v>1859</v>
      </c>
      <c r="G373" s="1359" t="s">
        <v>1960</v>
      </c>
      <c r="H373" s="1359" t="s">
        <v>1961</v>
      </c>
      <c r="I373" s="2285" t="s">
        <v>1929</v>
      </c>
      <c r="J373" s="1359" t="s">
        <v>1962</v>
      </c>
      <c r="K373" s="2286" t="s">
        <v>1963</v>
      </c>
    </row>
    <row r="374" spans="1:11" ht="15.75" customHeight="1">
      <c r="A374" s="13"/>
      <c r="B374" s="1275" t="s">
        <v>200</v>
      </c>
      <c r="C374" s="2287" t="s">
        <v>206</v>
      </c>
      <c r="D374" s="1275" t="s">
        <v>211</v>
      </c>
      <c r="E374" s="1275">
        <v>1</v>
      </c>
      <c r="F374" s="1275">
        <v>2</v>
      </c>
      <c r="G374" s="1361">
        <v>3</v>
      </c>
      <c r="H374" s="1275">
        <v>4</v>
      </c>
      <c r="I374" s="1362"/>
      <c r="J374" s="1275"/>
      <c r="K374" s="991"/>
    </row>
    <row r="375" spans="1:11" ht="15.75" customHeight="1">
      <c r="A375" s="13"/>
      <c r="B375" s="1275" t="s">
        <v>200</v>
      </c>
      <c r="C375" s="2288" t="s">
        <v>1932</v>
      </c>
      <c r="D375" s="1272"/>
      <c r="E375" s="1272"/>
      <c r="F375" s="1272"/>
      <c r="G375" s="1287"/>
      <c r="H375" s="1272"/>
      <c r="I375" s="1287"/>
      <c r="J375" s="1272"/>
      <c r="K375" s="1363"/>
    </row>
    <row r="376" spans="1:11" ht="15.75" customHeight="1">
      <c r="A376" s="13"/>
      <c r="B376" s="1275">
        <v>1</v>
      </c>
      <c r="C376" s="2245" t="s">
        <v>2029</v>
      </c>
      <c r="D376" s="1272"/>
      <c r="E376" s="1277">
        <v>2</v>
      </c>
      <c r="F376" s="1277">
        <v>230</v>
      </c>
      <c r="G376" s="1364">
        <v>340000</v>
      </c>
      <c r="H376" s="1277">
        <v>1.3</v>
      </c>
      <c r="I376" s="1365">
        <f>PRODUCT(E376:F376:G376:H376)</f>
        <v>203320000</v>
      </c>
      <c r="J376" s="654" t="s">
        <v>1965</v>
      </c>
      <c r="K376" s="1363"/>
    </row>
    <row r="377" spans="1:11" ht="15.75" customHeight="1">
      <c r="A377" s="13"/>
      <c r="B377" s="1344" t="s">
        <v>206</v>
      </c>
      <c r="C377" s="2266" t="s">
        <v>1966</v>
      </c>
      <c r="D377" s="1272"/>
      <c r="E377" s="1272"/>
      <c r="F377" s="1272"/>
      <c r="G377" s="1287"/>
      <c r="H377" s="1272"/>
      <c r="I377" s="1364"/>
      <c r="J377" s="1272"/>
      <c r="K377" s="1363"/>
    </row>
    <row r="378" spans="1:11" ht="15.75" customHeight="1">
      <c r="A378" s="13"/>
      <c r="B378" s="1344" t="s">
        <v>258</v>
      </c>
      <c r="C378" s="2266" t="s">
        <v>1967</v>
      </c>
      <c r="D378" s="1272"/>
      <c r="E378" s="1272"/>
      <c r="F378" s="1272"/>
      <c r="G378" s="1287"/>
      <c r="H378" s="1272"/>
      <c r="I378" s="1364"/>
      <c r="J378" s="1272"/>
      <c r="K378" s="1363"/>
    </row>
    <row r="379" spans="1:11" ht="15.75" customHeight="1">
      <c r="A379" s="13"/>
      <c r="B379" s="656">
        <v>1</v>
      </c>
      <c r="C379" s="2289" t="s">
        <v>1968</v>
      </c>
      <c r="D379" s="1272"/>
      <c r="E379" s="1272"/>
      <c r="F379" s="1272"/>
      <c r="G379" s="1287"/>
      <c r="H379" s="1272"/>
      <c r="I379" s="1364"/>
      <c r="J379" s="1272"/>
      <c r="K379" s="1363"/>
    </row>
    <row r="380" spans="1:11" ht="15.75" customHeight="1">
      <c r="A380" s="13"/>
      <c r="B380" s="1349">
        <v>44562</v>
      </c>
      <c r="C380" s="2212" t="s">
        <v>1969</v>
      </c>
      <c r="D380" s="1272"/>
      <c r="E380" s="1272"/>
      <c r="F380" s="1272"/>
      <c r="G380" s="1287"/>
      <c r="H380" s="1272"/>
      <c r="I380" s="1364"/>
      <c r="J380" s="1366" t="s">
        <v>1970</v>
      </c>
      <c r="K380" s="1363"/>
    </row>
    <row r="381" spans="1:11" ht="15.75" customHeight="1">
      <c r="A381" s="13"/>
      <c r="B381" s="1275"/>
      <c r="C381" s="2212" t="s">
        <v>2030</v>
      </c>
      <c r="D381" s="1272" t="s">
        <v>1972</v>
      </c>
      <c r="E381" s="1277">
        <v>30</v>
      </c>
      <c r="F381" s="1277"/>
      <c r="G381" s="1364">
        <v>100000</v>
      </c>
      <c r="H381" s="1272"/>
      <c r="I381" s="1364">
        <f t="shared" ref="I381:I398" si="37">PRODUCT(E381:G381)</f>
        <v>3000000</v>
      </c>
      <c r="J381" s="654" t="s">
        <v>1973</v>
      </c>
      <c r="K381" s="1363"/>
    </row>
    <row r="382" spans="1:11" ht="15.75" customHeight="1">
      <c r="A382" s="13"/>
      <c r="B382" s="1349">
        <v>44593</v>
      </c>
      <c r="C382" s="2290" t="s">
        <v>1974</v>
      </c>
      <c r="D382" s="1272"/>
      <c r="E382" s="1277"/>
      <c r="F382" s="1277"/>
      <c r="G382" s="1287"/>
      <c r="H382" s="1272"/>
      <c r="I382" s="1364">
        <f t="shared" si="37"/>
        <v>0</v>
      </c>
      <c r="J382" s="1272"/>
      <c r="K382" s="1363"/>
    </row>
    <row r="383" spans="1:11" ht="15.75" customHeight="1">
      <c r="A383" s="13"/>
      <c r="B383" s="1275"/>
      <c r="C383" s="2212" t="s">
        <v>2031</v>
      </c>
      <c r="D383" s="1272" t="s">
        <v>1972</v>
      </c>
      <c r="E383" s="1277">
        <v>30</v>
      </c>
      <c r="F383" s="1277"/>
      <c r="G383" s="1364">
        <v>100000</v>
      </c>
      <c r="H383" s="1272"/>
      <c r="I383" s="1364">
        <f t="shared" si="37"/>
        <v>3000000</v>
      </c>
      <c r="J383" s="654" t="s">
        <v>1976</v>
      </c>
      <c r="K383" s="1363"/>
    </row>
    <row r="384" spans="1:11" ht="15.75" customHeight="1">
      <c r="A384" s="13"/>
      <c r="B384" s="1275"/>
      <c r="C384" s="2212" t="s">
        <v>2032</v>
      </c>
      <c r="D384" s="1272" t="s">
        <v>1972</v>
      </c>
      <c r="E384" s="1277">
        <v>30</v>
      </c>
      <c r="F384" s="1277"/>
      <c r="G384" s="1364">
        <v>100000</v>
      </c>
      <c r="H384" s="1272"/>
      <c r="I384" s="1364">
        <f t="shared" si="37"/>
        <v>3000000</v>
      </c>
      <c r="J384" s="1272"/>
      <c r="K384" s="1363"/>
    </row>
    <row r="385" spans="2:11" ht="15.75" customHeight="1">
      <c r="B385" s="1349">
        <v>44621</v>
      </c>
      <c r="C385" s="2212" t="s">
        <v>1978</v>
      </c>
      <c r="D385" s="1272"/>
      <c r="E385" s="1277"/>
      <c r="F385" s="1277"/>
      <c r="G385" s="1287"/>
      <c r="H385" s="1272"/>
      <c r="I385" s="1364">
        <f t="shared" si="37"/>
        <v>0</v>
      </c>
      <c r="J385" s="1272"/>
      <c r="K385" s="1363"/>
    </row>
    <row r="386" spans="2:11" ht="15.75" customHeight="1">
      <c r="B386" s="1275"/>
      <c r="C386" s="2212" t="s">
        <v>2033</v>
      </c>
      <c r="D386" s="1272" t="s">
        <v>1972</v>
      </c>
      <c r="E386" s="1277">
        <v>30</v>
      </c>
      <c r="F386" s="1277"/>
      <c r="G386" s="1364">
        <v>100000</v>
      </c>
      <c r="H386" s="1272"/>
      <c r="I386" s="1364">
        <f t="shared" si="37"/>
        <v>3000000</v>
      </c>
      <c r="J386" s="654"/>
      <c r="K386" s="1363"/>
    </row>
    <row r="387" spans="2:11" ht="15.75" customHeight="1">
      <c r="B387" s="1349">
        <v>44652</v>
      </c>
      <c r="C387" s="2212" t="s">
        <v>2034</v>
      </c>
      <c r="D387" s="1272" t="s">
        <v>1972</v>
      </c>
      <c r="E387" s="1277">
        <v>30</v>
      </c>
      <c r="F387" s="1277"/>
      <c r="G387" s="1364">
        <v>100000</v>
      </c>
      <c r="H387" s="1272"/>
      <c r="I387" s="1364">
        <f t="shared" si="37"/>
        <v>3000000</v>
      </c>
      <c r="J387" s="1272"/>
      <c r="K387" s="1363"/>
    </row>
    <row r="388" spans="2:11" ht="15.75" customHeight="1">
      <c r="B388" s="656"/>
      <c r="C388" s="2212" t="s">
        <v>2035</v>
      </c>
      <c r="D388" s="1272" t="s">
        <v>1972</v>
      </c>
      <c r="E388" s="1277">
        <v>30</v>
      </c>
      <c r="F388" s="1277"/>
      <c r="G388" s="1364">
        <v>100000</v>
      </c>
      <c r="H388" s="1272"/>
      <c r="I388" s="1364">
        <f t="shared" si="37"/>
        <v>3000000</v>
      </c>
      <c r="J388" s="654"/>
      <c r="K388" s="1363"/>
    </row>
    <row r="389" spans="2:11" ht="15.75" customHeight="1">
      <c r="B389" s="1349">
        <v>44682</v>
      </c>
      <c r="C389" s="2212" t="s">
        <v>1982</v>
      </c>
      <c r="D389" s="1272"/>
      <c r="E389" s="1277"/>
      <c r="F389" s="1277"/>
      <c r="G389" s="1287"/>
      <c r="H389" s="1272"/>
      <c r="I389" s="1364">
        <f t="shared" si="37"/>
        <v>0</v>
      </c>
      <c r="J389" s="1272"/>
      <c r="K389" s="1363"/>
    </row>
    <row r="390" spans="2:11" ht="15.75" customHeight="1">
      <c r="B390" s="656"/>
      <c r="C390" s="2212" t="s">
        <v>2036</v>
      </c>
      <c r="D390" s="1272" t="s">
        <v>1972</v>
      </c>
      <c r="E390" s="1277">
        <v>30</v>
      </c>
      <c r="F390" s="1277"/>
      <c r="G390" s="1364">
        <v>90000</v>
      </c>
      <c r="H390" s="1272"/>
      <c r="I390" s="1364">
        <f t="shared" si="37"/>
        <v>2700000</v>
      </c>
      <c r="J390" s="1272"/>
      <c r="K390" s="1363"/>
    </row>
    <row r="391" spans="2:11" ht="15.75" customHeight="1">
      <c r="B391" s="1349">
        <v>44713</v>
      </c>
      <c r="C391" s="2212" t="s">
        <v>1984</v>
      </c>
      <c r="D391" s="1272" t="s">
        <v>1972</v>
      </c>
      <c r="E391" s="1277"/>
      <c r="F391" s="1277"/>
      <c r="G391" s="1287"/>
      <c r="H391" s="1272"/>
      <c r="I391" s="1364">
        <f t="shared" si="37"/>
        <v>0</v>
      </c>
      <c r="J391" s="1272"/>
      <c r="K391" s="1363"/>
    </row>
    <row r="392" spans="2:11" ht="15.75" customHeight="1">
      <c r="B392" s="656"/>
      <c r="C392" s="2212" t="s">
        <v>2037</v>
      </c>
      <c r="D392" s="1272"/>
      <c r="E392" s="1277">
        <v>30</v>
      </c>
      <c r="F392" s="1277"/>
      <c r="G392" s="1364">
        <v>90000</v>
      </c>
      <c r="H392" s="1272"/>
      <c r="I392" s="1364">
        <f t="shared" si="37"/>
        <v>2700000</v>
      </c>
      <c r="J392" s="1272"/>
      <c r="K392" s="1363"/>
    </row>
    <row r="393" spans="2:11" ht="15.75" customHeight="1">
      <c r="B393" s="1349">
        <v>44743</v>
      </c>
      <c r="C393" s="2212" t="s">
        <v>1986</v>
      </c>
      <c r="D393" s="1272" t="s">
        <v>1972</v>
      </c>
      <c r="E393" s="1277"/>
      <c r="F393" s="1277"/>
      <c r="G393" s="1287"/>
      <c r="H393" s="1272"/>
      <c r="I393" s="1364">
        <f t="shared" si="37"/>
        <v>0</v>
      </c>
      <c r="J393" s="748" t="s">
        <v>1987</v>
      </c>
      <c r="K393" s="1363"/>
    </row>
    <row r="394" spans="2:11" ht="15.75" customHeight="1">
      <c r="B394" s="1275"/>
      <c r="C394" s="2212" t="s">
        <v>2038</v>
      </c>
      <c r="D394" s="1272"/>
      <c r="E394" s="1277">
        <v>30</v>
      </c>
      <c r="F394" s="1277"/>
      <c r="G394" s="1364">
        <v>90000</v>
      </c>
      <c r="H394" s="1272"/>
      <c r="I394" s="1364">
        <f t="shared" si="37"/>
        <v>2700000</v>
      </c>
      <c r="J394" s="1367"/>
      <c r="K394" s="1363"/>
    </row>
    <row r="395" spans="2:11" ht="15.75" customHeight="1">
      <c r="B395" s="1349">
        <v>44774</v>
      </c>
      <c r="C395" s="2212" t="s">
        <v>1989</v>
      </c>
      <c r="D395" s="1272"/>
      <c r="E395" s="1277"/>
      <c r="F395" s="1277"/>
      <c r="G395" s="1287"/>
      <c r="H395" s="1272"/>
      <c r="I395" s="1364">
        <f t="shared" si="37"/>
        <v>0</v>
      </c>
      <c r="J395" s="1367"/>
      <c r="K395" s="1363"/>
    </row>
    <row r="396" spans="2:11" ht="15.75" customHeight="1">
      <c r="B396" s="1275"/>
      <c r="C396" s="2212" t="s">
        <v>2039</v>
      </c>
      <c r="D396" s="1272" t="s">
        <v>1972</v>
      </c>
      <c r="E396" s="1277">
        <v>30</v>
      </c>
      <c r="F396" s="1277"/>
      <c r="G396" s="1364">
        <v>90000</v>
      </c>
      <c r="H396" s="1272"/>
      <c r="I396" s="1364">
        <f t="shared" si="37"/>
        <v>2700000</v>
      </c>
      <c r="J396" s="1367" t="s">
        <v>1976</v>
      </c>
      <c r="K396" s="1363"/>
    </row>
    <row r="397" spans="2:11" ht="15.75" customHeight="1">
      <c r="B397" s="1275"/>
      <c r="C397" s="2212" t="s">
        <v>2040</v>
      </c>
      <c r="D397" s="1272" t="s">
        <v>1972</v>
      </c>
      <c r="E397" s="1277">
        <v>30</v>
      </c>
      <c r="F397" s="1277"/>
      <c r="G397" s="1364">
        <v>90000</v>
      </c>
      <c r="H397" s="1272"/>
      <c r="I397" s="1364">
        <f t="shared" si="37"/>
        <v>2700000</v>
      </c>
      <c r="J397" s="1367"/>
      <c r="K397" s="1363"/>
    </row>
    <row r="398" spans="2:11" ht="15.75" customHeight="1">
      <c r="B398" s="656"/>
      <c r="C398" s="2212" t="s">
        <v>2041</v>
      </c>
      <c r="D398" s="1272" t="s">
        <v>1972</v>
      </c>
      <c r="E398" s="1277">
        <v>30</v>
      </c>
      <c r="F398" s="1277"/>
      <c r="G398" s="1364">
        <v>90000</v>
      </c>
      <c r="H398" s="1272"/>
      <c r="I398" s="1364">
        <f t="shared" si="37"/>
        <v>2700000</v>
      </c>
      <c r="J398" s="1367"/>
      <c r="K398" s="1363"/>
    </row>
    <row r="399" spans="2:11" ht="15.75" customHeight="1">
      <c r="B399" s="1275"/>
      <c r="C399" s="2291"/>
      <c r="D399" s="1272"/>
      <c r="E399" s="1272"/>
      <c r="F399" s="1272"/>
      <c r="G399" s="1287"/>
      <c r="H399" s="1272"/>
      <c r="I399" s="1364"/>
      <c r="J399" s="1272"/>
      <c r="K399" s="1363"/>
    </row>
    <row r="400" spans="2:11" ht="15.75" customHeight="1">
      <c r="B400" s="1344" t="s">
        <v>284</v>
      </c>
      <c r="C400" s="2266" t="s">
        <v>1992</v>
      </c>
      <c r="D400" s="1272"/>
      <c r="E400" s="1272"/>
      <c r="F400" s="1272"/>
      <c r="G400" s="1287"/>
      <c r="H400" s="1272"/>
      <c r="I400" s="1364"/>
      <c r="J400" s="1272"/>
      <c r="K400" s="1363"/>
    </row>
    <row r="401" spans="2:10" ht="15.75" customHeight="1">
      <c r="B401" s="656">
        <v>1</v>
      </c>
      <c r="C401" s="2212" t="s">
        <v>1993</v>
      </c>
      <c r="D401" s="654" t="s">
        <v>1994</v>
      </c>
      <c r="E401" s="1277">
        <v>2</v>
      </c>
      <c r="F401" s="1277">
        <v>230</v>
      </c>
      <c r="G401" s="1364">
        <v>6000</v>
      </c>
      <c r="H401" s="1272"/>
      <c r="I401" s="1364">
        <f>PRODUCT(E401:F401:G401)</f>
        <v>2760000</v>
      </c>
      <c r="J401" s="654" t="s">
        <v>1995</v>
      </c>
    </row>
    <row r="402" spans="2:10" ht="15.75" customHeight="1">
      <c r="B402" s="1344" t="s">
        <v>345</v>
      </c>
      <c r="C402" s="2292" t="s">
        <v>2042</v>
      </c>
      <c r="D402" s="1272"/>
      <c r="E402" s="1272"/>
      <c r="F402" s="1272"/>
      <c r="G402" s="1287"/>
      <c r="H402" s="1272"/>
      <c r="I402" s="1364"/>
      <c r="J402" s="1272"/>
    </row>
    <row r="403" spans="2:10" ht="15.75" customHeight="1">
      <c r="B403" s="1272"/>
      <c r="C403" s="2266" t="s">
        <v>2043</v>
      </c>
      <c r="D403" s="1272"/>
      <c r="E403" s="1272"/>
      <c r="F403" s="1272"/>
      <c r="G403" s="1287"/>
      <c r="H403" s="1272"/>
      <c r="I403" s="1364"/>
      <c r="J403" s="1365">
        <f>SUM(J404:J496)</f>
        <v>67300000</v>
      </c>
    </row>
    <row r="404" spans="2:10" ht="15.75" customHeight="1">
      <c r="B404" s="2259">
        <v>1</v>
      </c>
      <c r="C404" s="2266" t="s">
        <v>1998</v>
      </c>
      <c r="D404" s="1272"/>
      <c r="E404" s="1272"/>
      <c r="F404" s="1272"/>
      <c r="G404" s="1287"/>
      <c r="H404" s="1272"/>
      <c r="I404" s="1364"/>
      <c r="J404" s="1364">
        <f>SUM(I405:I412)</f>
        <v>8100000</v>
      </c>
    </row>
    <row r="405" spans="2:10" ht="15.75" customHeight="1">
      <c r="B405" s="2263"/>
      <c r="C405" s="2212" t="s">
        <v>1999</v>
      </c>
      <c r="D405" s="654" t="s">
        <v>2000</v>
      </c>
      <c r="E405" s="1272"/>
      <c r="F405" s="1277">
        <v>1</v>
      </c>
      <c r="G405" s="1364">
        <v>450000</v>
      </c>
      <c r="H405" s="1272"/>
      <c r="I405" s="1364">
        <f t="shared" ref="I405:I412" si="38">PRODUCT(F405:G405)</f>
        <v>450000</v>
      </c>
      <c r="J405" s="654" t="s">
        <v>2001</v>
      </c>
    </row>
    <row r="406" spans="2:10" ht="15.75" customHeight="1">
      <c r="B406" s="2263"/>
      <c r="C406" s="2212" t="s">
        <v>2002</v>
      </c>
      <c r="D406" s="654" t="s">
        <v>2003</v>
      </c>
      <c r="E406" s="1272"/>
      <c r="F406" s="1277">
        <v>4</v>
      </c>
      <c r="G406" s="1364">
        <v>100000</v>
      </c>
      <c r="H406" s="1272"/>
      <c r="I406" s="1364">
        <f t="shared" si="38"/>
        <v>400000</v>
      </c>
      <c r="J406" s="1272"/>
    </row>
    <row r="407" spans="2:10" ht="15.75" customHeight="1">
      <c r="B407" s="2263"/>
      <c r="C407" s="2212" t="s">
        <v>2004</v>
      </c>
      <c r="D407" s="654" t="s">
        <v>2005</v>
      </c>
      <c r="E407" s="1272"/>
      <c r="F407" s="1277">
        <v>20</v>
      </c>
      <c r="G407" s="1364">
        <v>50000</v>
      </c>
      <c r="H407" s="1272"/>
      <c r="I407" s="1364">
        <f t="shared" si="38"/>
        <v>1000000</v>
      </c>
      <c r="J407" s="1272"/>
    </row>
    <row r="408" spans="2:10" ht="15.75" customHeight="1">
      <c r="B408" s="2263"/>
      <c r="C408" s="2212" t="s">
        <v>2006</v>
      </c>
      <c r="D408" s="654" t="s">
        <v>2005</v>
      </c>
      <c r="E408" s="1272"/>
      <c r="F408" s="1277">
        <v>20</v>
      </c>
      <c r="G408" s="1364">
        <v>50000</v>
      </c>
      <c r="H408" s="1272"/>
      <c r="I408" s="1364">
        <f t="shared" si="38"/>
        <v>1000000</v>
      </c>
      <c r="J408" s="1272"/>
    </row>
    <row r="409" spans="2:10" ht="15.75" customHeight="1">
      <c r="B409" s="2263"/>
      <c r="C409" s="2212" t="s">
        <v>2007</v>
      </c>
      <c r="D409" s="654" t="s">
        <v>2005</v>
      </c>
      <c r="E409" s="1272"/>
      <c r="F409" s="1277">
        <v>40</v>
      </c>
      <c r="G409" s="1364">
        <v>50000</v>
      </c>
      <c r="H409" s="1272"/>
      <c r="I409" s="1364">
        <f t="shared" si="38"/>
        <v>2000000</v>
      </c>
      <c r="J409" s="1272"/>
    </row>
    <row r="410" spans="2:10" ht="15.75" customHeight="1">
      <c r="B410" s="2263"/>
      <c r="C410" s="2212" t="s">
        <v>2008</v>
      </c>
      <c r="D410" s="654" t="s">
        <v>2009</v>
      </c>
      <c r="E410" s="1272"/>
      <c r="F410" s="1277">
        <v>40</v>
      </c>
      <c r="G410" s="1364">
        <v>50000</v>
      </c>
      <c r="H410" s="1272"/>
      <c r="I410" s="1364">
        <f t="shared" si="38"/>
        <v>2000000</v>
      </c>
      <c r="J410" s="1272"/>
    </row>
    <row r="411" spans="2:10" ht="15.75" customHeight="1">
      <c r="B411" s="2263"/>
      <c r="C411" s="2212" t="s">
        <v>2010</v>
      </c>
      <c r="D411" s="654" t="s">
        <v>2005</v>
      </c>
      <c r="E411" s="1272"/>
      <c r="F411" s="1277">
        <v>20</v>
      </c>
      <c r="G411" s="1364">
        <v>50000</v>
      </c>
      <c r="H411" s="1272"/>
      <c r="I411" s="1364">
        <f t="shared" si="38"/>
        <v>1000000</v>
      </c>
      <c r="J411" s="1272"/>
    </row>
    <row r="412" spans="2:10" ht="15.75" customHeight="1">
      <c r="B412" s="2261">
        <v>2</v>
      </c>
      <c r="C412" s="2212" t="s">
        <v>2011</v>
      </c>
      <c r="D412" s="654" t="s">
        <v>2012</v>
      </c>
      <c r="E412" s="1272"/>
      <c r="F412" s="1277">
        <v>5</v>
      </c>
      <c r="G412" s="1364">
        <v>50000</v>
      </c>
      <c r="H412" s="1272"/>
      <c r="I412" s="1364">
        <f t="shared" si="38"/>
        <v>250000</v>
      </c>
      <c r="J412" s="1272"/>
    </row>
    <row r="413" spans="2:10" ht="15.75" customHeight="1">
      <c r="B413" s="2263"/>
      <c r="C413" s="2266" t="s">
        <v>2013</v>
      </c>
      <c r="D413" s="1272"/>
      <c r="E413" s="1272"/>
      <c r="F413" s="1272"/>
      <c r="G413" s="1287"/>
      <c r="H413" s="1272"/>
      <c r="I413" s="1364"/>
      <c r="J413" s="1364">
        <f>SUM(I414:I421)</f>
        <v>7400000</v>
      </c>
    </row>
    <row r="414" spans="2:10" ht="15.75" customHeight="1">
      <c r="B414" s="2263"/>
      <c r="C414" s="2212" t="s">
        <v>1999</v>
      </c>
      <c r="D414" s="654" t="s">
        <v>2000</v>
      </c>
      <c r="E414" s="1272"/>
      <c r="F414" s="1277">
        <v>1</v>
      </c>
      <c r="G414" s="1364">
        <v>450000</v>
      </c>
      <c r="H414" s="1272"/>
      <c r="I414" s="1364">
        <f t="shared" ref="I414:I421" si="39">PRODUCT(F414:G414)</f>
        <v>450000</v>
      </c>
      <c r="J414" s="654" t="s">
        <v>2001</v>
      </c>
    </row>
    <row r="415" spans="2:10" ht="15.75" customHeight="1">
      <c r="B415" s="2263"/>
      <c r="C415" s="2212" t="s">
        <v>2002</v>
      </c>
      <c r="D415" s="654" t="s">
        <v>2003</v>
      </c>
      <c r="E415" s="1272"/>
      <c r="F415" s="1277">
        <v>4</v>
      </c>
      <c r="G415" s="1364">
        <v>100000</v>
      </c>
      <c r="H415" s="1272"/>
      <c r="I415" s="1364">
        <f t="shared" si="39"/>
        <v>400000</v>
      </c>
      <c r="J415" s="1272"/>
    </row>
    <row r="416" spans="2:10" ht="15.75" customHeight="1">
      <c r="B416" s="2263"/>
      <c r="C416" s="2212" t="s">
        <v>2004</v>
      </c>
      <c r="D416" s="654" t="s">
        <v>2005</v>
      </c>
      <c r="E416" s="1272"/>
      <c r="F416" s="1277">
        <v>18</v>
      </c>
      <c r="G416" s="1364">
        <v>50000</v>
      </c>
      <c r="H416" s="1272"/>
      <c r="I416" s="1364">
        <f t="shared" si="39"/>
        <v>900000</v>
      </c>
      <c r="J416" s="1272"/>
    </row>
    <row r="417" spans="2:10" ht="15.75" customHeight="1">
      <c r="B417" s="2263"/>
      <c r="C417" s="2212" t="s">
        <v>2006</v>
      </c>
      <c r="D417" s="654" t="s">
        <v>2005</v>
      </c>
      <c r="E417" s="1272"/>
      <c r="F417" s="1277">
        <v>18</v>
      </c>
      <c r="G417" s="1364">
        <v>50000</v>
      </c>
      <c r="H417" s="1272"/>
      <c r="I417" s="1364">
        <f t="shared" si="39"/>
        <v>900000</v>
      </c>
      <c r="J417" s="1272"/>
    </row>
    <row r="418" spans="2:10" ht="15.75" customHeight="1">
      <c r="B418" s="2263"/>
      <c r="C418" s="2212" t="s">
        <v>2007</v>
      </c>
      <c r="D418" s="654" t="s">
        <v>2005</v>
      </c>
      <c r="E418" s="1272"/>
      <c r="F418" s="1277">
        <v>36</v>
      </c>
      <c r="G418" s="1364">
        <v>50000</v>
      </c>
      <c r="H418" s="1272"/>
      <c r="I418" s="1364">
        <f t="shared" si="39"/>
        <v>1800000</v>
      </c>
      <c r="J418" s="1272"/>
    </row>
    <row r="419" spans="2:10" ht="15.75" customHeight="1">
      <c r="B419" s="2263"/>
      <c r="C419" s="2212" t="s">
        <v>2008</v>
      </c>
      <c r="D419" s="654" t="s">
        <v>2005</v>
      </c>
      <c r="E419" s="1272"/>
      <c r="F419" s="1277">
        <v>36</v>
      </c>
      <c r="G419" s="1364">
        <v>50000</v>
      </c>
      <c r="H419" s="1272"/>
      <c r="I419" s="1364">
        <f t="shared" si="39"/>
        <v>1800000</v>
      </c>
      <c r="J419" s="1272"/>
    </row>
    <row r="420" spans="2:10" ht="15.75" customHeight="1">
      <c r="B420" s="2263"/>
      <c r="C420" s="2212" t="s">
        <v>2010</v>
      </c>
      <c r="D420" s="654" t="s">
        <v>2005</v>
      </c>
      <c r="E420" s="1272"/>
      <c r="F420" s="1277">
        <v>18</v>
      </c>
      <c r="G420" s="1364">
        <v>50000</v>
      </c>
      <c r="H420" s="1272"/>
      <c r="I420" s="1364">
        <f t="shared" si="39"/>
        <v>900000</v>
      </c>
      <c r="J420" s="1272"/>
    </row>
    <row r="421" spans="2:10" ht="15.75" customHeight="1">
      <c r="B421" s="2263"/>
      <c r="C421" s="2212" t="s">
        <v>2011</v>
      </c>
      <c r="D421" s="654" t="s">
        <v>2012</v>
      </c>
      <c r="E421" s="1272"/>
      <c r="F421" s="1277">
        <v>5</v>
      </c>
      <c r="G421" s="1364">
        <v>50000</v>
      </c>
      <c r="H421" s="1272"/>
      <c r="I421" s="1364">
        <f t="shared" si="39"/>
        <v>250000</v>
      </c>
      <c r="J421" s="1272"/>
    </row>
    <row r="422" spans="2:10" ht="15.75" customHeight="1">
      <c r="B422" s="2261">
        <v>3</v>
      </c>
      <c r="C422" s="2266" t="s">
        <v>2014</v>
      </c>
      <c r="D422" s="1272"/>
      <c r="E422" s="1272"/>
      <c r="F422" s="1272"/>
      <c r="G422" s="1287"/>
      <c r="H422" s="1272"/>
      <c r="I422" s="1364"/>
      <c r="J422" s="1364">
        <f>SUM(I423:I430)</f>
        <v>7400000</v>
      </c>
    </row>
    <row r="423" spans="2:10" ht="15.75" customHeight="1">
      <c r="B423" s="2263"/>
      <c r="C423" s="2212" t="s">
        <v>1999</v>
      </c>
      <c r="D423" s="654" t="s">
        <v>2000</v>
      </c>
      <c r="E423" s="1272"/>
      <c r="F423" s="1277">
        <v>1</v>
      </c>
      <c r="G423" s="1364">
        <v>450000</v>
      </c>
      <c r="H423" s="1272"/>
      <c r="I423" s="1364">
        <f t="shared" ref="I423:I430" si="40">PRODUCT(F423:G423)</f>
        <v>450000</v>
      </c>
      <c r="J423" s="654" t="s">
        <v>2001</v>
      </c>
    </row>
    <row r="424" spans="2:10" ht="15.75" customHeight="1">
      <c r="B424" s="2263"/>
      <c r="C424" s="2212" t="s">
        <v>2002</v>
      </c>
      <c r="D424" s="654" t="s">
        <v>2003</v>
      </c>
      <c r="E424" s="1272"/>
      <c r="F424" s="1277">
        <v>4</v>
      </c>
      <c r="G424" s="1364">
        <v>100000</v>
      </c>
      <c r="H424" s="1272"/>
      <c r="I424" s="1364">
        <f t="shared" si="40"/>
        <v>400000</v>
      </c>
      <c r="J424" s="1272"/>
    </row>
    <row r="425" spans="2:10" ht="15.75" customHeight="1">
      <c r="B425" s="2263"/>
      <c r="C425" s="2212" t="s">
        <v>2004</v>
      </c>
      <c r="D425" s="654" t="s">
        <v>2005</v>
      </c>
      <c r="E425" s="1272"/>
      <c r="F425" s="1277">
        <v>18</v>
      </c>
      <c r="G425" s="1364">
        <v>50000</v>
      </c>
      <c r="H425" s="1272"/>
      <c r="I425" s="1364">
        <f t="shared" si="40"/>
        <v>900000</v>
      </c>
      <c r="J425" s="1272"/>
    </row>
    <row r="426" spans="2:10" ht="15.75" customHeight="1">
      <c r="B426" s="2263"/>
      <c r="C426" s="2212" t="s">
        <v>2006</v>
      </c>
      <c r="D426" s="654" t="s">
        <v>2005</v>
      </c>
      <c r="E426" s="1272"/>
      <c r="F426" s="1277">
        <v>18</v>
      </c>
      <c r="G426" s="1364">
        <v>50000</v>
      </c>
      <c r="H426" s="1272"/>
      <c r="I426" s="1364">
        <f t="shared" si="40"/>
        <v>900000</v>
      </c>
      <c r="J426" s="1272"/>
    </row>
    <row r="427" spans="2:10" ht="15.75" customHeight="1">
      <c r="B427" s="2263"/>
      <c r="C427" s="2212" t="s">
        <v>2007</v>
      </c>
      <c r="D427" s="654" t="s">
        <v>2005</v>
      </c>
      <c r="E427" s="1272"/>
      <c r="F427" s="1277">
        <v>36</v>
      </c>
      <c r="G427" s="1364">
        <v>50000</v>
      </c>
      <c r="H427" s="1272"/>
      <c r="I427" s="1364">
        <f t="shared" si="40"/>
        <v>1800000</v>
      </c>
      <c r="J427" s="1272"/>
    </row>
    <row r="428" spans="2:10" ht="15.75" customHeight="1">
      <c r="B428" s="2263"/>
      <c r="C428" s="2212" t="s">
        <v>2008</v>
      </c>
      <c r="D428" s="654" t="s">
        <v>2009</v>
      </c>
      <c r="E428" s="1272"/>
      <c r="F428" s="1277">
        <v>36</v>
      </c>
      <c r="G428" s="1364">
        <v>50000</v>
      </c>
      <c r="H428" s="1272"/>
      <c r="I428" s="1364">
        <f t="shared" si="40"/>
        <v>1800000</v>
      </c>
      <c r="J428" s="1272"/>
    </row>
    <row r="429" spans="2:10" ht="15.75" customHeight="1">
      <c r="B429" s="2263"/>
      <c r="C429" s="2212" t="s">
        <v>2010</v>
      </c>
      <c r="D429" s="654" t="s">
        <v>2005</v>
      </c>
      <c r="E429" s="1272"/>
      <c r="F429" s="1277">
        <v>18</v>
      </c>
      <c r="G429" s="1364">
        <v>50000</v>
      </c>
      <c r="H429" s="1272"/>
      <c r="I429" s="1364">
        <f t="shared" si="40"/>
        <v>900000</v>
      </c>
      <c r="J429" s="1272"/>
    </row>
    <row r="430" spans="2:10" ht="15.75" customHeight="1">
      <c r="B430" s="2263"/>
      <c r="C430" s="2212" t="s">
        <v>2011</v>
      </c>
      <c r="D430" s="654" t="s">
        <v>2012</v>
      </c>
      <c r="E430" s="1272"/>
      <c r="F430" s="1277">
        <v>5</v>
      </c>
      <c r="G430" s="1364">
        <v>50000</v>
      </c>
      <c r="H430" s="1272"/>
      <c r="I430" s="1364">
        <f t="shared" si="40"/>
        <v>250000</v>
      </c>
      <c r="J430" s="1272"/>
    </row>
    <row r="431" spans="2:10" ht="15.75" customHeight="1">
      <c r="B431" s="2261">
        <v>4</v>
      </c>
      <c r="C431" s="2266" t="s">
        <v>2015</v>
      </c>
      <c r="D431" s="1272"/>
      <c r="E431" s="1272"/>
      <c r="F431" s="1272"/>
      <c r="G431" s="1287"/>
      <c r="H431" s="1272"/>
      <c r="I431" s="1364"/>
      <c r="J431" s="1364">
        <f>SUM(I432:I439)</f>
        <v>7400000</v>
      </c>
    </row>
    <row r="432" spans="2:10" ht="15.75" customHeight="1">
      <c r="B432" s="2263"/>
      <c r="C432" s="2212" t="s">
        <v>1999</v>
      </c>
      <c r="D432" s="654" t="s">
        <v>2000</v>
      </c>
      <c r="E432" s="1272"/>
      <c r="F432" s="1277">
        <v>1</v>
      </c>
      <c r="G432" s="1364">
        <v>450000</v>
      </c>
      <c r="H432" s="1272"/>
      <c r="I432" s="1364">
        <f t="shared" ref="I432:I439" si="41">PRODUCT(F432:G432)</f>
        <v>450000</v>
      </c>
      <c r="J432" s="654" t="s">
        <v>2001</v>
      </c>
    </row>
    <row r="433" spans="2:10" ht="15.75" customHeight="1">
      <c r="B433" s="2263"/>
      <c r="C433" s="2212" t="s">
        <v>2002</v>
      </c>
      <c r="D433" s="654" t="s">
        <v>2003</v>
      </c>
      <c r="E433" s="1272"/>
      <c r="F433" s="1277">
        <v>4</v>
      </c>
      <c r="G433" s="1364">
        <v>100000</v>
      </c>
      <c r="H433" s="1272"/>
      <c r="I433" s="1364">
        <f t="shared" si="41"/>
        <v>400000</v>
      </c>
      <c r="J433" s="1272"/>
    </row>
    <row r="434" spans="2:10" ht="15.75" customHeight="1">
      <c r="B434" s="2263"/>
      <c r="C434" s="2212" t="s">
        <v>2004</v>
      </c>
      <c r="D434" s="654" t="s">
        <v>2005</v>
      </c>
      <c r="E434" s="1272"/>
      <c r="F434" s="1277">
        <v>18</v>
      </c>
      <c r="G434" s="1364">
        <v>50000</v>
      </c>
      <c r="H434" s="1272"/>
      <c r="I434" s="1364">
        <f t="shared" si="41"/>
        <v>900000</v>
      </c>
      <c r="J434" s="1272"/>
    </row>
    <row r="435" spans="2:10" ht="15.75" customHeight="1">
      <c r="B435" s="2263"/>
      <c r="C435" s="2212" t="s">
        <v>2006</v>
      </c>
      <c r="D435" s="654" t="s">
        <v>2005</v>
      </c>
      <c r="E435" s="1272"/>
      <c r="F435" s="1277">
        <v>18</v>
      </c>
      <c r="G435" s="1364">
        <v>50000</v>
      </c>
      <c r="H435" s="1272"/>
      <c r="I435" s="1364">
        <f t="shared" si="41"/>
        <v>900000</v>
      </c>
      <c r="J435" s="1272"/>
    </row>
    <row r="436" spans="2:10" ht="15.75" customHeight="1">
      <c r="B436" s="2263"/>
      <c r="C436" s="2212" t="s">
        <v>2007</v>
      </c>
      <c r="D436" s="654" t="s">
        <v>2005</v>
      </c>
      <c r="E436" s="1272"/>
      <c r="F436" s="1277">
        <v>36</v>
      </c>
      <c r="G436" s="1364">
        <v>50000</v>
      </c>
      <c r="H436" s="1272"/>
      <c r="I436" s="1364">
        <f t="shared" si="41"/>
        <v>1800000</v>
      </c>
      <c r="J436" s="1272"/>
    </row>
    <row r="437" spans="2:10" ht="15.75" customHeight="1">
      <c r="B437" s="2263"/>
      <c r="C437" s="2212" t="s">
        <v>2008</v>
      </c>
      <c r="D437" s="654" t="s">
        <v>2009</v>
      </c>
      <c r="E437" s="1272"/>
      <c r="F437" s="1277">
        <v>36</v>
      </c>
      <c r="G437" s="1364">
        <v>50000</v>
      </c>
      <c r="H437" s="1272"/>
      <c r="I437" s="1364">
        <f t="shared" si="41"/>
        <v>1800000</v>
      </c>
      <c r="J437" s="1272"/>
    </row>
    <row r="438" spans="2:10" ht="15.75" customHeight="1">
      <c r="B438" s="2263"/>
      <c r="C438" s="2212" t="s">
        <v>2010</v>
      </c>
      <c r="D438" s="654" t="s">
        <v>2005</v>
      </c>
      <c r="E438" s="1272"/>
      <c r="F438" s="1277">
        <v>18</v>
      </c>
      <c r="G438" s="1364">
        <v>50000</v>
      </c>
      <c r="H438" s="1272"/>
      <c r="I438" s="1364">
        <f t="shared" si="41"/>
        <v>900000</v>
      </c>
      <c r="J438" s="1272"/>
    </row>
    <row r="439" spans="2:10" ht="15.75" customHeight="1">
      <c r="B439" s="2263"/>
      <c r="C439" s="2212" t="s">
        <v>2011</v>
      </c>
      <c r="D439" s="654" t="s">
        <v>2012</v>
      </c>
      <c r="E439" s="1272"/>
      <c r="F439" s="1277">
        <v>5</v>
      </c>
      <c r="G439" s="1364">
        <v>50000</v>
      </c>
      <c r="H439" s="1272"/>
      <c r="I439" s="1364">
        <f t="shared" si="41"/>
        <v>250000</v>
      </c>
      <c r="J439" s="1272"/>
    </row>
    <row r="440" spans="2:10" ht="15.75" customHeight="1">
      <c r="B440" s="2261">
        <v>5</v>
      </c>
      <c r="C440" s="2266" t="s">
        <v>2016</v>
      </c>
      <c r="D440" s="1272"/>
      <c r="E440" s="1272"/>
      <c r="F440" s="1272"/>
      <c r="G440" s="1287"/>
      <c r="H440" s="1272"/>
      <c r="I440" s="1364"/>
      <c r="J440" s="654" t="s">
        <v>2001</v>
      </c>
    </row>
    <row r="441" spans="2:10" ht="15.75" customHeight="1">
      <c r="B441" s="2263"/>
      <c r="C441" s="2212" t="s">
        <v>1999</v>
      </c>
      <c r="D441" s="654" t="s">
        <v>2000</v>
      </c>
      <c r="E441" s="1272"/>
      <c r="F441" s="1277">
        <v>1</v>
      </c>
      <c r="G441" s="1364">
        <v>450000</v>
      </c>
      <c r="H441" s="1272"/>
      <c r="I441" s="1364">
        <f t="shared" ref="I441:I448" si="42">PRODUCT(F441:G441)</f>
        <v>450000</v>
      </c>
      <c r="J441" s="1272"/>
    </row>
    <row r="442" spans="2:10" ht="15.75" customHeight="1">
      <c r="B442" s="2263"/>
      <c r="C442" s="2212" t="s">
        <v>2002</v>
      </c>
      <c r="D442" s="654" t="s">
        <v>2003</v>
      </c>
      <c r="E442" s="1272"/>
      <c r="F442" s="1277">
        <v>4</v>
      </c>
      <c r="G442" s="1364">
        <v>100000</v>
      </c>
      <c r="H442" s="1272"/>
      <c r="I442" s="1364">
        <f t="shared" si="42"/>
        <v>400000</v>
      </c>
      <c r="J442" s="1272"/>
    </row>
    <row r="443" spans="2:10" ht="15.75" customHeight="1">
      <c r="B443" s="2263"/>
      <c r="C443" s="2212" t="s">
        <v>2004</v>
      </c>
      <c r="D443" s="654" t="s">
        <v>2005</v>
      </c>
      <c r="E443" s="1272"/>
      <c r="F443" s="1277">
        <v>18</v>
      </c>
      <c r="G443" s="1364">
        <v>50000</v>
      </c>
      <c r="H443" s="1272"/>
      <c r="I443" s="1364">
        <f t="shared" si="42"/>
        <v>900000</v>
      </c>
      <c r="J443" s="1272"/>
    </row>
    <row r="444" spans="2:10" ht="15.75" customHeight="1">
      <c r="B444" s="2263"/>
      <c r="C444" s="2212" t="s">
        <v>2006</v>
      </c>
      <c r="D444" s="654" t="s">
        <v>2005</v>
      </c>
      <c r="E444" s="1272"/>
      <c r="F444" s="1277">
        <v>18</v>
      </c>
      <c r="G444" s="1364">
        <v>50000</v>
      </c>
      <c r="H444" s="1272"/>
      <c r="I444" s="1364">
        <f t="shared" si="42"/>
        <v>900000</v>
      </c>
      <c r="J444" s="1272"/>
    </row>
    <row r="445" spans="2:10" ht="15.75" customHeight="1">
      <c r="B445" s="2263"/>
      <c r="C445" s="2212" t="s">
        <v>2007</v>
      </c>
      <c r="D445" s="654" t="s">
        <v>2005</v>
      </c>
      <c r="E445" s="1272"/>
      <c r="F445" s="1277">
        <v>36</v>
      </c>
      <c r="G445" s="1364">
        <v>50000</v>
      </c>
      <c r="H445" s="1272"/>
      <c r="I445" s="1364">
        <f t="shared" si="42"/>
        <v>1800000</v>
      </c>
      <c r="J445" s="1272"/>
    </row>
    <row r="446" spans="2:10" ht="15.75" customHeight="1">
      <c r="B446" s="2263"/>
      <c r="C446" s="2212" t="s">
        <v>2008</v>
      </c>
      <c r="D446" s="654" t="s">
        <v>2009</v>
      </c>
      <c r="E446" s="1272"/>
      <c r="F446" s="1277">
        <v>36</v>
      </c>
      <c r="G446" s="1364">
        <v>50000</v>
      </c>
      <c r="H446" s="1272"/>
      <c r="I446" s="1364">
        <f t="shared" si="42"/>
        <v>1800000</v>
      </c>
      <c r="J446" s="1272"/>
    </row>
    <row r="447" spans="2:10" ht="15.75" customHeight="1">
      <c r="B447" s="2263"/>
      <c r="C447" s="2212" t="s">
        <v>2010</v>
      </c>
      <c r="D447" s="654" t="s">
        <v>2005</v>
      </c>
      <c r="E447" s="1272"/>
      <c r="F447" s="1277">
        <v>18</v>
      </c>
      <c r="G447" s="1364">
        <v>50000</v>
      </c>
      <c r="H447" s="1272"/>
      <c r="I447" s="1364">
        <f t="shared" si="42"/>
        <v>900000</v>
      </c>
      <c r="J447" s="1272"/>
    </row>
    <row r="448" spans="2:10" ht="15.75" customHeight="1">
      <c r="B448" s="2263"/>
      <c r="C448" s="2212" t="s">
        <v>2011</v>
      </c>
      <c r="D448" s="654" t="s">
        <v>2012</v>
      </c>
      <c r="E448" s="1272"/>
      <c r="F448" s="1277">
        <v>5</v>
      </c>
      <c r="G448" s="1364">
        <v>50000</v>
      </c>
      <c r="H448" s="1272"/>
      <c r="I448" s="1364">
        <f t="shared" si="42"/>
        <v>250000</v>
      </c>
      <c r="J448" s="1272"/>
    </row>
    <row r="449" spans="2:10" ht="15.75" customHeight="1">
      <c r="B449" s="2261">
        <v>6</v>
      </c>
      <c r="C449" s="2266" t="s">
        <v>2017</v>
      </c>
      <c r="D449" s="1272"/>
      <c r="E449" s="1272"/>
      <c r="F449" s="1272"/>
      <c r="G449" s="1287"/>
      <c r="H449" s="1272"/>
      <c r="I449" s="1364"/>
      <c r="J449" s="654" t="s">
        <v>2018</v>
      </c>
    </row>
    <row r="450" spans="2:10" ht="15.75" customHeight="1">
      <c r="B450" s="2263"/>
      <c r="C450" s="2212" t="s">
        <v>1999</v>
      </c>
      <c r="D450" s="654" t="s">
        <v>2000</v>
      </c>
      <c r="E450" s="1272"/>
      <c r="F450" s="1277">
        <v>1</v>
      </c>
      <c r="G450" s="1364">
        <v>450000</v>
      </c>
      <c r="H450" s="1272"/>
      <c r="I450" s="1364">
        <f t="shared" ref="I450:I457" si="43">PRODUCT(F450:G450)</f>
        <v>450000</v>
      </c>
      <c r="J450" s="654" t="s">
        <v>2018</v>
      </c>
    </row>
    <row r="451" spans="2:10" ht="15.75" customHeight="1">
      <c r="B451" s="2263"/>
      <c r="C451" s="2212" t="s">
        <v>2002</v>
      </c>
      <c r="D451" s="654" t="s">
        <v>2003</v>
      </c>
      <c r="E451" s="1272"/>
      <c r="F451" s="1277">
        <v>4</v>
      </c>
      <c r="G451" s="1364">
        <v>100000</v>
      </c>
      <c r="H451" s="1272"/>
      <c r="I451" s="1364">
        <f t="shared" si="43"/>
        <v>400000</v>
      </c>
      <c r="J451" s="1272"/>
    </row>
    <row r="452" spans="2:10" ht="15.75" customHeight="1">
      <c r="B452" s="2263"/>
      <c r="C452" s="2212" t="s">
        <v>2004</v>
      </c>
      <c r="D452" s="654" t="s">
        <v>2005</v>
      </c>
      <c r="E452" s="1272"/>
      <c r="F452" s="1277">
        <v>18</v>
      </c>
      <c r="G452" s="1364">
        <v>50000</v>
      </c>
      <c r="H452" s="1272"/>
      <c r="I452" s="1364">
        <f t="shared" si="43"/>
        <v>900000</v>
      </c>
      <c r="J452" s="1272"/>
    </row>
    <row r="453" spans="2:10" ht="15.75" customHeight="1">
      <c r="B453" s="2263"/>
      <c r="C453" s="2212" t="s">
        <v>2006</v>
      </c>
      <c r="D453" s="654" t="s">
        <v>2005</v>
      </c>
      <c r="E453" s="1272"/>
      <c r="F453" s="1277">
        <v>18</v>
      </c>
      <c r="G453" s="1364">
        <v>50000</v>
      </c>
      <c r="H453" s="1272"/>
      <c r="I453" s="1364">
        <f t="shared" si="43"/>
        <v>900000</v>
      </c>
      <c r="J453" s="1272"/>
    </row>
    <row r="454" spans="2:10" ht="15.75" customHeight="1">
      <c r="B454" s="2263"/>
      <c r="C454" s="2212" t="s">
        <v>2007</v>
      </c>
      <c r="D454" s="654" t="s">
        <v>2005</v>
      </c>
      <c r="E454" s="1272"/>
      <c r="F454" s="1277">
        <v>36</v>
      </c>
      <c r="G454" s="1364">
        <v>50000</v>
      </c>
      <c r="H454" s="1272"/>
      <c r="I454" s="1364">
        <f t="shared" si="43"/>
        <v>1800000</v>
      </c>
      <c r="J454" s="1272"/>
    </row>
    <row r="455" spans="2:10" ht="15.75" customHeight="1">
      <c r="B455" s="2263"/>
      <c r="C455" s="2212" t="s">
        <v>2008</v>
      </c>
      <c r="D455" s="654" t="s">
        <v>2009</v>
      </c>
      <c r="E455" s="1272"/>
      <c r="F455" s="1277">
        <v>36</v>
      </c>
      <c r="G455" s="1364">
        <v>50000</v>
      </c>
      <c r="H455" s="1272"/>
      <c r="I455" s="1364">
        <f t="shared" si="43"/>
        <v>1800000</v>
      </c>
      <c r="J455" s="1272"/>
    </row>
    <row r="456" spans="2:10" ht="15.75" customHeight="1">
      <c r="B456" s="2263"/>
      <c r="C456" s="2212" t="s">
        <v>2010</v>
      </c>
      <c r="D456" s="654" t="s">
        <v>2005</v>
      </c>
      <c r="E456" s="1272"/>
      <c r="F456" s="1277">
        <v>18</v>
      </c>
      <c r="G456" s="1364">
        <v>50000</v>
      </c>
      <c r="H456" s="1272"/>
      <c r="I456" s="1364">
        <f t="shared" si="43"/>
        <v>900000</v>
      </c>
      <c r="J456" s="1272"/>
    </row>
    <row r="457" spans="2:10" ht="15.75" customHeight="1">
      <c r="B457" s="2263"/>
      <c r="C457" s="2212" t="s">
        <v>2011</v>
      </c>
      <c r="D457" s="654" t="s">
        <v>2012</v>
      </c>
      <c r="E457" s="1272"/>
      <c r="F457" s="1277">
        <v>5</v>
      </c>
      <c r="G457" s="1364">
        <v>50000</v>
      </c>
      <c r="H457" s="1272"/>
      <c r="I457" s="1364">
        <f t="shared" si="43"/>
        <v>250000</v>
      </c>
      <c r="J457" s="1272"/>
    </row>
    <row r="458" spans="2:10" ht="15.75" customHeight="1">
      <c r="B458" s="2261">
        <v>7</v>
      </c>
      <c r="C458" s="2266" t="s">
        <v>2019</v>
      </c>
      <c r="D458" s="1272"/>
      <c r="E458" s="1272"/>
      <c r="F458" s="1272"/>
      <c r="G458" s="1287"/>
      <c r="H458" s="1272"/>
      <c r="I458" s="1364"/>
      <c r="J458" s="1364">
        <f>SUM(I459:I466)</f>
        <v>7400000</v>
      </c>
    </row>
    <row r="459" spans="2:10" ht="15.75" customHeight="1">
      <c r="B459" s="2263"/>
      <c r="C459" s="2291" t="s">
        <v>1999</v>
      </c>
      <c r="D459" s="1272" t="s">
        <v>2000</v>
      </c>
      <c r="E459" s="1272"/>
      <c r="F459" s="1277">
        <v>1</v>
      </c>
      <c r="G459" s="1364">
        <v>450000</v>
      </c>
      <c r="H459" s="1272"/>
      <c r="I459" s="1364">
        <f t="shared" ref="I459:I466" si="44">PRODUCT(F459:G459)</f>
        <v>450000</v>
      </c>
      <c r="J459" s="654" t="s">
        <v>2018</v>
      </c>
    </row>
    <row r="460" spans="2:10" ht="15.75" customHeight="1">
      <c r="B460" s="2263"/>
      <c r="C460" s="2291" t="s">
        <v>2002</v>
      </c>
      <c r="D460" s="1272" t="s">
        <v>2003</v>
      </c>
      <c r="E460" s="1272"/>
      <c r="F460" s="1277">
        <v>4</v>
      </c>
      <c r="G460" s="1364">
        <v>100000</v>
      </c>
      <c r="H460" s="1272"/>
      <c r="I460" s="1364">
        <f t="shared" si="44"/>
        <v>400000</v>
      </c>
      <c r="J460" s="1272"/>
    </row>
    <row r="461" spans="2:10" ht="15.75" customHeight="1">
      <c r="B461" s="2263"/>
      <c r="C461" s="2291" t="s">
        <v>2004</v>
      </c>
      <c r="D461" s="1272" t="s">
        <v>2005</v>
      </c>
      <c r="E461" s="1272"/>
      <c r="F461" s="1277">
        <v>18</v>
      </c>
      <c r="G461" s="1364">
        <v>50000</v>
      </c>
      <c r="H461" s="1272"/>
      <c r="I461" s="1364">
        <f t="shared" si="44"/>
        <v>900000</v>
      </c>
      <c r="J461" s="1272"/>
    </row>
    <row r="462" spans="2:10" ht="15.75" customHeight="1">
      <c r="B462" s="2263"/>
      <c r="C462" s="2291" t="s">
        <v>2006</v>
      </c>
      <c r="D462" s="1272" t="s">
        <v>2005</v>
      </c>
      <c r="E462" s="1272"/>
      <c r="F462" s="1277">
        <v>18</v>
      </c>
      <c r="G462" s="1364">
        <v>50000</v>
      </c>
      <c r="H462" s="1272"/>
      <c r="I462" s="1364">
        <f t="shared" si="44"/>
        <v>900000</v>
      </c>
      <c r="J462" s="1272"/>
    </row>
    <row r="463" spans="2:10" ht="15.75" customHeight="1">
      <c r="B463" s="2263"/>
      <c r="C463" s="2291" t="s">
        <v>2007</v>
      </c>
      <c r="D463" s="1272" t="s">
        <v>2005</v>
      </c>
      <c r="E463" s="1272"/>
      <c r="F463" s="1277">
        <v>36</v>
      </c>
      <c r="G463" s="1364">
        <v>50000</v>
      </c>
      <c r="H463" s="1272"/>
      <c r="I463" s="1364">
        <f t="shared" si="44"/>
        <v>1800000</v>
      </c>
      <c r="J463" s="1272"/>
    </row>
    <row r="464" spans="2:10" ht="15.75" customHeight="1">
      <c r="B464" s="2263"/>
      <c r="C464" s="2291" t="s">
        <v>2008</v>
      </c>
      <c r="D464" s="1272" t="s">
        <v>2009</v>
      </c>
      <c r="E464" s="1272"/>
      <c r="F464" s="1277">
        <v>36</v>
      </c>
      <c r="G464" s="1364">
        <v>50000</v>
      </c>
      <c r="H464" s="1272"/>
      <c r="I464" s="1364">
        <f t="shared" si="44"/>
        <v>1800000</v>
      </c>
      <c r="J464" s="1272"/>
    </row>
    <row r="465" spans="2:10" ht="15.75" customHeight="1">
      <c r="B465" s="2263"/>
      <c r="C465" s="2291" t="s">
        <v>2010</v>
      </c>
      <c r="D465" s="1272" t="s">
        <v>2005</v>
      </c>
      <c r="E465" s="1272"/>
      <c r="F465" s="1277">
        <v>18</v>
      </c>
      <c r="G465" s="1364">
        <v>50000</v>
      </c>
      <c r="H465" s="1272"/>
      <c r="I465" s="1364">
        <f t="shared" si="44"/>
        <v>900000</v>
      </c>
      <c r="J465" s="1272"/>
    </row>
    <row r="466" spans="2:10" ht="15.75" customHeight="1">
      <c r="B466" s="2263"/>
      <c r="C466" s="2291" t="s">
        <v>2011</v>
      </c>
      <c r="D466" s="1272" t="s">
        <v>2012</v>
      </c>
      <c r="E466" s="1272"/>
      <c r="F466" s="1277">
        <v>5</v>
      </c>
      <c r="G466" s="1364">
        <v>50000</v>
      </c>
      <c r="H466" s="1272"/>
      <c r="I466" s="1364">
        <f t="shared" si="44"/>
        <v>250000</v>
      </c>
      <c r="J466" s="1272"/>
    </row>
    <row r="467" spans="2:10" ht="15.75" customHeight="1">
      <c r="B467" s="2261">
        <v>8</v>
      </c>
      <c r="C467" s="2266" t="s">
        <v>2020</v>
      </c>
      <c r="D467" s="1272"/>
      <c r="E467" s="1272"/>
      <c r="F467" s="1272"/>
      <c r="G467" s="1287"/>
      <c r="H467" s="1272"/>
      <c r="I467" s="1364"/>
      <c r="J467" s="1364">
        <f>SUM(I468:I475)</f>
        <v>7400000</v>
      </c>
    </row>
    <row r="468" spans="2:10" ht="15.75" customHeight="1">
      <c r="B468" s="2263"/>
      <c r="C468" s="2291" t="s">
        <v>1999</v>
      </c>
      <c r="D468" s="1272" t="s">
        <v>2000</v>
      </c>
      <c r="E468" s="1272"/>
      <c r="F468" s="1277">
        <v>1</v>
      </c>
      <c r="G468" s="1364">
        <v>450000</v>
      </c>
      <c r="H468" s="1272"/>
      <c r="I468" s="1364">
        <f t="shared" ref="I468:I475" si="45">PRODUCT(F468:G468)</f>
        <v>450000</v>
      </c>
      <c r="J468" s="654" t="s">
        <v>2018</v>
      </c>
    </row>
    <row r="469" spans="2:10" ht="15.75" customHeight="1">
      <c r="B469" s="2263"/>
      <c r="C469" s="2291" t="s">
        <v>2002</v>
      </c>
      <c r="D469" s="1272" t="s">
        <v>2003</v>
      </c>
      <c r="E469" s="1272"/>
      <c r="F469" s="1277">
        <v>4</v>
      </c>
      <c r="G469" s="1364">
        <v>100000</v>
      </c>
      <c r="H469" s="1272"/>
      <c r="I469" s="1364">
        <f t="shared" si="45"/>
        <v>400000</v>
      </c>
      <c r="J469" s="1272"/>
    </row>
    <row r="470" spans="2:10" ht="15.75" customHeight="1">
      <c r="B470" s="2263"/>
      <c r="C470" s="2291" t="s">
        <v>2004</v>
      </c>
      <c r="D470" s="1272" t="s">
        <v>2005</v>
      </c>
      <c r="E470" s="1272"/>
      <c r="F470" s="1277">
        <v>18</v>
      </c>
      <c r="G470" s="1364">
        <v>50000</v>
      </c>
      <c r="H470" s="1272"/>
      <c r="I470" s="1364">
        <f t="shared" si="45"/>
        <v>900000</v>
      </c>
      <c r="J470" s="1272"/>
    </row>
    <row r="471" spans="2:10" ht="15.75" customHeight="1">
      <c r="B471" s="2263"/>
      <c r="C471" s="2291" t="s">
        <v>2006</v>
      </c>
      <c r="D471" s="1272" t="s">
        <v>2005</v>
      </c>
      <c r="E471" s="1272"/>
      <c r="F471" s="1277">
        <v>18</v>
      </c>
      <c r="G471" s="1364">
        <v>50000</v>
      </c>
      <c r="H471" s="1272"/>
      <c r="I471" s="1364">
        <f t="shared" si="45"/>
        <v>900000</v>
      </c>
      <c r="J471" s="1272"/>
    </row>
    <row r="472" spans="2:10" ht="15.75" customHeight="1">
      <c r="B472" s="2263"/>
      <c r="C472" s="2291" t="s">
        <v>2007</v>
      </c>
      <c r="D472" s="1272" t="s">
        <v>2005</v>
      </c>
      <c r="E472" s="1272"/>
      <c r="F472" s="1277">
        <v>36</v>
      </c>
      <c r="G472" s="1364">
        <v>50000</v>
      </c>
      <c r="H472" s="1272"/>
      <c r="I472" s="1364">
        <f t="shared" si="45"/>
        <v>1800000</v>
      </c>
      <c r="J472" s="1272"/>
    </row>
    <row r="473" spans="2:10" ht="15.75" customHeight="1">
      <c r="B473" s="2263"/>
      <c r="C473" s="2291" t="s">
        <v>2008</v>
      </c>
      <c r="D473" s="1272" t="s">
        <v>2009</v>
      </c>
      <c r="E473" s="1272"/>
      <c r="F473" s="1277">
        <v>36</v>
      </c>
      <c r="G473" s="1364">
        <v>50000</v>
      </c>
      <c r="H473" s="1272"/>
      <c r="I473" s="1364">
        <f t="shared" si="45"/>
        <v>1800000</v>
      </c>
      <c r="J473" s="1272"/>
    </row>
    <row r="474" spans="2:10" ht="15.75" customHeight="1">
      <c r="B474" s="2263"/>
      <c r="C474" s="2291" t="s">
        <v>2010</v>
      </c>
      <c r="D474" s="1272" t="s">
        <v>2005</v>
      </c>
      <c r="E474" s="1272"/>
      <c r="F474" s="1277">
        <v>18</v>
      </c>
      <c r="G474" s="1364">
        <v>50000</v>
      </c>
      <c r="H474" s="1272"/>
      <c r="I474" s="1364">
        <f t="shared" si="45"/>
        <v>900000</v>
      </c>
      <c r="J474" s="1272"/>
    </row>
    <row r="475" spans="2:10" ht="15.75" customHeight="1">
      <c r="B475" s="2263"/>
      <c r="C475" s="2291" t="s">
        <v>2011</v>
      </c>
      <c r="D475" s="1272" t="s">
        <v>2012</v>
      </c>
      <c r="E475" s="1272"/>
      <c r="F475" s="1277">
        <v>5</v>
      </c>
      <c r="G475" s="1364">
        <v>50000</v>
      </c>
      <c r="H475" s="1272"/>
      <c r="I475" s="1364">
        <f t="shared" si="45"/>
        <v>250000</v>
      </c>
      <c r="J475" s="1272"/>
    </row>
    <row r="476" spans="2:10" ht="15.75" customHeight="1">
      <c r="B476" s="2261">
        <v>9</v>
      </c>
      <c r="C476" s="2266" t="s">
        <v>2021</v>
      </c>
      <c r="D476" s="1272"/>
      <c r="E476" s="1272"/>
      <c r="F476" s="1272"/>
      <c r="G476" s="1287"/>
      <c r="H476" s="1272"/>
      <c r="I476" s="1364"/>
      <c r="J476" s="1364">
        <f>SUM(I477:I484)</f>
        <v>7400000</v>
      </c>
    </row>
    <row r="477" spans="2:10" ht="15.75" customHeight="1">
      <c r="B477" s="2263"/>
      <c r="C477" s="2291" t="s">
        <v>1999</v>
      </c>
      <c r="D477" s="1272" t="s">
        <v>2000</v>
      </c>
      <c r="E477" s="1272"/>
      <c r="F477" s="1277">
        <v>1</v>
      </c>
      <c r="G477" s="1364">
        <v>450000</v>
      </c>
      <c r="H477" s="1272"/>
      <c r="I477" s="1364">
        <f t="shared" ref="I477:I484" si="46">PRODUCT(F477:G477)</f>
        <v>450000</v>
      </c>
      <c r="J477" s="654" t="s">
        <v>2018</v>
      </c>
    </row>
    <row r="478" spans="2:10" ht="15.75" customHeight="1">
      <c r="B478" s="2263"/>
      <c r="C478" s="2291" t="s">
        <v>2002</v>
      </c>
      <c r="D478" s="1272" t="s">
        <v>2003</v>
      </c>
      <c r="E478" s="1272"/>
      <c r="F478" s="1277">
        <v>4</v>
      </c>
      <c r="G478" s="1364">
        <v>100000</v>
      </c>
      <c r="H478" s="1272"/>
      <c r="I478" s="1364">
        <f t="shared" si="46"/>
        <v>400000</v>
      </c>
      <c r="J478" s="1272"/>
    </row>
    <row r="479" spans="2:10" ht="15.75" customHeight="1">
      <c r="B479" s="2263"/>
      <c r="C479" s="2291" t="s">
        <v>2004</v>
      </c>
      <c r="D479" s="1272" t="s">
        <v>2005</v>
      </c>
      <c r="E479" s="1272"/>
      <c r="F479" s="1277">
        <v>18</v>
      </c>
      <c r="G479" s="1364">
        <v>50000</v>
      </c>
      <c r="H479" s="1272"/>
      <c r="I479" s="1364">
        <f t="shared" si="46"/>
        <v>900000</v>
      </c>
      <c r="J479" s="1272"/>
    </row>
    <row r="480" spans="2:10" ht="15.75" customHeight="1">
      <c r="B480" s="2263"/>
      <c r="C480" s="2212" t="s">
        <v>2006</v>
      </c>
      <c r="D480" s="1272" t="s">
        <v>2005</v>
      </c>
      <c r="E480" s="1272"/>
      <c r="F480" s="1277">
        <v>18</v>
      </c>
      <c r="G480" s="1364">
        <v>50000</v>
      </c>
      <c r="H480" s="1272"/>
      <c r="I480" s="1364">
        <f t="shared" si="46"/>
        <v>900000</v>
      </c>
      <c r="J480" s="1272"/>
    </row>
    <row r="481" spans="2:10" ht="15.75" customHeight="1">
      <c r="B481" s="2263"/>
      <c r="C481" s="2212" t="s">
        <v>2007</v>
      </c>
      <c r="D481" s="1272" t="s">
        <v>2005</v>
      </c>
      <c r="E481" s="1272"/>
      <c r="F481" s="1277">
        <v>36</v>
      </c>
      <c r="G481" s="1364">
        <v>50000</v>
      </c>
      <c r="H481" s="1272"/>
      <c r="I481" s="1364">
        <f t="shared" si="46"/>
        <v>1800000</v>
      </c>
      <c r="J481" s="1272"/>
    </row>
    <row r="482" spans="2:10" ht="15.75" customHeight="1">
      <c r="B482" s="2263"/>
      <c r="C482" s="2212" t="s">
        <v>2008</v>
      </c>
      <c r="D482" s="1272" t="s">
        <v>2009</v>
      </c>
      <c r="E482" s="1272"/>
      <c r="F482" s="1277">
        <v>36</v>
      </c>
      <c r="G482" s="1364">
        <v>50000</v>
      </c>
      <c r="H482" s="1272"/>
      <c r="I482" s="1364">
        <f t="shared" si="46"/>
        <v>1800000</v>
      </c>
      <c r="J482" s="1272"/>
    </row>
    <row r="483" spans="2:10" ht="15.75" customHeight="1">
      <c r="B483" s="2263"/>
      <c r="C483" s="2212" t="s">
        <v>2010</v>
      </c>
      <c r="D483" s="1272" t="s">
        <v>2005</v>
      </c>
      <c r="E483" s="1272"/>
      <c r="F483" s="1277">
        <v>18</v>
      </c>
      <c r="G483" s="1364">
        <v>50000</v>
      </c>
      <c r="H483" s="1272"/>
      <c r="I483" s="1364">
        <f t="shared" si="46"/>
        <v>900000</v>
      </c>
      <c r="J483" s="1272"/>
    </row>
    <row r="484" spans="2:10" ht="15.75" customHeight="1">
      <c r="B484" s="2263"/>
      <c r="C484" s="2212" t="s">
        <v>2011</v>
      </c>
      <c r="D484" s="1272" t="s">
        <v>2012</v>
      </c>
      <c r="E484" s="1272"/>
      <c r="F484" s="1277">
        <v>5</v>
      </c>
      <c r="G484" s="1364">
        <v>50000</v>
      </c>
      <c r="H484" s="1272"/>
      <c r="I484" s="1364">
        <f t="shared" si="46"/>
        <v>250000</v>
      </c>
      <c r="J484" s="1272"/>
    </row>
    <row r="485" spans="2:10" ht="15.75" customHeight="1">
      <c r="B485" s="2263"/>
      <c r="C485" s="2291"/>
      <c r="D485" s="1272"/>
      <c r="E485" s="1272"/>
      <c r="F485" s="1272"/>
      <c r="G485" s="1287"/>
      <c r="H485" s="1272"/>
      <c r="I485" s="1364"/>
      <c r="J485" s="1272"/>
    </row>
    <row r="486" spans="2:10" ht="15.75" customHeight="1">
      <c r="B486" s="2263">
        <v>10</v>
      </c>
      <c r="C486" s="2266" t="s">
        <v>2022</v>
      </c>
      <c r="D486" s="1272"/>
      <c r="E486" s="1272"/>
      <c r="F486" s="1272"/>
      <c r="G486" s="1287"/>
      <c r="H486" s="1272"/>
      <c r="I486" s="1364"/>
      <c r="J486" s="1364">
        <f>SUM(I487:I494)</f>
        <v>7400000</v>
      </c>
    </row>
    <row r="487" spans="2:10" ht="15.75" customHeight="1">
      <c r="B487" s="2263"/>
      <c r="C487" s="2212" t="s">
        <v>1999</v>
      </c>
      <c r="D487" s="1272" t="s">
        <v>2000</v>
      </c>
      <c r="E487" s="1272"/>
      <c r="F487" s="1277">
        <v>1</v>
      </c>
      <c r="G487" s="1364">
        <v>450000</v>
      </c>
      <c r="H487" s="1272"/>
      <c r="I487" s="1364">
        <f t="shared" ref="I487:I494" si="47">PRODUCT(F487:G487)</f>
        <v>450000</v>
      </c>
      <c r="J487" s="654" t="s">
        <v>2018</v>
      </c>
    </row>
    <row r="488" spans="2:10" ht="15.75" customHeight="1">
      <c r="B488" s="2263"/>
      <c r="C488" s="2212" t="s">
        <v>2002</v>
      </c>
      <c r="D488" s="1272" t="s">
        <v>2003</v>
      </c>
      <c r="E488" s="1272"/>
      <c r="F488" s="1277">
        <v>4</v>
      </c>
      <c r="G488" s="1364">
        <v>100000</v>
      </c>
      <c r="H488" s="1272"/>
      <c r="I488" s="1364">
        <f t="shared" si="47"/>
        <v>400000</v>
      </c>
      <c r="J488" s="1272"/>
    </row>
    <row r="489" spans="2:10" ht="15.75" customHeight="1">
      <c r="B489" s="2263"/>
      <c r="C489" s="2212" t="s">
        <v>2004</v>
      </c>
      <c r="D489" s="1272" t="s">
        <v>2005</v>
      </c>
      <c r="E489" s="1272"/>
      <c r="F489" s="1277">
        <v>18</v>
      </c>
      <c r="G489" s="1364">
        <v>50000</v>
      </c>
      <c r="H489" s="1272"/>
      <c r="I489" s="1364">
        <f t="shared" si="47"/>
        <v>900000</v>
      </c>
      <c r="J489" s="1272"/>
    </row>
    <row r="490" spans="2:10" ht="15.75" customHeight="1">
      <c r="B490" s="2263"/>
      <c r="C490" s="2212" t="s">
        <v>2006</v>
      </c>
      <c r="D490" s="1272" t="s">
        <v>2005</v>
      </c>
      <c r="E490" s="1272"/>
      <c r="F490" s="1277">
        <v>18</v>
      </c>
      <c r="G490" s="1364">
        <v>50000</v>
      </c>
      <c r="H490" s="1272"/>
      <c r="I490" s="1364">
        <f t="shared" si="47"/>
        <v>900000</v>
      </c>
      <c r="J490" s="1272"/>
    </row>
    <row r="491" spans="2:10" ht="15.75" customHeight="1">
      <c r="B491" s="2263"/>
      <c r="C491" s="2212" t="s">
        <v>2007</v>
      </c>
      <c r="D491" s="1272" t="s">
        <v>2005</v>
      </c>
      <c r="E491" s="1272"/>
      <c r="F491" s="1277">
        <v>36</v>
      </c>
      <c r="G491" s="1364">
        <v>50000</v>
      </c>
      <c r="H491" s="1272"/>
      <c r="I491" s="1364">
        <f t="shared" si="47"/>
        <v>1800000</v>
      </c>
      <c r="J491" s="1272"/>
    </row>
    <row r="492" spans="2:10" ht="15.75" customHeight="1">
      <c r="B492" s="2263"/>
      <c r="C492" s="2212" t="s">
        <v>2008</v>
      </c>
      <c r="D492" s="1272" t="s">
        <v>2009</v>
      </c>
      <c r="E492" s="1272"/>
      <c r="F492" s="1277">
        <v>36</v>
      </c>
      <c r="G492" s="1364">
        <v>50000</v>
      </c>
      <c r="H492" s="1272"/>
      <c r="I492" s="1364">
        <f t="shared" si="47"/>
        <v>1800000</v>
      </c>
      <c r="J492" s="1272"/>
    </row>
    <row r="493" spans="2:10" ht="15.75" customHeight="1">
      <c r="B493" s="2263"/>
      <c r="C493" s="2212" t="s">
        <v>2010</v>
      </c>
      <c r="D493" s="1272" t="s">
        <v>2005</v>
      </c>
      <c r="E493" s="1272"/>
      <c r="F493" s="1277">
        <v>18</v>
      </c>
      <c r="G493" s="1364">
        <v>50000</v>
      </c>
      <c r="H493" s="1272"/>
      <c r="I493" s="1364">
        <f t="shared" si="47"/>
        <v>900000</v>
      </c>
      <c r="J493" s="1272"/>
    </row>
    <row r="494" spans="2:10" ht="15.75" customHeight="1">
      <c r="B494" s="2263"/>
      <c r="C494" s="2212" t="s">
        <v>2011</v>
      </c>
      <c r="D494" s="1272" t="s">
        <v>2012</v>
      </c>
      <c r="E494" s="1272"/>
      <c r="F494" s="1277">
        <v>5</v>
      </c>
      <c r="G494" s="1364">
        <v>50000</v>
      </c>
      <c r="H494" s="1272"/>
      <c r="I494" s="1364">
        <f t="shared" si="47"/>
        <v>250000</v>
      </c>
      <c r="J494" s="1272"/>
    </row>
    <row r="495" spans="2:10" ht="15.75" customHeight="1">
      <c r="B495" s="2263"/>
      <c r="C495" s="2291"/>
      <c r="D495" s="1272"/>
      <c r="E495" s="1272"/>
      <c r="F495" s="1272"/>
      <c r="G495" s="1287"/>
      <c r="H495" s="1272"/>
      <c r="I495" s="1364"/>
      <c r="J495" s="1272"/>
    </row>
    <row r="496" spans="2:10" ht="15.75" customHeight="1">
      <c r="B496" s="2263">
        <v>11</v>
      </c>
      <c r="C496" s="2266" t="s">
        <v>2023</v>
      </c>
      <c r="D496" s="1272"/>
      <c r="E496" s="1272"/>
      <c r="F496" s="1272"/>
      <c r="G496" s="1287"/>
      <c r="H496" s="1272"/>
      <c r="I496" s="1364"/>
      <c r="J496" s="1364">
        <f>SUM(I497:I504)</f>
        <v>7400000</v>
      </c>
    </row>
    <row r="497" spans="2:10" ht="15.75" customHeight="1">
      <c r="B497" s="2263"/>
      <c r="C497" s="2212" t="s">
        <v>1999</v>
      </c>
      <c r="D497" s="1272" t="s">
        <v>2000</v>
      </c>
      <c r="E497" s="1272"/>
      <c r="F497" s="1277">
        <v>1</v>
      </c>
      <c r="G497" s="1364">
        <v>450000</v>
      </c>
      <c r="H497" s="1272"/>
      <c r="I497" s="1364">
        <f t="shared" ref="I497:I504" si="48">PRODUCT(F497:G497)</f>
        <v>450000</v>
      </c>
      <c r="J497" s="654" t="s">
        <v>2018</v>
      </c>
    </row>
    <row r="498" spans="2:10" ht="15.75" customHeight="1">
      <c r="B498" s="2263"/>
      <c r="C498" s="2212" t="s">
        <v>2002</v>
      </c>
      <c r="D498" s="1272" t="s">
        <v>2003</v>
      </c>
      <c r="E498" s="1272"/>
      <c r="F498" s="1277">
        <v>4</v>
      </c>
      <c r="G498" s="1364">
        <v>100000</v>
      </c>
      <c r="H498" s="1272"/>
      <c r="I498" s="1364">
        <f t="shared" si="48"/>
        <v>400000</v>
      </c>
      <c r="J498" s="1272"/>
    </row>
    <row r="499" spans="2:10" ht="15.75" customHeight="1">
      <c r="B499" s="2263"/>
      <c r="C499" s="2212" t="s">
        <v>2004</v>
      </c>
      <c r="D499" s="1272" t="s">
        <v>2005</v>
      </c>
      <c r="E499" s="1272"/>
      <c r="F499" s="1277">
        <v>18</v>
      </c>
      <c r="G499" s="1364">
        <v>50000</v>
      </c>
      <c r="H499" s="1272"/>
      <c r="I499" s="1364">
        <f t="shared" si="48"/>
        <v>900000</v>
      </c>
      <c r="J499" s="1272"/>
    </row>
    <row r="500" spans="2:10" ht="15.75" customHeight="1">
      <c r="B500" s="2263"/>
      <c r="C500" s="2212" t="s">
        <v>2006</v>
      </c>
      <c r="D500" s="1272" t="s">
        <v>2005</v>
      </c>
      <c r="E500" s="1272"/>
      <c r="F500" s="1277">
        <v>18</v>
      </c>
      <c r="G500" s="1364">
        <v>50000</v>
      </c>
      <c r="H500" s="1272"/>
      <c r="I500" s="1364">
        <f t="shared" si="48"/>
        <v>900000</v>
      </c>
      <c r="J500" s="1272"/>
    </row>
    <row r="501" spans="2:10" ht="15.75" customHeight="1">
      <c r="B501" s="2263"/>
      <c r="C501" s="2212" t="s">
        <v>2007</v>
      </c>
      <c r="D501" s="1272" t="s">
        <v>2005</v>
      </c>
      <c r="E501" s="1272"/>
      <c r="F501" s="1277">
        <v>36</v>
      </c>
      <c r="G501" s="1364">
        <v>50000</v>
      </c>
      <c r="H501" s="1272"/>
      <c r="I501" s="1364">
        <f t="shared" si="48"/>
        <v>1800000</v>
      </c>
      <c r="J501" s="1272"/>
    </row>
    <row r="502" spans="2:10" ht="15.75" customHeight="1">
      <c r="B502" s="2263"/>
      <c r="C502" s="2212" t="s">
        <v>2008</v>
      </c>
      <c r="D502" s="1272" t="s">
        <v>2009</v>
      </c>
      <c r="E502" s="1272"/>
      <c r="F502" s="1277">
        <v>36</v>
      </c>
      <c r="G502" s="1364">
        <v>50000</v>
      </c>
      <c r="H502" s="1272"/>
      <c r="I502" s="1364">
        <f t="shared" si="48"/>
        <v>1800000</v>
      </c>
      <c r="J502" s="1272"/>
    </row>
    <row r="503" spans="2:10" ht="15.75" customHeight="1">
      <c r="B503" s="2263"/>
      <c r="C503" s="2212" t="s">
        <v>2010</v>
      </c>
      <c r="D503" s="1272" t="s">
        <v>2005</v>
      </c>
      <c r="E503" s="1272"/>
      <c r="F503" s="1277">
        <v>18</v>
      </c>
      <c r="G503" s="1364">
        <v>50000</v>
      </c>
      <c r="H503" s="1272"/>
      <c r="I503" s="1364">
        <f t="shared" si="48"/>
        <v>900000</v>
      </c>
      <c r="J503" s="1272"/>
    </row>
    <row r="504" spans="2:10" ht="15.75" customHeight="1">
      <c r="B504" s="2263"/>
      <c r="C504" s="2212" t="s">
        <v>2011</v>
      </c>
      <c r="D504" s="1272" t="s">
        <v>2012</v>
      </c>
      <c r="E504" s="1272"/>
      <c r="F504" s="1277">
        <v>5</v>
      </c>
      <c r="G504" s="1364">
        <v>50000</v>
      </c>
      <c r="H504" s="1272"/>
      <c r="I504" s="1364">
        <f t="shared" si="48"/>
        <v>250000</v>
      </c>
      <c r="J504" s="1272"/>
    </row>
    <row r="505" spans="2:10" ht="15.75" customHeight="1">
      <c r="B505" s="2263">
        <v>12</v>
      </c>
      <c r="C505" s="2291"/>
      <c r="D505" s="1272"/>
      <c r="E505" s="1272"/>
      <c r="F505" s="1272"/>
      <c r="G505" s="1287"/>
      <c r="H505" s="1272"/>
      <c r="I505" s="1364"/>
      <c r="J505" s="1272"/>
    </row>
    <row r="506" spans="2:10" ht="15.75" customHeight="1">
      <c r="B506" s="2263"/>
      <c r="C506" s="2266" t="s">
        <v>2044</v>
      </c>
      <c r="D506" s="1272"/>
      <c r="E506" s="1272"/>
      <c r="F506" s="1272"/>
      <c r="G506" s="1287"/>
      <c r="H506" s="1272"/>
      <c r="I506" s="1364"/>
      <c r="J506" s="1364">
        <f>SUM(I507:I514)</f>
        <v>7400000</v>
      </c>
    </row>
    <row r="507" spans="2:10" ht="15.75" customHeight="1">
      <c r="B507" s="2263"/>
      <c r="C507" s="2212" t="s">
        <v>1999</v>
      </c>
      <c r="D507" s="1272" t="s">
        <v>2000</v>
      </c>
      <c r="E507" s="1272"/>
      <c r="F507" s="1277">
        <v>1</v>
      </c>
      <c r="G507" s="1364">
        <v>450000</v>
      </c>
      <c r="H507" s="1272"/>
      <c r="I507" s="1364">
        <f t="shared" ref="I507:I514" si="49">PRODUCT(F507:G507)</f>
        <v>450000</v>
      </c>
      <c r="J507" s="654" t="s">
        <v>2018</v>
      </c>
    </row>
    <row r="508" spans="2:10" ht="15.75" customHeight="1">
      <c r="B508" s="2263"/>
      <c r="C508" s="2212" t="s">
        <v>2002</v>
      </c>
      <c r="D508" s="1272" t="s">
        <v>2003</v>
      </c>
      <c r="E508" s="1272"/>
      <c r="F508" s="1277">
        <v>4</v>
      </c>
      <c r="G508" s="1364">
        <v>100000</v>
      </c>
      <c r="H508" s="1272"/>
      <c r="I508" s="1364">
        <f t="shared" si="49"/>
        <v>400000</v>
      </c>
      <c r="J508" s="1272"/>
    </row>
    <row r="509" spans="2:10" ht="15.75" customHeight="1">
      <c r="B509" s="2263"/>
      <c r="C509" s="2212" t="s">
        <v>2004</v>
      </c>
      <c r="D509" s="1272" t="s">
        <v>2005</v>
      </c>
      <c r="E509" s="1272"/>
      <c r="F509" s="1277">
        <v>18</v>
      </c>
      <c r="G509" s="1364">
        <v>50000</v>
      </c>
      <c r="H509" s="1272"/>
      <c r="I509" s="1364">
        <f t="shared" si="49"/>
        <v>900000</v>
      </c>
      <c r="J509" s="1272"/>
    </row>
    <row r="510" spans="2:10" ht="15.75" customHeight="1">
      <c r="B510" s="2263"/>
      <c r="C510" s="2212" t="s">
        <v>2006</v>
      </c>
      <c r="D510" s="1272" t="s">
        <v>2005</v>
      </c>
      <c r="E510" s="1272"/>
      <c r="F510" s="1277">
        <v>18</v>
      </c>
      <c r="G510" s="1364">
        <v>50000</v>
      </c>
      <c r="H510" s="1272"/>
      <c r="I510" s="1364">
        <f t="shared" si="49"/>
        <v>900000</v>
      </c>
      <c r="J510" s="1272"/>
    </row>
    <row r="511" spans="2:10" ht="15.75" customHeight="1">
      <c r="B511" s="2263"/>
      <c r="C511" s="2212" t="s">
        <v>2007</v>
      </c>
      <c r="D511" s="1272" t="s">
        <v>2005</v>
      </c>
      <c r="E511" s="1272"/>
      <c r="F511" s="1277">
        <v>36</v>
      </c>
      <c r="G511" s="1364">
        <v>50000</v>
      </c>
      <c r="H511" s="1272"/>
      <c r="I511" s="1364">
        <f t="shared" si="49"/>
        <v>1800000</v>
      </c>
      <c r="J511" s="1272"/>
    </row>
    <row r="512" spans="2:10" ht="15.75" customHeight="1">
      <c r="B512" s="2263"/>
      <c r="C512" s="2212" t="s">
        <v>2008</v>
      </c>
      <c r="D512" s="1272" t="s">
        <v>2009</v>
      </c>
      <c r="E512" s="1272"/>
      <c r="F512" s="1277">
        <v>36</v>
      </c>
      <c r="G512" s="1364">
        <v>50000</v>
      </c>
      <c r="H512" s="1272"/>
      <c r="I512" s="1364">
        <f t="shared" si="49"/>
        <v>1800000</v>
      </c>
      <c r="J512" s="1272"/>
    </row>
    <row r="513" spans="1:14" ht="15.75" customHeight="1">
      <c r="A513" s="13"/>
      <c r="B513" s="2263"/>
      <c r="C513" s="2212" t="s">
        <v>2010</v>
      </c>
      <c r="D513" s="1272" t="s">
        <v>2005</v>
      </c>
      <c r="E513" s="1272"/>
      <c r="F513" s="1277">
        <v>18</v>
      </c>
      <c r="G513" s="1364">
        <v>50000</v>
      </c>
      <c r="H513" s="1272"/>
      <c r="I513" s="1364">
        <f t="shared" si="49"/>
        <v>900000</v>
      </c>
      <c r="J513" s="1272"/>
      <c r="K513" s="1363"/>
      <c r="L513" s="13"/>
      <c r="M513" s="13"/>
      <c r="N513" s="13"/>
    </row>
    <row r="514" spans="1:14" ht="15.75" customHeight="1">
      <c r="A514" s="13"/>
      <c r="B514" s="2263"/>
      <c r="C514" s="2212" t="s">
        <v>2011</v>
      </c>
      <c r="D514" s="1272" t="s">
        <v>2012</v>
      </c>
      <c r="E514" s="1272"/>
      <c r="F514" s="1277">
        <v>5</v>
      </c>
      <c r="G514" s="1364">
        <v>50000</v>
      </c>
      <c r="H514" s="1272"/>
      <c r="I514" s="1364">
        <f t="shared" si="49"/>
        <v>250000</v>
      </c>
      <c r="J514" s="1272"/>
      <c r="K514" s="1363"/>
      <c r="L514" s="13"/>
      <c r="M514" s="13"/>
      <c r="N514" s="13"/>
    </row>
    <row r="515" spans="1:14" ht="15.75" customHeight="1">
      <c r="A515" s="13"/>
      <c r="B515" s="2263"/>
      <c r="C515" s="2291"/>
      <c r="D515" s="1272"/>
      <c r="E515" s="1272"/>
      <c r="F515" s="1272"/>
      <c r="G515" s="1287"/>
      <c r="H515" s="1272"/>
      <c r="I515" s="1364"/>
      <c r="J515" s="1272"/>
      <c r="K515" s="1363"/>
      <c r="L515" s="13"/>
      <c r="M515" s="13"/>
      <c r="N515" s="13"/>
    </row>
    <row r="516" spans="1:14" ht="15.75" customHeight="1">
      <c r="A516" s="13"/>
      <c r="B516" s="2263"/>
      <c r="C516" s="2291"/>
      <c r="D516" s="1272"/>
      <c r="E516" s="1272"/>
      <c r="F516" s="1272"/>
      <c r="G516" s="1287"/>
      <c r="H516" s="1272"/>
      <c r="I516" s="1364"/>
      <c r="J516" s="1272"/>
      <c r="K516" s="1363"/>
      <c r="L516" s="13"/>
      <c r="M516" s="13"/>
      <c r="N516" s="13"/>
    </row>
    <row r="517" spans="1:14" ht="15.75" customHeight="1">
      <c r="A517" s="13"/>
      <c r="B517" s="2263"/>
      <c r="C517" s="2266" t="s">
        <v>2024</v>
      </c>
      <c r="D517" s="1272"/>
      <c r="E517" s="1272"/>
      <c r="F517" s="1272"/>
      <c r="G517" s="1272"/>
      <c r="H517" s="1272"/>
      <c r="I517" s="1365">
        <f>SUM(I381:I516)</f>
        <v>126460000</v>
      </c>
      <c r="J517" s="1272"/>
      <c r="K517" s="1363"/>
      <c r="L517" s="13"/>
      <c r="M517" s="13"/>
      <c r="N517" s="13"/>
    </row>
    <row r="518" spans="1:14" ht="15.75" customHeight="1">
      <c r="A518" s="13"/>
      <c r="B518" s="2209"/>
      <c r="C518" s="2266" t="s">
        <v>2025</v>
      </c>
      <c r="D518" s="1272"/>
      <c r="E518" s="1272"/>
      <c r="F518" s="1272"/>
      <c r="G518" s="1272"/>
      <c r="H518" s="1272"/>
      <c r="I518" s="1365">
        <f>I376-I517</f>
        <v>76860000</v>
      </c>
      <c r="J518" s="1272"/>
      <c r="K518" s="1363"/>
      <c r="L518" s="13"/>
      <c r="M518" s="13"/>
      <c r="N518" s="13"/>
    </row>
    <row r="519" spans="1:14" ht="15.75" customHeight="1">
      <c r="A519" s="36"/>
      <c r="B519" s="13"/>
      <c r="C519" s="1290"/>
      <c r="D519" s="296"/>
      <c r="E519" s="235"/>
      <c r="F519" s="235"/>
      <c r="G519" s="235"/>
      <c r="H519" s="235"/>
      <c r="I519" s="1357"/>
      <c r="J519" s="296"/>
      <c r="K519" s="298"/>
      <c r="L519" s="13"/>
      <c r="M519" s="13"/>
      <c r="N519" s="13"/>
    </row>
    <row r="520" spans="1:14" ht="15.75" customHeight="1">
      <c r="A520" s="2904" t="s">
        <v>2045</v>
      </c>
      <c r="B520" s="2732"/>
      <c r="C520" s="1290"/>
      <c r="D520" s="296"/>
      <c r="E520" s="235"/>
      <c r="F520" s="235"/>
      <c r="G520" s="235"/>
      <c r="H520" s="235"/>
      <c r="I520" s="1357"/>
      <c r="J520" s="296"/>
      <c r="K520" s="298"/>
      <c r="L520" s="13"/>
      <c r="M520" s="13"/>
      <c r="N520" s="13"/>
    </row>
    <row r="521" spans="1:14" ht="22.5" customHeight="1">
      <c r="A521" s="36"/>
      <c r="B521" s="13"/>
      <c r="C521" s="2934" t="s">
        <v>2046</v>
      </c>
      <c r="D521" s="2732"/>
      <c r="E521" s="2732"/>
      <c r="F521" s="2732"/>
      <c r="G521" s="2732"/>
      <c r="H521" s="2732"/>
      <c r="I521" s="2732"/>
      <c r="J521" s="2732"/>
      <c r="K521" s="2732"/>
      <c r="L521" s="1368"/>
      <c r="M521" s="1369"/>
      <c r="N521" s="1369"/>
    </row>
    <row r="522" spans="1:14" ht="15.75" customHeight="1">
      <c r="A522" s="36"/>
      <c r="B522" s="13"/>
      <c r="C522" s="296" t="s">
        <v>2047</v>
      </c>
      <c r="D522" s="1370"/>
      <c r="E522" s="1370"/>
      <c r="F522" s="1370" t="s">
        <v>2048</v>
      </c>
      <c r="G522" s="1370"/>
      <c r="H522" s="1370"/>
      <c r="I522" s="1370"/>
      <c r="J522" s="1337"/>
      <c r="K522" s="1371"/>
      <c r="L522" s="1372"/>
      <c r="M522" s="1337"/>
      <c r="N522" s="1337"/>
    </row>
    <row r="523" spans="1:14" ht="15.75" customHeight="1">
      <c r="A523" s="36"/>
      <c r="B523" s="13"/>
      <c r="C523" s="13"/>
      <c r="D523" s="13"/>
      <c r="E523" s="13"/>
      <c r="F523" s="2293"/>
      <c r="G523" s="2293"/>
      <c r="H523" s="2293"/>
      <c r="I523" s="19"/>
      <c r="J523" s="2293"/>
      <c r="K523" s="2293"/>
      <c r="L523" s="2293"/>
      <c r="M523" s="39"/>
      <c r="N523" s="13"/>
    </row>
    <row r="524" spans="1:14" ht="15.75" customHeight="1">
      <c r="A524" s="36"/>
      <c r="B524" s="13"/>
      <c r="C524" s="13"/>
      <c r="D524" s="13"/>
      <c r="E524" s="13"/>
      <c r="F524" s="13"/>
      <c r="G524" s="39"/>
      <c r="H524" s="39"/>
      <c r="I524" s="39"/>
      <c r="J524" s="39"/>
      <c r="K524" s="306"/>
      <c r="L524" s="39"/>
      <c r="M524" s="39"/>
      <c r="N524" s="13"/>
    </row>
    <row r="525" spans="1:14" ht="36">
      <c r="A525" s="36"/>
      <c r="B525" s="13"/>
      <c r="C525" s="2294" t="s">
        <v>2049</v>
      </c>
      <c r="D525" s="1373" t="s">
        <v>2050</v>
      </c>
      <c r="E525" s="1373" t="s">
        <v>2051</v>
      </c>
      <c r="F525" s="1373" t="s">
        <v>2052</v>
      </c>
      <c r="G525" s="1374" t="s">
        <v>2053</v>
      </c>
      <c r="H525" s="1374" t="s">
        <v>2054</v>
      </c>
      <c r="I525" s="1375" t="s">
        <v>2055</v>
      </c>
      <c r="J525" s="1374" t="s">
        <v>2056</v>
      </c>
      <c r="K525" s="1374" t="s">
        <v>2057</v>
      </c>
      <c r="L525" s="1374" t="s">
        <v>2058</v>
      </c>
      <c r="M525" s="1376" t="s">
        <v>2059</v>
      </c>
      <c r="N525" s="1374" t="s">
        <v>2060</v>
      </c>
    </row>
    <row r="526" spans="1:14" ht="15.75" customHeight="1">
      <c r="A526" s="36"/>
      <c r="B526" s="13"/>
      <c r="C526" s="1377"/>
      <c r="D526" s="993"/>
      <c r="E526" s="1272"/>
      <c r="F526" s="1378"/>
      <c r="G526" s="1379" t="s">
        <v>2061</v>
      </c>
      <c r="H526" s="1380" t="s">
        <v>2062</v>
      </c>
      <c r="I526" s="1381" t="s">
        <v>2063</v>
      </c>
      <c r="J526" s="1380" t="s">
        <v>2064</v>
      </c>
      <c r="K526" s="1382" t="s">
        <v>2065</v>
      </c>
      <c r="L526" s="1380" t="s">
        <v>2066</v>
      </c>
      <c r="M526" s="1383" t="s">
        <v>2067</v>
      </c>
      <c r="N526" s="1384"/>
    </row>
    <row r="527" spans="1:14" ht="15.75" customHeight="1">
      <c r="A527" s="36"/>
      <c r="B527" s="13"/>
      <c r="C527" s="2933" t="s">
        <v>2068</v>
      </c>
      <c r="D527" s="1385" t="s">
        <v>2069</v>
      </c>
      <c r="E527" s="1283">
        <v>20</v>
      </c>
      <c r="F527" s="1269">
        <v>2</v>
      </c>
      <c r="G527" s="1386">
        <v>900000</v>
      </c>
      <c r="H527" s="1386">
        <v>200000</v>
      </c>
      <c r="I527" s="1361">
        <v>1200000</v>
      </c>
      <c r="J527" s="1361">
        <v>1200000</v>
      </c>
      <c r="K527" s="1387">
        <v>640000</v>
      </c>
      <c r="L527" s="1361">
        <v>1200000</v>
      </c>
      <c r="M527" s="1386">
        <v>700000</v>
      </c>
      <c r="N527" s="1388">
        <f t="shared" ref="N527:N556" si="50">SUM(G527:M527)</f>
        <v>6040000</v>
      </c>
    </row>
    <row r="528" spans="1:14" ht="15.75" customHeight="1">
      <c r="A528" s="36"/>
      <c r="B528" s="13"/>
      <c r="C528" s="2779"/>
      <c r="D528" s="1385" t="s">
        <v>2070</v>
      </c>
      <c r="E528" s="1283">
        <v>20</v>
      </c>
      <c r="F528" s="1269">
        <v>2</v>
      </c>
      <c r="G528" s="1386"/>
      <c r="H528" s="1386">
        <v>200000</v>
      </c>
      <c r="I528" s="1361">
        <v>1200000</v>
      </c>
      <c r="J528" s="1361">
        <v>1200000</v>
      </c>
      <c r="K528" s="1387">
        <v>640000</v>
      </c>
      <c r="L528" s="1361">
        <v>1200000</v>
      </c>
      <c r="M528" s="1275"/>
      <c r="N528" s="1388">
        <f t="shared" si="50"/>
        <v>4440000</v>
      </c>
    </row>
    <row r="529" spans="3:14" ht="15.75" customHeight="1">
      <c r="C529" s="2932" t="s">
        <v>2071</v>
      </c>
      <c r="D529" s="1385" t="s">
        <v>2069</v>
      </c>
      <c r="E529" s="1283">
        <v>20</v>
      </c>
      <c r="F529" s="1269">
        <v>2</v>
      </c>
      <c r="G529" s="1386">
        <v>900000</v>
      </c>
      <c r="H529" s="1386">
        <v>200000</v>
      </c>
      <c r="I529" s="1361">
        <v>1200000</v>
      </c>
      <c r="J529" s="1361">
        <v>1200000</v>
      </c>
      <c r="K529" s="1387">
        <v>640000</v>
      </c>
      <c r="L529" s="1361">
        <v>1200000</v>
      </c>
      <c r="M529" s="1386">
        <v>700000</v>
      </c>
      <c r="N529" s="1388">
        <f t="shared" si="50"/>
        <v>6040000</v>
      </c>
    </row>
    <row r="530" spans="3:14" ht="15.75" customHeight="1">
      <c r="C530" s="2779"/>
      <c r="D530" s="1385" t="s">
        <v>2070</v>
      </c>
      <c r="E530" s="1283">
        <v>20</v>
      </c>
      <c r="F530" s="1269">
        <v>2</v>
      </c>
      <c r="G530" s="1386"/>
      <c r="H530" s="1386">
        <v>200000</v>
      </c>
      <c r="I530" s="1361">
        <v>1200000</v>
      </c>
      <c r="J530" s="1361">
        <v>1200000</v>
      </c>
      <c r="K530" s="1387">
        <v>640000</v>
      </c>
      <c r="L530" s="1361">
        <v>1200000</v>
      </c>
      <c r="M530" s="1275"/>
      <c r="N530" s="1388">
        <f t="shared" si="50"/>
        <v>4440000</v>
      </c>
    </row>
    <row r="531" spans="3:14" ht="15.75" customHeight="1">
      <c r="C531" s="2932" t="s">
        <v>2072</v>
      </c>
      <c r="D531" s="1385" t="s">
        <v>2069</v>
      </c>
      <c r="E531" s="1283">
        <v>20</v>
      </c>
      <c r="F531" s="1269">
        <v>2</v>
      </c>
      <c r="G531" s="1386">
        <v>900000</v>
      </c>
      <c r="H531" s="1386">
        <v>200000</v>
      </c>
      <c r="I531" s="1361">
        <v>1200000</v>
      </c>
      <c r="J531" s="1361">
        <v>1200000</v>
      </c>
      <c r="K531" s="1387">
        <v>640000</v>
      </c>
      <c r="L531" s="1361">
        <v>1200000</v>
      </c>
      <c r="M531" s="1386">
        <v>700000</v>
      </c>
      <c r="N531" s="1388">
        <f t="shared" si="50"/>
        <v>6040000</v>
      </c>
    </row>
    <row r="532" spans="3:14" ht="15.75" customHeight="1">
      <c r="C532" s="2779"/>
      <c r="D532" s="1385" t="s">
        <v>2070</v>
      </c>
      <c r="E532" s="1283">
        <v>20</v>
      </c>
      <c r="F532" s="1269">
        <v>2</v>
      </c>
      <c r="G532" s="1386"/>
      <c r="H532" s="1386">
        <v>200000</v>
      </c>
      <c r="I532" s="1361">
        <v>1200000</v>
      </c>
      <c r="J532" s="1361">
        <v>1200000</v>
      </c>
      <c r="K532" s="1387">
        <v>640000</v>
      </c>
      <c r="L532" s="1361">
        <v>1200000</v>
      </c>
      <c r="M532" s="1275"/>
      <c r="N532" s="1388">
        <f t="shared" si="50"/>
        <v>4440000</v>
      </c>
    </row>
    <row r="533" spans="3:14" ht="15.75" customHeight="1">
      <c r="C533" s="2932" t="s">
        <v>2073</v>
      </c>
      <c r="D533" s="1385" t="s">
        <v>2069</v>
      </c>
      <c r="E533" s="1283">
        <v>20</v>
      </c>
      <c r="F533" s="1269">
        <v>2</v>
      </c>
      <c r="G533" s="1386">
        <v>900000</v>
      </c>
      <c r="H533" s="1386">
        <v>200000</v>
      </c>
      <c r="I533" s="1361">
        <v>1200000</v>
      </c>
      <c r="J533" s="1361">
        <v>1200000</v>
      </c>
      <c r="K533" s="1387">
        <v>640000</v>
      </c>
      <c r="L533" s="1361">
        <v>1200000</v>
      </c>
      <c r="M533" s="1386">
        <v>700000</v>
      </c>
      <c r="N533" s="1388">
        <f t="shared" si="50"/>
        <v>6040000</v>
      </c>
    </row>
    <row r="534" spans="3:14" ht="15.75" customHeight="1">
      <c r="C534" s="2779"/>
      <c r="D534" s="1385" t="s">
        <v>2070</v>
      </c>
      <c r="E534" s="1283">
        <v>20</v>
      </c>
      <c r="F534" s="1269">
        <v>2</v>
      </c>
      <c r="G534" s="1386"/>
      <c r="H534" s="1386">
        <v>200000</v>
      </c>
      <c r="I534" s="1361">
        <v>1200000</v>
      </c>
      <c r="J534" s="1361">
        <v>1200000</v>
      </c>
      <c r="K534" s="1387">
        <v>640000</v>
      </c>
      <c r="L534" s="1361">
        <v>1200000</v>
      </c>
      <c r="M534" s="1275"/>
      <c r="N534" s="1388">
        <f t="shared" si="50"/>
        <v>4440000</v>
      </c>
    </row>
    <row r="535" spans="3:14" ht="15.75" customHeight="1">
      <c r="C535" s="1389" t="s">
        <v>2074</v>
      </c>
      <c r="D535" s="1385" t="s">
        <v>2069</v>
      </c>
      <c r="E535" s="1283">
        <v>20</v>
      </c>
      <c r="F535" s="1269">
        <v>2</v>
      </c>
      <c r="G535" s="1386">
        <v>900000</v>
      </c>
      <c r="H535" s="1386">
        <v>200000</v>
      </c>
      <c r="I535" s="1361">
        <v>1200000</v>
      </c>
      <c r="J535" s="1361">
        <v>1200000</v>
      </c>
      <c r="K535" s="1387">
        <v>640000</v>
      </c>
      <c r="L535" s="1361">
        <v>1200000</v>
      </c>
      <c r="M535" s="1386">
        <v>700000</v>
      </c>
      <c r="N535" s="1388">
        <f t="shared" si="50"/>
        <v>6040000</v>
      </c>
    </row>
    <row r="536" spans="3:14" ht="15.75" customHeight="1">
      <c r="C536" s="1389"/>
      <c r="D536" s="1385" t="s">
        <v>2070</v>
      </c>
      <c r="E536" s="1283">
        <v>20</v>
      </c>
      <c r="F536" s="1269">
        <v>2</v>
      </c>
      <c r="G536" s="1386"/>
      <c r="H536" s="1386">
        <v>200000</v>
      </c>
      <c r="I536" s="1361">
        <v>1200000</v>
      </c>
      <c r="J536" s="1361">
        <v>1200000</v>
      </c>
      <c r="K536" s="1387">
        <v>640000</v>
      </c>
      <c r="L536" s="1361">
        <v>1200000</v>
      </c>
      <c r="M536" s="1275"/>
      <c r="N536" s="1388">
        <f t="shared" si="50"/>
        <v>4440000</v>
      </c>
    </row>
    <row r="537" spans="3:14" ht="15.75" customHeight="1">
      <c r="C537" s="2933" t="s">
        <v>2075</v>
      </c>
      <c r="D537" s="1385" t="s">
        <v>2069</v>
      </c>
      <c r="E537" s="1283">
        <v>20</v>
      </c>
      <c r="F537" s="1269">
        <v>2</v>
      </c>
      <c r="G537" s="1386">
        <v>900000</v>
      </c>
      <c r="H537" s="1386">
        <v>200000</v>
      </c>
      <c r="I537" s="1361">
        <v>1200000</v>
      </c>
      <c r="J537" s="1361">
        <v>1200000</v>
      </c>
      <c r="K537" s="1387">
        <v>640000</v>
      </c>
      <c r="L537" s="1361">
        <v>1200000</v>
      </c>
      <c r="M537" s="1386">
        <v>700000</v>
      </c>
      <c r="N537" s="1388">
        <f t="shared" si="50"/>
        <v>6040000</v>
      </c>
    </row>
    <row r="538" spans="3:14" ht="15.75" customHeight="1">
      <c r="C538" s="2779"/>
      <c r="D538" s="1385" t="s">
        <v>2070</v>
      </c>
      <c r="E538" s="1283">
        <v>20</v>
      </c>
      <c r="F538" s="1269">
        <v>2</v>
      </c>
      <c r="G538" s="1272"/>
      <c r="H538" s="1386">
        <v>200000</v>
      </c>
      <c r="I538" s="1361">
        <v>1200000</v>
      </c>
      <c r="J538" s="1361">
        <v>1200000</v>
      </c>
      <c r="K538" s="1387">
        <v>640000</v>
      </c>
      <c r="L538" s="1361">
        <v>1200000</v>
      </c>
      <c r="M538" s="13"/>
      <c r="N538" s="1388">
        <f t="shared" si="50"/>
        <v>4440000</v>
      </c>
    </row>
    <row r="539" spans="3:14" ht="15.75" customHeight="1">
      <c r="C539" s="2933" t="s">
        <v>2076</v>
      </c>
      <c r="D539" s="1385" t="s">
        <v>2069</v>
      </c>
      <c r="E539" s="1283">
        <v>20</v>
      </c>
      <c r="F539" s="1269">
        <v>2</v>
      </c>
      <c r="G539" s="1386">
        <v>900000</v>
      </c>
      <c r="H539" s="1386">
        <v>200000</v>
      </c>
      <c r="I539" s="1361">
        <v>1200000</v>
      </c>
      <c r="J539" s="1361">
        <v>1200000</v>
      </c>
      <c r="K539" s="1387">
        <v>640000</v>
      </c>
      <c r="L539" s="1361">
        <v>1200000</v>
      </c>
      <c r="M539" s="1386">
        <v>700000</v>
      </c>
      <c r="N539" s="1388">
        <f t="shared" si="50"/>
        <v>6040000</v>
      </c>
    </row>
    <row r="540" spans="3:14" ht="15.75" customHeight="1">
      <c r="C540" s="2779"/>
      <c r="D540" s="1385" t="s">
        <v>2070</v>
      </c>
      <c r="E540" s="1283">
        <v>20</v>
      </c>
      <c r="F540" s="1269">
        <v>2</v>
      </c>
      <c r="G540" s="13"/>
      <c r="H540" s="1386">
        <v>200000</v>
      </c>
      <c r="I540" s="1361">
        <v>1200000</v>
      </c>
      <c r="J540" s="1361">
        <v>1200000</v>
      </c>
      <c r="K540" s="1387">
        <v>640000</v>
      </c>
      <c r="L540" s="1361">
        <v>1200000</v>
      </c>
      <c r="M540" s="13"/>
      <c r="N540" s="1388">
        <f t="shared" si="50"/>
        <v>4440000</v>
      </c>
    </row>
    <row r="541" spans="3:14" ht="15.75" customHeight="1">
      <c r="C541" s="2933" t="s">
        <v>2077</v>
      </c>
      <c r="D541" s="1385" t="s">
        <v>2069</v>
      </c>
      <c r="E541" s="1283">
        <v>20</v>
      </c>
      <c r="F541" s="1269">
        <v>2</v>
      </c>
      <c r="G541" s="1386">
        <v>900000</v>
      </c>
      <c r="H541" s="1386">
        <v>200000</v>
      </c>
      <c r="I541" s="1361">
        <v>1200000</v>
      </c>
      <c r="J541" s="1361">
        <v>1200000</v>
      </c>
      <c r="K541" s="1387">
        <v>640000</v>
      </c>
      <c r="L541" s="1361">
        <v>1200000</v>
      </c>
      <c r="M541" s="1386">
        <v>700000</v>
      </c>
      <c r="N541" s="1388">
        <f t="shared" si="50"/>
        <v>6040000</v>
      </c>
    </row>
    <row r="542" spans="3:14" ht="15.75" customHeight="1">
      <c r="C542" s="2779"/>
      <c r="D542" s="1385" t="s">
        <v>2070</v>
      </c>
      <c r="E542" s="1283">
        <v>20</v>
      </c>
      <c r="F542" s="1269">
        <v>2</v>
      </c>
      <c r="G542" s="1272"/>
      <c r="H542" s="1386">
        <v>200000</v>
      </c>
      <c r="I542" s="1361">
        <v>1200000</v>
      </c>
      <c r="J542" s="1361">
        <v>1200000</v>
      </c>
      <c r="K542" s="1387">
        <v>640000</v>
      </c>
      <c r="L542" s="1361">
        <v>1200000</v>
      </c>
      <c r="M542" s="1275"/>
      <c r="N542" s="1388">
        <f t="shared" si="50"/>
        <v>4440000</v>
      </c>
    </row>
    <row r="543" spans="3:14" ht="15.75" customHeight="1">
      <c r="C543" s="1389" t="s">
        <v>2078</v>
      </c>
      <c r="D543" s="1385" t="s">
        <v>2069</v>
      </c>
      <c r="E543" s="1283">
        <v>20</v>
      </c>
      <c r="F543" s="1269">
        <v>2</v>
      </c>
      <c r="G543" s="1386">
        <v>900000</v>
      </c>
      <c r="H543" s="1386">
        <v>200000</v>
      </c>
      <c r="I543" s="1361">
        <v>1200000</v>
      </c>
      <c r="J543" s="1361">
        <v>1200000</v>
      </c>
      <c r="K543" s="1387">
        <v>640000</v>
      </c>
      <c r="L543" s="1361">
        <v>1200000</v>
      </c>
      <c r="M543" s="1386">
        <v>700000</v>
      </c>
      <c r="N543" s="1388">
        <f t="shared" si="50"/>
        <v>6040000</v>
      </c>
    </row>
    <row r="544" spans="3:14" ht="15.75" customHeight="1">
      <c r="C544" s="1390"/>
      <c r="D544" s="1385" t="s">
        <v>2070</v>
      </c>
      <c r="E544" s="1283">
        <v>20</v>
      </c>
      <c r="F544" s="1269">
        <v>2</v>
      </c>
      <c r="G544" s="1272"/>
      <c r="H544" s="1386">
        <v>200000</v>
      </c>
      <c r="I544" s="1361">
        <v>1200000</v>
      </c>
      <c r="J544" s="1361">
        <v>1200000</v>
      </c>
      <c r="K544" s="1387">
        <v>640000</v>
      </c>
      <c r="L544" s="1361">
        <v>1200000</v>
      </c>
      <c r="M544" s="1275"/>
      <c r="N544" s="1388">
        <f t="shared" si="50"/>
        <v>4440000</v>
      </c>
    </row>
    <row r="545" spans="1:14" ht="15.75" customHeight="1">
      <c r="A545" s="36"/>
      <c r="B545" s="13"/>
      <c r="C545" s="1389" t="s">
        <v>2079</v>
      </c>
      <c r="D545" s="1385" t="s">
        <v>2069</v>
      </c>
      <c r="E545" s="1283">
        <v>20</v>
      </c>
      <c r="F545" s="1269">
        <v>2</v>
      </c>
      <c r="G545" s="1386">
        <v>900000</v>
      </c>
      <c r="H545" s="1386">
        <v>200000</v>
      </c>
      <c r="I545" s="1361">
        <v>1200000</v>
      </c>
      <c r="J545" s="1361">
        <v>1200000</v>
      </c>
      <c r="K545" s="1387">
        <v>640000</v>
      </c>
      <c r="L545" s="1361">
        <v>1200000</v>
      </c>
      <c r="M545" s="1386">
        <v>700000</v>
      </c>
      <c r="N545" s="1388">
        <f t="shared" si="50"/>
        <v>6040000</v>
      </c>
    </row>
    <row r="546" spans="1:14" ht="15.75" customHeight="1">
      <c r="A546" s="36"/>
      <c r="B546" s="13"/>
      <c r="C546" s="1390"/>
      <c r="D546" s="1385" t="s">
        <v>2070</v>
      </c>
      <c r="E546" s="1283">
        <v>20</v>
      </c>
      <c r="F546" s="1269">
        <v>2</v>
      </c>
      <c r="G546" s="1272"/>
      <c r="H546" s="1386">
        <v>200000</v>
      </c>
      <c r="I546" s="1361">
        <v>1200000</v>
      </c>
      <c r="J546" s="1361">
        <v>1200000</v>
      </c>
      <c r="K546" s="1387">
        <v>640000</v>
      </c>
      <c r="L546" s="1361">
        <v>1200000</v>
      </c>
      <c r="M546" s="1275"/>
      <c r="N546" s="1388">
        <f t="shared" si="50"/>
        <v>4440000</v>
      </c>
    </row>
    <row r="547" spans="1:14" ht="15.75" customHeight="1">
      <c r="A547" s="36"/>
      <c r="B547" s="13"/>
      <c r="C547" s="1389" t="s">
        <v>2080</v>
      </c>
      <c r="D547" s="1385" t="s">
        <v>2069</v>
      </c>
      <c r="E547" s="1283">
        <v>20</v>
      </c>
      <c r="F547" s="1269">
        <v>2</v>
      </c>
      <c r="G547" s="1386">
        <v>900000</v>
      </c>
      <c r="H547" s="1386">
        <v>200000</v>
      </c>
      <c r="I547" s="1361">
        <v>1200000</v>
      </c>
      <c r="J547" s="1361">
        <v>1200000</v>
      </c>
      <c r="K547" s="1387">
        <v>640000</v>
      </c>
      <c r="L547" s="1361">
        <v>1200000</v>
      </c>
      <c r="M547" s="1386">
        <v>700000</v>
      </c>
      <c r="N547" s="1388">
        <f t="shared" si="50"/>
        <v>6040000</v>
      </c>
    </row>
    <row r="548" spans="1:14" ht="15.75" customHeight="1">
      <c r="A548" s="36"/>
      <c r="B548" s="13"/>
      <c r="C548" s="1390"/>
      <c r="D548" s="1385" t="s">
        <v>2070</v>
      </c>
      <c r="E548" s="1283">
        <v>20</v>
      </c>
      <c r="F548" s="1269">
        <v>2</v>
      </c>
      <c r="G548" s="1272"/>
      <c r="H548" s="1386">
        <v>200000</v>
      </c>
      <c r="I548" s="1361">
        <v>1200000</v>
      </c>
      <c r="J548" s="1361">
        <v>1200000</v>
      </c>
      <c r="K548" s="1387">
        <v>640000</v>
      </c>
      <c r="L548" s="1361">
        <v>1200000</v>
      </c>
      <c r="M548" s="1275"/>
      <c r="N548" s="1388">
        <f t="shared" si="50"/>
        <v>4440000</v>
      </c>
    </row>
    <row r="549" spans="1:14" ht="15.75" customHeight="1">
      <c r="A549" s="36"/>
      <c r="B549" s="13"/>
      <c r="C549" s="1389" t="s">
        <v>2081</v>
      </c>
      <c r="D549" s="1385" t="s">
        <v>2069</v>
      </c>
      <c r="E549" s="1283">
        <v>20</v>
      </c>
      <c r="F549" s="1269">
        <v>2</v>
      </c>
      <c r="G549" s="1386">
        <v>900000</v>
      </c>
      <c r="H549" s="1386">
        <v>200000</v>
      </c>
      <c r="I549" s="1361">
        <v>1200000</v>
      </c>
      <c r="J549" s="1361">
        <v>1200000</v>
      </c>
      <c r="K549" s="1387">
        <v>640000</v>
      </c>
      <c r="L549" s="1361">
        <v>1200000</v>
      </c>
      <c r="M549" s="1386">
        <v>700000</v>
      </c>
      <c r="N549" s="1388">
        <f t="shared" si="50"/>
        <v>6040000</v>
      </c>
    </row>
    <row r="550" spans="1:14" ht="15.75" customHeight="1">
      <c r="A550" s="36"/>
      <c r="B550" s="13"/>
      <c r="C550" s="1390"/>
      <c r="D550" s="1385" t="s">
        <v>2070</v>
      </c>
      <c r="E550" s="1283">
        <v>20</v>
      </c>
      <c r="F550" s="1269">
        <v>2</v>
      </c>
      <c r="G550" s="1272"/>
      <c r="H550" s="1386">
        <v>200000</v>
      </c>
      <c r="I550" s="1361">
        <v>1200000</v>
      </c>
      <c r="J550" s="1361">
        <v>1200000</v>
      </c>
      <c r="K550" s="1387">
        <v>640000</v>
      </c>
      <c r="L550" s="1361">
        <v>1200000</v>
      </c>
      <c r="M550" s="1275"/>
      <c r="N550" s="1388">
        <f t="shared" si="50"/>
        <v>4440000</v>
      </c>
    </row>
    <row r="551" spans="1:14" ht="15.75" customHeight="1">
      <c r="A551" s="36"/>
      <c r="B551" s="13"/>
      <c r="C551" s="1389" t="s">
        <v>2082</v>
      </c>
      <c r="D551" s="1385" t="s">
        <v>2069</v>
      </c>
      <c r="E551" s="1283">
        <v>20</v>
      </c>
      <c r="F551" s="1269">
        <v>2</v>
      </c>
      <c r="G551" s="1386">
        <v>900000</v>
      </c>
      <c r="H551" s="1386">
        <v>200000</v>
      </c>
      <c r="I551" s="1361">
        <v>1200000</v>
      </c>
      <c r="J551" s="1361">
        <v>1200000</v>
      </c>
      <c r="K551" s="1387">
        <v>640000</v>
      </c>
      <c r="L551" s="1361">
        <v>1200000</v>
      </c>
      <c r="M551" s="1386">
        <v>700000</v>
      </c>
      <c r="N551" s="1388">
        <f t="shared" si="50"/>
        <v>6040000</v>
      </c>
    </row>
    <row r="552" spans="1:14" ht="15.75" customHeight="1">
      <c r="A552" s="36"/>
      <c r="B552" s="13"/>
      <c r="C552" s="1390"/>
      <c r="D552" s="1385" t="s">
        <v>2070</v>
      </c>
      <c r="E552" s="1283">
        <v>20</v>
      </c>
      <c r="F552" s="1269">
        <v>2</v>
      </c>
      <c r="G552" s="1272"/>
      <c r="H552" s="1386">
        <v>200000</v>
      </c>
      <c r="I552" s="1361">
        <v>1200000</v>
      </c>
      <c r="J552" s="1361">
        <v>1200000</v>
      </c>
      <c r="K552" s="1387">
        <v>640000</v>
      </c>
      <c r="L552" s="1361">
        <v>1200000</v>
      </c>
      <c r="M552" s="1275"/>
      <c r="N552" s="1388">
        <f t="shared" si="50"/>
        <v>4440000</v>
      </c>
    </row>
    <row r="553" spans="1:14" ht="15.75" customHeight="1">
      <c r="A553" s="36"/>
      <c r="B553" s="13"/>
      <c r="C553" s="1389" t="s">
        <v>2083</v>
      </c>
      <c r="D553" s="1385" t="s">
        <v>2069</v>
      </c>
      <c r="E553" s="1283">
        <v>20</v>
      </c>
      <c r="F553" s="1269">
        <v>2</v>
      </c>
      <c r="G553" s="1386">
        <v>900000</v>
      </c>
      <c r="H553" s="1386">
        <v>200000</v>
      </c>
      <c r="I553" s="1361">
        <v>1200000</v>
      </c>
      <c r="J553" s="1361">
        <v>1200000</v>
      </c>
      <c r="K553" s="1387">
        <v>640000</v>
      </c>
      <c r="L553" s="1361">
        <v>1200000</v>
      </c>
      <c r="M553" s="1386">
        <v>700000</v>
      </c>
      <c r="N553" s="1388">
        <f t="shared" si="50"/>
        <v>6040000</v>
      </c>
    </row>
    <row r="554" spans="1:14" ht="15.75" customHeight="1">
      <c r="A554" s="36"/>
      <c r="B554" s="13"/>
      <c r="C554" s="1390"/>
      <c r="D554" s="1385" t="s">
        <v>2070</v>
      </c>
      <c r="E554" s="1283">
        <v>20</v>
      </c>
      <c r="F554" s="1269">
        <v>2</v>
      </c>
      <c r="G554" s="1272"/>
      <c r="H554" s="1386">
        <v>200000</v>
      </c>
      <c r="I554" s="1361">
        <v>1200000</v>
      </c>
      <c r="J554" s="1361">
        <v>1200000</v>
      </c>
      <c r="K554" s="1387">
        <v>640000</v>
      </c>
      <c r="L554" s="1361">
        <v>1200000</v>
      </c>
      <c r="M554" s="1275"/>
      <c r="N554" s="1388">
        <f t="shared" si="50"/>
        <v>4440000</v>
      </c>
    </row>
    <row r="555" spans="1:14" ht="15.75" customHeight="1">
      <c r="A555" s="36"/>
      <c r="B555" s="13"/>
      <c r="C555" s="1389" t="s">
        <v>2084</v>
      </c>
      <c r="D555" s="1385" t="s">
        <v>2069</v>
      </c>
      <c r="E555" s="1283">
        <v>20</v>
      </c>
      <c r="F555" s="1269">
        <v>2</v>
      </c>
      <c r="G555" s="1386">
        <v>900000</v>
      </c>
      <c r="H555" s="1386">
        <v>200000</v>
      </c>
      <c r="I555" s="1361">
        <v>1200000</v>
      </c>
      <c r="J555" s="1361">
        <v>1200000</v>
      </c>
      <c r="K555" s="1387">
        <v>640000</v>
      </c>
      <c r="L555" s="1361">
        <v>1200000</v>
      </c>
      <c r="M555" s="1386">
        <v>700000</v>
      </c>
      <c r="N555" s="1388">
        <f t="shared" si="50"/>
        <v>6040000</v>
      </c>
    </row>
    <row r="556" spans="1:14" ht="15.75" customHeight="1">
      <c r="A556" s="36"/>
      <c r="B556" s="13"/>
      <c r="C556" s="1390"/>
      <c r="D556" s="1385" t="s">
        <v>2070</v>
      </c>
      <c r="E556" s="1283">
        <v>20</v>
      </c>
      <c r="F556" s="1269">
        <v>2</v>
      </c>
      <c r="G556" s="1272"/>
      <c r="H556" s="1386">
        <v>200000</v>
      </c>
      <c r="I556" s="1361">
        <v>1200000</v>
      </c>
      <c r="J556" s="1361">
        <v>1200000</v>
      </c>
      <c r="K556" s="1387">
        <v>640000</v>
      </c>
      <c r="L556" s="1361">
        <v>1200000</v>
      </c>
      <c r="M556" s="1275"/>
      <c r="N556" s="1388">
        <f t="shared" si="50"/>
        <v>4440000</v>
      </c>
    </row>
    <row r="557" spans="1:14" ht="15.75" customHeight="1">
      <c r="A557" s="36"/>
      <c r="B557" s="13"/>
      <c r="C557" s="1358" t="s">
        <v>1577</v>
      </c>
      <c r="D557" s="1272"/>
      <c r="E557" s="1275">
        <v>600</v>
      </c>
      <c r="F557" s="1275">
        <v>60</v>
      </c>
      <c r="G557" s="1287">
        <f t="shared" ref="G557:N557" si="51">SUM(G527:G556)</f>
        <v>13500000</v>
      </c>
      <c r="H557" s="1287">
        <f t="shared" si="51"/>
        <v>6000000</v>
      </c>
      <c r="I557" s="1287">
        <f t="shared" si="51"/>
        <v>36000000</v>
      </c>
      <c r="J557" s="1287">
        <f t="shared" si="51"/>
        <v>36000000</v>
      </c>
      <c r="K557" s="1391">
        <f t="shared" si="51"/>
        <v>19200000</v>
      </c>
      <c r="L557" s="1287">
        <f t="shared" si="51"/>
        <v>36000000</v>
      </c>
      <c r="M557" s="1287">
        <f t="shared" si="51"/>
        <v>10500000</v>
      </c>
      <c r="N557" s="1392">
        <f t="shared" si="51"/>
        <v>157200000</v>
      </c>
    </row>
    <row r="558" spans="1:14" ht="15.75" customHeight="1">
      <c r="A558" s="36"/>
      <c r="B558" s="13"/>
      <c r="C558" s="1290"/>
      <c r="D558" s="13"/>
      <c r="E558" s="39"/>
      <c r="F558" s="39"/>
      <c r="G558" s="1393"/>
      <c r="H558" s="1393"/>
      <c r="I558" s="1393"/>
      <c r="J558" s="1393"/>
      <c r="K558" s="1394"/>
      <c r="L558" s="1393"/>
      <c r="M558" s="1393"/>
      <c r="N558" s="1395"/>
    </row>
    <row r="559" spans="1:14" ht="15.75" customHeight="1">
      <c r="A559" s="2904" t="s">
        <v>2085</v>
      </c>
      <c r="B559" s="2732"/>
      <c r="C559" s="1290"/>
      <c r="D559" s="13"/>
      <c r="E559" s="39"/>
      <c r="F559" s="39"/>
      <c r="G559" s="1393"/>
      <c r="H559" s="1393"/>
      <c r="I559" s="1393"/>
      <c r="J559" s="1393"/>
      <c r="K559" s="1394"/>
      <c r="L559" s="1393"/>
      <c r="M559" s="1393"/>
      <c r="N559" s="1395"/>
    </row>
    <row r="560" spans="1:14" ht="15.75" customHeight="1">
      <c r="A560" s="36"/>
      <c r="B560" s="2935" t="s">
        <v>1924</v>
      </c>
      <c r="C560" s="2732"/>
      <c r="D560" s="2732"/>
      <c r="E560" s="2732"/>
      <c r="F560" s="2732"/>
      <c r="G560" s="2732"/>
      <c r="H560" s="2732"/>
      <c r="I560" s="2732"/>
      <c r="J560" s="2732"/>
      <c r="K560" s="2732"/>
      <c r="L560" s="13"/>
      <c r="M560" s="13"/>
      <c r="N560" s="13"/>
    </row>
    <row r="561" spans="1:11" ht="15.75" customHeight="1">
      <c r="A561" s="36"/>
      <c r="B561" s="2936" t="s">
        <v>2086</v>
      </c>
      <c r="C561" s="2732"/>
      <c r="D561" s="2732"/>
      <c r="E561" s="2732"/>
      <c r="F561" s="2732"/>
      <c r="G561" s="2732"/>
      <c r="H561" s="2732"/>
      <c r="I561" s="2732"/>
      <c r="J561" s="2732"/>
      <c r="K561" s="2732"/>
    </row>
    <row r="562" spans="1:11" ht="15.75" customHeight="1">
      <c r="A562" s="36"/>
      <c r="B562" s="2936"/>
      <c r="C562" s="2732"/>
      <c r="D562" s="2732"/>
      <c r="E562" s="2732"/>
      <c r="F562" s="2732"/>
      <c r="G562" s="2732"/>
      <c r="H562" s="2732"/>
      <c r="I562" s="2732"/>
      <c r="J562" s="2732"/>
      <c r="K562" s="2732"/>
    </row>
    <row r="563" spans="1:11" ht="15.75" customHeight="1">
      <c r="A563" s="36"/>
      <c r="B563" s="1397" t="s">
        <v>186</v>
      </c>
      <c r="C563" s="1397" t="s">
        <v>1928</v>
      </c>
      <c r="D563" s="22" t="s">
        <v>2087</v>
      </c>
      <c r="E563" s="22" t="s">
        <v>2088</v>
      </c>
      <c r="F563" s="1398" t="s">
        <v>2089</v>
      </c>
      <c r="G563" s="1398" t="s">
        <v>2090</v>
      </c>
      <c r="H563" s="1399" t="s">
        <v>2091</v>
      </c>
      <c r="I563" s="1398" t="s">
        <v>1929</v>
      </c>
      <c r="J563" s="22" t="s">
        <v>1962</v>
      </c>
      <c r="K563" s="22" t="s">
        <v>1930</v>
      </c>
    </row>
    <row r="564" spans="1:11" ht="15.75" customHeight="1">
      <c r="A564" s="36"/>
      <c r="B564" s="1400" t="s">
        <v>200</v>
      </c>
      <c r="C564" s="1400" t="s">
        <v>206</v>
      </c>
      <c r="D564" s="1401" t="s">
        <v>211</v>
      </c>
      <c r="E564" s="1402" t="s">
        <v>465</v>
      </c>
      <c r="F564" s="1402" t="s">
        <v>466</v>
      </c>
      <c r="G564" s="1402" t="s">
        <v>467</v>
      </c>
      <c r="H564" s="1402" t="s">
        <v>468</v>
      </c>
      <c r="I564" s="1403" t="s">
        <v>2092</v>
      </c>
      <c r="J564" s="1401" t="s">
        <v>215</v>
      </c>
      <c r="K564" s="1401" t="s">
        <v>219</v>
      </c>
    </row>
    <row r="565" spans="1:11" ht="15.75" customHeight="1">
      <c r="A565" s="36"/>
      <c r="B565" s="1397" t="s">
        <v>200</v>
      </c>
      <c r="C565" s="173" t="s">
        <v>1932</v>
      </c>
      <c r="D565" s="1397"/>
      <c r="E565" s="1397"/>
      <c r="F565" s="1404"/>
      <c r="G565" s="1404"/>
      <c r="H565" s="1405"/>
      <c r="I565" s="1404">
        <f>+SUM(I566)</f>
        <v>378000000</v>
      </c>
      <c r="J565" s="1406"/>
      <c r="K565" s="1398"/>
    </row>
    <row r="566" spans="1:11" ht="15.75" customHeight="1">
      <c r="A566" s="36"/>
      <c r="B566" s="1407">
        <v>1</v>
      </c>
      <c r="C566" s="2296" t="s">
        <v>2093</v>
      </c>
      <c r="D566" s="2297" t="s">
        <v>2005</v>
      </c>
      <c r="E566" s="2297">
        <v>2</v>
      </c>
      <c r="F566" s="2298">
        <v>600</v>
      </c>
      <c r="G566" s="2298">
        <v>225000</v>
      </c>
      <c r="H566" s="2299">
        <v>1.4</v>
      </c>
      <c r="I566" s="2298">
        <f>+E566*F566*G566*H566</f>
        <v>378000000</v>
      </c>
      <c r="J566" s="2296" t="s">
        <v>2094</v>
      </c>
      <c r="K566" s="2296" t="s">
        <v>2095</v>
      </c>
    </row>
    <row r="567" spans="1:11" ht="15.75" customHeight="1">
      <c r="A567" s="36"/>
      <c r="B567" s="1397" t="s">
        <v>206</v>
      </c>
      <c r="C567" s="1406" t="s">
        <v>2096</v>
      </c>
      <c r="D567" s="1397"/>
      <c r="E567" s="1397"/>
      <c r="F567" s="1404"/>
      <c r="G567" s="1404"/>
      <c r="H567" s="1405"/>
      <c r="I567" s="1404">
        <f>I568+I589</f>
        <v>214200000</v>
      </c>
      <c r="J567" s="1406"/>
      <c r="K567" s="2929" t="s">
        <v>2097</v>
      </c>
    </row>
    <row r="568" spans="1:11" ht="15.75" customHeight="1">
      <c r="A568" s="36"/>
      <c r="B568" s="1408" t="s">
        <v>258</v>
      </c>
      <c r="C568" s="1409" t="s">
        <v>2098</v>
      </c>
      <c r="D568" s="1408"/>
      <c r="E568" s="1408"/>
      <c r="F568" s="1410"/>
      <c r="G568" s="1410"/>
      <c r="H568" s="1411"/>
      <c r="I568" s="2300">
        <f>I569+I587+I588</f>
        <v>57000000</v>
      </c>
      <c r="J568" s="1412"/>
      <c r="K568" s="2779"/>
    </row>
    <row r="569" spans="1:11" ht="15.75" customHeight="1">
      <c r="A569" s="36"/>
      <c r="B569" s="2301">
        <v>1</v>
      </c>
      <c r="C569" s="2302" t="s">
        <v>2099</v>
      </c>
      <c r="D569" s="2301"/>
      <c r="E569" s="2301"/>
      <c r="F569" s="2300"/>
      <c r="G569" s="2300"/>
      <c r="H569" s="2303"/>
      <c r="I569" s="2304">
        <f>I570+I579+I585+I586</f>
        <v>54500000</v>
      </c>
      <c r="J569" s="1409"/>
      <c r="K569" s="1406"/>
    </row>
    <row r="570" spans="1:11" ht="15.75" customHeight="1">
      <c r="A570" s="36"/>
      <c r="B570" s="1413" t="s">
        <v>260</v>
      </c>
      <c r="C570" s="1414" t="s">
        <v>2100</v>
      </c>
      <c r="D570" s="1413"/>
      <c r="E570" s="1413"/>
      <c r="F570" s="1415"/>
      <c r="G570" s="1415"/>
      <c r="H570" s="1416"/>
      <c r="I570" s="1415">
        <f>SUM(I571:I578)</f>
        <v>33000000</v>
      </c>
      <c r="J570" s="2305"/>
      <c r="K570" s="2305"/>
    </row>
    <row r="571" spans="1:11" ht="15.75" customHeight="1">
      <c r="A571" s="36"/>
      <c r="B571" s="1400"/>
      <c r="C571" s="24" t="s">
        <v>2101</v>
      </c>
      <c r="D571" s="1400" t="s">
        <v>1864</v>
      </c>
      <c r="E571" s="1400">
        <v>2</v>
      </c>
      <c r="F571" s="1400">
        <v>4</v>
      </c>
      <c r="G571" s="1417">
        <v>70000</v>
      </c>
      <c r="H571" s="1418"/>
      <c r="I571" s="1419">
        <v>4200000</v>
      </c>
      <c r="J571" s="2930" t="s">
        <v>2102</v>
      </c>
      <c r="K571" s="2929" t="s">
        <v>2103</v>
      </c>
    </row>
    <row r="572" spans="1:11" ht="15.75" customHeight="1">
      <c r="A572" s="36"/>
      <c r="B572" s="1400"/>
      <c r="C572" s="24" t="s">
        <v>2104</v>
      </c>
      <c r="D572" s="1400" t="s">
        <v>1864</v>
      </c>
      <c r="E572" s="1400">
        <v>2</v>
      </c>
      <c r="F572" s="1400">
        <v>4</v>
      </c>
      <c r="G572" s="1417">
        <v>70000</v>
      </c>
      <c r="H572" s="1418"/>
      <c r="I572" s="1419">
        <v>4200000</v>
      </c>
      <c r="J572" s="2834"/>
      <c r="K572" s="2834"/>
    </row>
    <row r="573" spans="1:11" ht="15.75" customHeight="1">
      <c r="A573" s="36"/>
      <c r="B573" s="1400"/>
      <c r="C573" s="24" t="s">
        <v>2105</v>
      </c>
      <c r="D573" s="1400" t="s">
        <v>1864</v>
      </c>
      <c r="E573" s="1400">
        <v>2</v>
      </c>
      <c r="F573" s="1400">
        <v>4</v>
      </c>
      <c r="G573" s="1417">
        <v>80000</v>
      </c>
      <c r="H573" s="1418"/>
      <c r="I573" s="1419">
        <v>4800000</v>
      </c>
      <c r="J573" s="2834"/>
      <c r="K573" s="2834"/>
    </row>
    <row r="574" spans="1:11" ht="15.75" customHeight="1">
      <c r="A574" s="36"/>
      <c r="B574" s="1400"/>
      <c r="C574" s="24" t="s">
        <v>2106</v>
      </c>
      <c r="D574" s="1400" t="s">
        <v>1864</v>
      </c>
      <c r="E574" s="1400">
        <v>2</v>
      </c>
      <c r="F574" s="1400">
        <v>4</v>
      </c>
      <c r="G574" s="1417">
        <v>70000</v>
      </c>
      <c r="H574" s="1418"/>
      <c r="I574" s="1419">
        <v>4200000</v>
      </c>
      <c r="J574" s="2834"/>
      <c r="K574" s="2834"/>
    </row>
    <row r="575" spans="1:11" ht="15.75" customHeight="1">
      <c r="A575" s="36"/>
      <c r="B575" s="1400"/>
      <c r="C575" s="24" t="s">
        <v>2107</v>
      </c>
      <c r="D575" s="1400" t="s">
        <v>1864</v>
      </c>
      <c r="E575" s="1400">
        <v>2</v>
      </c>
      <c r="F575" s="1400">
        <v>4</v>
      </c>
      <c r="G575" s="1417">
        <v>80000</v>
      </c>
      <c r="H575" s="1418"/>
      <c r="I575" s="1419">
        <v>4800000</v>
      </c>
      <c r="J575" s="2834"/>
      <c r="K575" s="2834"/>
    </row>
    <row r="576" spans="1:11" ht="15.75" customHeight="1">
      <c r="A576" s="36"/>
      <c r="B576" s="1400"/>
      <c r="C576" s="24" t="s">
        <v>2108</v>
      </c>
      <c r="D576" s="1400" t="s">
        <v>1864</v>
      </c>
      <c r="E576" s="1400">
        <v>2</v>
      </c>
      <c r="F576" s="1400">
        <v>2</v>
      </c>
      <c r="G576" s="1417">
        <v>80000</v>
      </c>
      <c r="H576" s="1418"/>
      <c r="I576" s="1419">
        <v>2400000</v>
      </c>
      <c r="J576" s="2834"/>
      <c r="K576" s="2834"/>
    </row>
    <row r="577" spans="2:11" ht="15.75" customHeight="1">
      <c r="B577" s="1400"/>
      <c r="C577" s="24" t="s">
        <v>2109</v>
      </c>
      <c r="D577" s="1400" t="s">
        <v>1864</v>
      </c>
      <c r="E577" s="1400">
        <v>2</v>
      </c>
      <c r="F577" s="1400">
        <v>4</v>
      </c>
      <c r="G577" s="1417">
        <v>70000</v>
      </c>
      <c r="H577" s="1418"/>
      <c r="I577" s="1419">
        <v>4200000</v>
      </c>
      <c r="J577" s="2834"/>
      <c r="K577" s="2834"/>
    </row>
    <row r="578" spans="2:11" ht="15.75" customHeight="1">
      <c r="B578" s="1400"/>
      <c r="C578" s="24" t="s">
        <v>2110</v>
      </c>
      <c r="D578" s="1400" t="s">
        <v>1864</v>
      </c>
      <c r="E578" s="1400">
        <v>2</v>
      </c>
      <c r="F578" s="1400">
        <v>4</v>
      </c>
      <c r="G578" s="1417">
        <v>70000</v>
      </c>
      <c r="H578" s="1418"/>
      <c r="I578" s="1419">
        <v>4200000</v>
      </c>
      <c r="J578" s="2834"/>
      <c r="K578" s="2779"/>
    </row>
    <row r="579" spans="2:11" ht="15.75" customHeight="1">
      <c r="B579" s="2306" t="s">
        <v>274</v>
      </c>
      <c r="C579" s="2307" t="s">
        <v>2111</v>
      </c>
      <c r="D579" s="28"/>
      <c r="E579" s="28"/>
      <c r="F579" s="28"/>
      <c r="G579" s="28"/>
      <c r="H579" s="28"/>
      <c r="I579" s="1420">
        <f>SUM(I580:I584)</f>
        <v>19500000</v>
      </c>
      <c r="J579" s="28"/>
      <c r="K579" s="2308"/>
    </row>
    <row r="580" spans="2:11" ht="15.75" customHeight="1">
      <c r="B580" s="1400" t="s">
        <v>263</v>
      </c>
      <c r="C580" s="28" t="s">
        <v>2112</v>
      </c>
      <c r="D580" s="1400" t="s">
        <v>2113</v>
      </c>
      <c r="E580" s="1400"/>
      <c r="F580" s="1417">
        <v>600</v>
      </c>
      <c r="G580" s="1417">
        <v>6500</v>
      </c>
      <c r="H580" s="1418"/>
      <c r="I580" s="1421">
        <f t="shared" ref="I580:I584" si="52">+G580*F580</f>
        <v>3900000</v>
      </c>
      <c r="J580" s="24" t="s">
        <v>2114</v>
      </c>
      <c r="K580" s="1401"/>
    </row>
    <row r="581" spans="2:11" ht="15.75" customHeight="1">
      <c r="B581" s="1400" t="s">
        <v>265</v>
      </c>
      <c r="C581" s="28" t="s">
        <v>2115</v>
      </c>
      <c r="D581" s="1400" t="s">
        <v>2113</v>
      </c>
      <c r="E581" s="1400"/>
      <c r="F581" s="1417">
        <v>600</v>
      </c>
      <c r="G581" s="1417">
        <v>6500</v>
      </c>
      <c r="H581" s="1418"/>
      <c r="I581" s="1421">
        <f t="shared" si="52"/>
        <v>3900000</v>
      </c>
      <c r="J581" s="24" t="s">
        <v>2114</v>
      </c>
      <c r="K581" s="1401"/>
    </row>
    <row r="582" spans="2:11" ht="15.75" customHeight="1">
      <c r="B582" s="1400" t="s">
        <v>267</v>
      </c>
      <c r="C582" s="28" t="s">
        <v>2116</v>
      </c>
      <c r="D582" s="1400" t="s">
        <v>2113</v>
      </c>
      <c r="E582" s="1400"/>
      <c r="F582" s="1417">
        <v>600</v>
      </c>
      <c r="G582" s="1417">
        <v>6500</v>
      </c>
      <c r="H582" s="1418"/>
      <c r="I582" s="1421">
        <f t="shared" si="52"/>
        <v>3900000</v>
      </c>
      <c r="J582" s="24" t="s">
        <v>2114</v>
      </c>
      <c r="K582" s="1401"/>
    </row>
    <row r="583" spans="2:11" ht="15.75" customHeight="1">
      <c r="B583" s="1400" t="s">
        <v>369</v>
      </c>
      <c r="C583" s="28" t="s">
        <v>2117</v>
      </c>
      <c r="D583" s="1400" t="s">
        <v>2113</v>
      </c>
      <c r="E583" s="1400"/>
      <c r="F583" s="1417">
        <v>600</v>
      </c>
      <c r="G583" s="1417">
        <v>6500</v>
      </c>
      <c r="H583" s="1418"/>
      <c r="I583" s="1421">
        <f t="shared" si="52"/>
        <v>3900000</v>
      </c>
      <c r="J583" s="24" t="s">
        <v>2114</v>
      </c>
      <c r="K583" s="1401"/>
    </row>
    <row r="584" spans="2:11" ht="15.75" customHeight="1">
      <c r="B584" s="1400" t="s">
        <v>373</v>
      </c>
      <c r="C584" s="28" t="s">
        <v>2118</v>
      </c>
      <c r="D584" s="1400" t="s">
        <v>2113</v>
      </c>
      <c r="E584" s="1400"/>
      <c r="F584" s="1417">
        <v>600</v>
      </c>
      <c r="G584" s="1417">
        <v>6500</v>
      </c>
      <c r="H584" s="1418"/>
      <c r="I584" s="1421">
        <f t="shared" si="52"/>
        <v>3900000</v>
      </c>
      <c r="J584" s="24" t="s">
        <v>2114</v>
      </c>
      <c r="K584" s="1414"/>
    </row>
    <row r="585" spans="2:11" ht="15.75" customHeight="1">
      <c r="B585" s="2309">
        <v>1.3</v>
      </c>
      <c r="C585" s="2310" t="s">
        <v>2119</v>
      </c>
      <c r="D585" s="2311" t="s">
        <v>1876</v>
      </c>
      <c r="E585" s="1400"/>
      <c r="F585" s="2312">
        <v>15</v>
      </c>
      <c r="G585" s="2312">
        <v>100000</v>
      </c>
      <c r="H585" s="2313"/>
      <c r="I585" s="2314">
        <v>1500000</v>
      </c>
      <c r="J585" s="24" t="s">
        <v>2114</v>
      </c>
      <c r="K585" s="2315"/>
    </row>
    <row r="586" spans="2:11" ht="15.75" customHeight="1">
      <c r="B586" s="1413">
        <v>1.4</v>
      </c>
      <c r="C586" s="1414" t="s">
        <v>1881</v>
      </c>
      <c r="D586" s="1400" t="s">
        <v>2120</v>
      </c>
      <c r="E586" s="1400"/>
      <c r="F586" s="1417">
        <v>1</v>
      </c>
      <c r="G586" s="1417">
        <v>500000</v>
      </c>
      <c r="H586" s="1418"/>
      <c r="I586" s="1420">
        <v>500000</v>
      </c>
      <c r="J586" s="24" t="s">
        <v>2114</v>
      </c>
      <c r="K586" s="2315"/>
    </row>
    <row r="587" spans="2:11" ht="15.75" customHeight="1">
      <c r="B587" s="2316">
        <v>2</v>
      </c>
      <c r="C587" s="2317" t="s">
        <v>2121</v>
      </c>
      <c r="D587" s="2311" t="s">
        <v>1902</v>
      </c>
      <c r="E587" s="2311"/>
      <c r="F587" s="2312">
        <v>2</v>
      </c>
      <c r="G587" s="2312">
        <v>500000</v>
      </c>
      <c r="H587" s="2313"/>
      <c r="I587" s="2318">
        <v>1000000</v>
      </c>
      <c r="J587" s="2319" t="s">
        <v>2114</v>
      </c>
      <c r="K587" s="2931" t="s">
        <v>2097</v>
      </c>
    </row>
    <row r="588" spans="2:11" ht="15.75" customHeight="1">
      <c r="B588" s="1397">
        <v>3</v>
      </c>
      <c r="C588" s="1406" t="s">
        <v>2122</v>
      </c>
      <c r="D588" s="1400" t="s">
        <v>1888</v>
      </c>
      <c r="E588" s="1400"/>
      <c r="F588" s="1417">
        <v>3</v>
      </c>
      <c r="G588" s="1417">
        <v>500000</v>
      </c>
      <c r="H588" s="1418"/>
      <c r="I588" s="1422">
        <f>+G588*F588</f>
        <v>1500000</v>
      </c>
      <c r="J588" s="24" t="s">
        <v>2114</v>
      </c>
      <c r="K588" s="2779"/>
    </row>
    <row r="589" spans="2:11" ht="15.75" customHeight="1">
      <c r="B589" s="1397" t="s">
        <v>284</v>
      </c>
      <c r="C589" s="1406" t="s">
        <v>2123</v>
      </c>
      <c r="D589" s="1397"/>
      <c r="E589" s="1397"/>
      <c r="F589" s="1404"/>
      <c r="G589" s="1404"/>
      <c r="H589" s="1405"/>
      <c r="I589" s="1404">
        <f>SUM(I590:I604)</f>
        <v>157200000</v>
      </c>
      <c r="J589" s="1406"/>
      <c r="K589" s="22"/>
    </row>
    <row r="590" spans="2:11" ht="15.75" customHeight="1">
      <c r="B590" s="1423">
        <v>1</v>
      </c>
      <c r="C590" s="1389" t="s">
        <v>2068</v>
      </c>
      <c r="D590" s="2311" t="s">
        <v>2005</v>
      </c>
      <c r="E590" s="1400">
        <v>2</v>
      </c>
      <c r="F590" s="656">
        <v>40</v>
      </c>
      <c r="G590" s="1417"/>
      <c r="H590" s="1418"/>
      <c r="I590" s="1287">
        <v>10480000</v>
      </c>
      <c r="J590" s="2320"/>
      <c r="K590" s="2296"/>
    </row>
    <row r="591" spans="2:11" ht="15.75" customHeight="1">
      <c r="B591" s="2321">
        <v>2</v>
      </c>
      <c r="C591" s="1331" t="s">
        <v>2071</v>
      </c>
      <c r="D591" s="2311" t="s">
        <v>2005</v>
      </c>
      <c r="E591" s="1400">
        <v>2</v>
      </c>
      <c r="F591" s="656">
        <v>40</v>
      </c>
      <c r="G591" s="2312"/>
      <c r="H591" s="2313"/>
      <c r="I591" s="1287">
        <v>10480000</v>
      </c>
      <c r="J591" s="15" t="s">
        <v>2124</v>
      </c>
      <c r="K591" s="2322"/>
    </row>
    <row r="592" spans="2:11" ht="15.75" customHeight="1">
      <c r="B592" s="1424">
        <v>3</v>
      </c>
      <c r="C592" s="2323" t="s">
        <v>2072</v>
      </c>
      <c r="D592" s="2311" t="s">
        <v>2005</v>
      </c>
      <c r="E592" s="2311">
        <v>2</v>
      </c>
      <c r="F592" s="656">
        <v>40</v>
      </c>
      <c r="G592" s="2312"/>
      <c r="H592" s="2313"/>
      <c r="I592" s="1287">
        <v>10480000</v>
      </c>
      <c r="J592" s="2308" t="s">
        <v>2125</v>
      </c>
      <c r="K592" s="2324"/>
    </row>
    <row r="593" spans="1:11" ht="15.75" customHeight="1">
      <c r="A593" s="36"/>
      <c r="B593" s="1400">
        <v>4</v>
      </c>
      <c r="C593" s="2295" t="s">
        <v>2073</v>
      </c>
      <c r="D593" s="1400" t="s">
        <v>2005</v>
      </c>
      <c r="E593" s="1400">
        <v>2</v>
      </c>
      <c r="F593" s="656">
        <v>40</v>
      </c>
      <c r="G593" s="1417"/>
      <c r="H593" s="1418"/>
      <c r="I593" s="1287">
        <v>10480000</v>
      </c>
      <c r="J593" s="2324"/>
      <c r="K593" s="2931" t="s">
        <v>2097</v>
      </c>
    </row>
    <row r="594" spans="1:11" ht="15.75" customHeight="1">
      <c r="A594" s="36"/>
      <c r="B594" s="1400">
        <v>5</v>
      </c>
      <c r="C594" s="2295" t="s">
        <v>2074</v>
      </c>
      <c r="D594" s="2311" t="s">
        <v>2005</v>
      </c>
      <c r="E594" s="1400">
        <v>2</v>
      </c>
      <c r="F594" s="656">
        <v>40</v>
      </c>
      <c r="G594" s="1417"/>
      <c r="H594" s="1418"/>
      <c r="I594" s="1287">
        <v>10480000</v>
      </c>
      <c r="J594" s="2324"/>
      <c r="K594" s="2779"/>
    </row>
    <row r="595" spans="1:11" ht="15.75" customHeight="1">
      <c r="A595" s="36"/>
      <c r="B595" s="1400">
        <v>6</v>
      </c>
      <c r="C595" s="2295" t="s">
        <v>2075</v>
      </c>
      <c r="D595" s="2311" t="s">
        <v>2005</v>
      </c>
      <c r="E595" s="1400">
        <v>2</v>
      </c>
      <c r="F595" s="656">
        <v>40</v>
      </c>
      <c r="G595" s="1417"/>
      <c r="H595" s="1418"/>
      <c r="I595" s="1287">
        <v>10480000</v>
      </c>
      <c r="J595" s="1425"/>
      <c r="K595" s="2308"/>
    </row>
    <row r="596" spans="1:11" ht="15.75" customHeight="1">
      <c r="A596" s="36"/>
      <c r="B596" s="1400">
        <v>7</v>
      </c>
      <c r="C596" s="2295" t="s">
        <v>2076</v>
      </c>
      <c r="D596" s="2311" t="s">
        <v>2005</v>
      </c>
      <c r="E596" s="1400">
        <v>2</v>
      </c>
      <c r="F596" s="656">
        <v>40</v>
      </c>
      <c r="G596" s="1417"/>
      <c r="H596" s="1418"/>
      <c r="I596" s="1287">
        <v>10480000</v>
      </c>
      <c r="J596" s="1425"/>
      <c r="K596" s="2308"/>
    </row>
    <row r="597" spans="1:11" ht="15.75" customHeight="1">
      <c r="A597" s="36"/>
      <c r="B597" s="1400">
        <v>8</v>
      </c>
      <c r="C597" s="2279" t="s">
        <v>2077</v>
      </c>
      <c r="D597" s="2311" t="s">
        <v>2005</v>
      </c>
      <c r="E597" s="1400">
        <v>2</v>
      </c>
      <c r="F597" s="656">
        <v>40</v>
      </c>
      <c r="G597" s="1417"/>
      <c r="H597" s="1418"/>
      <c r="I597" s="1287">
        <v>10480000</v>
      </c>
      <c r="J597" s="1425"/>
      <c r="K597" s="2308"/>
    </row>
    <row r="598" spans="1:11" ht="15.75" customHeight="1">
      <c r="A598" s="36"/>
      <c r="B598" s="1400">
        <v>9</v>
      </c>
      <c r="C598" s="2279" t="s">
        <v>2126</v>
      </c>
      <c r="D598" s="2311" t="s">
        <v>2005</v>
      </c>
      <c r="E598" s="1400">
        <v>2</v>
      </c>
      <c r="F598" s="656">
        <v>40</v>
      </c>
      <c r="G598" s="1417"/>
      <c r="H598" s="1418"/>
      <c r="I598" s="1287">
        <v>10480000</v>
      </c>
      <c r="J598" s="1425"/>
      <c r="K598" s="2308"/>
    </row>
    <row r="599" spans="1:11" ht="15.75" customHeight="1">
      <c r="A599" s="36"/>
      <c r="B599" s="1400">
        <v>10</v>
      </c>
      <c r="C599" s="2279" t="s">
        <v>2079</v>
      </c>
      <c r="D599" s="2311" t="s">
        <v>2005</v>
      </c>
      <c r="E599" s="1400">
        <v>2</v>
      </c>
      <c r="F599" s="656">
        <v>40</v>
      </c>
      <c r="G599" s="1417"/>
      <c r="H599" s="1418"/>
      <c r="I599" s="1287">
        <v>10480000</v>
      </c>
      <c r="J599" s="1425"/>
      <c r="K599" s="2308"/>
    </row>
    <row r="600" spans="1:11" ht="15.75" customHeight="1">
      <c r="A600" s="36"/>
      <c r="B600" s="1400">
        <v>11</v>
      </c>
      <c r="C600" s="2279" t="s">
        <v>2080</v>
      </c>
      <c r="D600" s="2311" t="s">
        <v>2005</v>
      </c>
      <c r="E600" s="1400">
        <v>2</v>
      </c>
      <c r="F600" s="656">
        <v>40</v>
      </c>
      <c r="G600" s="1417"/>
      <c r="H600" s="1418"/>
      <c r="I600" s="1287">
        <v>10480000</v>
      </c>
      <c r="J600" s="1425"/>
      <c r="K600" s="2308"/>
    </row>
    <row r="601" spans="1:11" ht="15.75" customHeight="1">
      <c r="A601" s="36"/>
      <c r="B601" s="1400">
        <v>12</v>
      </c>
      <c r="C601" s="2279" t="s">
        <v>2081</v>
      </c>
      <c r="D601" s="2311" t="s">
        <v>2005</v>
      </c>
      <c r="E601" s="1400">
        <v>2</v>
      </c>
      <c r="F601" s="656">
        <v>40</v>
      </c>
      <c r="G601" s="1417"/>
      <c r="H601" s="1418"/>
      <c r="I601" s="1287">
        <v>10480000</v>
      </c>
      <c r="J601" s="1425"/>
      <c r="K601" s="2308"/>
    </row>
    <row r="602" spans="1:11" ht="15.75" customHeight="1">
      <c r="A602" s="36"/>
      <c r="B602" s="1400">
        <v>13</v>
      </c>
      <c r="C602" s="2279" t="s">
        <v>2082</v>
      </c>
      <c r="D602" s="2311" t="s">
        <v>2005</v>
      </c>
      <c r="E602" s="1400">
        <v>2</v>
      </c>
      <c r="F602" s="656">
        <v>40</v>
      </c>
      <c r="G602" s="1417"/>
      <c r="H602" s="1418"/>
      <c r="I602" s="1287">
        <v>10480000</v>
      </c>
      <c r="J602" s="1425"/>
      <c r="K602" s="2308"/>
    </row>
    <row r="603" spans="1:11" ht="15.75" customHeight="1">
      <c r="A603" s="36"/>
      <c r="B603" s="1400">
        <v>14</v>
      </c>
      <c r="C603" s="2279" t="s">
        <v>2083</v>
      </c>
      <c r="D603" s="2311" t="s">
        <v>2005</v>
      </c>
      <c r="E603" s="1400">
        <v>2</v>
      </c>
      <c r="F603" s="656">
        <v>40</v>
      </c>
      <c r="G603" s="1417"/>
      <c r="H603" s="1418"/>
      <c r="I603" s="1287">
        <v>10480000</v>
      </c>
      <c r="J603" s="1425"/>
      <c r="K603" s="2308"/>
    </row>
    <row r="604" spans="1:11" ht="15.75" customHeight="1">
      <c r="A604" s="36"/>
      <c r="B604" s="1400">
        <v>15</v>
      </c>
      <c r="C604" s="2279" t="s">
        <v>2084</v>
      </c>
      <c r="D604" s="2311" t="s">
        <v>2005</v>
      </c>
      <c r="E604" s="1400">
        <v>2</v>
      </c>
      <c r="F604" s="656">
        <v>40</v>
      </c>
      <c r="G604" s="1417"/>
      <c r="H604" s="1418"/>
      <c r="I604" s="1287">
        <v>10480000</v>
      </c>
      <c r="J604" s="1425"/>
      <c r="K604" s="2308"/>
    </row>
    <row r="605" spans="1:11" ht="15.75" customHeight="1">
      <c r="A605" s="36"/>
      <c r="B605" s="1397"/>
      <c r="C605" s="173" t="s">
        <v>2025</v>
      </c>
      <c r="D605" s="1397"/>
      <c r="E605" s="1397"/>
      <c r="F605" s="1404"/>
      <c r="G605" s="1404"/>
      <c r="H605" s="1405"/>
      <c r="I605" s="1404">
        <f>I565-I567</f>
        <v>163800000</v>
      </c>
      <c r="J605" s="173"/>
      <c r="K605" s="1406"/>
    </row>
    <row r="606" spans="1:11" ht="15.75" customHeight="1">
      <c r="A606" s="36"/>
      <c r="B606" s="17"/>
      <c r="C606" s="38"/>
      <c r="D606" s="17"/>
      <c r="E606" s="17"/>
      <c r="F606" s="1426"/>
      <c r="G606" s="1426"/>
      <c r="H606" s="1427"/>
      <c r="I606" s="1426"/>
      <c r="J606" s="38"/>
      <c r="K606" s="18"/>
    </row>
    <row r="607" spans="1:11" ht="15.75" customHeight="1">
      <c r="A607" s="2904" t="s">
        <v>2127</v>
      </c>
      <c r="B607" s="2732"/>
      <c r="C607" s="1428"/>
      <c r="D607" s="817"/>
      <c r="E607" s="817"/>
      <c r="F607" s="1429"/>
      <c r="G607" s="1430"/>
      <c r="H607" s="1431"/>
      <c r="I607" s="13"/>
      <c r="J607" s="13"/>
      <c r="K607" s="87"/>
    </row>
    <row r="608" spans="1:11" ht="15.75" customHeight="1">
      <c r="A608" s="36"/>
      <c r="B608" s="2964" t="s">
        <v>2128</v>
      </c>
      <c r="C608" s="2732"/>
      <c r="D608" s="2732"/>
      <c r="E608" s="2732"/>
      <c r="F608" s="2732"/>
      <c r="G608" s="2732"/>
      <c r="H608" s="2732"/>
      <c r="I608" s="1432"/>
      <c r="J608" s="13"/>
      <c r="K608" s="87"/>
    </row>
    <row r="609" spans="1:8" ht="15.75" customHeight="1">
      <c r="A609" s="36"/>
      <c r="B609" s="2830" t="s">
        <v>2129</v>
      </c>
      <c r="C609" s="2732"/>
      <c r="D609" s="2732"/>
      <c r="E609" s="2732"/>
      <c r="F609" s="2732"/>
      <c r="G609" s="2732"/>
      <c r="H609" s="2732"/>
    </row>
    <row r="610" spans="1:8" ht="15.75" customHeight="1">
      <c r="A610" s="36"/>
      <c r="B610" s="2959" t="s">
        <v>2130</v>
      </c>
      <c r="C610" s="2737"/>
      <c r="D610" s="2737"/>
      <c r="E610" s="2737"/>
      <c r="F610" s="2737"/>
      <c r="G610" s="2737"/>
      <c r="H610" s="2737"/>
    </row>
    <row r="611" spans="1:8" ht="15.75" customHeight="1">
      <c r="A611" s="36"/>
      <c r="B611" s="1344" t="s">
        <v>186</v>
      </c>
      <c r="C611" s="2240" t="s">
        <v>28</v>
      </c>
      <c r="D611" s="2240" t="s">
        <v>242</v>
      </c>
      <c r="E611" s="2240" t="s">
        <v>1859</v>
      </c>
      <c r="F611" s="2240" t="s">
        <v>1860</v>
      </c>
      <c r="G611" s="2240" t="s">
        <v>1929</v>
      </c>
      <c r="H611" s="2240" t="s">
        <v>1962</v>
      </c>
    </row>
    <row r="612" spans="1:8" ht="15.75" customHeight="1">
      <c r="A612" s="36"/>
      <c r="B612" s="2273">
        <v>1</v>
      </c>
      <c r="C612" s="2963" t="s">
        <v>2131</v>
      </c>
      <c r="D612" s="2782"/>
      <c r="E612" s="2782"/>
      <c r="F612" s="2782"/>
      <c r="G612" s="1433">
        <f>SUM(G613:G616)</f>
        <v>1200000</v>
      </c>
      <c r="H612" s="1345"/>
    </row>
    <row r="613" spans="1:8" ht="15.75" customHeight="1">
      <c r="A613" s="36"/>
      <c r="B613" s="2325">
        <v>44562</v>
      </c>
      <c r="C613" s="1434" t="s">
        <v>1869</v>
      </c>
      <c r="D613" s="1435" t="s">
        <v>1888</v>
      </c>
      <c r="E613" s="2326">
        <v>1</v>
      </c>
      <c r="F613" s="2327">
        <v>200000</v>
      </c>
      <c r="G613" s="1436">
        <f t="shared" ref="G613:G616" si="53">E613*F613</f>
        <v>200000</v>
      </c>
      <c r="H613" s="1304" t="s">
        <v>1995</v>
      </c>
    </row>
    <row r="614" spans="1:8" ht="15.75" customHeight="1">
      <c r="A614" s="36"/>
      <c r="B614" s="2328">
        <v>44593</v>
      </c>
      <c r="C614" s="1434" t="s">
        <v>2132</v>
      </c>
      <c r="D614" s="1435" t="s">
        <v>1888</v>
      </c>
      <c r="E614" s="2326">
        <v>2</v>
      </c>
      <c r="F614" s="2327">
        <v>100000</v>
      </c>
      <c r="G614" s="1436">
        <f t="shared" si="53"/>
        <v>200000</v>
      </c>
      <c r="H614" s="1304" t="s">
        <v>1995</v>
      </c>
    </row>
    <row r="615" spans="1:8" ht="15.75" customHeight="1">
      <c r="A615" s="36"/>
      <c r="B615" s="2325">
        <v>44621</v>
      </c>
      <c r="C615" s="1434" t="s">
        <v>2133</v>
      </c>
      <c r="D615" s="1435" t="s">
        <v>1888</v>
      </c>
      <c r="E615" s="2326">
        <v>2</v>
      </c>
      <c r="F615" s="2327">
        <v>200000</v>
      </c>
      <c r="G615" s="1436">
        <f t="shared" si="53"/>
        <v>400000</v>
      </c>
      <c r="H615" s="1304" t="s">
        <v>1995</v>
      </c>
    </row>
    <row r="616" spans="1:8" ht="15.75" customHeight="1">
      <c r="A616" s="36"/>
      <c r="B616" s="2328">
        <v>44652</v>
      </c>
      <c r="C616" s="1434" t="s">
        <v>2134</v>
      </c>
      <c r="D616" s="1435" t="s">
        <v>1888</v>
      </c>
      <c r="E616" s="2326">
        <v>4</v>
      </c>
      <c r="F616" s="2327">
        <v>100000</v>
      </c>
      <c r="G616" s="1436">
        <f t="shared" si="53"/>
        <v>400000</v>
      </c>
      <c r="H616" s="1304" t="s">
        <v>1995</v>
      </c>
    </row>
    <row r="617" spans="1:8" ht="15.75" customHeight="1">
      <c r="A617" s="36"/>
      <c r="B617" s="2273">
        <v>2</v>
      </c>
      <c r="C617" s="2963" t="s">
        <v>2135</v>
      </c>
      <c r="D617" s="2782"/>
      <c r="E617" s="2782"/>
      <c r="F617" s="2782"/>
      <c r="G617" s="1433">
        <f>SUM(G618:G620)</f>
        <v>800000</v>
      </c>
      <c r="H617" s="1352"/>
    </row>
    <row r="618" spans="1:8" ht="15.75" customHeight="1">
      <c r="A618" s="36"/>
      <c r="B618" s="2328">
        <v>44563</v>
      </c>
      <c r="C618" s="1434" t="s">
        <v>1869</v>
      </c>
      <c r="D618" s="1435" t="s">
        <v>1888</v>
      </c>
      <c r="E618" s="2326">
        <v>1</v>
      </c>
      <c r="F618" s="2327">
        <v>200000</v>
      </c>
      <c r="G618" s="1436">
        <f t="shared" ref="G618:G620" si="54">E618*F618</f>
        <v>200000</v>
      </c>
      <c r="H618" s="1304" t="s">
        <v>1995</v>
      </c>
    </row>
    <row r="619" spans="1:8" ht="15.75" customHeight="1">
      <c r="A619" s="36"/>
      <c r="B619" s="2328">
        <v>44594</v>
      </c>
      <c r="C619" s="1434" t="s">
        <v>2132</v>
      </c>
      <c r="D619" s="1435" t="s">
        <v>1888</v>
      </c>
      <c r="E619" s="2326">
        <v>2</v>
      </c>
      <c r="F619" s="2327">
        <v>100000</v>
      </c>
      <c r="G619" s="1436">
        <f t="shared" si="54"/>
        <v>200000</v>
      </c>
      <c r="H619" s="1304" t="s">
        <v>1995</v>
      </c>
    </row>
    <row r="620" spans="1:8" ht="15.75" customHeight="1">
      <c r="A620" s="36"/>
      <c r="B620" s="2328">
        <v>44622</v>
      </c>
      <c r="C620" s="1434" t="s">
        <v>2134</v>
      </c>
      <c r="D620" s="1435" t="s">
        <v>1888</v>
      </c>
      <c r="E620" s="2326">
        <v>4</v>
      </c>
      <c r="F620" s="2327">
        <v>100000</v>
      </c>
      <c r="G620" s="1436">
        <f t="shared" si="54"/>
        <v>400000</v>
      </c>
      <c r="H620" s="1304" t="s">
        <v>1995</v>
      </c>
    </row>
    <row r="621" spans="1:8" ht="15.75" customHeight="1">
      <c r="A621" s="36"/>
      <c r="B621" s="2329">
        <v>3</v>
      </c>
      <c r="C621" s="2963" t="s">
        <v>2136</v>
      </c>
      <c r="D621" s="2782"/>
      <c r="E621" s="2782"/>
      <c r="F621" s="2782"/>
      <c r="G621" s="2330">
        <f>G622+G626+G632+G636</f>
        <v>4000000</v>
      </c>
      <c r="H621" s="1352"/>
    </row>
    <row r="622" spans="1:8" ht="15.75" customHeight="1">
      <c r="A622" s="36"/>
      <c r="B622" s="1437">
        <v>44564</v>
      </c>
      <c r="C622" s="2331" t="s">
        <v>2137</v>
      </c>
      <c r="D622" s="2331"/>
      <c r="E622" s="2331"/>
      <c r="F622" s="2331"/>
      <c r="G622" s="1433">
        <f>SUM(G623:G625)</f>
        <v>1200000</v>
      </c>
      <c r="H622" s="1352"/>
    </row>
    <row r="623" spans="1:8" ht="15.75" customHeight="1">
      <c r="A623" s="36"/>
      <c r="B623" s="1192"/>
      <c r="C623" s="1434" t="s">
        <v>2138</v>
      </c>
      <c r="D623" s="1435" t="s">
        <v>2139</v>
      </c>
      <c r="E623" s="1435">
        <v>1</v>
      </c>
      <c r="F623" s="1438">
        <v>500000</v>
      </c>
      <c r="G623" s="1436">
        <f t="shared" ref="G623:G625" si="55">E623*F623</f>
        <v>500000</v>
      </c>
      <c r="H623" s="1304" t="s">
        <v>1995</v>
      </c>
    </row>
    <row r="624" spans="1:8" ht="15.75" customHeight="1">
      <c r="A624" s="36"/>
      <c r="B624" s="1192"/>
      <c r="C624" s="1434" t="s">
        <v>2140</v>
      </c>
      <c r="D624" s="1435" t="s">
        <v>2139</v>
      </c>
      <c r="E624" s="1435">
        <v>1</v>
      </c>
      <c r="F624" s="1438">
        <v>400000</v>
      </c>
      <c r="G624" s="1436">
        <f t="shared" si="55"/>
        <v>400000</v>
      </c>
      <c r="H624" s="1304" t="s">
        <v>1995</v>
      </c>
    </row>
    <row r="625" spans="1:8" ht="15.75" customHeight="1">
      <c r="A625" s="36"/>
      <c r="B625" s="1192"/>
      <c r="C625" s="1434" t="s">
        <v>2141</v>
      </c>
      <c r="D625" s="1435" t="s">
        <v>2139</v>
      </c>
      <c r="E625" s="1435">
        <v>1</v>
      </c>
      <c r="F625" s="1438">
        <v>300000</v>
      </c>
      <c r="G625" s="1436">
        <f t="shared" si="55"/>
        <v>300000</v>
      </c>
      <c r="H625" s="1304" t="s">
        <v>1995</v>
      </c>
    </row>
    <row r="626" spans="1:8" ht="15.75" customHeight="1">
      <c r="A626" s="36"/>
      <c r="B626" s="1437">
        <v>44595</v>
      </c>
      <c r="C626" s="1434" t="s">
        <v>2142</v>
      </c>
      <c r="D626" s="1435"/>
      <c r="E626" s="1435"/>
      <c r="F626" s="1435"/>
      <c r="G626" s="1433">
        <f>SUM(G627:G631)</f>
        <v>1000000</v>
      </c>
      <c r="H626" s="1311"/>
    </row>
    <row r="627" spans="1:8" ht="15.75" customHeight="1">
      <c r="A627" s="36"/>
      <c r="B627" s="2332"/>
      <c r="C627" s="1434" t="s">
        <v>2143</v>
      </c>
      <c r="D627" s="1435" t="s">
        <v>2139</v>
      </c>
      <c r="E627" s="1435">
        <v>1</v>
      </c>
      <c r="F627" s="2327">
        <v>200000</v>
      </c>
      <c r="G627" s="1436">
        <f t="shared" ref="G627:G631" si="56">E627*F627</f>
        <v>200000</v>
      </c>
      <c r="H627" s="1304" t="s">
        <v>1995</v>
      </c>
    </row>
    <row r="628" spans="1:8" ht="15.75" customHeight="1">
      <c r="A628" s="36"/>
      <c r="B628" s="2332"/>
      <c r="C628" s="1434" t="s">
        <v>2144</v>
      </c>
      <c r="D628" s="1435" t="s">
        <v>2139</v>
      </c>
      <c r="E628" s="1435">
        <v>1</v>
      </c>
      <c r="F628" s="2327">
        <v>200000</v>
      </c>
      <c r="G628" s="1436">
        <f t="shared" si="56"/>
        <v>200000</v>
      </c>
      <c r="H628" s="1304" t="s">
        <v>1995</v>
      </c>
    </row>
    <row r="629" spans="1:8" ht="15.75" customHeight="1">
      <c r="A629" s="36"/>
      <c r="B629" s="2332"/>
      <c r="C629" s="1434" t="s">
        <v>2145</v>
      </c>
      <c r="D629" s="1435" t="s">
        <v>2139</v>
      </c>
      <c r="E629" s="1435">
        <v>1</v>
      </c>
      <c r="F629" s="2327">
        <v>200000</v>
      </c>
      <c r="G629" s="1436">
        <f t="shared" si="56"/>
        <v>200000</v>
      </c>
      <c r="H629" s="1304" t="s">
        <v>1995</v>
      </c>
    </row>
    <row r="630" spans="1:8" ht="15.75" customHeight="1">
      <c r="A630" s="36"/>
      <c r="B630" s="2332"/>
      <c r="C630" s="1434" t="s">
        <v>2146</v>
      </c>
      <c r="D630" s="1435" t="s">
        <v>2139</v>
      </c>
      <c r="E630" s="1435">
        <v>1</v>
      </c>
      <c r="F630" s="2327">
        <v>200000</v>
      </c>
      <c r="G630" s="1436">
        <f t="shared" si="56"/>
        <v>200000</v>
      </c>
      <c r="H630" s="1304" t="s">
        <v>1995</v>
      </c>
    </row>
    <row r="631" spans="1:8" ht="15.75" customHeight="1">
      <c r="A631" s="36"/>
      <c r="B631" s="2332"/>
      <c r="C631" s="1434" t="s">
        <v>2147</v>
      </c>
      <c r="D631" s="1435" t="s">
        <v>2139</v>
      </c>
      <c r="E631" s="1435">
        <v>1</v>
      </c>
      <c r="F631" s="2327">
        <v>200000</v>
      </c>
      <c r="G631" s="1436">
        <f t="shared" si="56"/>
        <v>200000</v>
      </c>
      <c r="H631" s="1304" t="s">
        <v>1995</v>
      </c>
    </row>
    <row r="632" spans="1:8" ht="15.75" customHeight="1">
      <c r="A632" s="36"/>
      <c r="B632" s="2328">
        <v>44623</v>
      </c>
      <c r="C632" s="1434" t="s">
        <v>2148</v>
      </c>
      <c r="D632" s="1435"/>
      <c r="E632" s="1435"/>
      <c r="F632" s="1435"/>
      <c r="G632" s="1433">
        <f>SUM(G633:G635)</f>
        <v>1200000</v>
      </c>
      <c r="H632" s="1311"/>
    </row>
    <row r="633" spans="1:8" ht="15.75" customHeight="1">
      <c r="A633" s="36"/>
      <c r="B633" s="2332"/>
      <c r="C633" s="1434" t="s">
        <v>2138</v>
      </c>
      <c r="D633" s="1435" t="s">
        <v>2139</v>
      </c>
      <c r="E633" s="1435">
        <v>1</v>
      </c>
      <c r="F633" s="1438">
        <v>500000</v>
      </c>
      <c r="G633" s="1436">
        <f t="shared" ref="G633:G635" si="57">E633*F633</f>
        <v>500000</v>
      </c>
      <c r="H633" s="1304" t="s">
        <v>1995</v>
      </c>
    </row>
    <row r="634" spans="1:8" ht="15.75" customHeight="1">
      <c r="A634" s="36"/>
      <c r="B634" s="2332"/>
      <c r="C634" s="1434" t="s">
        <v>2140</v>
      </c>
      <c r="D634" s="1435" t="s">
        <v>2139</v>
      </c>
      <c r="E634" s="1435">
        <v>1</v>
      </c>
      <c r="F634" s="1438">
        <v>400000</v>
      </c>
      <c r="G634" s="1436">
        <f t="shared" si="57"/>
        <v>400000</v>
      </c>
      <c r="H634" s="1304" t="s">
        <v>1995</v>
      </c>
    </row>
    <row r="635" spans="1:8" ht="15.75" customHeight="1">
      <c r="A635" s="36"/>
      <c r="B635" s="2332"/>
      <c r="C635" s="1434" t="s">
        <v>2141</v>
      </c>
      <c r="D635" s="1435" t="s">
        <v>2139</v>
      </c>
      <c r="E635" s="1435">
        <v>1</v>
      </c>
      <c r="F635" s="1438">
        <v>300000</v>
      </c>
      <c r="G635" s="1436">
        <f t="shared" si="57"/>
        <v>300000</v>
      </c>
      <c r="H635" s="1304" t="s">
        <v>1995</v>
      </c>
    </row>
    <row r="636" spans="1:8" ht="15.75" customHeight="1">
      <c r="A636" s="36"/>
      <c r="B636" s="2328">
        <v>44654</v>
      </c>
      <c r="C636" s="1434" t="s">
        <v>2149</v>
      </c>
      <c r="D636" s="1292"/>
      <c r="E636" s="2332">
        <v>1</v>
      </c>
      <c r="F636" s="1435"/>
      <c r="G636" s="1433">
        <f>SUM(G637:G639)</f>
        <v>600000</v>
      </c>
      <c r="H636" s="1311"/>
    </row>
    <row r="637" spans="1:8" ht="15.75" customHeight="1">
      <c r="A637" s="36"/>
      <c r="B637" s="2332"/>
      <c r="C637" s="1434" t="s">
        <v>2138</v>
      </c>
      <c r="D637" s="2333" t="s">
        <v>2150</v>
      </c>
      <c r="E637" s="1435">
        <v>1</v>
      </c>
      <c r="F637" s="1438">
        <v>300000</v>
      </c>
      <c r="G637" s="1436">
        <f t="shared" ref="G637:G639" si="58">E637*F637</f>
        <v>300000</v>
      </c>
      <c r="H637" s="1304" t="s">
        <v>1995</v>
      </c>
    </row>
    <row r="638" spans="1:8" ht="15.75" customHeight="1">
      <c r="A638" s="36"/>
      <c r="B638" s="2332"/>
      <c r="C638" s="1434" t="s">
        <v>2140</v>
      </c>
      <c r="D638" s="1435" t="s">
        <v>2150</v>
      </c>
      <c r="E638" s="1435">
        <v>1</v>
      </c>
      <c r="F638" s="2327">
        <v>200000</v>
      </c>
      <c r="G638" s="1436">
        <f t="shared" si="58"/>
        <v>200000</v>
      </c>
      <c r="H638" s="1304" t="s">
        <v>1995</v>
      </c>
    </row>
    <row r="639" spans="1:8" ht="15.75" customHeight="1">
      <c r="A639" s="36"/>
      <c r="B639" s="2332"/>
      <c r="C639" s="2334" t="s">
        <v>2141</v>
      </c>
      <c r="D639" s="1435" t="s">
        <v>2150</v>
      </c>
      <c r="E639" s="1435">
        <v>1</v>
      </c>
      <c r="F639" s="2327">
        <v>100000</v>
      </c>
      <c r="G639" s="1436">
        <f t="shared" si="58"/>
        <v>100000</v>
      </c>
      <c r="H639" s="1304" t="s">
        <v>1995</v>
      </c>
    </row>
    <row r="640" spans="1:8" ht="15.75" customHeight="1">
      <c r="A640" s="36"/>
      <c r="B640" s="1344">
        <v>4</v>
      </c>
      <c r="C640" s="1345" t="s">
        <v>2151</v>
      </c>
      <c r="D640" s="1311"/>
      <c r="E640" s="1439"/>
      <c r="F640" s="1342"/>
      <c r="G640" s="1440">
        <f>G641+G642</f>
        <v>2000000</v>
      </c>
      <c r="H640" s="1311"/>
    </row>
    <row r="641" spans="1:8" ht="15.75" customHeight="1">
      <c r="A641" s="36"/>
      <c r="B641" s="2275">
        <v>44565</v>
      </c>
      <c r="C641" s="1434" t="s">
        <v>2144</v>
      </c>
      <c r="D641" s="1342" t="s">
        <v>2152</v>
      </c>
      <c r="E641" s="2335">
        <v>2</v>
      </c>
      <c r="F641" s="1438">
        <v>500000</v>
      </c>
      <c r="G641" s="1436">
        <f t="shared" ref="G641:G643" si="59">E641*F641</f>
        <v>1000000</v>
      </c>
      <c r="H641" s="1304" t="s">
        <v>1995</v>
      </c>
    </row>
    <row r="642" spans="1:8" ht="15.75" customHeight="1">
      <c r="A642" s="36"/>
      <c r="B642" s="2275">
        <v>44565</v>
      </c>
      <c r="C642" s="1434" t="s">
        <v>2145</v>
      </c>
      <c r="D642" s="1342" t="s">
        <v>2152</v>
      </c>
      <c r="E642" s="2335">
        <v>2</v>
      </c>
      <c r="F642" s="1438">
        <v>500000</v>
      </c>
      <c r="G642" s="1436">
        <f t="shared" si="59"/>
        <v>1000000</v>
      </c>
      <c r="H642" s="1304" t="s">
        <v>1995</v>
      </c>
    </row>
    <row r="643" spans="1:8" ht="15.75" customHeight="1">
      <c r="A643" s="36"/>
      <c r="B643" s="2273">
        <v>5</v>
      </c>
      <c r="C643" s="1345" t="s">
        <v>2153</v>
      </c>
      <c r="D643" s="1339" t="s">
        <v>2139</v>
      </c>
      <c r="E643" s="2336">
        <v>3</v>
      </c>
      <c r="F643" s="1441">
        <v>2000000</v>
      </c>
      <c r="G643" s="1442">
        <f t="shared" si="59"/>
        <v>6000000</v>
      </c>
      <c r="H643" s="1304" t="s">
        <v>1995</v>
      </c>
    </row>
    <row r="644" spans="1:8" ht="15.75" customHeight="1">
      <c r="A644" s="36"/>
      <c r="B644" s="2273">
        <v>6</v>
      </c>
      <c r="C644" s="1345" t="s">
        <v>2154</v>
      </c>
      <c r="D644" s="1342"/>
      <c r="E644" s="2335"/>
      <c r="F644" s="1443"/>
      <c r="G644" s="2330">
        <f>SUM(G645:G653)</f>
        <v>6159000</v>
      </c>
      <c r="H644" s="1311"/>
    </row>
    <row r="645" spans="1:8" ht="15.75" customHeight="1">
      <c r="A645" s="36"/>
      <c r="B645" s="2275">
        <v>44567</v>
      </c>
      <c r="C645" s="1444" t="s">
        <v>2155</v>
      </c>
      <c r="D645" s="2274" t="s">
        <v>1888</v>
      </c>
      <c r="E645" s="2335">
        <v>10</v>
      </c>
      <c r="F645" s="2327">
        <v>100000</v>
      </c>
      <c r="G645" s="1436">
        <f t="shared" ref="G645:G653" si="60">E645*F645</f>
        <v>1000000</v>
      </c>
      <c r="H645" s="1304" t="s">
        <v>1995</v>
      </c>
    </row>
    <row r="646" spans="1:8" ht="15.75" customHeight="1">
      <c r="A646" s="36"/>
      <c r="B646" s="2275">
        <v>44598</v>
      </c>
      <c r="C646" s="2337" t="s">
        <v>2156</v>
      </c>
      <c r="D646" s="2274" t="s">
        <v>1879</v>
      </c>
      <c r="E646" s="2335">
        <v>30</v>
      </c>
      <c r="F646" s="2327">
        <v>20000</v>
      </c>
      <c r="G646" s="1436">
        <f t="shared" si="60"/>
        <v>600000</v>
      </c>
      <c r="H646" s="1304" t="s">
        <v>2157</v>
      </c>
    </row>
    <row r="647" spans="1:8" ht="15.75" customHeight="1">
      <c r="A647" s="36"/>
      <c r="B647" s="1445">
        <v>44626</v>
      </c>
      <c r="C647" s="1444" t="s">
        <v>2158</v>
      </c>
      <c r="D647" s="1342" t="s">
        <v>2159</v>
      </c>
      <c r="E647" s="2335">
        <v>9</v>
      </c>
      <c r="F647" s="2327">
        <v>150000</v>
      </c>
      <c r="G647" s="1436">
        <f t="shared" si="60"/>
        <v>1350000</v>
      </c>
      <c r="H647" s="2277" t="s">
        <v>2157</v>
      </c>
    </row>
    <row r="648" spans="1:8" ht="15.75" customHeight="1">
      <c r="A648" s="36"/>
      <c r="B648" s="2275">
        <v>44657</v>
      </c>
      <c r="C648" s="1351" t="s">
        <v>2160</v>
      </c>
      <c r="D648" s="1342" t="s">
        <v>1879</v>
      </c>
      <c r="E648" s="2335">
        <v>1</v>
      </c>
      <c r="F648" s="2327">
        <v>315000</v>
      </c>
      <c r="G648" s="1436">
        <f t="shared" si="60"/>
        <v>315000</v>
      </c>
      <c r="H648" s="2277" t="s">
        <v>2157</v>
      </c>
    </row>
    <row r="649" spans="1:8" ht="15.75" customHeight="1">
      <c r="A649" s="36"/>
      <c r="B649" s="1445">
        <v>44687</v>
      </c>
      <c r="C649" s="2337" t="s">
        <v>2161</v>
      </c>
      <c r="D649" s="2274" t="s">
        <v>1888</v>
      </c>
      <c r="E649" s="2335">
        <v>4</v>
      </c>
      <c r="F649" s="2327">
        <v>50000</v>
      </c>
      <c r="G649" s="1436">
        <f t="shared" si="60"/>
        <v>200000</v>
      </c>
      <c r="H649" s="1304" t="s">
        <v>1995</v>
      </c>
    </row>
    <row r="650" spans="1:8" ht="15.75" customHeight="1">
      <c r="A650" s="36"/>
      <c r="B650" s="1445">
        <v>44718</v>
      </c>
      <c r="C650" s="1444" t="s">
        <v>2162</v>
      </c>
      <c r="D650" s="1342" t="s">
        <v>2163</v>
      </c>
      <c r="E650" s="2335">
        <v>2</v>
      </c>
      <c r="F650" s="2327">
        <v>97000</v>
      </c>
      <c r="G650" s="1436">
        <f t="shared" si="60"/>
        <v>194000</v>
      </c>
      <c r="H650" s="1304" t="s">
        <v>2157</v>
      </c>
    </row>
    <row r="651" spans="1:8" ht="15.75" customHeight="1">
      <c r="A651" s="36"/>
      <c r="B651" s="1445">
        <v>44748</v>
      </c>
      <c r="C651" s="2338" t="s">
        <v>2164</v>
      </c>
      <c r="D651" s="1342" t="s">
        <v>2165</v>
      </c>
      <c r="E651" s="2248">
        <v>1</v>
      </c>
      <c r="F651" s="2327">
        <v>500000</v>
      </c>
      <c r="G651" s="1436">
        <f t="shared" si="60"/>
        <v>500000</v>
      </c>
      <c r="H651" s="1304" t="s">
        <v>2157</v>
      </c>
    </row>
    <row r="652" spans="1:8" ht="15.75" customHeight="1">
      <c r="A652" s="36"/>
      <c r="B652" s="1446">
        <v>44779</v>
      </c>
      <c r="C652" s="2338" t="s">
        <v>2166</v>
      </c>
      <c r="D652" s="1342" t="s">
        <v>1879</v>
      </c>
      <c r="E652" s="2335">
        <v>20</v>
      </c>
      <c r="F652" s="2327">
        <v>30000</v>
      </c>
      <c r="G652" s="1436">
        <f t="shared" si="60"/>
        <v>600000</v>
      </c>
      <c r="H652" s="1304" t="s">
        <v>2157</v>
      </c>
    </row>
    <row r="653" spans="1:8" ht="15.75" customHeight="1">
      <c r="A653" s="36"/>
      <c r="B653" s="2275">
        <v>44810</v>
      </c>
      <c r="C653" s="1304" t="s">
        <v>2167</v>
      </c>
      <c r="D653" s="1342" t="s">
        <v>1879</v>
      </c>
      <c r="E653" s="2335">
        <v>14</v>
      </c>
      <c r="F653" s="2327">
        <v>100000</v>
      </c>
      <c r="G653" s="1436">
        <f t="shared" si="60"/>
        <v>1400000</v>
      </c>
      <c r="H653" s="1304" t="s">
        <v>2157</v>
      </c>
    </row>
    <row r="654" spans="1:8" ht="15.75" customHeight="1">
      <c r="A654" s="36"/>
      <c r="B654" s="1447"/>
      <c r="C654" s="2339" t="s">
        <v>1577</v>
      </c>
      <c r="D654" s="1448"/>
      <c r="E654" s="2340"/>
      <c r="F654" s="1449"/>
      <c r="G654" s="2330">
        <f>G612+G617+G621+G640+G643+G644</f>
        <v>20159000</v>
      </c>
      <c r="H654" s="1311"/>
    </row>
    <row r="655" spans="1:8" ht="15.75" customHeight="1">
      <c r="A655" s="36"/>
      <c r="B655" s="1450"/>
      <c r="C655" s="1290"/>
      <c r="D655" s="708"/>
      <c r="E655" s="708"/>
      <c r="F655" s="708"/>
      <c r="G655" s="1291"/>
      <c r="H655" s="296"/>
    </row>
    <row r="656" spans="1:8" ht="15.75" customHeight="1">
      <c r="A656" s="2904" t="s">
        <v>2168</v>
      </c>
      <c r="B656" s="2732"/>
      <c r="C656" s="38"/>
      <c r="D656" s="17"/>
      <c r="E656" s="17"/>
      <c r="F656" s="1426"/>
      <c r="G656" s="1426"/>
      <c r="H656" s="1427"/>
    </row>
    <row r="657" spans="1:8" ht="15.75" customHeight="1">
      <c r="A657" s="36"/>
      <c r="B657" s="2964" t="s">
        <v>2169</v>
      </c>
      <c r="C657" s="2732"/>
      <c r="D657" s="2732"/>
      <c r="E657" s="2732"/>
      <c r="F657" s="2732"/>
      <c r="G657" s="2732"/>
      <c r="H657" s="2732"/>
    </row>
    <row r="658" spans="1:8" ht="15.75" customHeight="1">
      <c r="A658" s="36"/>
      <c r="B658" s="2830" t="s">
        <v>2129</v>
      </c>
      <c r="C658" s="2732"/>
      <c r="D658" s="2732"/>
      <c r="E658" s="2732"/>
      <c r="F658" s="2732"/>
      <c r="G658" s="2732"/>
      <c r="H658" s="2732"/>
    </row>
    <row r="659" spans="1:8" ht="15.75" customHeight="1">
      <c r="A659" s="36"/>
      <c r="B659" s="2959" t="s">
        <v>2130</v>
      </c>
      <c r="C659" s="2737"/>
      <c r="D659" s="2737"/>
      <c r="E659" s="2737"/>
      <c r="F659" s="2737"/>
      <c r="G659" s="2737"/>
      <c r="H659" s="2737"/>
    </row>
    <row r="660" spans="1:8" ht="15.75" customHeight="1">
      <c r="A660" s="36"/>
      <c r="B660" s="1344" t="s">
        <v>186</v>
      </c>
      <c r="C660" s="2240" t="s">
        <v>28</v>
      </c>
      <c r="D660" s="2240" t="s">
        <v>242</v>
      </c>
      <c r="E660" s="2240" t="s">
        <v>1859</v>
      </c>
      <c r="F660" s="2240" t="s">
        <v>1860</v>
      </c>
      <c r="G660" s="2240" t="s">
        <v>1929</v>
      </c>
      <c r="H660" s="2240" t="s">
        <v>1962</v>
      </c>
    </row>
    <row r="661" spans="1:8" ht="15.75" customHeight="1">
      <c r="A661" s="36"/>
      <c r="B661" s="2273">
        <v>1</v>
      </c>
      <c r="C661" s="2960" t="s">
        <v>2131</v>
      </c>
      <c r="D661" s="2782"/>
      <c r="E661" s="2782"/>
      <c r="F661" s="2782"/>
      <c r="G661" s="2341">
        <f>SUM(G662:G665)</f>
        <v>1200000</v>
      </c>
      <c r="H661" s="1345"/>
    </row>
    <row r="662" spans="1:8" ht="15.75" customHeight="1">
      <c r="A662" s="36"/>
      <c r="B662" s="2325">
        <v>44562</v>
      </c>
      <c r="C662" s="1436" t="s">
        <v>1869</v>
      </c>
      <c r="D662" s="1438" t="s">
        <v>1888</v>
      </c>
      <c r="E662" s="2342">
        <v>1</v>
      </c>
      <c r="F662" s="2327">
        <v>200000</v>
      </c>
      <c r="G662" s="1302">
        <f t="shared" ref="G662:G665" si="61">PRODUCT(E662:F662)</f>
        <v>200000</v>
      </c>
      <c r="H662" s="1304" t="s">
        <v>1995</v>
      </c>
    </row>
    <row r="663" spans="1:8" ht="15.75" customHeight="1">
      <c r="A663" s="36"/>
      <c r="B663" s="2328">
        <v>44593</v>
      </c>
      <c r="C663" s="1436" t="s">
        <v>2132</v>
      </c>
      <c r="D663" s="1438" t="s">
        <v>1888</v>
      </c>
      <c r="E663" s="2342">
        <v>2</v>
      </c>
      <c r="F663" s="2327">
        <v>100000</v>
      </c>
      <c r="G663" s="1302">
        <f t="shared" si="61"/>
        <v>200000</v>
      </c>
      <c r="H663" s="1304" t="s">
        <v>1995</v>
      </c>
    </row>
    <row r="664" spans="1:8" ht="15.75" customHeight="1">
      <c r="A664" s="36"/>
      <c r="B664" s="2325">
        <v>44621</v>
      </c>
      <c r="C664" s="1436" t="s">
        <v>2133</v>
      </c>
      <c r="D664" s="1438" t="s">
        <v>1888</v>
      </c>
      <c r="E664" s="2342">
        <v>2</v>
      </c>
      <c r="F664" s="2327">
        <v>200000</v>
      </c>
      <c r="G664" s="1302">
        <f t="shared" si="61"/>
        <v>400000</v>
      </c>
      <c r="H664" s="1304" t="s">
        <v>1995</v>
      </c>
    </row>
    <row r="665" spans="1:8" ht="15.75" customHeight="1">
      <c r="A665" s="36"/>
      <c r="B665" s="2328">
        <v>44652</v>
      </c>
      <c r="C665" s="1436" t="s">
        <v>2134</v>
      </c>
      <c r="D665" s="1438" t="s">
        <v>1888</v>
      </c>
      <c r="E665" s="2342">
        <v>4</v>
      </c>
      <c r="F665" s="2327">
        <v>100000</v>
      </c>
      <c r="G665" s="1302">
        <f t="shared" si="61"/>
        <v>400000</v>
      </c>
      <c r="H665" s="1304" t="s">
        <v>1995</v>
      </c>
    </row>
    <row r="666" spans="1:8" ht="15.75" customHeight="1">
      <c r="A666" s="36"/>
      <c r="B666" s="2273">
        <v>2</v>
      </c>
      <c r="C666" s="2960" t="s">
        <v>2135</v>
      </c>
      <c r="D666" s="2782"/>
      <c r="E666" s="2782"/>
      <c r="F666" s="2782"/>
      <c r="G666" s="2330">
        <f>SUM(G667:G669)</f>
        <v>700000</v>
      </c>
      <c r="H666" s="1352"/>
    </row>
    <row r="667" spans="1:8" ht="15.75" customHeight="1">
      <c r="A667" s="36"/>
      <c r="B667" s="2328">
        <v>44563</v>
      </c>
      <c r="C667" s="1436" t="s">
        <v>1869</v>
      </c>
      <c r="D667" s="1438" t="s">
        <v>1888</v>
      </c>
      <c r="E667" s="2342">
        <v>1</v>
      </c>
      <c r="F667" s="2327">
        <v>200000</v>
      </c>
      <c r="G667" s="1302">
        <f t="shared" ref="G667:G669" si="62">PRODUCT(E667:F667)</f>
        <v>200000</v>
      </c>
      <c r="H667" s="1304" t="s">
        <v>1995</v>
      </c>
    </row>
    <row r="668" spans="1:8" ht="15.75" customHeight="1">
      <c r="A668" s="36"/>
      <c r="B668" s="2328">
        <v>44594</v>
      </c>
      <c r="C668" s="1436" t="s">
        <v>2132</v>
      </c>
      <c r="D668" s="1438" t="s">
        <v>1888</v>
      </c>
      <c r="E668" s="2342">
        <v>2</v>
      </c>
      <c r="F668" s="2327">
        <v>100000</v>
      </c>
      <c r="G668" s="1302">
        <f t="shared" si="62"/>
        <v>200000</v>
      </c>
      <c r="H668" s="1304" t="s">
        <v>1995</v>
      </c>
    </row>
    <row r="669" spans="1:8" ht="15.75" customHeight="1">
      <c r="A669" s="36"/>
      <c r="B669" s="2328">
        <v>44622</v>
      </c>
      <c r="C669" s="1436" t="s">
        <v>2134</v>
      </c>
      <c r="D669" s="1438" t="s">
        <v>1888</v>
      </c>
      <c r="E669" s="2342">
        <v>3</v>
      </c>
      <c r="F669" s="2327">
        <v>100000</v>
      </c>
      <c r="G669" s="1302">
        <f t="shared" si="62"/>
        <v>300000</v>
      </c>
      <c r="H669" s="1304" t="s">
        <v>1995</v>
      </c>
    </row>
    <row r="670" spans="1:8" ht="15.75" customHeight="1">
      <c r="A670" s="36"/>
      <c r="B670" s="2273">
        <v>3</v>
      </c>
      <c r="C670" s="2960" t="s">
        <v>2136</v>
      </c>
      <c r="D670" s="2782"/>
      <c r="E670" s="2782"/>
      <c r="F670" s="2782"/>
      <c r="G670" s="2330">
        <f>G671+G675+G679+G683</f>
        <v>3800000</v>
      </c>
      <c r="H670" s="1352"/>
    </row>
    <row r="671" spans="1:8" ht="15.75" customHeight="1">
      <c r="A671" s="36"/>
      <c r="B671" s="2328">
        <v>44564</v>
      </c>
      <c r="C671" s="2343" t="s">
        <v>2170</v>
      </c>
      <c r="D671" s="2343"/>
      <c r="E671" s="2343"/>
      <c r="F671" s="2343"/>
      <c r="G671" s="2330">
        <f>SUM(G672:G674)</f>
        <v>600000</v>
      </c>
      <c r="H671" s="1352"/>
    </row>
    <row r="672" spans="1:8" ht="15.75" customHeight="1">
      <c r="A672" s="36"/>
      <c r="B672" s="2332"/>
      <c r="C672" s="2344" t="s">
        <v>2138</v>
      </c>
      <c r="D672" s="1438" t="s">
        <v>2139</v>
      </c>
      <c r="E672" s="1438">
        <v>1</v>
      </c>
      <c r="F672" s="1438">
        <v>300000</v>
      </c>
      <c r="G672" s="1302">
        <f t="shared" ref="G672:G674" si="63">PRODUCT(E672:F672)</f>
        <v>300000</v>
      </c>
      <c r="H672" s="1304" t="s">
        <v>1995</v>
      </c>
    </row>
    <row r="673" spans="1:8" ht="15.75" customHeight="1">
      <c r="A673" s="36"/>
      <c r="B673" s="2332"/>
      <c r="C673" s="2344" t="s">
        <v>2140</v>
      </c>
      <c r="D673" s="1438" t="s">
        <v>2139</v>
      </c>
      <c r="E673" s="1438">
        <v>1</v>
      </c>
      <c r="F673" s="2327">
        <v>200000</v>
      </c>
      <c r="G673" s="1302">
        <f t="shared" si="63"/>
        <v>200000</v>
      </c>
      <c r="H673" s="1304" t="s">
        <v>1995</v>
      </c>
    </row>
    <row r="674" spans="1:8" ht="15.75" customHeight="1">
      <c r="A674" s="36"/>
      <c r="B674" s="2332"/>
      <c r="C674" s="2344" t="s">
        <v>2141</v>
      </c>
      <c r="D674" s="1438" t="s">
        <v>2139</v>
      </c>
      <c r="E674" s="1438">
        <v>1</v>
      </c>
      <c r="F674" s="2327">
        <v>100000</v>
      </c>
      <c r="G674" s="1302">
        <f t="shared" si="63"/>
        <v>100000</v>
      </c>
      <c r="H674" s="1304" t="s">
        <v>1995</v>
      </c>
    </row>
    <row r="675" spans="1:8" ht="15.75" customHeight="1">
      <c r="A675" s="36"/>
      <c r="B675" s="1437">
        <v>44595</v>
      </c>
      <c r="C675" s="1451" t="s">
        <v>1756</v>
      </c>
      <c r="D675" s="1438"/>
      <c r="E675" s="1438"/>
      <c r="F675" s="1438"/>
      <c r="G675" s="1433">
        <f>SUM(G676:G678)</f>
        <v>600000</v>
      </c>
      <c r="H675" s="1311"/>
    </row>
    <row r="676" spans="1:8" ht="15.75" customHeight="1">
      <c r="A676" s="36"/>
      <c r="B676" s="2332"/>
      <c r="C676" s="2344" t="s">
        <v>2138</v>
      </c>
      <c r="D676" s="1438" t="s">
        <v>2139</v>
      </c>
      <c r="E676" s="1438">
        <v>1</v>
      </c>
      <c r="F676" s="1438">
        <v>300000</v>
      </c>
      <c r="G676" s="1302">
        <f t="shared" ref="G676:G678" si="64">PRODUCT(E676:F676)</f>
        <v>300000</v>
      </c>
      <c r="H676" s="1304" t="s">
        <v>1995</v>
      </c>
    </row>
    <row r="677" spans="1:8" ht="15.75" customHeight="1">
      <c r="A677" s="36"/>
      <c r="B677" s="2332"/>
      <c r="C677" s="2344" t="s">
        <v>2140</v>
      </c>
      <c r="D677" s="1438" t="s">
        <v>2139</v>
      </c>
      <c r="E677" s="1438">
        <v>1</v>
      </c>
      <c r="F677" s="2327">
        <v>200000</v>
      </c>
      <c r="G677" s="1302">
        <f t="shared" si="64"/>
        <v>200000</v>
      </c>
      <c r="H677" s="1304" t="s">
        <v>1995</v>
      </c>
    </row>
    <row r="678" spans="1:8" ht="15.75" customHeight="1">
      <c r="A678" s="36"/>
      <c r="B678" s="2332"/>
      <c r="C678" s="2344" t="s">
        <v>2141</v>
      </c>
      <c r="D678" s="1438" t="s">
        <v>2139</v>
      </c>
      <c r="E678" s="1438">
        <v>1</v>
      </c>
      <c r="F678" s="2327">
        <v>100000</v>
      </c>
      <c r="G678" s="1302">
        <f t="shared" si="64"/>
        <v>100000</v>
      </c>
      <c r="H678" s="1304" t="s">
        <v>1995</v>
      </c>
    </row>
    <row r="679" spans="1:8" ht="15.75" customHeight="1">
      <c r="A679" s="36"/>
      <c r="B679" s="2328">
        <v>44623</v>
      </c>
      <c r="C679" s="1451" t="s">
        <v>2171</v>
      </c>
      <c r="D679" s="1438"/>
      <c r="E679" s="1438"/>
      <c r="F679" s="1438"/>
      <c r="G679" s="1433">
        <f>SUM(G680:G682)</f>
        <v>600000</v>
      </c>
      <c r="H679" s="1311"/>
    </row>
    <row r="680" spans="1:8" ht="15.75" customHeight="1">
      <c r="A680" s="36"/>
      <c r="B680" s="2332"/>
      <c r="C680" s="1436" t="s">
        <v>2138</v>
      </c>
      <c r="D680" s="1438" t="s">
        <v>2139</v>
      </c>
      <c r="E680" s="1438">
        <v>1</v>
      </c>
      <c r="F680" s="1438">
        <v>300000</v>
      </c>
      <c r="G680" s="1302">
        <f t="shared" ref="G680:G682" si="65">PRODUCT(E680:F680)</f>
        <v>300000</v>
      </c>
      <c r="H680" s="1304" t="s">
        <v>1995</v>
      </c>
    </row>
    <row r="681" spans="1:8" ht="15.75" customHeight="1">
      <c r="A681" s="36"/>
      <c r="B681" s="2332"/>
      <c r="C681" s="1436" t="s">
        <v>2140</v>
      </c>
      <c r="D681" s="1438" t="s">
        <v>2139</v>
      </c>
      <c r="E681" s="1438">
        <v>1</v>
      </c>
      <c r="F681" s="2327">
        <v>200000</v>
      </c>
      <c r="G681" s="1302">
        <f t="shared" si="65"/>
        <v>200000</v>
      </c>
      <c r="H681" s="1304" t="s">
        <v>1995</v>
      </c>
    </row>
    <row r="682" spans="1:8" ht="15.75" customHeight="1">
      <c r="A682" s="36"/>
      <c r="B682" s="2332"/>
      <c r="C682" s="1436" t="s">
        <v>2141</v>
      </c>
      <c r="D682" s="1438" t="s">
        <v>2139</v>
      </c>
      <c r="E682" s="1438">
        <v>1</v>
      </c>
      <c r="F682" s="2327">
        <v>100000</v>
      </c>
      <c r="G682" s="1302">
        <f t="shared" si="65"/>
        <v>100000</v>
      </c>
      <c r="H682" s="1304" t="s">
        <v>1995</v>
      </c>
    </row>
    <row r="683" spans="1:8" ht="15.75" customHeight="1">
      <c r="A683" s="36"/>
      <c r="B683" s="2275">
        <v>44654</v>
      </c>
      <c r="C683" s="1452" t="s">
        <v>2172</v>
      </c>
      <c r="D683" s="1350"/>
      <c r="E683" s="2345"/>
      <c r="F683" s="2346"/>
      <c r="G683" s="1440">
        <f>SUM(G684:G687)</f>
        <v>2000000</v>
      </c>
      <c r="H683" s="1304"/>
    </row>
    <row r="684" spans="1:8" ht="15.75" customHeight="1">
      <c r="A684" s="36"/>
      <c r="B684" s="2273"/>
      <c r="C684" s="1436" t="s">
        <v>2138</v>
      </c>
      <c r="D684" s="1438" t="s">
        <v>2139</v>
      </c>
      <c r="E684" s="2345">
        <v>1</v>
      </c>
      <c r="F684" s="2347">
        <v>1000000</v>
      </c>
      <c r="G684" s="1302">
        <f t="shared" ref="G684:G687" si="66">PRODUCT(E684:F684)</f>
        <v>1000000</v>
      </c>
      <c r="H684" s="1304" t="s">
        <v>1995</v>
      </c>
    </row>
    <row r="685" spans="1:8" ht="15.75" customHeight="1">
      <c r="A685" s="36"/>
      <c r="B685" s="2273"/>
      <c r="C685" s="1436" t="s">
        <v>2140</v>
      </c>
      <c r="D685" s="1438" t="s">
        <v>2139</v>
      </c>
      <c r="E685" s="2345">
        <v>1</v>
      </c>
      <c r="F685" s="2347">
        <v>500000</v>
      </c>
      <c r="G685" s="1302">
        <f t="shared" si="66"/>
        <v>500000</v>
      </c>
      <c r="H685" s="1304" t="s">
        <v>1995</v>
      </c>
    </row>
    <row r="686" spans="1:8" ht="15.75" customHeight="1">
      <c r="A686" s="36"/>
      <c r="B686" s="2273"/>
      <c r="C686" s="1436" t="s">
        <v>2141</v>
      </c>
      <c r="D686" s="1438" t="s">
        <v>2139</v>
      </c>
      <c r="E686" s="2345">
        <v>1</v>
      </c>
      <c r="F686" s="1438">
        <v>300000</v>
      </c>
      <c r="G686" s="1302">
        <f t="shared" si="66"/>
        <v>300000</v>
      </c>
      <c r="H686" s="1304" t="s">
        <v>1995</v>
      </c>
    </row>
    <row r="687" spans="1:8" ht="15.75" customHeight="1">
      <c r="A687" s="36"/>
      <c r="B687" s="2273"/>
      <c r="C687" s="1453" t="s">
        <v>2173</v>
      </c>
      <c r="D687" s="1438" t="s">
        <v>2139</v>
      </c>
      <c r="E687" s="2345">
        <v>1</v>
      </c>
      <c r="F687" s="2327">
        <v>200000</v>
      </c>
      <c r="G687" s="1302">
        <f t="shared" si="66"/>
        <v>200000</v>
      </c>
      <c r="H687" s="1304" t="s">
        <v>1995</v>
      </c>
    </row>
    <row r="688" spans="1:8" ht="15.75" customHeight="1">
      <c r="A688" s="36"/>
      <c r="B688" s="2273">
        <v>4</v>
      </c>
      <c r="C688" s="1454" t="s">
        <v>2153</v>
      </c>
      <c r="D688" s="1350" t="s">
        <v>2139</v>
      </c>
      <c r="E688" s="2345">
        <v>4</v>
      </c>
      <c r="F688" s="1455">
        <v>2000000</v>
      </c>
      <c r="G688" s="1312">
        <f>E688*F688</f>
        <v>8000000</v>
      </c>
      <c r="H688" s="1304" t="s">
        <v>1995</v>
      </c>
    </row>
    <row r="689" spans="1:8" ht="15.75" customHeight="1">
      <c r="A689" s="36"/>
      <c r="B689" s="2273">
        <v>5</v>
      </c>
      <c r="C689" s="1454" t="s">
        <v>2154</v>
      </c>
      <c r="D689" s="1350"/>
      <c r="E689" s="2345"/>
      <c r="F689" s="1455"/>
      <c r="G689" s="2330">
        <f>SUM(G690:G698)</f>
        <v>5659000</v>
      </c>
      <c r="H689" s="1311"/>
    </row>
    <row r="690" spans="1:8" ht="15.75" customHeight="1">
      <c r="A690" s="36"/>
      <c r="B690" s="2275">
        <v>44566</v>
      </c>
      <c r="C690" s="1456" t="s">
        <v>2155</v>
      </c>
      <c r="D690" s="2348" t="s">
        <v>1888</v>
      </c>
      <c r="E690" s="2345">
        <v>10</v>
      </c>
      <c r="F690" s="2327">
        <v>100000</v>
      </c>
      <c r="G690" s="1302">
        <f t="shared" ref="G690:G698" si="67">PRODUCT(E690:F690)</f>
        <v>1000000</v>
      </c>
      <c r="H690" s="1304" t="s">
        <v>1995</v>
      </c>
    </row>
    <row r="691" spans="1:8" ht="15.75" customHeight="1">
      <c r="A691" s="36"/>
      <c r="B691" s="2275">
        <v>44597</v>
      </c>
      <c r="C691" s="2349" t="s">
        <v>2156</v>
      </c>
      <c r="D691" s="2348" t="s">
        <v>1879</v>
      </c>
      <c r="E691" s="2345">
        <v>30</v>
      </c>
      <c r="F691" s="1455">
        <v>20000</v>
      </c>
      <c r="G691" s="1302">
        <f t="shared" si="67"/>
        <v>600000</v>
      </c>
      <c r="H691" s="1304" t="s">
        <v>2157</v>
      </c>
    </row>
    <row r="692" spans="1:8" ht="15.75" customHeight="1">
      <c r="A692" s="36"/>
      <c r="B692" s="1445">
        <v>44625</v>
      </c>
      <c r="C692" s="1456" t="s">
        <v>2158</v>
      </c>
      <c r="D692" s="1350" t="s">
        <v>2159</v>
      </c>
      <c r="E692" s="2345">
        <v>9</v>
      </c>
      <c r="F692" s="1455">
        <v>150000</v>
      </c>
      <c r="G692" s="1302">
        <f t="shared" si="67"/>
        <v>1350000</v>
      </c>
      <c r="H692" s="2277" t="s">
        <v>2157</v>
      </c>
    </row>
    <row r="693" spans="1:8" ht="15.75" customHeight="1">
      <c r="A693" s="36"/>
      <c r="B693" s="2275">
        <v>44656</v>
      </c>
      <c r="C693" s="1442" t="s">
        <v>2160</v>
      </c>
      <c r="D693" s="1350" t="s">
        <v>1879</v>
      </c>
      <c r="E693" s="2345">
        <v>1</v>
      </c>
      <c r="F693" s="1455">
        <v>315000</v>
      </c>
      <c r="G693" s="1302">
        <f t="shared" si="67"/>
        <v>315000</v>
      </c>
      <c r="H693" s="2277" t="s">
        <v>2157</v>
      </c>
    </row>
    <row r="694" spans="1:8" ht="15.75" customHeight="1">
      <c r="A694" s="36"/>
      <c r="B694" s="1445">
        <v>44686</v>
      </c>
      <c r="C694" s="2349" t="s">
        <v>2161</v>
      </c>
      <c r="D694" s="2348" t="s">
        <v>1888</v>
      </c>
      <c r="E694" s="2345">
        <v>4</v>
      </c>
      <c r="F694" s="1455">
        <v>50000</v>
      </c>
      <c r="G694" s="1302">
        <f t="shared" si="67"/>
        <v>200000</v>
      </c>
      <c r="H694" s="1304" t="s">
        <v>1995</v>
      </c>
    </row>
    <row r="695" spans="1:8" ht="15.75" customHeight="1">
      <c r="A695" s="36"/>
      <c r="B695" s="1445">
        <v>44717</v>
      </c>
      <c r="C695" s="1456" t="s">
        <v>2162</v>
      </c>
      <c r="D695" s="1350" t="s">
        <v>2163</v>
      </c>
      <c r="E695" s="2345">
        <v>2</v>
      </c>
      <c r="F695" s="1455">
        <v>97000</v>
      </c>
      <c r="G695" s="1302">
        <f t="shared" si="67"/>
        <v>194000</v>
      </c>
      <c r="H695" s="1304" t="s">
        <v>2157</v>
      </c>
    </row>
    <row r="696" spans="1:8" ht="15.75" customHeight="1">
      <c r="A696" s="36"/>
      <c r="B696" s="1445">
        <v>44747</v>
      </c>
      <c r="C696" s="2350" t="s">
        <v>2164</v>
      </c>
      <c r="D696" s="1350" t="s">
        <v>2165</v>
      </c>
      <c r="E696" s="2351">
        <v>1</v>
      </c>
      <c r="F696" s="1455">
        <v>500000</v>
      </c>
      <c r="G696" s="1302">
        <f t="shared" si="67"/>
        <v>500000</v>
      </c>
      <c r="H696" s="1304" t="s">
        <v>2157</v>
      </c>
    </row>
    <row r="697" spans="1:8" ht="15.75" customHeight="1">
      <c r="A697" s="36"/>
      <c r="B697" s="1446">
        <v>44778</v>
      </c>
      <c r="C697" s="2350" t="s">
        <v>2166</v>
      </c>
      <c r="D697" s="1350" t="s">
        <v>1879</v>
      </c>
      <c r="E697" s="2345">
        <v>20</v>
      </c>
      <c r="F697" s="1455">
        <v>30000</v>
      </c>
      <c r="G697" s="1302">
        <f t="shared" si="67"/>
        <v>600000</v>
      </c>
      <c r="H697" s="1304" t="s">
        <v>2157</v>
      </c>
    </row>
    <row r="698" spans="1:8" ht="15.75" customHeight="1">
      <c r="A698" s="36"/>
      <c r="B698" s="2275">
        <v>44809</v>
      </c>
      <c r="C698" s="1457" t="s">
        <v>2167</v>
      </c>
      <c r="D698" s="1350" t="s">
        <v>1879</v>
      </c>
      <c r="E698" s="2345">
        <v>9</v>
      </c>
      <c r="F698" s="1455">
        <v>100000</v>
      </c>
      <c r="G698" s="1302">
        <f t="shared" si="67"/>
        <v>900000</v>
      </c>
      <c r="H698" s="1304" t="s">
        <v>2157</v>
      </c>
    </row>
    <row r="699" spans="1:8" ht="15.75" customHeight="1">
      <c r="A699" s="36"/>
      <c r="B699" s="1447"/>
      <c r="C699" s="2341" t="s">
        <v>1577</v>
      </c>
      <c r="D699" s="1458"/>
      <c r="E699" s="2352"/>
      <c r="F699" s="1459"/>
      <c r="G699" s="2330">
        <f>G689+G688+G670+G666+G661</f>
        <v>19359000</v>
      </c>
      <c r="H699" s="1311"/>
    </row>
    <row r="700" spans="1:8" ht="15.75" customHeight="1">
      <c r="A700" s="36"/>
      <c r="B700" s="1450"/>
      <c r="C700" s="1460"/>
      <c r="D700" s="1461"/>
      <c r="E700" s="1461"/>
      <c r="F700" s="1461"/>
      <c r="G700" s="1291"/>
      <c r="H700" s="296"/>
    </row>
    <row r="701" spans="1:8" ht="15.75" customHeight="1">
      <c r="A701" s="36"/>
      <c r="B701" s="1450"/>
      <c r="C701" s="1460"/>
      <c r="D701" s="1461"/>
      <c r="E701" s="1461"/>
      <c r="F701" s="1461"/>
      <c r="G701" s="1291"/>
      <c r="H701" s="296"/>
    </row>
    <row r="702" spans="1:8" ht="15.75" customHeight="1">
      <c r="A702" s="2904" t="s">
        <v>2174</v>
      </c>
      <c r="B702" s="2732"/>
      <c r="C702" s="38"/>
      <c r="D702" s="17"/>
      <c r="E702" s="17"/>
      <c r="F702" s="1426"/>
      <c r="G702" s="1426"/>
      <c r="H702" s="1427"/>
    </row>
    <row r="703" spans="1:8">
      <c r="A703" s="36"/>
      <c r="B703" s="2961" t="s">
        <v>2175</v>
      </c>
      <c r="C703" s="2732"/>
      <c r="D703" s="2732"/>
      <c r="E703" s="2732"/>
      <c r="F703" s="2732"/>
      <c r="G703" s="2732"/>
      <c r="H703" s="2732"/>
    </row>
    <row r="704" spans="1:8" ht="15.75">
      <c r="A704" s="36"/>
      <c r="B704" s="2830" t="s">
        <v>2176</v>
      </c>
      <c r="C704" s="2732"/>
      <c r="D704" s="2732"/>
      <c r="E704" s="2732"/>
      <c r="F704" s="2732"/>
      <c r="G704" s="2732"/>
      <c r="H704" s="2732"/>
    </row>
    <row r="705" spans="1:8" ht="18.75" customHeight="1">
      <c r="A705" s="36"/>
      <c r="B705" s="2959" t="s">
        <v>2130</v>
      </c>
      <c r="C705" s="2737"/>
      <c r="D705" s="2737"/>
      <c r="E705" s="2737"/>
      <c r="F705" s="2737"/>
      <c r="G705" s="2737"/>
      <c r="H705" s="2737"/>
    </row>
    <row r="706" spans="1:8" ht="31.5">
      <c r="A706" s="36" t="s">
        <v>258</v>
      </c>
      <c r="B706" s="22" t="s">
        <v>186</v>
      </c>
      <c r="C706" s="1462" t="s">
        <v>28</v>
      </c>
      <c r="D706" s="22" t="s">
        <v>242</v>
      </c>
      <c r="E706" s="22" t="s">
        <v>1859</v>
      </c>
      <c r="F706" s="22" t="s">
        <v>1860</v>
      </c>
      <c r="G706" s="22" t="s">
        <v>1929</v>
      </c>
      <c r="H706" s="22" t="s">
        <v>1962</v>
      </c>
    </row>
    <row r="707" spans="1:8" ht="15.75">
      <c r="A707" s="36"/>
      <c r="B707" s="22">
        <v>1</v>
      </c>
      <c r="C707" s="2962" t="s">
        <v>2131</v>
      </c>
      <c r="D707" s="2782"/>
      <c r="E707" s="2782"/>
      <c r="F707" s="2782"/>
      <c r="G707" s="171">
        <f>SUM(G708:G711)</f>
        <v>1700000</v>
      </c>
      <c r="H707" s="1463"/>
    </row>
    <row r="708" spans="1:8" ht="15.75">
      <c r="A708" s="36"/>
      <c r="B708" s="1464" t="s">
        <v>260</v>
      </c>
      <c r="C708" s="1465" t="s">
        <v>1869</v>
      </c>
      <c r="D708" s="1466" t="s">
        <v>1888</v>
      </c>
      <c r="E708" s="2353">
        <v>1</v>
      </c>
      <c r="F708" s="1467">
        <v>300000</v>
      </c>
      <c r="G708" s="1468">
        <f t="shared" ref="G708:G709" si="68">E708*F708</f>
        <v>300000</v>
      </c>
      <c r="H708" s="654" t="s">
        <v>1995</v>
      </c>
    </row>
    <row r="709" spans="1:8" ht="15.75">
      <c r="A709" s="36"/>
      <c r="B709" s="1466" t="s">
        <v>274</v>
      </c>
      <c r="C709" s="1465" t="s">
        <v>2132</v>
      </c>
      <c r="D709" s="1466" t="s">
        <v>1888</v>
      </c>
      <c r="E709" s="2353">
        <v>2</v>
      </c>
      <c r="F709" s="1467">
        <v>200000</v>
      </c>
      <c r="G709" s="1468">
        <f t="shared" si="68"/>
        <v>400000</v>
      </c>
      <c r="H709" s="654" t="s">
        <v>1995</v>
      </c>
    </row>
    <row r="710" spans="1:8" ht="15.75">
      <c r="A710" s="36"/>
      <c r="B710" s="1464" t="s">
        <v>279</v>
      </c>
      <c r="C710" s="1465" t="s">
        <v>2133</v>
      </c>
      <c r="D710" s="1466" t="s">
        <v>1888</v>
      </c>
      <c r="E710" s="2353">
        <v>2</v>
      </c>
      <c r="F710" s="1467">
        <v>300000</v>
      </c>
      <c r="G710" s="1468">
        <v>400000</v>
      </c>
      <c r="H710" s="654" t="s">
        <v>1995</v>
      </c>
    </row>
    <row r="711" spans="1:8" ht="15.75">
      <c r="A711" s="36"/>
      <c r="B711" s="1466" t="s">
        <v>282</v>
      </c>
      <c r="C711" s="1465" t="s">
        <v>2134</v>
      </c>
      <c r="D711" s="1466" t="s">
        <v>1888</v>
      </c>
      <c r="E711" s="2353">
        <v>4</v>
      </c>
      <c r="F711" s="1467">
        <v>150000</v>
      </c>
      <c r="G711" s="1468">
        <v>600000</v>
      </c>
      <c r="H711" s="654" t="s">
        <v>1995</v>
      </c>
    </row>
    <row r="712" spans="1:8" ht="15.75">
      <c r="A712" s="36"/>
      <c r="B712" s="22">
        <v>2</v>
      </c>
      <c r="C712" s="2962" t="s">
        <v>2135</v>
      </c>
      <c r="D712" s="2782"/>
      <c r="E712" s="2782"/>
      <c r="F712" s="2782"/>
      <c r="G712" s="1469">
        <f>SUM(G713:G715)</f>
        <v>1300000</v>
      </c>
      <c r="H712" s="1331"/>
    </row>
    <row r="713" spans="1:8" ht="15.75">
      <c r="A713" s="36"/>
      <c r="B713" s="1466" t="s">
        <v>726</v>
      </c>
      <c r="C713" s="1465" t="s">
        <v>1869</v>
      </c>
      <c r="D713" s="1466" t="s">
        <v>1888</v>
      </c>
      <c r="E713" s="2353">
        <v>1</v>
      </c>
      <c r="F713" s="1467">
        <v>300000</v>
      </c>
      <c r="G713" s="1467">
        <v>300000</v>
      </c>
      <c r="H713" s="654" t="s">
        <v>1995</v>
      </c>
    </row>
    <row r="714" spans="1:8" ht="15.75" customHeight="1">
      <c r="A714" s="36"/>
      <c r="B714" s="1466" t="s">
        <v>738</v>
      </c>
      <c r="C714" s="1465" t="s">
        <v>2132</v>
      </c>
      <c r="D714" s="1466" t="s">
        <v>1888</v>
      </c>
      <c r="E714" s="2353">
        <v>2</v>
      </c>
      <c r="F714" s="1467">
        <v>200000</v>
      </c>
      <c r="G714" s="1468">
        <v>400000</v>
      </c>
      <c r="H714" s="654" t="s">
        <v>1995</v>
      </c>
    </row>
    <row r="715" spans="1:8" ht="15.75" customHeight="1">
      <c r="A715" s="36"/>
      <c r="B715" s="1466" t="s">
        <v>2177</v>
      </c>
      <c r="C715" s="1465" t="s">
        <v>2134</v>
      </c>
      <c r="D715" s="1466" t="s">
        <v>1888</v>
      </c>
      <c r="E715" s="2353">
        <v>4</v>
      </c>
      <c r="F715" s="1467">
        <v>150000</v>
      </c>
      <c r="G715" s="1468">
        <v>600000</v>
      </c>
      <c r="H715" s="654" t="s">
        <v>1995</v>
      </c>
    </row>
    <row r="716" spans="1:8" ht="15.75" customHeight="1">
      <c r="A716" s="36"/>
      <c r="B716" s="22">
        <v>3</v>
      </c>
      <c r="C716" s="2962" t="s">
        <v>2136</v>
      </c>
      <c r="D716" s="2782"/>
      <c r="E716" s="2782"/>
      <c r="F716" s="2782"/>
      <c r="G716" s="1469">
        <f>SUM(G717:G720)</f>
        <v>1400000</v>
      </c>
      <c r="H716" s="1331"/>
    </row>
    <row r="717" spans="1:8" ht="15.75" customHeight="1">
      <c r="A717" s="36"/>
      <c r="B717" s="1466" t="s">
        <v>2178</v>
      </c>
      <c r="C717" s="1465" t="s">
        <v>2179</v>
      </c>
      <c r="D717" s="1466" t="s">
        <v>2139</v>
      </c>
      <c r="E717" s="1466">
        <v>1</v>
      </c>
      <c r="F717" s="1467">
        <v>500000</v>
      </c>
      <c r="G717" s="1467">
        <v>500000</v>
      </c>
      <c r="H717" s="654" t="s">
        <v>1995</v>
      </c>
    </row>
    <row r="718" spans="1:8" ht="15.75" customHeight="1">
      <c r="A718" s="36"/>
      <c r="B718" s="1466" t="s">
        <v>2180</v>
      </c>
      <c r="C718" s="1465" t="s">
        <v>2140</v>
      </c>
      <c r="D718" s="1466" t="s">
        <v>2139</v>
      </c>
      <c r="E718" s="1466">
        <v>1</v>
      </c>
      <c r="F718" s="1467">
        <v>400000</v>
      </c>
      <c r="G718" s="1467">
        <v>400000</v>
      </c>
      <c r="H718" s="654" t="s">
        <v>1995</v>
      </c>
    </row>
    <row r="719" spans="1:8" ht="15.75" customHeight="1">
      <c r="A719" s="36"/>
      <c r="B719" s="1466" t="s">
        <v>2181</v>
      </c>
      <c r="C719" s="1465" t="s">
        <v>2141</v>
      </c>
      <c r="D719" s="1466" t="s">
        <v>2139</v>
      </c>
      <c r="E719" s="1466">
        <v>1</v>
      </c>
      <c r="F719" s="1467">
        <v>300000</v>
      </c>
      <c r="G719" s="1467">
        <v>300000</v>
      </c>
      <c r="H719" s="654" t="s">
        <v>1995</v>
      </c>
    </row>
    <row r="720" spans="1:8" ht="15.75" customHeight="1">
      <c r="A720" s="36"/>
      <c r="B720" s="1466">
        <v>3.4</v>
      </c>
      <c r="C720" s="1465" t="s">
        <v>2182</v>
      </c>
      <c r="D720" s="1466" t="s">
        <v>2139</v>
      </c>
      <c r="E720" s="1466">
        <v>1</v>
      </c>
      <c r="F720" s="1467">
        <v>200000</v>
      </c>
      <c r="G720" s="1467">
        <v>200000</v>
      </c>
      <c r="H720" s="654" t="s">
        <v>1995</v>
      </c>
    </row>
    <row r="721" spans="1:8" ht="15.75" customHeight="1">
      <c r="A721" s="36"/>
      <c r="B721" s="22">
        <v>4</v>
      </c>
      <c r="C721" s="1470" t="s">
        <v>2151</v>
      </c>
      <c r="D721" s="654"/>
      <c r="E721" s="1471"/>
      <c r="F721" s="172"/>
      <c r="G721" s="1469">
        <v>1600000</v>
      </c>
      <c r="H721" s="654"/>
    </row>
    <row r="722" spans="1:8" ht="15.75" customHeight="1">
      <c r="A722" s="36"/>
      <c r="B722" s="1401">
        <v>4.0999999999999996</v>
      </c>
      <c r="C722" s="1472" t="s">
        <v>2183</v>
      </c>
      <c r="D722" s="656" t="s">
        <v>2152</v>
      </c>
      <c r="E722" s="2354">
        <v>2</v>
      </c>
      <c r="F722" s="2355">
        <v>500000</v>
      </c>
      <c r="G722" s="1473">
        <v>1000000</v>
      </c>
      <c r="H722" s="654" t="s">
        <v>1995</v>
      </c>
    </row>
    <row r="723" spans="1:8" ht="15.75" customHeight="1">
      <c r="A723" s="36"/>
      <c r="B723" s="1401">
        <v>4.0999999999999996</v>
      </c>
      <c r="C723" s="1472" t="s">
        <v>2184</v>
      </c>
      <c r="D723" s="656" t="s">
        <v>2152</v>
      </c>
      <c r="E723" s="2354">
        <v>2</v>
      </c>
      <c r="F723" s="2355">
        <v>500000</v>
      </c>
      <c r="G723" s="1473">
        <v>1000000</v>
      </c>
      <c r="H723" s="654" t="s">
        <v>1995</v>
      </c>
    </row>
    <row r="724" spans="1:8" ht="15.75" customHeight="1">
      <c r="A724" s="36"/>
      <c r="B724" s="22">
        <v>5</v>
      </c>
      <c r="C724" s="1331" t="s">
        <v>2153</v>
      </c>
      <c r="D724" s="656" t="s">
        <v>2139</v>
      </c>
      <c r="E724" s="2354">
        <v>4</v>
      </c>
      <c r="F724" s="2355">
        <v>1000000</v>
      </c>
      <c r="G724" s="1469">
        <v>4000000</v>
      </c>
      <c r="H724" s="654" t="s">
        <v>1995</v>
      </c>
    </row>
    <row r="725" spans="1:8" ht="15.75" customHeight="1">
      <c r="A725" s="36"/>
      <c r="B725" s="1401">
        <v>6</v>
      </c>
      <c r="C725" s="1470" t="s">
        <v>2154</v>
      </c>
      <c r="D725" s="656"/>
      <c r="E725" s="2354"/>
      <c r="F725" s="2355"/>
      <c r="G725" s="1469">
        <v>6150000</v>
      </c>
      <c r="H725" s="654"/>
    </row>
    <row r="726" spans="1:8" ht="15.75" customHeight="1">
      <c r="A726" s="36"/>
      <c r="B726" s="1401">
        <v>6.1</v>
      </c>
      <c r="C726" s="1474" t="s">
        <v>2155</v>
      </c>
      <c r="D726" s="656" t="s">
        <v>1888</v>
      </c>
      <c r="E726" s="2354">
        <v>10</v>
      </c>
      <c r="F726" s="2355">
        <v>200000</v>
      </c>
      <c r="G726" s="1473">
        <v>2000000</v>
      </c>
      <c r="H726" s="654" t="s">
        <v>1995</v>
      </c>
    </row>
    <row r="727" spans="1:8" ht="15.75" customHeight="1">
      <c r="A727" s="36"/>
      <c r="B727" s="1401">
        <v>6.2</v>
      </c>
      <c r="C727" s="1475" t="s">
        <v>2156</v>
      </c>
      <c r="D727" s="656" t="s">
        <v>1879</v>
      </c>
      <c r="E727" s="2354">
        <v>30</v>
      </c>
      <c r="F727" s="2355">
        <v>20</v>
      </c>
      <c r="G727" s="1473">
        <v>600000</v>
      </c>
      <c r="H727" s="654" t="s">
        <v>2157</v>
      </c>
    </row>
    <row r="728" spans="1:8" ht="15.75" customHeight="1">
      <c r="A728" s="36"/>
      <c r="B728" s="2356">
        <v>6.3</v>
      </c>
      <c r="C728" s="1476" t="s">
        <v>2158</v>
      </c>
      <c r="D728" s="2245" t="s">
        <v>2185</v>
      </c>
      <c r="E728" s="2354">
        <v>7</v>
      </c>
      <c r="F728" s="2355">
        <v>50000</v>
      </c>
      <c r="G728" s="2357">
        <v>350000</v>
      </c>
      <c r="H728" s="654" t="s">
        <v>2157</v>
      </c>
    </row>
    <row r="729" spans="1:8" ht="15.75" customHeight="1">
      <c r="A729" s="36"/>
      <c r="B729" s="1401">
        <v>6.4</v>
      </c>
      <c r="C729" s="1476" t="s">
        <v>2160</v>
      </c>
      <c r="D729" s="2245" t="s">
        <v>1879</v>
      </c>
      <c r="E729" s="2354">
        <v>1</v>
      </c>
      <c r="F729" s="2355">
        <v>500000</v>
      </c>
      <c r="G729" s="2355">
        <v>500000</v>
      </c>
      <c r="H729" s="654" t="s">
        <v>2157</v>
      </c>
    </row>
    <row r="730" spans="1:8" ht="15.75" customHeight="1">
      <c r="A730" s="36"/>
      <c r="B730" s="2356">
        <v>6.5</v>
      </c>
      <c r="C730" s="1475" t="s">
        <v>2161</v>
      </c>
      <c r="D730" s="656" t="s">
        <v>1888</v>
      </c>
      <c r="E730" s="2354">
        <v>4</v>
      </c>
      <c r="F730" s="2355">
        <v>100000</v>
      </c>
      <c r="G730" s="1477">
        <v>400000</v>
      </c>
      <c r="H730" s="654" t="s">
        <v>1995</v>
      </c>
    </row>
    <row r="731" spans="1:8" ht="15.75" customHeight="1">
      <c r="A731" s="36"/>
      <c r="B731" s="2356">
        <v>6.6</v>
      </c>
      <c r="C731" s="1476" t="s">
        <v>2162</v>
      </c>
      <c r="D731" s="2245" t="s">
        <v>2163</v>
      </c>
      <c r="E731" s="2354">
        <v>2</v>
      </c>
      <c r="F731" s="2355">
        <v>150000</v>
      </c>
      <c r="G731" s="1473">
        <v>300000</v>
      </c>
      <c r="H731" s="654" t="s">
        <v>2157</v>
      </c>
    </row>
    <row r="732" spans="1:8" ht="15.75" customHeight="1">
      <c r="A732" s="36"/>
      <c r="B732" s="2356">
        <v>6.7</v>
      </c>
      <c r="C732" s="1476" t="s">
        <v>2164</v>
      </c>
      <c r="D732" s="2245" t="s">
        <v>2186</v>
      </c>
      <c r="E732" s="2356">
        <v>1</v>
      </c>
      <c r="F732" s="2355"/>
      <c r="G732" s="1473">
        <v>500000</v>
      </c>
      <c r="H732" s="654" t="s">
        <v>2157</v>
      </c>
    </row>
    <row r="733" spans="1:8" ht="15.75" customHeight="1">
      <c r="A733" s="36"/>
      <c r="B733" s="2354">
        <v>6.8</v>
      </c>
      <c r="C733" s="1476" t="s">
        <v>2166</v>
      </c>
      <c r="D733" s="2245" t="s">
        <v>1879</v>
      </c>
      <c r="E733" s="2354">
        <v>30</v>
      </c>
      <c r="F733" s="2355">
        <v>30000</v>
      </c>
      <c r="G733" s="1473">
        <v>900000</v>
      </c>
      <c r="H733" s="654" t="s">
        <v>2157</v>
      </c>
    </row>
    <row r="734" spans="1:8" ht="15.75" customHeight="1">
      <c r="A734" s="36"/>
      <c r="B734" s="656">
        <v>6.9</v>
      </c>
      <c r="C734" s="28" t="s">
        <v>2167</v>
      </c>
      <c r="D734" s="2245" t="s">
        <v>1879</v>
      </c>
      <c r="E734" s="2354">
        <v>4</v>
      </c>
      <c r="F734" s="2355">
        <v>150000</v>
      </c>
      <c r="G734" s="1473">
        <v>600000</v>
      </c>
      <c r="H734" s="654" t="s">
        <v>2157</v>
      </c>
    </row>
    <row r="735" spans="1:8" ht="15.75" customHeight="1">
      <c r="A735" s="36"/>
      <c r="B735" s="2354"/>
      <c r="C735" s="1331" t="s">
        <v>1577</v>
      </c>
      <c r="D735" s="2358"/>
      <c r="E735" s="2359"/>
      <c r="F735" s="2359"/>
      <c r="G735" s="1469">
        <f>G707+G712+G716+G721+G724+G725</f>
        <v>16150000</v>
      </c>
      <c r="H735" s="654"/>
    </row>
    <row r="737" spans="1:10" ht="18.75" customHeight="1">
      <c r="A737" s="2904" t="s">
        <v>2187</v>
      </c>
      <c r="B737" s="2732"/>
      <c r="C737" s="13"/>
      <c r="D737" s="13"/>
      <c r="E737" s="13"/>
      <c r="F737" s="13"/>
      <c r="G737" s="13"/>
      <c r="H737" s="13"/>
      <c r="I737" s="13"/>
      <c r="J737" s="13"/>
    </row>
    <row r="738" spans="1:10" ht="45" customHeight="1">
      <c r="A738" s="36"/>
      <c r="B738" s="2792" t="s">
        <v>2188</v>
      </c>
      <c r="C738" s="2732"/>
      <c r="D738" s="2732"/>
      <c r="E738" s="2732"/>
      <c r="F738" s="2732"/>
      <c r="G738" s="2732"/>
      <c r="H738" s="2732"/>
      <c r="I738" s="2732"/>
      <c r="J738" s="677"/>
    </row>
    <row r="739" spans="1:10" ht="15.75" customHeight="1">
      <c r="B739" s="1478" t="s">
        <v>186</v>
      </c>
      <c r="C739" s="2360" t="s">
        <v>28</v>
      </c>
      <c r="D739" s="2360" t="s">
        <v>242</v>
      </c>
      <c r="E739" s="2360" t="s">
        <v>1859</v>
      </c>
      <c r="F739" s="2360" t="s">
        <v>1860</v>
      </c>
      <c r="G739" s="2360" t="s">
        <v>2189</v>
      </c>
      <c r="H739" s="2360" t="s">
        <v>2190</v>
      </c>
      <c r="I739" s="2360" t="s">
        <v>2191</v>
      </c>
      <c r="J739" s="2360" t="s">
        <v>32</v>
      </c>
    </row>
    <row r="740" spans="1:10" ht="15.75" customHeight="1">
      <c r="B740" s="2361" t="s">
        <v>258</v>
      </c>
      <c r="C740" s="1479" t="s">
        <v>2192</v>
      </c>
      <c r="D740" s="1480"/>
      <c r="E740" s="1480"/>
      <c r="F740" s="1480"/>
      <c r="G740" s="1480"/>
      <c r="H740" s="1481">
        <f>SUM(H741:H742)</f>
        <v>1800000</v>
      </c>
      <c r="I740" s="1480"/>
      <c r="J740" s="1480"/>
    </row>
    <row r="741" spans="1:10">
      <c r="B741" s="2362">
        <v>44927</v>
      </c>
      <c r="C741" s="1482" t="s">
        <v>2193</v>
      </c>
      <c r="D741" s="1483" t="s">
        <v>2194</v>
      </c>
      <c r="E741" s="1484">
        <v>4</v>
      </c>
      <c r="F741" s="1485">
        <v>200000</v>
      </c>
      <c r="G741" s="1484"/>
      <c r="H741" s="1486">
        <v>800000</v>
      </c>
      <c r="I741" s="1487" t="s">
        <v>2195</v>
      </c>
      <c r="J741" s="1483"/>
    </row>
    <row r="742" spans="1:10" ht="57.75">
      <c r="B742" s="2362">
        <v>44958</v>
      </c>
      <c r="C742" s="1482" t="s">
        <v>2196</v>
      </c>
      <c r="D742" s="1484"/>
      <c r="E742" s="1484"/>
      <c r="F742" s="1484"/>
      <c r="G742" s="1484"/>
      <c r="H742" s="1485">
        <v>1000000</v>
      </c>
      <c r="I742" s="1488" t="s">
        <v>2197</v>
      </c>
      <c r="J742" s="1483"/>
    </row>
    <row r="743" spans="1:10" ht="15.75" customHeight="1">
      <c r="B743" s="1478" t="s">
        <v>284</v>
      </c>
      <c r="C743" s="2363" t="s">
        <v>2198</v>
      </c>
      <c r="D743" s="2360"/>
      <c r="E743" s="2360"/>
      <c r="F743" s="2364"/>
      <c r="G743" s="2364"/>
      <c r="H743" s="2365">
        <f>SUM(H744:H750)</f>
        <v>10200000</v>
      </c>
      <c r="I743" s="2366"/>
      <c r="J743" s="2364"/>
    </row>
    <row r="744" spans="1:10">
      <c r="B744" s="2367">
        <v>1</v>
      </c>
      <c r="C744" s="1489" t="s">
        <v>2199</v>
      </c>
      <c r="D744" s="1483" t="s">
        <v>2200</v>
      </c>
      <c r="E744" s="1483">
        <v>4</v>
      </c>
      <c r="F744" s="1486">
        <v>500000</v>
      </c>
      <c r="G744" s="1483"/>
      <c r="H744" s="1486">
        <v>2000000</v>
      </c>
      <c r="I744" s="1490" t="s">
        <v>2201</v>
      </c>
      <c r="J744" s="1487"/>
    </row>
    <row r="745" spans="1:10" ht="15.75" customHeight="1">
      <c r="B745" s="2367">
        <v>2</v>
      </c>
      <c r="C745" s="1487" t="s">
        <v>2202</v>
      </c>
      <c r="D745" s="1483" t="s">
        <v>2203</v>
      </c>
      <c r="E745" s="1483">
        <v>300</v>
      </c>
      <c r="F745" s="1486">
        <v>10000</v>
      </c>
      <c r="G745" s="1483"/>
      <c r="H745" s="1486">
        <v>3000000</v>
      </c>
      <c r="I745" s="2956" t="s">
        <v>2201</v>
      </c>
      <c r="J745" s="2956" t="s">
        <v>2204</v>
      </c>
    </row>
    <row r="746" spans="1:10">
      <c r="B746" s="2367">
        <v>3</v>
      </c>
      <c r="C746" s="1489" t="s">
        <v>2205</v>
      </c>
      <c r="D746" s="1483" t="s">
        <v>1888</v>
      </c>
      <c r="E746" s="1483">
        <v>16</v>
      </c>
      <c r="F746" s="1486">
        <v>150000</v>
      </c>
      <c r="G746" s="1483"/>
      <c r="H746" s="1486">
        <v>2400000</v>
      </c>
      <c r="I746" s="2779"/>
      <c r="J746" s="2779"/>
    </row>
    <row r="747" spans="1:10">
      <c r="B747" s="2367">
        <v>4</v>
      </c>
      <c r="C747" s="1489" t="s">
        <v>2206</v>
      </c>
      <c r="D747" s="1483"/>
      <c r="E747" s="1483"/>
      <c r="F747" s="1483"/>
      <c r="G747" s="1483"/>
      <c r="H747" s="1483"/>
      <c r="I747" s="2956" t="s">
        <v>2201</v>
      </c>
      <c r="J747" s="2957" t="s">
        <v>2207</v>
      </c>
    </row>
    <row r="748" spans="1:10" ht="15.75" customHeight="1">
      <c r="B748" s="2367" t="s">
        <v>1447</v>
      </c>
      <c r="C748" s="1487" t="s">
        <v>2208</v>
      </c>
      <c r="D748" s="1483" t="s">
        <v>2209</v>
      </c>
      <c r="E748" s="1483">
        <v>2</v>
      </c>
      <c r="F748" s="1486">
        <v>400000</v>
      </c>
      <c r="G748" s="1483"/>
      <c r="H748" s="1486">
        <v>800000</v>
      </c>
      <c r="I748" s="2834"/>
      <c r="J748" s="2834"/>
    </row>
    <row r="749" spans="1:10" ht="15.75" customHeight="1">
      <c r="B749" s="2367" t="s">
        <v>1447</v>
      </c>
      <c r="C749" s="1487" t="s">
        <v>2210</v>
      </c>
      <c r="D749" s="1483" t="s">
        <v>2209</v>
      </c>
      <c r="E749" s="1483">
        <v>4</v>
      </c>
      <c r="F749" s="1486">
        <v>300000</v>
      </c>
      <c r="G749" s="1483"/>
      <c r="H749" s="1486">
        <v>1200000</v>
      </c>
      <c r="I749" s="2834"/>
      <c r="J749" s="2834"/>
    </row>
    <row r="750" spans="1:10" ht="15.75" customHeight="1">
      <c r="B750" s="2367" t="s">
        <v>1447</v>
      </c>
      <c r="C750" s="1487" t="s">
        <v>2211</v>
      </c>
      <c r="D750" s="1483" t="s">
        <v>2209</v>
      </c>
      <c r="E750" s="1483">
        <v>4</v>
      </c>
      <c r="F750" s="1486">
        <v>200000</v>
      </c>
      <c r="G750" s="1483"/>
      <c r="H750" s="1486">
        <v>800000</v>
      </c>
      <c r="I750" s="2779"/>
      <c r="J750" s="2779"/>
    </row>
    <row r="751" spans="1:10" ht="15.75" customHeight="1">
      <c r="B751" s="1478" t="s">
        <v>345</v>
      </c>
      <c r="C751" s="2363" t="s">
        <v>2212</v>
      </c>
      <c r="D751" s="2364"/>
      <c r="E751" s="2364"/>
      <c r="F751" s="2364"/>
      <c r="G751" s="2364"/>
      <c r="H751" s="2365">
        <f>H752+H756</f>
        <v>11800000</v>
      </c>
      <c r="I751" s="2366"/>
      <c r="J751" s="2368"/>
    </row>
    <row r="752" spans="1:10" ht="29.25">
      <c r="B752" s="2369">
        <v>1</v>
      </c>
      <c r="C752" s="1489" t="s">
        <v>2213</v>
      </c>
      <c r="D752" s="1483"/>
      <c r="E752" s="1483"/>
      <c r="F752" s="1483"/>
      <c r="G752" s="1483"/>
      <c r="H752" s="1485">
        <f>SUM(H753:H755)</f>
        <v>10800000</v>
      </c>
      <c r="I752" s="1491" t="s">
        <v>2214</v>
      </c>
      <c r="J752" s="1492" t="s">
        <v>2215</v>
      </c>
    </row>
    <row r="753" spans="1:10" ht="15.75" customHeight="1">
      <c r="B753" s="2370">
        <v>44927</v>
      </c>
      <c r="C753" s="1493" t="s">
        <v>2216</v>
      </c>
      <c r="D753" s="1494" t="s">
        <v>1972</v>
      </c>
      <c r="E753" s="1494">
        <v>20</v>
      </c>
      <c r="F753" s="1495">
        <v>90000</v>
      </c>
      <c r="G753" s="1494">
        <v>2</v>
      </c>
      <c r="H753" s="1495">
        <v>3600000</v>
      </c>
      <c r="I753" s="1490"/>
      <c r="J753" s="1487"/>
    </row>
    <row r="754" spans="1:10" ht="15.75" customHeight="1">
      <c r="B754" s="2370">
        <v>44958</v>
      </c>
      <c r="C754" s="1493" t="s">
        <v>2217</v>
      </c>
      <c r="D754" s="1494" t="s">
        <v>1972</v>
      </c>
      <c r="E754" s="1494">
        <v>20</v>
      </c>
      <c r="F754" s="1495">
        <v>90000</v>
      </c>
      <c r="G754" s="1494">
        <v>2</v>
      </c>
      <c r="H754" s="1495">
        <v>3600000</v>
      </c>
      <c r="I754" s="1490"/>
      <c r="J754" s="1487"/>
    </row>
    <row r="755" spans="1:10" ht="15.75" customHeight="1">
      <c r="B755" s="2370">
        <v>44986</v>
      </c>
      <c r="C755" s="1493" t="s">
        <v>2218</v>
      </c>
      <c r="D755" s="1494" t="s">
        <v>1972</v>
      </c>
      <c r="E755" s="1494">
        <v>20</v>
      </c>
      <c r="F755" s="1495">
        <v>90000</v>
      </c>
      <c r="G755" s="1494">
        <v>2</v>
      </c>
      <c r="H755" s="1495">
        <v>3600000</v>
      </c>
      <c r="I755" s="1490"/>
      <c r="J755" s="1487"/>
    </row>
    <row r="756" spans="1:10" ht="29.25">
      <c r="B756" s="2369">
        <v>2</v>
      </c>
      <c r="C756" s="1489" t="s">
        <v>2219</v>
      </c>
      <c r="D756" s="1483"/>
      <c r="E756" s="1483"/>
      <c r="F756" s="1483"/>
      <c r="G756" s="1483"/>
      <c r="H756" s="1485">
        <v>1000000</v>
      </c>
      <c r="I756" s="1491" t="s">
        <v>2220</v>
      </c>
      <c r="J756" s="1492" t="s">
        <v>2221</v>
      </c>
    </row>
    <row r="757" spans="1:10" ht="15.75" customHeight="1">
      <c r="B757" s="2361" t="s">
        <v>411</v>
      </c>
      <c r="C757" s="1479" t="s">
        <v>2222</v>
      </c>
      <c r="D757" s="1483"/>
      <c r="E757" s="1483"/>
      <c r="F757" s="1483"/>
      <c r="G757" s="1483"/>
      <c r="H757" s="1481">
        <f>SUM(H758:H763)</f>
        <v>45050000</v>
      </c>
      <c r="I757" s="1490"/>
      <c r="J757" s="1487"/>
    </row>
    <row r="758" spans="1:10" ht="15.75" customHeight="1">
      <c r="B758" s="2367">
        <v>1</v>
      </c>
      <c r="C758" s="1487" t="s">
        <v>2223</v>
      </c>
      <c r="D758" s="1483" t="s">
        <v>1879</v>
      </c>
      <c r="E758" s="1483">
        <v>10</v>
      </c>
      <c r="F758" s="1486">
        <v>300000</v>
      </c>
      <c r="G758" s="1483"/>
      <c r="H758" s="1486">
        <v>3000000</v>
      </c>
      <c r="I758" s="1490" t="s">
        <v>2220</v>
      </c>
      <c r="J758" s="1487"/>
    </row>
    <row r="759" spans="1:10" ht="15.75" customHeight="1">
      <c r="B759" s="2367">
        <v>2</v>
      </c>
      <c r="C759" s="1487" t="s">
        <v>2224</v>
      </c>
      <c r="D759" s="1483" t="s">
        <v>2225</v>
      </c>
      <c r="E759" s="1483">
        <v>20</v>
      </c>
      <c r="F759" s="1486">
        <v>450000</v>
      </c>
      <c r="G759" s="1483"/>
      <c r="H759" s="1486">
        <v>9000000</v>
      </c>
      <c r="I759" s="1490" t="s">
        <v>2226</v>
      </c>
      <c r="J759" s="1487" t="s">
        <v>2221</v>
      </c>
    </row>
    <row r="760" spans="1:10" ht="15.75" customHeight="1">
      <c r="B760" s="2367">
        <v>3</v>
      </c>
      <c r="C760" s="1487" t="s">
        <v>2227</v>
      </c>
      <c r="D760" s="1483" t="s">
        <v>2194</v>
      </c>
      <c r="E760" s="1483">
        <v>10</v>
      </c>
      <c r="F760" s="1486">
        <v>200000</v>
      </c>
      <c r="G760" s="1483"/>
      <c r="H760" s="1486">
        <v>2000000</v>
      </c>
      <c r="I760" s="1490" t="s">
        <v>2228</v>
      </c>
      <c r="J760" s="1487"/>
    </row>
    <row r="761" spans="1:10" ht="15.75" customHeight="1">
      <c r="B761" s="2367">
        <v>4</v>
      </c>
      <c r="C761" s="1487" t="s">
        <v>2229</v>
      </c>
      <c r="D761" s="1483" t="s">
        <v>2230</v>
      </c>
      <c r="E761" s="1483">
        <v>70</v>
      </c>
      <c r="F761" s="1486">
        <v>150000</v>
      </c>
      <c r="G761" s="1483"/>
      <c r="H761" s="1486">
        <v>10500000</v>
      </c>
      <c r="I761" s="1490" t="s">
        <v>2228</v>
      </c>
      <c r="J761" s="1487"/>
    </row>
    <row r="762" spans="1:10" ht="15.75" customHeight="1">
      <c r="B762" s="2367">
        <v>5</v>
      </c>
      <c r="C762" s="1487" t="s">
        <v>2231</v>
      </c>
      <c r="D762" s="1483" t="s">
        <v>2232</v>
      </c>
      <c r="E762" s="1483">
        <v>35</v>
      </c>
      <c r="F762" s="1486">
        <v>450000</v>
      </c>
      <c r="G762" s="1483"/>
      <c r="H762" s="1486">
        <v>15750000</v>
      </c>
      <c r="I762" s="1490" t="s">
        <v>2220</v>
      </c>
      <c r="J762" s="1487" t="s">
        <v>2221</v>
      </c>
    </row>
    <row r="763" spans="1:10" ht="43.5">
      <c r="B763" s="2371">
        <v>6</v>
      </c>
      <c r="C763" s="1489" t="s">
        <v>2233</v>
      </c>
      <c r="D763" s="1484" t="s">
        <v>1888</v>
      </c>
      <c r="E763" s="1484">
        <v>8</v>
      </c>
      <c r="F763" s="1485">
        <v>600000</v>
      </c>
      <c r="G763" s="1483"/>
      <c r="H763" s="1485">
        <v>4800000</v>
      </c>
      <c r="I763" s="1488" t="s">
        <v>2234</v>
      </c>
      <c r="J763" s="1487"/>
    </row>
    <row r="764" spans="1:10" ht="15.75" customHeight="1">
      <c r="B764" s="2367"/>
      <c r="C764" s="1479" t="s">
        <v>2235</v>
      </c>
      <c r="D764" s="1480"/>
      <c r="E764" s="1480"/>
      <c r="F764" s="1483"/>
      <c r="G764" s="1483"/>
      <c r="H764" s="1481">
        <f>H740+H743+H751+H757</f>
        <v>68850000</v>
      </c>
      <c r="I764" s="1483"/>
      <c r="J764" s="1487"/>
    </row>
    <row r="765" spans="1:10" ht="15.75" customHeight="1">
      <c r="A765" s="1116"/>
      <c r="B765" s="1116"/>
      <c r="C765" s="13"/>
      <c r="D765" s="13"/>
      <c r="E765" s="13"/>
      <c r="F765" s="13"/>
      <c r="G765" s="13"/>
      <c r="H765" s="13"/>
      <c r="I765" s="13"/>
      <c r="J765" s="13"/>
    </row>
    <row r="766" spans="1:10" ht="15.75" customHeight="1">
      <c r="A766" s="1116"/>
      <c r="B766" s="1116"/>
      <c r="C766" s="13"/>
      <c r="D766" s="13"/>
      <c r="E766" s="13"/>
      <c r="F766" s="13"/>
      <c r="G766" s="13"/>
      <c r="H766" s="13"/>
      <c r="I766" s="13"/>
      <c r="J766" s="13"/>
    </row>
    <row r="767" spans="1:10" ht="15.75" customHeight="1">
      <c r="A767" s="1116"/>
      <c r="B767" s="1116"/>
      <c r="C767" s="13"/>
      <c r="D767" s="13"/>
      <c r="E767" s="13"/>
      <c r="F767" s="13"/>
      <c r="G767" s="13"/>
      <c r="H767" s="13"/>
      <c r="I767" s="13"/>
      <c r="J767" s="13"/>
    </row>
    <row r="768" spans="1:10" ht="15.75" customHeight="1">
      <c r="A768" s="2904" t="s">
        <v>2236</v>
      </c>
      <c r="B768" s="2732"/>
      <c r="C768" s="13"/>
      <c r="D768" s="13"/>
      <c r="E768" s="13"/>
      <c r="F768" s="13"/>
      <c r="G768" s="13"/>
      <c r="H768" s="13"/>
      <c r="I768" s="13"/>
      <c r="J768" s="13"/>
    </row>
    <row r="769" spans="1:9" ht="35.25" customHeight="1">
      <c r="A769" s="13"/>
      <c r="B769" s="2905" t="s">
        <v>2237</v>
      </c>
      <c r="C769" s="2732"/>
      <c r="D769" s="2732"/>
      <c r="E769" s="2732"/>
      <c r="F769" s="2732"/>
      <c r="G769" s="2732"/>
      <c r="H769" s="2732"/>
      <c r="I769" s="2732"/>
    </row>
    <row r="770" spans="1:9" ht="15.75" customHeight="1">
      <c r="A770" s="36"/>
      <c r="B770" s="1496" t="s">
        <v>186</v>
      </c>
      <c r="C770" s="2372" t="s">
        <v>28</v>
      </c>
      <c r="D770" s="2372" t="s">
        <v>242</v>
      </c>
      <c r="E770" s="2372" t="s">
        <v>1859</v>
      </c>
      <c r="F770" s="2372" t="s">
        <v>1860</v>
      </c>
      <c r="G770" s="2372" t="s">
        <v>1929</v>
      </c>
      <c r="H770" s="2372" t="s">
        <v>2191</v>
      </c>
      <c r="I770" s="2372" t="s">
        <v>32</v>
      </c>
    </row>
    <row r="771" spans="1:9">
      <c r="A771" s="36"/>
      <c r="B771" s="1497">
        <v>1</v>
      </c>
      <c r="C771" s="2373" t="s">
        <v>2238</v>
      </c>
      <c r="D771" s="2374"/>
      <c r="E771" s="2374">
        <v>12</v>
      </c>
      <c r="F771" s="2375">
        <v>100000</v>
      </c>
      <c r="G771" s="1498">
        <f t="shared" ref="G771:G772" si="69">E771*F771</f>
        <v>1200000</v>
      </c>
      <c r="H771" s="1299" t="s">
        <v>2220</v>
      </c>
      <c r="I771" s="1499" t="s">
        <v>2239</v>
      </c>
    </row>
    <row r="772" spans="1:9">
      <c r="A772" s="36"/>
      <c r="B772" s="2209">
        <v>2</v>
      </c>
      <c r="C772" s="1500" t="s">
        <v>2240</v>
      </c>
      <c r="D772" s="1306"/>
      <c r="E772" s="1306">
        <v>12</v>
      </c>
      <c r="F772" s="1310">
        <v>150000</v>
      </c>
      <c r="G772" s="1498">
        <f t="shared" si="69"/>
        <v>1800000</v>
      </c>
      <c r="H772" s="1299" t="s">
        <v>2220</v>
      </c>
      <c r="I772" s="1299" t="s">
        <v>2239</v>
      </c>
    </row>
    <row r="773" spans="1:9" ht="15.75" customHeight="1">
      <c r="A773" s="36"/>
      <c r="B773" s="2209"/>
      <c r="C773" s="1295" t="s">
        <v>2241</v>
      </c>
      <c r="D773" s="1501"/>
      <c r="E773" s="1501"/>
      <c r="F773" s="1306"/>
      <c r="G773" s="1502">
        <f>SUM(G771:G772)</f>
        <v>3000000</v>
      </c>
      <c r="H773" s="1306"/>
      <c r="I773" s="1499"/>
    </row>
    <row r="774" spans="1:9" ht="15.75" customHeight="1">
      <c r="A774" s="36"/>
      <c r="B774" s="39"/>
      <c r="C774" s="37"/>
      <c r="D774" s="37"/>
      <c r="E774" s="37"/>
      <c r="F774" s="39"/>
      <c r="G774" s="36"/>
      <c r="H774" s="13"/>
      <c r="I774" s="13"/>
    </row>
    <row r="775" spans="1:9" ht="15.75" customHeight="1">
      <c r="A775" s="36"/>
      <c r="B775" s="13"/>
      <c r="C775" s="13"/>
      <c r="D775" s="13"/>
      <c r="E775" s="13"/>
      <c r="F775" s="13"/>
      <c r="G775" s="13"/>
      <c r="H775" s="13"/>
      <c r="I775" s="13"/>
    </row>
    <row r="776" spans="1:9" ht="15.75" customHeight="1">
      <c r="A776" s="2904" t="s">
        <v>2242</v>
      </c>
      <c r="B776" s="2732"/>
      <c r="C776" s="13"/>
      <c r="D776" s="13"/>
      <c r="E776" s="13"/>
      <c r="F776" s="13"/>
      <c r="G776" s="13"/>
      <c r="H776" s="13"/>
      <c r="I776" s="13"/>
    </row>
    <row r="777" spans="1:9" ht="38.25" customHeight="1">
      <c r="A777" s="13"/>
      <c r="B777" s="2773" t="s">
        <v>2243</v>
      </c>
      <c r="C777" s="2732"/>
      <c r="D777" s="2732"/>
      <c r="E777" s="2732"/>
      <c r="F777" s="2732"/>
      <c r="G777" s="2732"/>
      <c r="H777" s="2732"/>
      <c r="I777" s="2732"/>
    </row>
    <row r="778" spans="1:9" ht="15.75" customHeight="1">
      <c r="A778" s="36"/>
      <c r="B778" s="1496" t="s">
        <v>186</v>
      </c>
      <c r="C778" s="2372" t="s">
        <v>28</v>
      </c>
      <c r="D778" s="2372" t="s">
        <v>242</v>
      </c>
      <c r="E778" s="2372" t="s">
        <v>1859</v>
      </c>
      <c r="F778" s="2372" t="s">
        <v>1860</v>
      </c>
      <c r="G778" s="2372" t="s">
        <v>1929</v>
      </c>
      <c r="H778" s="2372" t="s">
        <v>2191</v>
      </c>
      <c r="I778" s="2372" t="s">
        <v>32</v>
      </c>
    </row>
    <row r="779" spans="1:9" ht="45">
      <c r="A779" s="36"/>
      <c r="B779" s="2376">
        <v>1</v>
      </c>
      <c r="C779" s="1503" t="s">
        <v>2244</v>
      </c>
      <c r="D779" s="1504" t="s">
        <v>2245</v>
      </c>
      <c r="E779" s="1504">
        <v>2</v>
      </c>
      <c r="F779" s="1498">
        <v>1500000</v>
      </c>
      <c r="G779" s="1498">
        <f t="shared" ref="G779:G781" si="70">E779*F779</f>
        <v>3000000</v>
      </c>
      <c r="H779" s="1505" t="s">
        <v>2220</v>
      </c>
      <c r="I779" s="1504"/>
    </row>
    <row r="780" spans="1:9">
      <c r="A780" s="36"/>
      <c r="B780" s="2376">
        <v>2</v>
      </c>
      <c r="C780" s="1503" t="s">
        <v>2246</v>
      </c>
      <c r="D780" s="1504" t="s">
        <v>2245</v>
      </c>
      <c r="E780" s="1504">
        <v>2</v>
      </c>
      <c r="F780" s="1498">
        <v>2000000</v>
      </c>
      <c r="G780" s="1498">
        <f t="shared" si="70"/>
        <v>4000000</v>
      </c>
      <c r="H780" s="1505" t="s">
        <v>2220</v>
      </c>
      <c r="I780" s="1504"/>
    </row>
    <row r="781" spans="1:9">
      <c r="A781" s="36"/>
      <c r="B781" s="2376">
        <v>3</v>
      </c>
      <c r="C781" s="1503" t="s">
        <v>2247</v>
      </c>
      <c r="D781" s="1506" t="s">
        <v>2245</v>
      </c>
      <c r="E781" s="1504">
        <v>2</v>
      </c>
      <c r="F781" s="1498">
        <v>1500000</v>
      </c>
      <c r="G781" s="1498">
        <f t="shared" si="70"/>
        <v>3000000</v>
      </c>
      <c r="H781" s="1505" t="s">
        <v>2201</v>
      </c>
      <c r="I781" s="1504"/>
    </row>
    <row r="782" spans="1:9" ht="15.75" customHeight="1">
      <c r="A782" s="36"/>
      <c r="B782" s="2209"/>
      <c r="C782" s="1295" t="s">
        <v>1847</v>
      </c>
      <c r="D782" s="1295"/>
      <c r="E782" s="1295"/>
      <c r="F782" s="1295"/>
      <c r="G782" s="1502">
        <f>SUM(G779:G781)</f>
        <v>10000000</v>
      </c>
      <c r="H782" s="1306"/>
      <c r="I782" s="1499"/>
    </row>
    <row r="787" spans="1:10" ht="15.75" customHeight="1">
      <c r="A787" s="36" t="s">
        <v>2248</v>
      </c>
      <c r="B787" s="2958" t="s">
        <v>2249</v>
      </c>
      <c r="C787" s="2732"/>
      <c r="D787" s="2732"/>
      <c r="E787" s="17"/>
      <c r="F787" s="19"/>
      <c r="G787" s="19"/>
      <c r="H787" s="19"/>
      <c r="I787" s="19"/>
      <c r="J787" s="95"/>
    </row>
    <row r="788" spans="1:10" ht="15.75" customHeight="1">
      <c r="A788" s="13"/>
      <c r="B788" s="2938" t="s">
        <v>2250</v>
      </c>
      <c r="C788" s="2732"/>
      <c r="D788" s="2732"/>
      <c r="E788" s="2732"/>
      <c r="F788" s="2732"/>
      <c r="G788" s="2732"/>
      <c r="H788" s="2732"/>
      <c r="I788" s="2732"/>
      <c r="J788" s="2732"/>
    </row>
    <row r="789" spans="1:10" ht="15.75" customHeight="1">
      <c r="A789" s="36"/>
      <c r="B789" s="1396"/>
      <c r="C789" s="1396"/>
      <c r="D789" s="1396"/>
      <c r="E789" s="1396"/>
      <c r="F789" s="1396"/>
      <c r="G789" s="1396"/>
      <c r="H789" s="1396"/>
      <c r="I789" s="1396"/>
      <c r="J789" s="95"/>
    </row>
    <row r="790" spans="1:10" ht="15.75" customHeight="1">
      <c r="A790" s="36"/>
      <c r="B790" s="153" t="s">
        <v>186</v>
      </c>
      <c r="C790" s="153" t="s">
        <v>28</v>
      </c>
      <c r="D790" s="153" t="s">
        <v>242</v>
      </c>
      <c r="E790" s="153" t="s">
        <v>1859</v>
      </c>
      <c r="F790" s="153" t="s">
        <v>2251</v>
      </c>
      <c r="G790" s="153" t="s">
        <v>2252</v>
      </c>
      <c r="H790" s="153" t="s">
        <v>1929</v>
      </c>
      <c r="I790" s="153" t="s">
        <v>2253</v>
      </c>
      <c r="J790" s="153" t="s">
        <v>32</v>
      </c>
    </row>
    <row r="791" spans="1:10" ht="25.5">
      <c r="A791" s="36"/>
      <c r="B791" s="252" t="s">
        <v>258</v>
      </c>
      <c r="C791" s="1106" t="s">
        <v>2254</v>
      </c>
      <c r="D791" s="252"/>
      <c r="E791" s="252"/>
      <c r="F791" s="163"/>
      <c r="G791" s="163"/>
      <c r="H791" s="153">
        <f>SUM(H792:H798)</f>
        <v>3900000</v>
      </c>
      <c r="I791" s="157"/>
      <c r="J791" s="261"/>
    </row>
    <row r="792" spans="1:10" ht="15.75" customHeight="1">
      <c r="A792" s="36"/>
      <c r="B792" s="252">
        <v>1</v>
      </c>
      <c r="C792" s="1106" t="s">
        <v>2255</v>
      </c>
      <c r="D792" s="163" t="s">
        <v>2200</v>
      </c>
      <c r="E792" s="163">
        <v>2</v>
      </c>
      <c r="F792" s="260">
        <v>500000</v>
      </c>
      <c r="G792" s="260"/>
      <c r="H792" s="151">
        <f t="shared" ref="H792:H794" si="71">E792*F792</f>
        <v>1000000</v>
      </c>
      <c r="I792" s="157" t="s">
        <v>2201</v>
      </c>
      <c r="J792" s="2199" t="s">
        <v>2204</v>
      </c>
    </row>
    <row r="793" spans="1:10" ht="15.75" customHeight="1">
      <c r="A793" s="36"/>
      <c r="B793" s="252">
        <v>2</v>
      </c>
      <c r="C793" s="1106" t="s">
        <v>2202</v>
      </c>
      <c r="D793" s="163" t="s">
        <v>2203</v>
      </c>
      <c r="E793" s="163">
        <v>60</v>
      </c>
      <c r="F793" s="260">
        <v>15000</v>
      </c>
      <c r="G793" s="260"/>
      <c r="H793" s="151">
        <f t="shared" si="71"/>
        <v>900000</v>
      </c>
      <c r="I793" s="2952" t="s">
        <v>2201</v>
      </c>
      <c r="J793" s="2377"/>
    </row>
    <row r="794" spans="1:10" ht="15.75" customHeight="1">
      <c r="A794" s="36"/>
      <c r="B794" s="252">
        <v>3</v>
      </c>
      <c r="C794" s="1106" t="s">
        <v>2256</v>
      </c>
      <c r="D794" s="163" t="s">
        <v>2194</v>
      </c>
      <c r="E794" s="163">
        <v>4</v>
      </c>
      <c r="F794" s="260">
        <v>150000</v>
      </c>
      <c r="G794" s="260"/>
      <c r="H794" s="151">
        <f t="shared" si="71"/>
        <v>600000</v>
      </c>
      <c r="I794" s="2779"/>
      <c r="J794" s="2378"/>
    </row>
    <row r="795" spans="1:10" ht="15.75" customHeight="1">
      <c r="A795" s="36"/>
      <c r="B795" s="252">
        <v>4</v>
      </c>
      <c r="C795" s="1106" t="s">
        <v>2136</v>
      </c>
      <c r="D795" s="163"/>
      <c r="E795" s="163"/>
      <c r="F795" s="260"/>
      <c r="G795" s="260"/>
      <c r="H795" s="153"/>
      <c r="I795" s="2952" t="s">
        <v>2201</v>
      </c>
      <c r="J795" s="2953" t="s">
        <v>2257</v>
      </c>
    </row>
    <row r="796" spans="1:10" ht="15.75" customHeight="1">
      <c r="A796" s="36"/>
      <c r="B796" s="163" t="s">
        <v>2258</v>
      </c>
      <c r="C796" s="164" t="s">
        <v>2259</v>
      </c>
      <c r="D796" s="163" t="s">
        <v>2209</v>
      </c>
      <c r="E796" s="163">
        <v>1</v>
      </c>
      <c r="F796" s="260">
        <v>400000</v>
      </c>
      <c r="G796" s="260"/>
      <c r="H796" s="151">
        <f t="shared" ref="H796:H798" si="72">E796*F796</f>
        <v>400000</v>
      </c>
      <c r="I796" s="2834"/>
      <c r="J796" s="2834"/>
    </row>
    <row r="797" spans="1:10" ht="15.75" customHeight="1">
      <c r="A797" s="36"/>
      <c r="B797" s="163" t="s">
        <v>2258</v>
      </c>
      <c r="C797" s="164" t="s">
        <v>2260</v>
      </c>
      <c r="D797" s="163" t="s">
        <v>2209</v>
      </c>
      <c r="E797" s="163">
        <v>2</v>
      </c>
      <c r="F797" s="260">
        <v>300000</v>
      </c>
      <c r="G797" s="260"/>
      <c r="H797" s="151">
        <f t="shared" si="72"/>
        <v>600000</v>
      </c>
      <c r="I797" s="2834"/>
      <c r="J797" s="2834"/>
    </row>
    <row r="798" spans="1:10" ht="15.75" customHeight="1">
      <c r="A798" s="36"/>
      <c r="B798" s="163" t="s">
        <v>2258</v>
      </c>
      <c r="C798" s="164" t="s">
        <v>2261</v>
      </c>
      <c r="D798" s="163" t="s">
        <v>2209</v>
      </c>
      <c r="E798" s="163">
        <v>2</v>
      </c>
      <c r="F798" s="260">
        <v>200000</v>
      </c>
      <c r="G798" s="163"/>
      <c r="H798" s="151">
        <f t="shared" si="72"/>
        <v>400000</v>
      </c>
      <c r="I798" s="2779"/>
      <c r="J798" s="2779"/>
    </row>
    <row r="799" spans="1:10" ht="25.5">
      <c r="A799" s="36"/>
      <c r="B799" s="252" t="s">
        <v>284</v>
      </c>
      <c r="C799" s="1106" t="s">
        <v>2262</v>
      </c>
      <c r="D799" s="252"/>
      <c r="E799" s="252"/>
      <c r="F799" s="151"/>
      <c r="G799" s="151"/>
      <c r="H799" s="153">
        <f>SUM(H801:H804)</f>
        <v>6000000</v>
      </c>
      <c r="I799" s="429"/>
      <c r="J799" s="164" t="s">
        <v>2263</v>
      </c>
    </row>
    <row r="800" spans="1:10" ht="15.75" customHeight="1">
      <c r="A800" s="36"/>
      <c r="B800" s="252">
        <v>1</v>
      </c>
      <c r="C800" s="164" t="s">
        <v>2264</v>
      </c>
      <c r="D800" s="252"/>
      <c r="E800" s="252"/>
      <c r="F800" s="151"/>
      <c r="G800" s="151"/>
      <c r="H800" s="153"/>
      <c r="I800" s="2954" t="s">
        <v>2265</v>
      </c>
      <c r="J800" s="2955" t="s">
        <v>2266</v>
      </c>
    </row>
    <row r="801" spans="2:10" ht="15.75" customHeight="1">
      <c r="B801" s="2149" t="s">
        <v>2258</v>
      </c>
      <c r="C801" s="2380" t="s">
        <v>2267</v>
      </c>
      <c r="D801" s="2149" t="s">
        <v>1972</v>
      </c>
      <c r="E801" s="2149">
        <v>10</v>
      </c>
      <c r="F801" s="2381">
        <v>90000</v>
      </c>
      <c r="G801" s="2381">
        <v>2</v>
      </c>
      <c r="H801" s="2381">
        <f t="shared" ref="H801:H803" si="73">E801*F801*G801</f>
        <v>1800000</v>
      </c>
      <c r="I801" s="2834"/>
      <c r="J801" s="2834"/>
    </row>
    <row r="802" spans="2:10" ht="15.75" customHeight="1">
      <c r="B802" s="163" t="s">
        <v>2258</v>
      </c>
      <c r="C802" s="164" t="s">
        <v>2268</v>
      </c>
      <c r="D802" s="163" t="s">
        <v>1972</v>
      </c>
      <c r="E802" s="163">
        <v>10</v>
      </c>
      <c r="F802" s="2381">
        <v>90000</v>
      </c>
      <c r="G802" s="151">
        <v>2</v>
      </c>
      <c r="H802" s="151">
        <f t="shared" si="73"/>
        <v>1800000</v>
      </c>
      <c r="I802" s="2834"/>
      <c r="J802" s="2834"/>
    </row>
    <row r="803" spans="2:10" ht="15.75" customHeight="1">
      <c r="B803" s="163" t="s">
        <v>2258</v>
      </c>
      <c r="C803" s="164" t="s">
        <v>2269</v>
      </c>
      <c r="D803" s="163" t="s">
        <v>1972</v>
      </c>
      <c r="E803" s="163">
        <v>10</v>
      </c>
      <c r="F803" s="2381">
        <v>90000</v>
      </c>
      <c r="G803" s="151">
        <v>2</v>
      </c>
      <c r="H803" s="151">
        <f t="shared" si="73"/>
        <v>1800000</v>
      </c>
      <c r="I803" s="2834"/>
      <c r="J803" s="2834"/>
    </row>
    <row r="804" spans="2:10" ht="15.75" customHeight="1">
      <c r="B804" s="252">
        <v>2</v>
      </c>
      <c r="C804" s="164" t="s">
        <v>2270</v>
      </c>
      <c r="D804" s="163"/>
      <c r="E804" s="163"/>
      <c r="F804" s="151"/>
      <c r="G804" s="151"/>
      <c r="H804" s="151">
        <v>600000</v>
      </c>
      <c r="I804" s="429" t="s">
        <v>2271</v>
      </c>
      <c r="J804" s="164" t="s">
        <v>2221</v>
      </c>
    </row>
    <row r="805" spans="2:10" ht="25.5">
      <c r="B805" s="252" t="s">
        <v>345</v>
      </c>
      <c r="C805" s="252" t="s">
        <v>2272</v>
      </c>
      <c r="D805" s="252"/>
      <c r="E805" s="252"/>
      <c r="F805" s="163"/>
      <c r="G805" s="163"/>
      <c r="H805" s="153">
        <f>SUM(H806:H811)</f>
        <v>79830000</v>
      </c>
      <c r="I805" s="157" t="s">
        <v>2273</v>
      </c>
      <c r="J805" s="1507"/>
    </row>
    <row r="806" spans="2:10" ht="25.5">
      <c r="B806" s="252">
        <v>1</v>
      </c>
      <c r="C806" s="164" t="s">
        <v>2274</v>
      </c>
      <c r="D806" s="163" t="s">
        <v>2275</v>
      </c>
      <c r="E806" s="163">
        <v>7</v>
      </c>
      <c r="F806" s="1208">
        <v>5000000</v>
      </c>
      <c r="G806" s="163"/>
      <c r="H806" s="151">
        <f t="shared" ref="H806:H811" si="74">E806*F806</f>
        <v>35000000</v>
      </c>
      <c r="I806" s="429" t="s">
        <v>2276</v>
      </c>
      <c r="J806" s="1507" t="s">
        <v>2221</v>
      </c>
    </row>
    <row r="807" spans="2:10" ht="15.75" customHeight="1">
      <c r="B807" s="252">
        <v>2</v>
      </c>
      <c r="C807" s="164" t="s">
        <v>2227</v>
      </c>
      <c r="D807" s="163" t="s">
        <v>2194</v>
      </c>
      <c r="E807" s="163">
        <v>7</v>
      </c>
      <c r="F807" s="1208">
        <v>600000</v>
      </c>
      <c r="G807" s="1208"/>
      <c r="H807" s="151">
        <f t="shared" si="74"/>
        <v>4200000</v>
      </c>
      <c r="I807" s="157" t="s">
        <v>2277</v>
      </c>
      <c r="J807" s="429" t="s">
        <v>2278</v>
      </c>
    </row>
    <row r="808" spans="2:10" ht="15.75" customHeight="1">
      <c r="B808" s="252">
        <v>3</v>
      </c>
      <c r="C808" s="164" t="s">
        <v>2279</v>
      </c>
      <c r="D808" s="163" t="s">
        <v>2280</v>
      </c>
      <c r="E808" s="163">
        <v>49</v>
      </c>
      <c r="F808" s="151">
        <v>150000</v>
      </c>
      <c r="G808" s="151"/>
      <c r="H808" s="151">
        <f t="shared" si="74"/>
        <v>7350000</v>
      </c>
      <c r="I808" s="157" t="s">
        <v>2277</v>
      </c>
      <c r="J808" s="429" t="s">
        <v>2278</v>
      </c>
    </row>
    <row r="809" spans="2:10" ht="15.75" customHeight="1">
      <c r="B809" s="252">
        <v>4</v>
      </c>
      <c r="C809" s="164" t="s">
        <v>2281</v>
      </c>
      <c r="D809" s="163" t="s">
        <v>1902</v>
      </c>
      <c r="E809" s="163">
        <v>24</v>
      </c>
      <c r="F809" s="151">
        <v>900000</v>
      </c>
      <c r="G809" s="151"/>
      <c r="H809" s="151">
        <f t="shared" si="74"/>
        <v>21600000</v>
      </c>
      <c r="I809" s="429" t="s">
        <v>2282</v>
      </c>
      <c r="J809" s="164"/>
    </row>
    <row r="810" spans="2:10" ht="15.75" customHeight="1">
      <c r="B810" s="252">
        <v>5</v>
      </c>
      <c r="C810" s="164" t="s">
        <v>2223</v>
      </c>
      <c r="D810" s="163" t="s">
        <v>1879</v>
      </c>
      <c r="E810" s="163">
        <v>7</v>
      </c>
      <c r="F810" s="151">
        <v>240000</v>
      </c>
      <c r="G810" s="151"/>
      <c r="H810" s="151">
        <f t="shared" si="74"/>
        <v>1680000</v>
      </c>
      <c r="I810" s="429" t="s">
        <v>2282</v>
      </c>
      <c r="J810" s="164"/>
    </row>
    <row r="811" spans="2:10" ht="29.25" customHeight="1">
      <c r="B811" s="252">
        <v>6</v>
      </c>
      <c r="C811" s="164" t="s">
        <v>2283</v>
      </c>
      <c r="D811" s="163" t="s">
        <v>2194</v>
      </c>
      <c r="E811" s="163">
        <v>5</v>
      </c>
      <c r="F811" s="1208">
        <v>2000000</v>
      </c>
      <c r="G811" s="1208"/>
      <c r="H811" s="151">
        <f t="shared" si="74"/>
        <v>10000000</v>
      </c>
      <c r="I811" s="429" t="s">
        <v>2284</v>
      </c>
      <c r="J811" s="1507"/>
    </row>
    <row r="812" spans="2:10" ht="15.75" customHeight="1">
      <c r="B812" s="163"/>
      <c r="C812" s="1106" t="s">
        <v>2285</v>
      </c>
      <c r="D812" s="252"/>
      <c r="E812" s="252"/>
      <c r="F812" s="163"/>
      <c r="G812" s="163"/>
      <c r="H812" s="153">
        <f>H791+H799+H805</f>
        <v>89730000</v>
      </c>
      <c r="I812" s="261"/>
      <c r="J812" s="1507"/>
    </row>
    <row r="813" spans="2:10" ht="15.75" customHeight="1">
      <c r="B813" s="13"/>
      <c r="C813" s="13"/>
      <c r="D813" s="13"/>
      <c r="E813" s="13"/>
      <c r="F813" s="13"/>
      <c r="G813" s="13"/>
      <c r="H813" s="13"/>
      <c r="I813" s="13"/>
      <c r="J813" s="13"/>
    </row>
    <row r="814" spans="2:10" ht="15.75" customHeight="1">
      <c r="B814" s="13"/>
      <c r="C814" s="13"/>
      <c r="D814" s="13"/>
      <c r="E814" s="13"/>
      <c r="F814" s="13"/>
      <c r="G814" s="2924" t="s">
        <v>448</v>
      </c>
      <c r="H814" s="2732"/>
      <c r="I814" s="2732"/>
      <c r="J814" s="2732"/>
    </row>
    <row r="815" spans="2:10" ht="15.75" customHeight="1">
      <c r="B815" s="13"/>
      <c r="C815" s="13"/>
      <c r="D815" s="13"/>
      <c r="E815" s="13"/>
      <c r="F815" s="13"/>
      <c r="G815" s="2774" t="s">
        <v>2286</v>
      </c>
      <c r="H815" s="2732"/>
      <c r="I815" s="2732"/>
      <c r="J815" s="2732"/>
    </row>
    <row r="816" spans="2:10" ht="15.75" customHeight="1">
      <c r="B816" s="13"/>
      <c r="C816" s="13" t="s">
        <v>2287</v>
      </c>
      <c r="D816" s="13"/>
      <c r="E816" s="13"/>
      <c r="F816" s="13"/>
      <c r="G816" s="13"/>
      <c r="H816" s="13"/>
      <c r="I816" s="13"/>
      <c r="J816" s="13"/>
    </row>
    <row r="818" spans="2:13" ht="15.75" customHeight="1">
      <c r="B818" s="1508" t="s">
        <v>186</v>
      </c>
      <c r="C818" s="1509" t="s">
        <v>1644</v>
      </c>
      <c r="D818" s="1509" t="s">
        <v>2288</v>
      </c>
      <c r="E818" s="1509" t="s">
        <v>1646</v>
      </c>
      <c r="F818" s="1509" t="s">
        <v>1647</v>
      </c>
      <c r="G818" s="1509" t="s">
        <v>1648</v>
      </c>
      <c r="H818" s="2944" t="s">
        <v>2289</v>
      </c>
      <c r="I818" s="2945"/>
      <c r="J818" s="2946"/>
      <c r="K818" s="1509" t="s">
        <v>1650</v>
      </c>
      <c r="L818" s="1509" t="s">
        <v>32</v>
      </c>
      <c r="M818" s="1509" t="s">
        <v>2290</v>
      </c>
    </row>
    <row r="819" spans="2:13" ht="15.75" customHeight="1">
      <c r="B819" s="1510"/>
      <c r="C819" s="1511"/>
      <c r="D819" s="1511"/>
      <c r="E819" s="1511"/>
      <c r="F819" s="1511"/>
      <c r="G819" s="1511"/>
      <c r="H819" s="1511" t="s">
        <v>1653</v>
      </c>
      <c r="I819" s="1511" t="s">
        <v>1654</v>
      </c>
      <c r="J819" s="1511" t="s">
        <v>1655</v>
      </c>
      <c r="K819" s="1511"/>
      <c r="L819" s="1511"/>
      <c r="M819" s="1512"/>
    </row>
    <row r="820" spans="2:13" ht="15.75" customHeight="1">
      <c r="B820" s="1513" t="s">
        <v>200</v>
      </c>
      <c r="C820" s="1514" t="s">
        <v>2291</v>
      </c>
      <c r="D820" s="1515"/>
      <c r="E820" s="1515"/>
      <c r="F820" s="1515"/>
      <c r="G820" s="1516" t="s">
        <v>1447</v>
      </c>
      <c r="H820" s="1515"/>
      <c r="I820" s="1515"/>
      <c r="J820" s="1516"/>
      <c r="K820" s="1516"/>
      <c r="L820" s="1515"/>
      <c r="M820" s="1512"/>
    </row>
    <row r="821" spans="2:13" ht="15.75" customHeight="1">
      <c r="B821" s="1517">
        <v>1</v>
      </c>
      <c r="C821" s="1518" t="s">
        <v>2292</v>
      </c>
      <c r="D821" s="1515" t="s">
        <v>2293</v>
      </c>
      <c r="E821" s="1515" t="s">
        <v>2294</v>
      </c>
      <c r="F821" s="1515" t="s">
        <v>1660</v>
      </c>
      <c r="G821" s="1515"/>
      <c r="H821" s="1516">
        <v>2</v>
      </c>
      <c r="I821" s="1516">
        <v>2</v>
      </c>
      <c r="J821" s="2382">
        <v>50000</v>
      </c>
      <c r="K821" s="1515"/>
      <c r="L821" s="1515"/>
      <c r="M821" s="1514" t="s">
        <v>254</v>
      </c>
    </row>
    <row r="822" spans="2:13" ht="15.75" customHeight="1">
      <c r="B822" s="1517">
        <v>2</v>
      </c>
      <c r="C822" s="1518" t="s">
        <v>2295</v>
      </c>
      <c r="D822" s="1515" t="s">
        <v>2293</v>
      </c>
      <c r="E822" s="1515" t="s">
        <v>2294</v>
      </c>
      <c r="F822" s="1515" t="s">
        <v>1660</v>
      </c>
      <c r="G822" s="1515"/>
      <c r="H822" s="1516">
        <v>2</v>
      </c>
      <c r="I822" s="1516">
        <v>2</v>
      </c>
      <c r="J822" s="2382">
        <v>50000</v>
      </c>
      <c r="K822" s="1515"/>
      <c r="L822" s="1515"/>
      <c r="M822" s="1514" t="s">
        <v>254</v>
      </c>
    </row>
    <row r="823" spans="2:13" ht="15.75" customHeight="1">
      <c r="B823" s="1517">
        <v>3</v>
      </c>
      <c r="C823" s="1518" t="s">
        <v>2296</v>
      </c>
      <c r="D823" s="1515" t="s">
        <v>2293</v>
      </c>
      <c r="E823" s="1515" t="s">
        <v>2294</v>
      </c>
      <c r="F823" s="1515" t="s">
        <v>1660</v>
      </c>
      <c r="G823" s="1515"/>
      <c r="H823" s="1516">
        <v>2</v>
      </c>
      <c r="I823" s="1516">
        <v>2</v>
      </c>
      <c r="J823" s="1519">
        <v>20000</v>
      </c>
      <c r="K823" s="1515"/>
      <c r="L823" s="1515"/>
      <c r="M823" s="1514" t="s">
        <v>254</v>
      </c>
    </row>
    <row r="824" spans="2:13" ht="15.75" customHeight="1">
      <c r="B824" s="1517">
        <v>4</v>
      </c>
      <c r="C824" s="1518" t="s">
        <v>2297</v>
      </c>
      <c r="D824" s="1515" t="s">
        <v>2293</v>
      </c>
      <c r="E824" s="1515" t="s">
        <v>2294</v>
      </c>
      <c r="F824" s="1515" t="s">
        <v>1660</v>
      </c>
      <c r="G824" s="1515"/>
      <c r="H824" s="1516">
        <v>2</v>
      </c>
      <c r="I824" s="1516">
        <v>2</v>
      </c>
      <c r="J824" s="2382">
        <v>40000</v>
      </c>
      <c r="K824" s="1515"/>
      <c r="L824" s="1515"/>
      <c r="M824" s="1514" t="s">
        <v>254</v>
      </c>
    </row>
    <row r="825" spans="2:13" ht="15.75" customHeight="1">
      <c r="B825" s="1517">
        <v>5</v>
      </c>
      <c r="C825" s="1518" t="s">
        <v>2298</v>
      </c>
      <c r="D825" s="1515" t="s">
        <v>2293</v>
      </c>
      <c r="E825" s="1515" t="s">
        <v>2294</v>
      </c>
      <c r="F825" s="1515" t="s">
        <v>1660</v>
      </c>
      <c r="G825" s="1515"/>
      <c r="H825" s="1516">
        <v>2</v>
      </c>
      <c r="I825" s="1516">
        <v>2</v>
      </c>
      <c r="J825" s="1519">
        <v>2000</v>
      </c>
      <c r="K825" s="1515"/>
      <c r="L825" s="1515"/>
      <c r="M825" s="1514" t="s">
        <v>254</v>
      </c>
    </row>
    <row r="826" spans="2:13" ht="15.75" customHeight="1">
      <c r="B826" s="1517">
        <v>6</v>
      </c>
      <c r="C826" s="1518" t="s">
        <v>2299</v>
      </c>
      <c r="D826" s="1515" t="s">
        <v>2293</v>
      </c>
      <c r="E826" s="1515" t="s">
        <v>2294</v>
      </c>
      <c r="F826" s="1515" t="s">
        <v>1660</v>
      </c>
      <c r="G826" s="1515"/>
      <c r="H826" s="1516">
        <v>2</v>
      </c>
      <c r="I826" s="1516">
        <v>2</v>
      </c>
      <c r="J826" s="1519">
        <v>20000</v>
      </c>
      <c r="K826" s="1515"/>
      <c r="L826" s="1515"/>
      <c r="M826" s="1514" t="s">
        <v>254</v>
      </c>
    </row>
    <row r="827" spans="2:13" ht="15.75" customHeight="1">
      <c r="B827" s="1517">
        <v>7</v>
      </c>
      <c r="C827" s="1518" t="s">
        <v>2300</v>
      </c>
      <c r="D827" s="1515" t="s">
        <v>2293</v>
      </c>
      <c r="E827" s="1515" t="s">
        <v>2294</v>
      </c>
      <c r="F827" s="1515" t="s">
        <v>1660</v>
      </c>
      <c r="G827" s="1515"/>
      <c r="H827" s="1516">
        <v>2</v>
      </c>
      <c r="I827" s="1516">
        <v>2</v>
      </c>
      <c r="J827" s="1519">
        <v>8000</v>
      </c>
      <c r="K827" s="1515"/>
      <c r="L827" s="1515"/>
      <c r="M827" s="1514" t="s">
        <v>254</v>
      </c>
    </row>
    <row r="828" spans="2:13" ht="15.75" customHeight="1">
      <c r="B828" s="1517">
        <v>8</v>
      </c>
      <c r="C828" s="1518" t="s">
        <v>2301</v>
      </c>
      <c r="D828" s="1515" t="s">
        <v>2293</v>
      </c>
      <c r="E828" s="1515" t="s">
        <v>2294</v>
      </c>
      <c r="F828" s="1515" t="s">
        <v>1660</v>
      </c>
      <c r="G828" s="1515"/>
      <c r="H828" s="1516">
        <v>2</v>
      </c>
      <c r="I828" s="1516">
        <v>2</v>
      </c>
      <c r="J828" s="1519">
        <v>15000</v>
      </c>
      <c r="K828" s="1515"/>
      <c r="L828" s="1515"/>
      <c r="M828" s="1514" t="s">
        <v>254</v>
      </c>
    </row>
    <row r="829" spans="2:13" ht="15.75" customHeight="1">
      <c r="B829" s="1517">
        <v>9</v>
      </c>
      <c r="C829" s="1518" t="s">
        <v>2302</v>
      </c>
      <c r="D829" s="1515" t="s">
        <v>2293</v>
      </c>
      <c r="E829" s="1515" t="s">
        <v>2294</v>
      </c>
      <c r="F829" s="1515" t="s">
        <v>1660</v>
      </c>
      <c r="G829" s="1515"/>
      <c r="H829" s="1516">
        <v>2</v>
      </c>
      <c r="I829" s="1516">
        <v>2</v>
      </c>
      <c r="J829" s="1519">
        <v>40000</v>
      </c>
      <c r="K829" s="1515"/>
      <c r="L829" s="1515"/>
      <c r="M829" s="1514" t="s">
        <v>254</v>
      </c>
    </row>
    <row r="830" spans="2:13" ht="15.75" customHeight="1">
      <c r="B830" s="1517">
        <v>10</v>
      </c>
      <c r="C830" s="1518" t="s">
        <v>2303</v>
      </c>
      <c r="D830" s="1515" t="s">
        <v>2293</v>
      </c>
      <c r="E830" s="1515" t="s">
        <v>2294</v>
      </c>
      <c r="F830" s="1515" t="s">
        <v>1660</v>
      </c>
      <c r="G830" s="1515"/>
      <c r="H830" s="1516">
        <v>2</v>
      </c>
      <c r="I830" s="1516">
        <v>2</v>
      </c>
      <c r="J830" s="1519">
        <v>20000</v>
      </c>
      <c r="K830" s="1515"/>
      <c r="L830" s="1515"/>
      <c r="M830" s="1514" t="s">
        <v>254</v>
      </c>
    </row>
    <row r="831" spans="2:13" ht="15.75" customHeight="1">
      <c r="B831" s="1517">
        <v>11</v>
      </c>
      <c r="C831" s="1518" t="s">
        <v>2304</v>
      </c>
      <c r="D831" s="1515" t="s">
        <v>2293</v>
      </c>
      <c r="E831" s="1515" t="s">
        <v>2294</v>
      </c>
      <c r="F831" s="1515" t="s">
        <v>1660</v>
      </c>
      <c r="G831" s="1515"/>
      <c r="H831" s="1516">
        <v>2</v>
      </c>
      <c r="I831" s="1516">
        <v>2</v>
      </c>
      <c r="J831" s="1519">
        <v>10000</v>
      </c>
      <c r="K831" s="1515"/>
      <c r="L831" s="1515"/>
      <c r="M831" s="1514" t="s">
        <v>254</v>
      </c>
    </row>
    <row r="832" spans="2:13" ht="15.75" customHeight="1">
      <c r="B832" s="1517">
        <v>12</v>
      </c>
      <c r="C832" s="1518" t="s">
        <v>2305</v>
      </c>
      <c r="D832" s="1515" t="s">
        <v>2293</v>
      </c>
      <c r="E832" s="1515" t="s">
        <v>2294</v>
      </c>
      <c r="F832" s="1515" t="s">
        <v>1660</v>
      </c>
      <c r="G832" s="1515"/>
      <c r="H832" s="1516">
        <v>2</v>
      </c>
      <c r="I832" s="1516">
        <v>2</v>
      </c>
      <c r="J832" s="1519">
        <v>50000</v>
      </c>
      <c r="K832" s="1515"/>
      <c r="L832" s="1515"/>
      <c r="M832" s="1514" t="s">
        <v>254</v>
      </c>
    </row>
    <row r="833" spans="2:13" ht="15.75" customHeight="1">
      <c r="B833" s="1517">
        <v>13</v>
      </c>
      <c r="C833" s="1518" t="s">
        <v>2306</v>
      </c>
      <c r="D833" s="1515" t="s">
        <v>2293</v>
      </c>
      <c r="E833" s="1515" t="s">
        <v>2294</v>
      </c>
      <c r="F833" s="1515" t="s">
        <v>1660</v>
      </c>
      <c r="G833" s="1515"/>
      <c r="H833" s="1516">
        <v>2</v>
      </c>
      <c r="I833" s="1516">
        <v>2</v>
      </c>
      <c r="J833" s="1519">
        <v>20000</v>
      </c>
      <c r="K833" s="1515"/>
      <c r="L833" s="1515"/>
      <c r="M833" s="1514" t="s">
        <v>254</v>
      </c>
    </row>
    <row r="834" spans="2:13" ht="15.75" customHeight="1">
      <c r="B834" s="1517">
        <v>14</v>
      </c>
      <c r="C834" s="1518" t="s">
        <v>2307</v>
      </c>
      <c r="D834" s="1515" t="s">
        <v>2293</v>
      </c>
      <c r="E834" s="1515" t="s">
        <v>2294</v>
      </c>
      <c r="F834" s="1515" t="s">
        <v>1660</v>
      </c>
      <c r="G834" s="1515"/>
      <c r="H834" s="1516">
        <v>2</v>
      </c>
      <c r="I834" s="1516">
        <v>2</v>
      </c>
      <c r="J834" s="1519">
        <v>500</v>
      </c>
      <c r="K834" s="1515"/>
      <c r="L834" s="1515"/>
      <c r="M834" s="1514" t="s">
        <v>254</v>
      </c>
    </row>
    <row r="835" spans="2:13" ht="15.75" customHeight="1">
      <c r="B835" s="1517">
        <v>15</v>
      </c>
      <c r="C835" s="1518" t="s">
        <v>2308</v>
      </c>
      <c r="D835" s="1515" t="s">
        <v>2293</v>
      </c>
      <c r="E835" s="1515" t="s">
        <v>2294</v>
      </c>
      <c r="F835" s="1515" t="s">
        <v>1660</v>
      </c>
      <c r="G835" s="1515"/>
      <c r="H835" s="1516">
        <v>2</v>
      </c>
      <c r="I835" s="1516">
        <v>2</v>
      </c>
      <c r="J835" s="1519">
        <v>1000</v>
      </c>
      <c r="K835" s="1515"/>
      <c r="L835" s="1515"/>
      <c r="M835" s="1514" t="s">
        <v>254</v>
      </c>
    </row>
    <row r="836" spans="2:13" ht="15.75" customHeight="1">
      <c r="B836" s="1517">
        <v>16</v>
      </c>
      <c r="C836" s="1518" t="s">
        <v>2309</v>
      </c>
      <c r="D836" s="1515" t="s">
        <v>2293</v>
      </c>
      <c r="E836" s="1515" t="s">
        <v>2294</v>
      </c>
      <c r="F836" s="1515" t="s">
        <v>1660</v>
      </c>
      <c r="G836" s="1515"/>
      <c r="H836" s="1516">
        <v>2</v>
      </c>
      <c r="I836" s="1516">
        <v>2</v>
      </c>
      <c r="J836" s="1519">
        <v>500</v>
      </c>
      <c r="K836" s="1515"/>
      <c r="L836" s="1515"/>
      <c r="M836" s="1514" t="s">
        <v>254</v>
      </c>
    </row>
    <row r="837" spans="2:13" ht="15.75" customHeight="1">
      <c r="B837" s="1517">
        <v>17</v>
      </c>
      <c r="C837" s="1518" t="s">
        <v>2310</v>
      </c>
      <c r="D837" s="1515" t="s">
        <v>2293</v>
      </c>
      <c r="E837" s="1515" t="s">
        <v>2294</v>
      </c>
      <c r="F837" s="1515" t="s">
        <v>1660</v>
      </c>
      <c r="G837" s="1515"/>
      <c r="H837" s="1516">
        <v>2</v>
      </c>
      <c r="I837" s="1516">
        <v>2</v>
      </c>
      <c r="J837" s="1519">
        <v>100</v>
      </c>
      <c r="K837" s="1515"/>
      <c r="L837" s="1515"/>
      <c r="M837" s="1514" t="s">
        <v>254</v>
      </c>
    </row>
    <row r="838" spans="2:13" ht="15.75" customHeight="1">
      <c r="B838" s="1517">
        <v>18</v>
      </c>
      <c r="C838" s="1520" t="s">
        <v>2311</v>
      </c>
      <c r="D838" s="1515" t="s">
        <v>2293</v>
      </c>
      <c r="E838" s="1515" t="s">
        <v>2294</v>
      </c>
      <c r="F838" s="1515" t="s">
        <v>1660</v>
      </c>
      <c r="G838" s="1515"/>
      <c r="H838" s="1516">
        <v>2</v>
      </c>
      <c r="I838" s="1516">
        <v>2</v>
      </c>
      <c r="J838" s="1519">
        <v>100</v>
      </c>
      <c r="K838" s="1515"/>
      <c r="L838" s="1515"/>
      <c r="M838" s="1514" t="s">
        <v>254</v>
      </c>
    </row>
    <row r="839" spans="2:13" ht="15.75" customHeight="1">
      <c r="B839" s="1521" t="s">
        <v>2312</v>
      </c>
      <c r="C839" s="1522"/>
      <c r="D839" s="1523"/>
      <c r="E839" s="1523"/>
      <c r="F839" s="1523"/>
      <c r="G839" s="1523"/>
      <c r="H839" s="1523"/>
      <c r="I839" s="1523"/>
      <c r="J839" s="1524">
        <f>SUM(J821:J838)</f>
        <v>347200</v>
      </c>
      <c r="K839" s="1523"/>
      <c r="L839" s="1523"/>
      <c r="M839" s="1525" t="s">
        <v>254</v>
      </c>
    </row>
    <row r="840" spans="2:13" ht="15.75" customHeight="1">
      <c r="B840" s="2947" t="s">
        <v>2313</v>
      </c>
      <c r="C840" s="2948"/>
      <c r="D840" s="2948"/>
      <c r="E840" s="2948"/>
      <c r="F840" s="2948"/>
      <c r="G840" s="2948"/>
      <c r="H840" s="2948"/>
      <c r="I840" s="2948"/>
      <c r="J840" s="2948"/>
      <c r="K840" s="2948"/>
      <c r="L840" s="2948"/>
      <c r="M840" s="2949"/>
    </row>
    <row r="841" spans="2:13" ht="15.75" customHeight="1">
      <c r="B841" s="1517">
        <v>1</v>
      </c>
      <c r="C841" s="2383" t="s">
        <v>2314</v>
      </c>
      <c r="D841" s="1515" t="s">
        <v>2293</v>
      </c>
      <c r="E841" s="1515" t="s">
        <v>2294</v>
      </c>
      <c r="F841" s="1515" t="s">
        <v>1660</v>
      </c>
      <c r="G841" s="1515"/>
      <c r="H841" s="1526">
        <v>2</v>
      </c>
      <c r="I841" s="1526">
        <v>2</v>
      </c>
      <c r="J841" s="1527">
        <v>2500</v>
      </c>
      <c r="K841" s="1515"/>
      <c r="L841" s="1515"/>
      <c r="M841" s="1514" t="s">
        <v>254</v>
      </c>
    </row>
    <row r="842" spans="2:13" ht="15.75" customHeight="1">
      <c r="B842" s="1517">
        <v>2</v>
      </c>
      <c r="C842" s="2383" t="s">
        <v>2315</v>
      </c>
      <c r="D842" s="1515" t="s">
        <v>2293</v>
      </c>
      <c r="E842" s="1515" t="s">
        <v>2294</v>
      </c>
      <c r="F842" s="1515" t="s">
        <v>1660</v>
      </c>
      <c r="G842" s="1515"/>
      <c r="H842" s="1526">
        <v>2</v>
      </c>
      <c r="I842" s="1526">
        <v>2</v>
      </c>
      <c r="J842" s="1527">
        <v>5000</v>
      </c>
      <c r="K842" s="1515"/>
      <c r="L842" s="1515"/>
      <c r="M842" s="1514" t="s">
        <v>254</v>
      </c>
    </row>
    <row r="843" spans="2:13" ht="15.75" customHeight="1">
      <c r="B843" s="1517">
        <v>3</v>
      </c>
      <c r="C843" s="2383" t="s">
        <v>2316</v>
      </c>
      <c r="D843" s="1515" t="s">
        <v>2293</v>
      </c>
      <c r="E843" s="1515" t="s">
        <v>2294</v>
      </c>
      <c r="F843" s="1515" t="s">
        <v>1660</v>
      </c>
      <c r="G843" s="1515"/>
      <c r="H843" s="1526">
        <v>2</v>
      </c>
      <c r="I843" s="1526">
        <v>2</v>
      </c>
      <c r="J843" s="1527">
        <v>5000</v>
      </c>
      <c r="K843" s="1515"/>
      <c r="L843" s="1515"/>
      <c r="M843" s="1514" t="s">
        <v>254</v>
      </c>
    </row>
    <row r="844" spans="2:13" ht="15.75" customHeight="1">
      <c r="B844" s="1517">
        <v>4</v>
      </c>
      <c r="C844" s="2383" t="s">
        <v>2317</v>
      </c>
      <c r="D844" s="1515" t="s">
        <v>2293</v>
      </c>
      <c r="E844" s="1515" t="s">
        <v>2294</v>
      </c>
      <c r="F844" s="1515" t="s">
        <v>1660</v>
      </c>
      <c r="G844" s="1515"/>
      <c r="H844" s="1526">
        <v>2</v>
      </c>
      <c r="I844" s="1526">
        <v>2</v>
      </c>
      <c r="J844" s="1527">
        <v>1000</v>
      </c>
      <c r="K844" s="1515"/>
      <c r="L844" s="1515"/>
      <c r="M844" s="1514" t="s">
        <v>254</v>
      </c>
    </row>
    <row r="845" spans="2:13" ht="15.75" customHeight="1">
      <c r="B845" s="1517">
        <v>5</v>
      </c>
      <c r="C845" s="2383" t="s">
        <v>2318</v>
      </c>
      <c r="D845" s="1515" t="s">
        <v>2293</v>
      </c>
      <c r="E845" s="1515" t="s">
        <v>2294</v>
      </c>
      <c r="F845" s="1515" t="s">
        <v>1660</v>
      </c>
      <c r="G845" s="1515"/>
      <c r="H845" s="1526">
        <v>2</v>
      </c>
      <c r="I845" s="949">
        <v>2</v>
      </c>
      <c r="J845" s="1527">
        <v>5000</v>
      </c>
      <c r="K845" s="1515"/>
      <c r="L845" s="1515"/>
      <c r="M845" s="1514" t="s">
        <v>254</v>
      </c>
    </row>
    <row r="846" spans="2:13" ht="15.75" customHeight="1">
      <c r="B846" s="1517">
        <v>6</v>
      </c>
      <c r="C846" s="2383" t="s">
        <v>2319</v>
      </c>
      <c r="D846" s="1515" t="s">
        <v>2293</v>
      </c>
      <c r="E846" s="1515" t="s">
        <v>2294</v>
      </c>
      <c r="F846" s="1515" t="s">
        <v>1660</v>
      </c>
      <c r="G846" s="1515"/>
      <c r="H846" s="1526">
        <v>2</v>
      </c>
      <c r="I846" s="1526">
        <v>2</v>
      </c>
      <c r="J846" s="1527">
        <v>1000</v>
      </c>
      <c r="K846" s="1515"/>
      <c r="L846" s="1515"/>
      <c r="M846" s="1514" t="s">
        <v>254</v>
      </c>
    </row>
    <row r="847" spans="2:13" ht="15.75" customHeight="1">
      <c r="B847" s="1517">
        <v>7</v>
      </c>
      <c r="C847" s="2383" t="s">
        <v>2320</v>
      </c>
      <c r="D847" s="1515" t="s">
        <v>2293</v>
      </c>
      <c r="E847" s="1515" t="s">
        <v>2294</v>
      </c>
      <c r="F847" s="1515" t="s">
        <v>1660</v>
      </c>
      <c r="G847" s="1515"/>
      <c r="H847" s="1526">
        <v>2</v>
      </c>
      <c r="I847" s="1526">
        <v>2</v>
      </c>
      <c r="J847" s="1527">
        <v>1200</v>
      </c>
      <c r="K847" s="1515"/>
      <c r="L847" s="1515"/>
      <c r="M847" s="1514" t="s">
        <v>254</v>
      </c>
    </row>
    <row r="848" spans="2:13" ht="15.75" customHeight="1">
      <c r="B848" s="1517">
        <v>8</v>
      </c>
      <c r="C848" s="1518" t="s">
        <v>2321</v>
      </c>
      <c r="D848" s="1515" t="s">
        <v>2293</v>
      </c>
      <c r="E848" s="1515" t="s">
        <v>2294</v>
      </c>
      <c r="F848" s="1515" t="s">
        <v>1660</v>
      </c>
      <c r="G848" s="1515"/>
      <c r="H848" s="1526">
        <v>2</v>
      </c>
      <c r="I848" s="1526">
        <v>2</v>
      </c>
      <c r="J848" s="1527">
        <v>600</v>
      </c>
      <c r="K848" s="1515"/>
      <c r="L848" s="1515"/>
      <c r="M848" s="1514" t="s">
        <v>254</v>
      </c>
    </row>
    <row r="849" spans="2:13" ht="15.75" customHeight="1">
      <c r="B849" s="1517">
        <v>9</v>
      </c>
      <c r="C849" s="1518" t="s">
        <v>2322</v>
      </c>
      <c r="D849" s="1515" t="s">
        <v>2293</v>
      </c>
      <c r="E849" s="1515" t="s">
        <v>2294</v>
      </c>
      <c r="F849" s="1515" t="s">
        <v>1660</v>
      </c>
      <c r="G849" s="1515"/>
      <c r="H849" s="1526">
        <v>2</v>
      </c>
      <c r="I849" s="1526">
        <v>2</v>
      </c>
      <c r="J849" s="1527">
        <v>4000</v>
      </c>
      <c r="K849" s="1515"/>
      <c r="L849" s="1515"/>
      <c r="M849" s="1514" t="s">
        <v>254</v>
      </c>
    </row>
    <row r="850" spans="2:13" ht="15.75" customHeight="1">
      <c r="B850" s="1517">
        <v>10</v>
      </c>
      <c r="C850" s="1518" t="s">
        <v>2323</v>
      </c>
      <c r="D850" s="1515" t="s">
        <v>2293</v>
      </c>
      <c r="E850" s="1515" t="s">
        <v>2294</v>
      </c>
      <c r="F850" s="1515" t="s">
        <v>1660</v>
      </c>
      <c r="G850" s="1515"/>
      <c r="H850" s="1526">
        <v>2</v>
      </c>
      <c r="I850" s="1526">
        <v>2</v>
      </c>
      <c r="J850" s="1527">
        <v>3000</v>
      </c>
      <c r="K850" s="1515"/>
      <c r="L850" s="1515"/>
      <c r="M850" s="1514" t="s">
        <v>254</v>
      </c>
    </row>
    <row r="851" spans="2:13" ht="15.75" customHeight="1">
      <c r="B851" s="1517">
        <v>11</v>
      </c>
      <c r="C851" s="2383" t="s">
        <v>2324</v>
      </c>
      <c r="D851" s="1515" t="s">
        <v>2293</v>
      </c>
      <c r="E851" s="1515" t="s">
        <v>2294</v>
      </c>
      <c r="F851" s="1515" t="s">
        <v>1660</v>
      </c>
      <c r="G851" s="1515"/>
      <c r="H851" s="1526">
        <v>2</v>
      </c>
      <c r="I851" s="1526">
        <v>2</v>
      </c>
      <c r="J851" s="1527">
        <v>14000</v>
      </c>
      <c r="K851" s="1515"/>
      <c r="L851" s="1515"/>
      <c r="M851" s="1514" t="s">
        <v>254</v>
      </c>
    </row>
    <row r="852" spans="2:13" ht="15.75" customHeight="1">
      <c r="B852" s="1517">
        <v>12</v>
      </c>
      <c r="C852" s="1518" t="s">
        <v>2325</v>
      </c>
      <c r="D852" s="1515" t="s">
        <v>2293</v>
      </c>
      <c r="E852" s="1515" t="s">
        <v>2294</v>
      </c>
      <c r="F852" s="1515" t="s">
        <v>1660</v>
      </c>
      <c r="G852" s="1515"/>
      <c r="H852" s="1526">
        <v>2</v>
      </c>
      <c r="I852" s="1526">
        <v>2</v>
      </c>
      <c r="J852" s="1527">
        <v>250</v>
      </c>
      <c r="K852" s="1515"/>
      <c r="L852" s="1515"/>
      <c r="M852" s="1514" t="s">
        <v>254</v>
      </c>
    </row>
    <row r="853" spans="2:13" ht="15.75" customHeight="1">
      <c r="B853" s="1517">
        <v>13</v>
      </c>
      <c r="C853" s="1518" t="s">
        <v>2326</v>
      </c>
      <c r="D853" s="1515" t="s">
        <v>2293</v>
      </c>
      <c r="E853" s="1515" t="s">
        <v>2294</v>
      </c>
      <c r="F853" s="1515" t="s">
        <v>1660</v>
      </c>
      <c r="G853" s="1515"/>
      <c r="H853" s="1526">
        <v>2</v>
      </c>
      <c r="I853" s="1526">
        <v>2</v>
      </c>
      <c r="J853" s="1527">
        <v>150</v>
      </c>
      <c r="K853" s="1515"/>
      <c r="L853" s="1515"/>
      <c r="M853" s="1514" t="s">
        <v>254</v>
      </c>
    </row>
    <row r="854" spans="2:13" ht="15.75" customHeight="1">
      <c r="B854" s="1517">
        <v>14</v>
      </c>
      <c r="C854" s="1518" t="s">
        <v>2327</v>
      </c>
      <c r="D854" s="1515" t="s">
        <v>2293</v>
      </c>
      <c r="E854" s="1515" t="s">
        <v>2294</v>
      </c>
      <c r="F854" s="1515" t="s">
        <v>1660</v>
      </c>
      <c r="G854" s="1515"/>
      <c r="H854" s="1526">
        <v>2</v>
      </c>
      <c r="I854" s="1526">
        <v>2</v>
      </c>
      <c r="J854" s="1527">
        <v>150</v>
      </c>
      <c r="K854" s="1515"/>
      <c r="L854" s="1515"/>
      <c r="M854" s="1514" t="s">
        <v>254</v>
      </c>
    </row>
    <row r="855" spans="2:13" ht="15.75" customHeight="1">
      <c r="B855" s="1517">
        <v>15</v>
      </c>
      <c r="C855" s="1518" t="s">
        <v>2328</v>
      </c>
      <c r="D855" s="1515" t="s">
        <v>2293</v>
      </c>
      <c r="E855" s="1515" t="s">
        <v>2294</v>
      </c>
      <c r="F855" s="1515" t="s">
        <v>1660</v>
      </c>
      <c r="G855" s="1515"/>
      <c r="H855" s="1526">
        <v>2</v>
      </c>
      <c r="I855" s="1526">
        <v>2</v>
      </c>
      <c r="J855" s="1527">
        <v>15000</v>
      </c>
      <c r="K855" s="1515"/>
      <c r="L855" s="1515"/>
      <c r="M855" s="1514" t="s">
        <v>254</v>
      </c>
    </row>
    <row r="856" spans="2:13" ht="15.75" customHeight="1">
      <c r="B856" s="1517">
        <v>16</v>
      </c>
      <c r="C856" s="1518" t="s">
        <v>2329</v>
      </c>
      <c r="D856" s="1515" t="s">
        <v>2293</v>
      </c>
      <c r="E856" s="1515" t="s">
        <v>2294</v>
      </c>
      <c r="F856" s="1515" t="s">
        <v>1660</v>
      </c>
      <c r="G856" s="1515"/>
      <c r="H856" s="1526">
        <v>2</v>
      </c>
      <c r="I856" s="1526">
        <v>2</v>
      </c>
      <c r="J856" s="1527">
        <v>500</v>
      </c>
      <c r="K856" s="1515"/>
      <c r="L856" s="1515"/>
      <c r="M856" s="1514" t="s">
        <v>254</v>
      </c>
    </row>
    <row r="857" spans="2:13" ht="15.75" customHeight="1">
      <c r="B857" s="1517">
        <v>17</v>
      </c>
      <c r="C857" s="2383" t="s">
        <v>2330</v>
      </c>
      <c r="D857" s="1515" t="s">
        <v>2293</v>
      </c>
      <c r="E857" s="1515" t="s">
        <v>2294</v>
      </c>
      <c r="F857" s="1515" t="s">
        <v>1660</v>
      </c>
      <c r="G857" s="1515"/>
      <c r="H857" s="1526">
        <v>2</v>
      </c>
      <c r="I857" s="1526">
        <v>2</v>
      </c>
      <c r="J857" s="1527">
        <v>50000</v>
      </c>
      <c r="K857" s="1515"/>
      <c r="L857" s="1515"/>
      <c r="M857" s="1514" t="s">
        <v>254</v>
      </c>
    </row>
    <row r="858" spans="2:13" ht="15.75" customHeight="1">
      <c r="B858" s="1517">
        <v>18</v>
      </c>
      <c r="C858" s="2383" t="s">
        <v>2331</v>
      </c>
      <c r="D858" s="1515" t="s">
        <v>2293</v>
      </c>
      <c r="E858" s="1515" t="s">
        <v>2294</v>
      </c>
      <c r="F858" s="1515" t="s">
        <v>1660</v>
      </c>
      <c r="G858" s="1515"/>
      <c r="H858" s="1526">
        <v>2</v>
      </c>
      <c r="I858" s="1526">
        <v>2</v>
      </c>
      <c r="J858" s="1527">
        <v>35000</v>
      </c>
      <c r="K858" s="1515"/>
      <c r="L858" s="1515"/>
      <c r="M858" s="1514" t="s">
        <v>254</v>
      </c>
    </row>
    <row r="859" spans="2:13" ht="15.75" customHeight="1">
      <c r="B859" s="1517">
        <v>19</v>
      </c>
      <c r="C859" s="1518" t="s">
        <v>2332</v>
      </c>
      <c r="D859" s="1515" t="s">
        <v>2293</v>
      </c>
      <c r="E859" s="1515" t="s">
        <v>2294</v>
      </c>
      <c r="F859" s="1515" t="s">
        <v>1660</v>
      </c>
      <c r="G859" s="1515"/>
      <c r="H859" s="1526">
        <v>2</v>
      </c>
      <c r="I859" s="1526">
        <v>2</v>
      </c>
      <c r="J859" s="1527">
        <v>15000</v>
      </c>
      <c r="K859" s="1515"/>
      <c r="L859" s="1515"/>
      <c r="M859" s="1514" t="s">
        <v>254</v>
      </c>
    </row>
    <row r="860" spans="2:13" ht="15.75" customHeight="1">
      <c r="B860" s="1517">
        <v>20</v>
      </c>
      <c r="C860" s="2383" t="s">
        <v>2333</v>
      </c>
      <c r="D860" s="1515" t="s">
        <v>2293</v>
      </c>
      <c r="E860" s="1515" t="s">
        <v>2294</v>
      </c>
      <c r="F860" s="1515" t="s">
        <v>1660</v>
      </c>
      <c r="G860" s="1515"/>
      <c r="H860" s="1526">
        <v>2</v>
      </c>
      <c r="I860" s="1526">
        <v>2</v>
      </c>
      <c r="J860" s="1527">
        <v>25000</v>
      </c>
      <c r="K860" s="1515"/>
      <c r="L860" s="1515"/>
      <c r="M860" s="1514" t="s">
        <v>254</v>
      </c>
    </row>
    <row r="861" spans="2:13" ht="15.75" customHeight="1">
      <c r="B861" s="1517">
        <v>21</v>
      </c>
      <c r="C861" s="2383" t="s">
        <v>2334</v>
      </c>
      <c r="D861" s="1515" t="s">
        <v>2293</v>
      </c>
      <c r="E861" s="1515" t="s">
        <v>2294</v>
      </c>
      <c r="F861" s="1515" t="s">
        <v>1660</v>
      </c>
      <c r="G861" s="1515"/>
      <c r="H861" s="1526">
        <v>2</v>
      </c>
      <c r="I861" s="1526">
        <v>2</v>
      </c>
      <c r="J861" s="1527">
        <v>500</v>
      </c>
      <c r="K861" s="1515"/>
      <c r="L861" s="1515"/>
      <c r="M861" s="1514" t="s">
        <v>254</v>
      </c>
    </row>
    <row r="862" spans="2:13" ht="15.75" customHeight="1">
      <c r="B862" s="1517">
        <v>22</v>
      </c>
      <c r="C862" s="2383" t="s">
        <v>2335</v>
      </c>
      <c r="D862" s="1515" t="s">
        <v>2293</v>
      </c>
      <c r="E862" s="1515" t="s">
        <v>2294</v>
      </c>
      <c r="F862" s="1515" t="s">
        <v>1660</v>
      </c>
      <c r="G862" s="1515"/>
      <c r="H862" s="1526">
        <v>2</v>
      </c>
      <c r="I862" s="1526">
        <v>2</v>
      </c>
      <c r="J862" s="1527">
        <v>1000</v>
      </c>
      <c r="K862" s="1515"/>
      <c r="L862" s="1515"/>
      <c r="M862" s="1514" t="s">
        <v>254</v>
      </c>
    </row>
    <row r="863" spans="2:13" ht="15.75" customHeight="1">
      <c r="B863" s="1517">
        <v>23</v>
      </c>
      <c r="C863" s="2383" t="s">
        <v>2336</v>
      </c>
      <c r="D863" s="1515" t="s">
        <v>2293</v>
      </c>
      <c r="E863" s="1515" t="s">
        <v>2294</v>
      </c>
      <c r="F863" s="1515" t="s">
        <v>1660</v>
      </c>
      <c r="G863" s="1515"/>
      <c r="H863" s="1526">
        <v>2</v>
      </c>
      <c r="I863" s="1526">
        <v>2</v>
      </c>
      <c r="J863" s="1527">
        <v>1000</v>
      </c>
      <c r="K863" s="1515"/>
      <c r="L863" s="1515"/>
      <c r="M863" s="1514" t="s">
        <v>254</v>
      </c>
    </row>
    <row r="864" spans="2:13" ht="15.75" customHeight="1">
      <c r="B864" s="1517">
        <v>24</v>
      </c>
      <c r="C864" s="2383" t="s">
        <v>2337</v>
      </c>
      <c r="D864" s="1515" t="s">
        <v>2293</v>
      </c>
      <c r="E864" s="1515" t="s">
        <v>2294</v>
      </c>
      <c r="F864" s="1515" t="s">
        <v>1660</v>
      </c>
      <c r="G864" s="1515"/>
      <c r="H864" s="1526">
        <v>2</v>
      </c>
      <c r="I864" s="1526">
        <v>2</v>
      </c>
      <c r="J864" s="1527">
        <v>1000</v>
      </c>
      <c r="K864" s="1515"/>
      <c r="L864" s="1515"/>
      <c r="M864" s="1514" t="s">
        <v>254</v>
      </c>
    </row>
    <row r="865" spans="2:13" ht="15.75" customHeight="1">
      <c r="B865" s="1517">
        <v>25</v>
      </c>
      <c r="C865" s="1518" t="s">
        <v>2338</v>
      </c>
      <c r="D865" s="1515" t="s">
        <v>2293</v>
      </c>
      <c r="E865" s="1515" t="s">
        <v>2294</v>
      </c>
      <c r="F865" s="1515" t="s">
        <v>1660</v>
      </c>
      <c r="G865" s="1515"/>
      <c r="H865" s="1526">
        <v>2</v>
      </c>
      <c r="I865" s="1526">
        <v>2</v>
      </c>
      <c r="J865" s="1527">
        <v>250</v>
      </c>
      <c r="K865" s="1515"/>
      <c r="L865" s="1515"/>
      <c r="M865" s="1514" t="s">
        <v>254</v>
      </c>
    </row>
    <row r="866" spans="2:13" ht="15.75" customHeight="1">
      <c r="B866" s="1517">
        <v>26</v>
      </c>
      <c r="C866" s="2383" t="s">
        <v>2339</v>
      </c>
      <c r="D866" s="1515" t="s">
        <v>2293</v>
      </c>
      <c r="E866" s="1515" t="s">
        <v>2294</v>
      </c>
      <c r="F866" s="1515" t="s">
        <v>1660</v>
      </c>
      <c r="G866" s="1515"/>
      <c r="H866" s="1526">
        <v>2</v>
      </c>
      <c r="I866" s="1526">
        <v>2</v>
      </c>
      <c r="J866" s="1527">
        <v>500</v>
      </c>
      <c r="K866" s="1515"/>
      <c r="L866" s="1515"/>
      <c r="M866" s="1514" t="s">
        <v>254</v>
      </c>
    </row>
    <row r="867" spans="2:13" ht="15.75" customHeight="1">
      <c r="B867" s="1517">
        <v>27</v>
      </c>
      <c r="C867" s="2383" t="s">
        <v>2340</v>
      </c>
      <c r="D867" s="1515" t="s">
        <v>2293</v>
      </c>
      <c r="E867" s="1515" t="s">
        <v>2294</v>
      </c>
      <c r="F867" s="1515" t="s">
        <v>1660</v>
      </c>
      <c r="G867" s="1515"/>
      <c r="H867" s="1526">
        <v>2</v>
      </c>
      <c r="I867" s="1526">
        <v>2</v>
      </c>
      <c r="J867" s="1527">
        <v>600</v>
      </c>
      <c r="K867" s="1515"/>
      <c r="L867" s="1515"/>
      <c r="M867" s="1514" t="s">
        <v>254</v>
      </c>
    </row>
    <row r="868" spans="2:13" ht="15.75" customHeight="1">
      <c r="B868" s="1517">
        <v>28</v>
      </c>
      <c r="C868" s="2383" t="s">
        <v>2341</v>
      </c>
      <c r="D868" s="1515" t="s">
        <v>2293</v>
      </c>
      <c r="E868" s="1515" t="s">
        <v>2294</v>
      </c>
      <c r="F868" s="1515" t="s">
        <v>1660</v>
      </c>
      <c r="G868" s="1515"/>
      <c r="H868" s="1526">
        <v>2</v>
      </c>
      <c r="I868" s="1526">
        <v>2</v>
      </c>
      <c r="J868" s="1527">
        <v>500</v>
      </c>
      <c r="K868" s="1515"/>
      <c r="L868" s="1515"/>
      <c r="M868" s="1514" t="s">
        <v>254</v>
      </c>
    </row>
    <row r="869" spans="2:13" ht="15.75" customHeight="1">
      <c r="B869" s="1517">
        <v>29</v>
      </c>
      <c r="C869" s="2383" t="s">
        <v>2342</v>
      </c>
      <c r="D869" s="1515" t="s">
        <v>2293</v>
      </c>
      <c r="E869" s="1515" t="s">
        <v>2294</v>
      </c>
      <c r="F869" s="1515" t="s">
        <v>1660</v>
      </c>
      <c r="G869" s="1515"/>
      <c r="H869" s="1526">
        <v>2</v>
      </c>
      <c r="I869" s="1526">
        <v>2</v>
      </c>
      <c r="J869" s="1527">
        <v>1000</v>
      </c>
      <c r="K869" s="1515"/>
      <c r="L869" s="1515"/>
      <c r="M869" s="1514" t="s">
        <v>254</v>
      </c>
    </row>
    <row r="870" spans="2:13" ht="15.75" customHeight="1">
      <c r="B870" s="1517">
        <v>30</v>
      </c>
      <c r="C870" s="2383" t="s">
        <v>2343</v>
      </c>
      <c r="D870" s="1515" t="s">
        <v>2293</v>
      </c>
      <c r="E870" s="1515" t="s">
        <v>2294</v>
      </c>
      <c r="F870" s="1515" t="s">
        <v>1660</v>
      </c>
      <c r="G870" s="1515"/>
      <c r="H870" s="1526">
        <v>2</v>
      </c>
      <c r="I870" s="1526">
        <v>2</v>
      </c>
      <c r="J870" s="1527">
        <v>1000</v>
      </c>
      <c r="K870" s="1515"/>
      <c r="L870" s="1515"/>
      <c r="M870" s="1514" t="s">
        <v>254</v>
      </c>
    </row>
    <row r="871" spans="2:13" ht="15.75" customHeight="1">
      <c r="B871" s="1517">
        <v>31</v>
      </c>
      <c r="C871" s="2383" t="s">
        <v>2344</v>
      </c>
      <c r="D871" s="1515" t="s">
        <v>2293</v>
      </c>
      <c r="E871" s="1515" t="s">
        <v>2294</v>
      </c>
      <c r="F871" s="1515" t="s">
        <v>1660</v>
      </c>
      <c r="G871" s="1515"/>
      <c r="H871" s="1526">
        <v>2</v>
      </c>
      <c r="I871" s="1526">
        <v>2</v>
      </c>
      <c r="J871" s="1527">
        <v>1000</v>
      </c>
      <c r="K871" s="1515"/>
      <c r="L871" s="1515"/>
      <c r="M871" s="1514" t="s">
        <v>254</v>
      </c>
    </row>
    <row r="872" spans="2:13" ht="15.75" customHeight="1">
      <c r="B872" s="1517">
        <v>32</v>
      </c>
      <c r="C872" s="2383" t="s">
        <v>2345</v>
      </c>
      <c r="D872" s="1515" t="s">
        <v>2293</v>
      </c>
      <c r="E872" s="1515" t="s">
        <v>2294</v>
      </c>
      <c r="F872" s="1515" t="s">
        <v>1660</v>
      </c>
      <c r="G872" s="1515"/>
      <c r="H872" s="1526">
        <v>2</v>
      </c>
      <c r="I872" s="1526">
        <v>2</v>
      </c>
      <c r="J872" s="1527">
        <v>1000</v>
      </c>
      <c r="K872" s="1515"/>
      <c r="L872" s="1515"/>
      <c r="M872" s="1514" t="s">
        <v>254</v>
      </c>
    </row>
    <row r="873" spans="2:13" ht="15.75" customHeight="1">
      <c r="B873" s="1517">
        <v>33</v>
      </c>
      <c r="C873" s="2383" t="s">
        <v>2346</v>
      </c>
      <c r="D873" s="1515" t="s">
        <v>2293</v>
      </c>
      <c r="E873" s="1515" t="s">
        <v>2294</v>
      </c>
      <c r="F873" s="1515" t="s">
        <v>1660</v>
      </c>
      <c r="G873" s="1515"/>
      <c r="H873" s="1526">
        <v>2</v>
      </c>
      <c r="I873" s="1526">
        <v>2</v>
      </c>
      <c r="J873" s="1527">
        <v>1000</v>
      </c>
      <c r="K873" s="1515"/>
      <c r="L873" s="1515"/>
      <c r="M873" s="1514" t="s">
        <v>254</v>
      </c>
    </row>
    <row r="874" spans="2:13" ht="15.75" customHeight="1">
      <c r="B874" s="1517">
        <v>34</v>
      </c>
      <c r="C874" s="2383" t="s">
        <v>2347</v>
      </c>
      <c r="D874" s="1515" t="s">
        <v>2293</v>
      </c>
      <c r="E874" s="1515" t="s">
        <v>2294</v>
      </c>
      <c r="F874" s="1515" t="s">
        <v>1660</v>
      </c>
      <c r="G874" s="1515"/>
      <c r="H874" s="1526">
        <v>2</v>
      </c>
      <c r="I874" s="1526">
        <v>2</v>
      </c>
      <c r="J874" s="1527">
        <v>1000</v>
      </c>
      <c r="K874" s="1515"/>
      <c r="L874" s="1515"/>
      <c r="M874" s="1514" t="s">
        <v>254</v>
      </c>
    </row>
    <row r="875" spans="2:13" ht="15.75" customHeight="1">
      <c r="B875" s="1517">
        <v>35</v>
      </c>
      <c r="C875" s="2383" t="s">
        <v>2348</v>
      </c>
      <c r="D875" s="1512" t="s">
        <v>2293</v>
      </c>
      <c r="E875" s="1512" t="s">
        <v>2294</v>
      </c>
      <c r="F875" s="1512" t="s">
        <v>1660</v>
      </c>
      <c r="G875" s="1512"/>
      <c r="H875" s="1528">
        <v>2</v>
      </c>
      <c r="I875" s="1528">
        <v>2</v>
      </c>
      <c r="J875" s="1527">
        <v>1000</v>
      </c>
      <c r="K875" s="1515"/>
      <c r="L875" s="1515"/>
      <c r="M875" s="1514" t="s">
        <v>254</v>
      </c>
    </row>
    <row r="876" spans="2:13" ht="15.75" customHeight="1">
      <c r="B876" s="1529"/>
      <c r="C876" s="2950" t="s">
        <v>2349</v>
      </c>
      <c r="D876" s="2732"/>
      <c r="E876" s="2732"/>
      <c r="F876" s="2732"/>
      <c r="G876" s="2732"/>
      <c r="H876" s="2732"/>
      <c r="I876" s="2951"/>
      <c r="J876" s="1530">
        <f>SUM(J841:J875)</f>
        <v>195700</v>
      </c>
      <c r="K876" s="1515"/>
      <c r="L876" s="1515"/>
      <c r="M876" s="1512"/>
    </row>
  </sheetData>
  <mergeCells count="79">
    <mergeCell ref="K593:K594"/>
    <mergeCell ref="B608:H608"/>
    <mergeCell ref="B609:H609"/>
    <mergeCell ref="B610:H610"/>
    <mergeCell ref="C612:F612"/>
    <mergeCell ref="C617:F617"/>
    <mergeCell ref="C621:F621"/>
    <mergeCell ref="A607:B607"/>
    <mergeCell ref="B657:H657"/>
    <mergeCell ref="B658:H658"/>
    <mergeCell ref="A656:B656"/>
    <mergeCell ref="B659:H659"/>
    <mergeCell ref="C661:F661"/>
    <mergeCell ref="C666:F666"/>
    <mergeCell ref="C670:F670"/>
    <mergeCell ref="I745:I746"/>
    <mergeCell ref="A702:B702"/>
    <mergeCell ref="A737:B737"/>
    <mergeCell ref="B703:H703"/>
    <mergeCell ref="B704:H704"/>
    <mergeCell ref="B705:H705"/>
    <mergeCell ref="C707:F707"/>
    <mergeCell ref="C712:F712"/>
    <mergeCell ref="C716:F716"/>
    <mergeCell ref="B738:I738"/>
    <mergeCell ref="J745:J746"/>
    <mergeCell ref="J747:J750"/>
    <mergeCell ref="B769:I769"/>
    <mergeCell ref="B777:I777"/>
    <mergeCell ref="B787:D787"/>
    <mergeCell ref="I747:I750"/>
    <mergeCell ref="A768:B768"/>
    <mergeCell ref="A776:B776"/>
    <mergeCell ref="B788:J788"/>
    <mergeCell ref="G815:J815"/>
    <mergeCell ref="H818:J818"/>
    <mergeCell ref="B840:M840"/>
    <mergeCell ref="C876:I876"/>
    <mergeCell ref="I793:I794"/>
    <mergeCell ref="I795:I798"/>
    <mergeCell ref="J795:J798"/>
    <mergeCell ref="I800:I803"/>
    <mergeCell ref="J800:J803"/>
    <mergeCell ref="G814:J814"/>
    <mergeCell ref="B89:K89"/>
    <mergeCell ref="B90:K90"/>
    <mergeCell ref="A1:B1"/>
    <mergeCell ref="B2:H2"/>
    <mergeCell ref="A34:B34"/>
    <mergeCell ref="B35:H35"/>
    <mergeCell ref="B36:H36"/>
    <mergeCell ref="A67:B67"/>
    <mergeCell ref="B68:H68"/>
    <mergeCell ref="B69:H69"/>
    <mergeCell ref="C70:H70"/>
    <mergeCell ref="B71:H71"/>
    <mergeCell ref="I81:I85"/>
    <mergeCell ref="A88:B88"/>
    <mergeCell ref="A229:B229"/>
    <mergeCell ref="B230:K230"/>
    <mergeCell ref="B231:K231"/>
    <mergeCell ref="A369:B369"/>
    <mergeCell ref="A520:B520"/>
    <mergeCell ref="C521:K521"/>
    <mergeCell ref="C527:C528"/>
    <mergeCell ref="B560:K560"/>
    <mergeCell ref="B561:K561"/>
    <mergeCell ref="B562:K562"/>
    <mergeCell ref="A559:B559"/>
    <mergeCell ref="K567:K568"/>
    <mergeCell ref="J571:J578"/>
    <mergeCell ref="K571:K578"/>
    <mergeCell ref="K587:K588"/>
    <mergeCell ref="C529:C530"/>
    <mergeCell ref="C531:C532"/>
    <mergeCell ref="C533:C534"/>
    <mergeCell ref="C537:C538"/>
    <mergeCell ref="C539:C540"/>
    <mergeCell ref="C541:C542"/>
  </mergeCells>
  <conditionalFormatting sqref="I34:I66 I657:I701">
    <cfRule type="notContainsBlanks" dxfId="3" priority="1">
      <formula>LEN(TRIM(I34))&gt;0</formula>
    </cfRule>
  </conditionalFormatting>
  <conditionalFormatting sqref="I89:I94">
    <cfRule type="notContainsBlanks" dxfId="2" priority="4">
      <formula>LEN(TRIM(I89))&gt;0</formula>
    </cfRule>
  </conditionalFormatting>
  <conditionalFormatting sqref="I230:I235">
    <cfRule type="notContainsBlanks" dxfId="1" priority="2">
      <formula>LEN(TRIM(I230))&gt;0</formula>
    </cfRule>
  </conditionalFormatting>
  <conditionalFormatting sqref="I608:I655">
    <cfRule type="notContainsBlanks" dxfId="0" priority="6">
      <formula>LEN(TRIM(I608))&gt;0</formula>
    </cfRule>
  </conditionalFormatting>
  <pageMargins left="0.55000000000000004"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12"/>
  <sheetViews>
    <sheetView workbookViewId="0">
      <pane xSplit="2" ySplit="7" topLeftCell="E110"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4.7109375" customWidth="1"/>
    <col min="2" max="2" width="36.7109375" customWidth="1"/>
    <col min="3" max="3" width="7.42578125" customWidth="1"/>
    <col min="4" max="4" width="11.7109375" customWidth="1"/>
    <col min="5" max="6" width="9.7109375" customWidth="1"/>
    <col min="7" max="7" width="7.42578125" customWidth="1"/>
    <col min="8" max="8" width="8.28515625" customWidth="1"/>
    <col min="9" max="9" width="7" customWidth="1"/>
    <col min="10" max="10" width="6.140625" customWidth="1"/>
    <col min="11" max="11" width="10.7109375" customWidth="1"/>
    <col min="12" max="12" width="9.28515625" customWidth="1"/>
    <col min="13" max="15" width="9.7109375" customWidth="1"/>
    <col min="16" max="16" width="9.140625" customWidth="1"/>
    <col min="17" max="18" width="8.7109375" customWidth="1"/>
    <col min="19" max="19" width="9.140625" customWidth="1"/>
    <col min="20" max="20" width="9.7109375" customWidth="1"/>
    <col min="21" max="21" width="9.42578125" customWidth="1"/>
    <col min="22" max="22" width="10.28515625" customWidth="1"/>
    <col min="23" max="23" width="12.7109375" customWidth="1"/>
    <col min="24" max="24" width="15.7109375" customWidth="1"/>
    <col min="25" max="25" width="8.7109375" customWidth="1"/>
  </cols>
  <sheetData>
    <row r="1" spans="1:29" ht="15.75">
      <c r="A1" s="2858" t="s">
        <v>23</v>
      </c>
      <c r="B1" s="2796"/>
      <c r="C1" s="1933"/>
      <c r="D1" s="1933"/>
      <c r="E1" s="1933"/>
      <c r="F1" s="1933"/>
      <c r="G1" s="1933"/>
      <c r="H1" s="1933"/>
      <c r="I1" s="1874"/>
      <c r="J1" s="1874"/>
      <c r="K1" s="2859"/>
      <c r="L1" s="2796"/>
      <c r="M1" s="2796"/>
      <c r="N1" s="2796"/>
      <c r="O1" s="2796"/>
      <c r="P1" s="2796"/>
      <c r="Q1" s="2796"/>
      <c r="R1" s="2796"/>
      <c r="S1" s="2796"/>
      <c r="T1" s="2796"/>
      <c r="U1" s="2796"/>
      <c r="V1" s="2796"/>
      <c r="W1" s="2175" t="s">
        <v>2350</v>
      </c>
      <c r="X1" s="2176"/>
      <c r="Y1" s="2176"/>
      <c r="Z1" s="13"/>
      <c r="AA1" s="13"/>
      <c r="AB1" s="13"/>
      <c r="AC1" s="13"/>
    </row>
    <row r="2" spans="1:29" ht="15.75">
      <c r="A2" s="2969" t="s">
        <v>450</v>
      </c>
      <c r="B2" s="2796"/>
      <c r="C2" s="1938"/>
      <c r="D2" s="1938"/>
      <c r="E2" s="1938"/>
      <c r="F2" s="1938"/>
      <c r="G2" s="1938"/>
      <c r="H2" s="1938"/>
      <c r="I2" s="1874"/>
      <c r="J2" s="1874"/>
      <c r="K2" s="2970"/>
      <c r="L2" s="2796"/>
      <c r="M2" s="2796"/>
      <c r="N2" s="2796"/>
      <c r="O2" s="2796"/>
      <c r="P2" s="2796"/>
      <c r="Q2" s="2796"/>
      <c r="R2" s="2796"/>
      <c r="S2" s="2796"/>
      <c r="T2" s="2796"/>
      <c r="U2" s="2796"/>
      <c r="V2" s="2796"/>
      <c r="W2" s="1936"/>
      <c r="X2" s="2176"/>
      <c r="Y2" s="2176"/>
      <c r="Z2" s="13"/>
      <c r="AA2" s="13"/>
      <c r="AB2" s="13"/>
      <c r="AC2" s="13"/>
    </row>
    <row r="3" spans="1:29" ht="8.25" customHeight="1">
      <c r="A3" s="2971" t="s">
        <v>2351</v>
      </c>
      <c r="B3" s="2737"/>
      <c r="C3" s="2737"/>
      <c r="D3" s="2737"/>
      <c r="E3" s="2737"/>
      <c r="F3" s="2737"/>
      <c r="G3" s="2737"/>
      <c r="H3" s="2737"/>
      <c r="I3" s="2737"/>
      <c r="J3" s="2737"/>
      <c r="K3" s="2737"/>
      <c r="L3" s="2737"/>
      <c r="M3" s="2737"/>
      <c r="N3" s="2737"/>
      <c r="O3" s="2737"/>
      <c r="P3" s="2737"/>
      <c r="Q3" s="2737"/>
      <c r="R3" s="2737"/>
      <c r="S3" s="2737"/>
      <c r="T3" s="2737"/>
      <c r="U3" s="2737"/>
      <c r="V3" s="2737"/>
      <c r="W3" s="2737"/>
      <c r="X3" s="2176"/>
      <c r="Y3" s="2176"/>
      <c r="Z3" s="13"/>
      <c r="AA3" s="13"/>
      <c r="AB3" s="13"/>
      <c r="AC3" s="13"/>
    </row>
    <row r="4" spans="1:29" ht="27.75" customHeight="1">
      <c r="A4" s="2896" t="s">
        <v>186</v>
      </c>
      <c r="B4" s="2896" t="s">
        <v>2352</v>
      </c>
      <c r="C4" s="307"/>
      <c r="D4" s="307"/>
      <c r="E4" s="2966" t="s">
        <v>2353</v>
      </c>
      <c r="F4" s="2782"/>
      <c r="G4" s="2782"/>
      <c r="H4" s="2782"/>
      <c r="I4" s="2783"/>
      <c r="J4" s="2177"/>
      <c r="K4" s="2966" t="s">
        <v>2354</v>
      </c>
      <c r="L4" s="2782"/>
      <c r="M4" s="2782"/>
      <c r="N4" s="2783"/>
      <c r="O4" s="2966" t="s">
        <v>2355</v>
      </c>
      <c r="P4" s="2782"/>
      <c r="Q4" s="2782"/>
      <c r="R4" s="2783"/>
      <c r="S4" s="2966" t="s">
        <v>2356</v>
      </c>
      <c r="T4" s="2782"/>
      <c r="U4" s="2782"/>
      <c r="V4" s="2783"/>
      <c r="W4" s="2967" t="s">
        <v>2357</v>
      </c>
      <c r="X4" s="2664"/>
      <c r="Y4" s="2176"/>
      <c r="Z4" s="13"/>
      <c r="AA4" s="13"/>
      <c r="AB4" s="13"/>
      <c r="AC4" s="13"/>
    </row>
    <row r="5" spans="1:29" ht="51" customHeight="1">
      <c r="A5" s="2779"/>
      <c r="B5" s="2779"/>
      <c r="C5" s="307" t="s">
        <v>2358</v>
      </c>
      <c r="D5" s="307" t="s">
        <v>2359</v>
      </c>
      <c r="E5" s="307" t="s">
        <v>2360</v>
      </c>
      <c r="F5" s="307" t="s">
        <v>2361</v>
      </c>
      <c r="G5" s="307" t="s">
        <v>2362</v>
      </c>
      <c r="H5" s="307" t="s">
        <v>2361</v>
      </c>
      <c r="I5" s="308" t="s">
        <v>2363</v>
      </c>
      <c r="J5" s="307" t="s">
        <v>2361</v>
      </c>
      <c r="K5" s="307" t="s">
        <v>1911</v>
      </c>
      <c r="L5" s="307" t="s">
        <v>2364</v>
      </c>
      <c r="M5" s="307" t="s">
        <v>2365</v>
      </c>
      <c r="N5" s="307" t="s">
        <v>2366</v>
      </c>
      <c r="O5" s="307" t="s">
        <v>1911</v>
      </c>
      <c r="P5" s="307" t="s">
        <v>2364</v>
      </c>
      <c r="Q5" s="307" t="s">
        <v>2365</v>
      </c>
      <c r="R5" s="307" t="s">
        <v>2366</v>
      </c>
      <c r="S5" s="307" t="s">
        <v>1911</v>
      </c>
      <c r="T5" s="307" t="s">
        <v>2364</v>
      </c>
      <c r="U5" s="307" t="s">
        <v>2365</v>
      </c>
      <c r="V5" s="307" t="s">
        <v>2366</v>
      </c>
      <c r="W5" s="2968"/>
      <c r="X5" s="2726" t="s">
        <v>2367</v>
      </c>
      <c r="Y5" s="2176"/>
      <c r="Z5" s="13"/>
      <c r="AA5" s="13"/>
      <c r="AB5" s="13"/>
      <c r="AC5" s="13"/>
    </row>
    <row r="6" spans="1:29">
      <c r="A6" s="309" t="s">
        <v>465</v>
      </c>
      <c r="B6" s="309" t="s">
        <v>466</v>
      </c>
      <c r="C6" s="310"/>
      <c r="D6" s="310"/>
      <c r="E6" s="310"/>
      <c r="F6" s="310"/>
      <c r="G6" s="310"/>
      <c r="H6" s="310"/>
      <c r="I6" s="310" t="s">
        <v>467</v>
      </c>
      <c r="J6" s="310"/>
      <c r="K6" s="310" t="s">
        <v>468</v>
      </c>
      <c r="L6" s="310" t="s">
        <v>469</v>
      </c>
      <c r="M6" s="310" t="s">
        <v>470</v>
      </c>
      <c r="N6" s="310" t="s">
        <v>471</v>
      </c>
      <c r="O6" s="310" t="s">
        <v>1536</v>
      </c>
      <c r="P6" s="310" t="s">
        <v>2368</v>
      </c>
      <c r="Q6" s="310" t="s">
        <v>474</v>
      </c>
      <c r="R6" s="311" t="s">
        <v>475</v>
      </c>
      <c r="S6" s="310" t="s">
        <v>625</v>
      </c>
      <c r="T6" s="310" t="s">
        <v>534</v>
      </c>
      <c r="U6" s="310" t="s">
        <v>535</v>
      </c>
      <c r="V6" s="310" t="s">
        <v>536</v>
      </c>
      <c r="W6" s="345" t="s">
        <v>537</v>
      </c>
      <c r="X6" s="2664"/>
      <c r="Y6" s="2176"/>
      <c r="Z6" s="13"/>
      <c r="AA6" s="13"/>
      <c r="AB6" s="13"/>
      <c r="AC6" s="13"/>
    </row>
    <row r="7" spans="1:29">
      <c r="A7" s="310"/>
      <c r="B7" s="312" t="s">
        <v>1578</v>
      </c>
      <c r="C7" s="312"/>
      <c r="D7" s="312"/>
      <c r="E7" s="312"/>
      <c r="F7" s="312"/>
      <c r="G7" s="312"/>
      <c r="H7" s="312"/>
      <c r="I7" s="310"/>
      <c r="J7" s="310"/>
      <c r="K7" s="310"/>
      <c r="L7" s="310"/>
      <c r="M7" s="310"/>
      <c r="N7" s="310"/>
      <c r="O7" s="310"/>
      <c r="P7" s="310"/>
      <c r="Q7" s="310"/>
      <c r="R7" s="313"/>
      <c r="S7" s="310"/>
      <c r="T7" s="310"/>
      <c r="U7" s="310"/>
      <c r="V7" s="310"/>
      <c r="W7" s="345"/>
      <c r="X7" s="2664"/>
      <c r="Y7" s="2176"/>
      <c r="Z7" s="13"/>
      <c r="AA7" s="13"/>
      <c r="AB7" s="13"/>
      <c r="AC7" s="13"/>
    </row>
    <row r="8" spans="1:29">
      <c r="A8" s="307"/>
      <c r="B8" s="314" t="s">
        <v>2369</v>
      </c>
      <c r="C8" s="315"/>
      <c r="D8" s="316"/>
      <c r="E8" s="316"/>
      <c r="F8" s="315"/>
      <c r="G8" s="315"/>
      <c r="H8" s="315"/>
      <c r="I8" s="307"/>
      <c r="J8" s="307"/>
      <c r="K8" s="307"/>
      <c r="L8" s="307"/>
      <c r="M8" s="307"/>
      <c r="N8" s="307"/>
      <c r="O8" s="307"/>
      <c r="P8" s="307"/>
      <c r="Q8" s="307"/>
      <c r="R8" s="307"/>
      <c r="S8" s="307"/>
      <c r="T8" s="307"/>
      <c r="U8" s="307"/>
      <c r="V8" s="307"/>
      <c r="W8" s="2608"/>
      <c r="X8" s="2664"/>
      <c r="Y8" s="2176"/>
      <c r="Z8" s="13"/>
      <c r="AA8" s="13"/>
      <c r="AB8" s="13"/>
      <c r="AC8" s="13"/>
    </row>
    <row r="9" spans="1:29">
      <c r="A9" s="307"/>
      <c r="B9" s="314" t="s">
        <v>2370</v>
      </c>
      <c r="C9" s="315"/>
      <c r="D9" s="316"/>
      <c r="E9" s="316"/>
      <c r="F9" s="315"/>
      <c r="G9" s="315"/>
      <c r="H9" s="315"/>
      <c r="I9" s="307"/>
      <c r="J9" s="307"/>
      <c r="K9" s="307"/>
      <c r="L9" s="307"/>
      <c r="M9" s="307"/>
      <c r="N9" s="307"/>
      <c r="O9" s="307"/>
      <c r="P9" s="307"/>
      <c r="Q9" s="307"/>
      <c r="R9" s="307"/>
      <c r="S9" s="307"/>
      <c r="T9" s="307"/>
      <c r="U9" s="307"/>
      <c r="V9" s="307"/>
      <c r="W9" s="2608"/>
      <c r="X9" s="2664"/>
      <c r="Y9" s="2176"/>
      <c r="Z9" s="13"/>
      <c r="AA9" s="13"/>
      <c r="AB9" s="13"/>
      <c r="AC9" s="13"/>
    </row>
    <row r="10" spans="1:29">
      <c r="A10" s="307"/>
      <c r="B10" s="314" t="s">
        <v>2371</v>
      </c>
      <c r="C10" s="315"/>
      <c r="D10" s="316"/>
      <c r="E10" s="316"/>
      <c r="F10" s="315"/>
      <c r="G10" s="315"/>
      <c r="H10" s="315"/>
      <c r="I10" s="307"/>
      <c r="J10" s="307"/>
      <c r="K10" s="307"/>
      <c r="L10" s="307"/>
      <c r="M10" s="307"/>
      <c r="N10" s="307"/>
      <c r="O10" s="307"/>
      <c r="P10" s="307"/>
      <c r="Q10" s="307"/>
      <c r="R10" s="307"/>
      <c r="S10" s="307"/>
      <c r="T10" s="307"/>
      <c r="U10" s="307"/>
      <c r="V10" s="307"/>
      <c r="W10" s="2608"/>
      <c r="X10" s="2664"/>
      <c r="Y10" s="2176"/>
      <c r="Z10" s="13"/>
      <c r="AA10" s="13"/>
      <c r="AB10" s="13"/>
      <c r="AC10" s="13"/>
    </row>
    <row r="11" spans="1:29">
      <c r="A11" s="307"/>
      <c r="B11" s="314" t="s">
        <v>2372</v>
      </c>
      <c r="C11" s="315"/>
      <c r="D11" s="316"/>
      <c r="E11" s="316"/>
      <c r="F11" s="315"/>
      <c r="G11" s="315"/>
      <c r="H11" s="315"/>
      <c r="I11" s="307"/>
      <c r="J11" s="307"/>
      <c r="K11" s="307"/>
      <c r="L11" s="307"/>
      <c r="M11" s="307"/>
      <c r="N11" s="307"/>
      <c r="O11" s="307"/>
      <c r="P11" s="307"/>
      <c r="Q11" s="307"/>
      <c r="R11" s="307"/>
      <c r="S11" s="307"/>
      <c r="T11" s="307"/>
      <c r="U11" s="307"/>
      <c r="V11" s="307"/>
      <c r="W11" s="2608"/>
      <c r="X11" s="2664"/>
      <c r="Y11" s="2176"/>
      <c r="Z11" s="13"/>
      <c r="AA11" s="13"/>
      <c r="AB11" s="13"/>
      <c r="AC11" s="13"/>
    </row>
    <row r="12" spans="1:29" ht="25.5">
      <c r="A12" s="307"/>
      <c r="B12" s="314" t="s">
        <v>2373</v>
      </c>
      <c r="C12" s="315"/>
      <c r="D12" s="316"/>
      <c r="E12" s="316"/>
      <c r="F12" s="315"/>
      <c r="G12" s="315"/>
      <c r="H12" s="315"/>
      <c r="I12" s="307"/>
      <c r="J12" s="307"/>
      <c r="K12" s="307"/>
      <c r="L12" s="307"/>
      <c r="M12" s="307"/>
      <c r="N12" s="307"/>
      <c r="O12" s="307"/>
      <c r="P12" s="307"/>
      <c r="Q12" s="307"/>
      <c r="R12" s="307"/>
      <c r="S12" s="307"/>
      <c r="T12" s="307"/>
      <c r="U12" s="307"/>
      <c r="V12" s="307"/>
      <c r="W12" s="2608"/>
      <c r="X12" s="2664"/>
      <c r="Y12" s="2176"/>
      <c r="Z12" s="13"/>
      <c r="AA12" s="13"/>
      <c r="AB12" s="13"/>
      <c r="AC12" s="13"/>
    </row>
    <row r="13" spans="1:29">
      <c r="A13" s="307"/>
      <c r="B13" s="314" t="s">
        <v>2374</v>
      </c>
      <c r="C13" s="315"/>
      <c r="D13" s="316"/>
      <c r="E13" s="316"/>
      <c r="F13" s="315"/>
      <c r="G13" s="315"/>
      <c r="H13" s="315"/>
      <c r="I13" s="307"/>
      <c r="J13" s="307"/>
      <c r="K13" s="307"/>
      <c r="L13" s="307"/>
      <c r="M13" s="307"/>
      <c r="N13" s="307"/>
      <c r="O13" s="307"/>
      <c r="P13" s="307"/>
      <c r="Q13" s="307"/>
      <c r="R13" s="307"/>
      <c r="S13" s="307"/>
      <c r="T13" s="307"/>
      <c r="U13" s="307"/>
      <c r="V13" s="307"/>
      <c r="W13" s="2608"/>
      <c r="X13" s="2664"/>
      <c r="Y13" s="2176"/>
      <c r="Z13" s="13"/>
      <c r="AA13" s="13"/>
      <c r="AB13" s="13"/>
      <c r="AC13" s="13"/>
    </row>
    <row r="14" spans="1:29" ht="135">
      <c r="A14" s="312">
        <v>1</v>
      </c>
      <c r="B14" s="317" t="s">
        <v>2375</v>
      </c>
      <c r="C14" s="312"/>
      <c r="D14" s="312"/>
      <c r="E14" s="312"/>
      <c r="F14" s="312"/>
      <c r="G14" s="312"/>
      <c r="H14" s="312"/>
      <c r="I14" s="312"/>
      <c r="J14" s="312"/>
      <c r="K14" s="318"/>
      <c r="L14" s="318"/>
      <c r="M14" s="318"/>
      <c r="N14" s="318"/>
      <c r="O14" s="318"/>
      <c r="P14" s="318"/>
      <c r="Q14" s="318"/>
      <c r="R14" s="318"/>
      <c r="S14" s="318"/>
      <c r="T14" s="318"/>
      <c r="U14" s="318"/>
      <c r="V14" s="318"/>
      <c r="W14" s="2642"/>
      <c r="X14" s="2730" t="s">
        <v>2376</v>
      </c>
      <c r="Y14" s="2176"/>
      <c r="Z14" s="13"/>
      <c r="AA14" s="13"/>
      <c r="AB14" s="13"/>
      <c r="AC14" s="13"/>
    </row>
    <row r="15" spans="1:29">
      <c r="A15" s="319"/>
      <c r="B15" s="315" t="s">
        <v>2377</v>
      </c>
      <c r="C15" s="319"/>
      <c r="D15" s="320"/>
      <c r="E15" s="319"/>
      <c r="F15" s="319"/>
      <c r="G15" s="319"/>
      <c r="H15" s="319"/>
      <c r="I15" s="319"/>
      <c r="J15" s="319"/>
      <c r="K15" s="321"/>
      <c r="L15" s="321"/>
      <c r="M15" s="321"/>
      <c r="N15" s="321"/>
      <c r="O15" s="321"/>
      <c r="P15" s="321"/>
      <c r="Q15" s="321"/>
      <c r="R15" s="321"/>
      <c r="S15" s="321"/>
      <c r="T15" s="321"/>
      <c r="U15" s="321"/>
      <c r="V15" s="321"/>
      <c r="W15" s="2643"/>
      <c r="X15" s="2664"/>
      <c r="Y15" s="2176"/>
      <c r="Z15" s="13"/>
      <c r="AA15" s="13"/>
      <c r="AB15" s="13"/>
      <c r="AC15" s="13"/>
    </row>
    <row r="16" spans="1:29">
      <c r="A16" s="319"/>
      <c r="B16" s="315" t="s">
        <v>2378</v>
      </c>
      <c r="C16" s="319"/>
      <c r="D16" s="320"/>
      <c r="E16" s="319"/>
      <c r="F16" s="319"/>
      <c r="G16" s="319"/>
      <c r="H16" s="319"/>
      <c r="I16" s="319"/>
      <c r="J16" s="319"/>
      <c r="K16" s="321"/>
      <c r="L16" s="321"/>
      <c r="M16" s="321"/>
      <c r="N16" s="321"/>
      <c r="O16" s="321"/>
      <c r="P16" s="321"/>
      <c r="Q16" s="321"/>
      <c r="R16" s="321"/>
      <c r="S16" s="321"/>
      <c r="T16" s="321"/>
      <c r="U16" s="321"/>
      <c r="V16" s="321"/>
      <c r="W16" s="2643"/>
      <c r="X16" s="2664"/>
      <c r="Y16" s="2176"/>
      <c r="Z16" s="13"/>
      <c r="AA16" s="13"/>
      <c r="AB16" s="13"/>
      <c r="AC16" s="13"/>
    </row>
    <row r="17" spans="1:29">
      <c r="A17" s="319"/>
      <c r="B17" s="315" t="s">
        <v>2379</v>
      </c>
      <c r="C17" s="319"/>
      <c r="D17" s="320"/>
      <c r="E17" s="319"/>
      <c r="F17" s="319"/>
      <c r="G17" s="319"/>
      <c r="H17" s="319"/>
      <c r="I17" s="319"/>
      <c r="J17" s="319"/>
      <c r="K17" s="321"/>
      <c r="L17" s="321"/>
      <c r="M17" s="321"/>
      <c r="N17" s="321"/>
      <c r="O17" s="321"/>
      <c r="P17" s="321"/>
      <c r="Q17" s="321"/>
      <c r="R17" s="321"/>
      <c r="S17" s="321"/>
      <c r="T17" s="321"/>
      <c r="U17" s="321"/>
      <c r="V17" s="321"/>
      <c r="W17" s="2643"/>
      <c r="X17" s="2664"/>
      <c r="Y17" s="2176"/>
      <c r="Z17" s="13"/>
      <c r="AA17" s="13"/>
      <c r="AB17" s="13"/>
      <c r="AC17" s="13"/>
    </row>
    <row r="18" spans="1:29">
      <c r="A18" s="319"/>
      <c r="B18" s="315" t="s">
        <v>2380</v>
      </c>
      <c r="C18" s="319"/>
      <c r="D18" s="320"/>
      <c r="E18" s="319"/>
      <c r="F18" s="319"/>
      <c r="G18" s="319"/>
      <c r="H18" s="319"/>
      <c r="I18" s="319"/>
      <c r="J18" s="319"/>
      <c r="K18" s="321"/>
      <c r="L18" s="321"/>
      <c r="M18" s="321"/>
      <c r="N18" s="321"/>
      <c r="O18" s="321"/>
      <c r="P18" s="321"/>
      <c r="Q18" s="321"/>
      <c r="R18" s="321"/>
      <c r="S18" s="321"/>
      <c r="T18" s="321"/>
      <c r="U18" s="321"/>
      <c r="V18" s="321"/>
      <c r="W18" s="2643"/>
      <c r="X18" s="2664"/>
      <c r="Y18" s="2176"/>
      <c r="Z18" s="13"/>
      <c r="AA18" s="13"/>
      <c r="AB18" s="13"/>
      <c r="AC18" s="13"/>
    </row>
    <row r="19" spans="1:29" ht="25.5">
      <c r="A19" s="319"/>
      <c r="B19" s="315" t="s">
        <v>2381</v>
      </c>
      <c r="C19" s="319"/>
      <c r="D19" s="320"/>
      <c r="E19" s="319"/>
      <c r="F19" s="319"/>
      <c r="G19" s="319"/>
      <c r="H19" s="319"/>
      <c r="I19" s="319"/>
      <c r="J19" s="319"/>
      <c r="K19" s="321"/>
      <c r="L19" s="321"/>
      <c r="M19" s="321"/>
      <c r="N19" s="321"/>
      <c r="O19" s="321"/>
      <c r="P19" s="321"/>
      <c r="Q19" s="321"/>
      <c r="R19" s="321"/>
      <c r="S19" s="321"/>
      <c r="T19" s="321"/>
      <c r="U19" s="321"/>
      <c r="V19" s="321"/>
      <c r="W19" s="2643"/>
      <c r="X19" s="2664"/>
      <c r="Y19" s="2176"/>
      <c r="Z19" s="13"/>
      <c r="AA19" s="13"/>
      <c r="AB19" s="13"/>
      <c r="AC19" s="13"/>
    </row>
    <row r="20" spans="1:29">
      <c r="A20" s="319"/>
      <c r="B20" s="315" t="s">
        <v>2374</v>
      </c>
      <c r="C20" s="319"/>
      <c r="D20" s="320"/>
      <c r="E20" s="319"/>
      <c r="F20" s="319"/>
      <c r="G20" s="319"/>
      <c r="H20" s="319"/>
      <c r="I20" s="319"/>
      <c r="J20" s="319"/>
      <c r="K20" s="321"/>
      <c r="L20" s="321"/>
      <c r="M20" s="321"/>
      <c r="N20" s="321"/>
      <c r="O20" s="321"/>
      <c r="P20" s="321"/>
      <c r="Q20" s="321"/>
      <c r="R20" s="321"/>
      <c r="S20" s="321"/>
      <c r="T20" s="321"/>
      <c r="U20" s="321"/>
      <c r="V20" s="321"/>
      <c r="W20" s="2643"/>
      <c r="X20" s="2664"/>
      <c r="Y20" s="2176"/>
      <c r="Z20" s="13"/>
      <c r="AA20" s="13"/>
      <c r="AB20" s="13"/>
      <c r="AC20" s="13"/>
    </row>
    <row r="21" spans="1:29">
      <c r="A21" s="319">
        <v>1</v>
      </c>
      <c r="B21" s="323" t="s">
        <v>2382</v>
      </c>
      <c r="C21" s="319" t="s">
        <v>2383</v>
      </c>
      <c r="D21" s="320">
        <v>6.56</v>
      </c>
      <c r="E21" s="319">
        <v>4</v>
      </c>
      <c r="F21" s="319">
        <f t="shared" ref="F21:F46" si="0">IF(E21=1, 0.75, IF(OR(E21=2, E21=14, E21=21), 0.7, IF(OR(E21=3, E21=17), 0.65, IF(E21=4, 0.4, IF(OR(E21=5, E21=6, E21=25), 0.3, IF(OR(E21=7, E21=8, E21=9, E21=26), 0.2, IF(OR(E21=10, E21=15, E21=18), 0.15, IF(OR(E21=11, E21=12, E21=16, E21=19, E21=20), 0.1, IF(E21=24, 0.35, IF(E21=27, 0.5, 0))))))))))</f>
        <v>0.4</v>
      </c>
      <c r="G21" s="319"/>
      <c r="H21" s="319">
        <f t="shared" ref="H21:H46" si="1">IF(G21="A", 1, IF(G21="B", 0.7, IF(G21="C", 0.6, 0)))</f>
        <v>0</v>
      </c>
      <c r="I21" s="319" t="s">
        <v>224</v>
      </c>
      <c r="J21" s="319">
        <f t="shared" ref="J21:J46" si="2">IF(I21="D", 1, IF(OR(I21="E", I21="F"), 0.1, 0))</f>
        <v>0.1</v>
      </c>
      <c r="K21" s="321">
        <f t="shared" ref="K21:K46" si="3">L21+M21+N21</f>
        <v>650</v>
      </c>
      <c r="L21" s="321">
        <f t="shared" ref="L21:L46" si="4">IF(C21="N1", 270, IF(C21="N2", 350, IF(C21="N3", 200, 0)))</f>
        <v>200</v>
      </c>
      <c r="M21" s="321">
        <f t="shared" ref="M21:M46" si="5">IF(AND(C21="N1", D21&gt;=6.2),260, IF(AND(C21="N1",D21&gt;=5.76),240,IF(AND(C21="N1",D21&gt;=4.4),220,IF(AND(C21="N1", D21&gt;=4.32), 200,IF(AND(C21="N1", D21&gt;=3.33),175,IF(AND(C21="N1", D21&gt;=2.34),165, IF(AND(C21="N2",D21&gt;=6.2),200, IF(AND(C21="N2",5.76&lt;=D21),185,IF(AND(C21="N2",4.4&lt;=D21),170,IF(AND(C21="N2",4.32&lt;=D21), 155, IF(AND(C21="N2",3.33&lt;=D21),135,IF(AND(C21="N2",2.34&lt;=D21),125, IF(AND(C21="N3",D21&gt;=6.2),350, IF(AND(C21="N3",5.76&lt;=D21),325,IF(AND(C21="N3",4.4&lt;=D21),295,IF(AND(C21="N3",4.32&lt;=D21),270,IF(AND(C21="N3",3.33&lt;=D21),235,IF(AND(C21="N3",2.34&lt;=D21), 225, "SAI THÔNG TIN"))))))))))))))))))</f>
        <v>350</v>
      </c>
      <c r="N21" s="321">
        <f t="shared" ref="N21:N46" si="6">IF(AND(C21="N1", D21&gt;=6.2),120, IF(AND(C21="N1",D21&gt;=5.76),140,IF(AND(C21="N1",4.4&lt;=D21),160,IF(AND(C21="N1",4.32&lt;=D21), 180,IF(AND(C21="N1",3.33&lt;=D21),205,IF(AND(C21="N1",2.34&lt;=D21),215, IF(AND(C21="N2",D21&gt;=6.2),100, IF(AND(C21="N2",5.76&lt;=D21),115,IF(AND(C21="N2",4.4&lt;=D21),130,IF(AND(C21="N2",4.32&lt;=D21), 145, IF(AND(C21="N2",3.33&lt;=D21),165,IF(AND(C21="N2",2.34&lt;=D21),175, IF(AND(C21="N3",D21&gt;=6.2),100, IF(AND(C21="N3",5.76&lt;=D21),125,IF(AND(C21="N3",4.4&lt;=D21),155,IF(AND(C21="N3",4.32&lt;=D21),180,IF(AND(C21="N3",3.33&lt;=D21),215,IF(AND(C21="N3",2.34&lt;=D21), 225, "SAI THÔNG TIN"))))))))))))))))))</f>
        <v>100</v>
      </c>
      <c r="O21" s="321">
        <f t="shared" ref="O21:O46" si="7">P21+Q21+R21</f>
        <v>115</v>
      </c>
      <c r="P21" s="321">
        <f t="shared" ref="P21:P46" si="8">L21-T21</f>
        <v>80</v>
      </c>
      <c r="Q21" s="321">
        <f t="shared" ref="Q21:Q46" si="9">IF(OR(G21="A", I21="D"), M21, IF(G21="C", 0.6*M21, IF(OR(I21="E", I21="F"), 0.1*M21, IF(G21="B", 0, F21*M21))))</f>
        <v>35</v>
      </c>
      <c r="R21" s="321">
        <f t="shared" ref="R21:R46" si="10">IF(OR(G21="A", I21="D"), N21, IF(G21="C", 0.6*N21, IF(I21="E", 0.1*N21, IF(G21="B", 0.7*N21, 0))))</f>
        <v>0</v>
      </c>
      <c r="S21" s="321">
        <f t="shared" ref="S21:S46" si="11">T21+U21+V21</f>
        <v>535</v>
      </c>
      <c r="T21" s="321">
        <f t="shared" ref="T21:T46" si="12">L21*(1-F21)*(1-H21)*(1-J23)</f>
        <v>120</v>
      </c>
      <c r="U21" s="321">
        <f t="shared" ref="U21:V21" si="13">M21-Q21</f>
        <v>315</v>
      </c>
      <c r="V21" s="321">
        <f t="shared" si="13"/>
        <v>100</v>
      </c>
      <c r="W21" s="2643"/>
      <c r="X21" s="2664"/>
      <c r="Y21" s="2176"/>
      <c r="Z21" s="13"/>
      <c r="AA21" s="13"/>
      <c r="AB21" s="13"/>
      <c r="AC21" s="13"/>
    </row>
    <row r="22" spans="1:29">
      <c r="A22" s="319">
        <v>2</v>
      </c>
      <c r="B22" s="323" t="s">
        <v>2384</v>
      </c>
      <c r="C22" s="319" t="s">
        <v>2383</v>
      </c>
      <c r="D22" s="320">
        <v>3.99</v>
      </c>
      <c r="E22" s="319"/>
      <c r="F22" s="319">
        <f t="shared" si="0"/>
        <v>0</v>
      </c>
      <c r="G22" s="319"/>
      <c r="H22" s="319">
        <f t="shared" si="1"/>
        <v>0</v>
      </c>
      <c r="I22" s="319" t="s">
        <v>224</v>
      </c>
      <c r="J22" s="319">
        <f t="shared" si="2"/>
        <v>0.1</v>
      </c>
      <c r="K22" s="321">
        <f t="shared" si="3"/>
        <v>650</v>
      </c>
      <c r="L22" s="321">
        <f t="shared" si="4"/>
        <v>200</v>
      </c>
      <c r="M22" s="321">
        <f t="shared" si="5"/>
        <v>235</v>
      </c>
      <c r="N22" s="321">
        <f t="shared" si="6"/>
        <v>215</v>
      </c>
      <c r="O22" s="321">
        <f t="shared" si="7"/>
        <v>23.5</v>
      </c>
      <c r="P22" s="321">
        <f t="shared" si="8"/>
        <v>0</v>
      </c>
      <c r="Q22" s="321">
        <f t="shared" si="9"/>
        <v>23.5</v>
      </c>
      <c r="R22" s="321">
        <f t="shared" si="10"/>
        <v>0</v>
      </c>
      <c r="S22" s="321">
        <f t="shared" si="11"/>
        <v>626.5</v>
      </c>
      <c r="T22" s="321">
        <f t="shared" si="12"/>
        <v>200</v>
      </c>
      <c r="U22" s="321">
        <f t="shared" ref="U22:V22" si="14">M22-Q22</f>
        <v>211.5</v>
      </c>
      <c r="V22" s="321">
        <f t="shared" si="14"/>
        <v>215</v>
      </c>
      <c r="W22" s="2643"/>
      <c r="X22" s="2664"/>
      <c r="Y22" s="2176"/>
      <c r="Z22" s="13"/>
      <c r="AA22" s="13"/>
      <c r="AB22" s="13"/>
      <c r="AC22" s="13"/>
    </row>
    <row r="23" spans="1:29">
      <c r="A23" s="319">
        <v>3</v>
      </c>
      <c r="B23" s="323" t="s">
        <v>2385</v>
      </c>
      <c r="C23" s="319" t="s">
        <v>2386</v>
      </c>
      <c r="D23" s="320" t="s">
        <v>2387</v>
      </c>
      <c r="E23" s="319"/>
      <c r="F23" s="319">
        <f t="shared" si="0"/>
        <v>0</v>
      </c>
      <c r="G23" s="319"/>
      <c r="H23" s="319">
        <f t="shared" si="1"/>
        <v>0</v>
      </c>
      <c r="I23" s="319"/>
      <c r="J23" s="319">
        <f t="shared" si="2"/>
        <v>0</v>
      </c>
      <c r="K23" s="321">
        <f t="shared" si="3"/>
        <v>650</v>
      </c>
      <c r="L23" s="321">
        <f t="shared" si="4"/>
        <v>270</v>
      </c>
      <c r="M23" s="321">
        <f t="shared" si="5"/>
        <v>260</v>
      </c>
      <c r="N23" s="321">
        <f t="shared" si="6"/>
        <v>120</v>
      </c>
      <c r="O23" s="321">
        <f t="shared" si="7"/>
        <v>0</v>
      </c>
      <c r="P23" s="321">
        <f t="shared" si="8"/>
        <v>0</v>
      </c>
      <c r="Q23" s="321">
        <f t="shared" si="9"/>
        <v>0</v>
      </c>
      <c r="R23" s="321">
        <f t="shared" si="10"/>
        <v>0</v>
      </c>
      <c r="S23" s="321">
        <f t="shared" si="11"/>
        <v>650</v>
      </c>
      <c r="T23" s="321">
        <f t="shared" si="12"/>
        <v>270</v>
      </c>
      <c r="U23" s="321">
        <f t="shared" ref="U23:V23" si="15">M23-Q23</f>
        <v>260</v>
      </c>
      <c r="V23" s="321">
        <f t="shared" si="15"/>
        <v>120</v>
      </c>
      <c r="W23" s="2643"/>
      <c r="X23" s="2664"/>
      <c r="Y23" s="2176"/>
      <c r="Z23" s="13"/>
      <c r="AA23" s="13"/>
      <c r="AB23" s="13"/>
      <c r="AC23" s="13"/>
    </row>
    <row r="24" spans="1:29">
      <c r="A24" s="319">
        <v>4</v>
      </c>
      <c r="B24" s="323" t="s">
        <v>2388</v>
      </c>
      <c r="C24" s="319" t="s">
        <v>2386</v>
      </c>
      <c r="D24" s="320" t="s">
        <v>2389</v>
      </c>
      <c r="E24" s="319"/>
      <c r="F24" s="319">
        <f t="shared" si="0"/>
        <v>0</v>
      </c>
      <c r="G24" s="319"/>
      <c r="H24" s="319">
        <f t="shared" si="1"/>
        <v>0</v>
      </c>
      <c r="I24" s="319"/>
      <c r="J24" s="319">
        <f t="shared" si="2"/>
        <v>0</v>
      </c>
      <c r="K24" s="321">
        <f t="shared" si="3"/>
        <v>650</v>
      </c>
      <c r="L24" s="321">
        <f t="shared" si="4"/>
        <v>270</v>
      </c>
      <c r="M24" s="321">
        <f t="shared" si="5"/>
        <v>260</v>
      </c>
      <c r="N24" s="321">
        <f t="shared" si="6"/>
        <v>120</v>
      </c>
      <c r="O24" s="321">
        <f t="shared" si="7"/>
        <v>0</v>
      </c>
      <c r="P24" s="321">
        <f t="shared" si="8"/>
        <v>0</v>
      </c>
      <c r="Q24" s="321">
        <f t="shared" si="9"/>
        <v>0</v>
      </c>
      <c r="R24" s="321">
        <f t="shared" si="10"/>
        <v>0</v>
      </c>
      <c r="S24" s="321">
        <f t="shared" si="11"/>
        <v>650</v>
      </c>
      <c r="T24" s="321">
        <f t="shared" si="12"/>
        <v>270</v>
      </c>
      <c r="U24" s="321">
        <f t="shared" ref="U24:V24" si="16">M24-Q24</f>
        <v>260</v>
      </c>
      <c r="V24" s="321">
        <f t="shared" si="16"/>
        <v>120</v>
      </c>
      <c r="W24" s="2643"/>
      <c r="X24" s="2664"/>
      <c r="Y24" s="2176"/>
      <c r="Z24" s="13"/>
      <c r="AA24" s="13"/>
      <c r="AB24" s="13"/>
      <c r="AC24" s="13"/>
    </row>
    <row r="25" spans="1:29">
      <c r="A25" s="319">
        <v>5</v>
      </c>
      <c r="B25" s="323" t="s">
        <v>2390</v>
      </c>
      <c r="C25" s="319" t="s">
        <v>2391</v>
      </c>
      <c r="D25" s="320" t="s">
        <v>2392</v>
      </c>
      <c r="E25" s="324" t="s">
        <v>2393</v>
      </c>
      <c r="F25" s="319">
        <f t="shared" si="0"/>
        <v>0</v>
      </c>
      <c r="G25" s="319"/>
      <c r="H25" s="319">
        <f t="shared" si="1"/>
        <v>0</v>
      </c>
      <c r="I25" s="319"/>
      <c r="J25" s="319">
        <f t="shared" si="2"/>
        <v>0</v>
      </c>
      <c r="K25" s="321">
        <f t="shared" si="3"/>
        <v>650</v>
      </c>
      <c r="L25" s="321">
        <f t="shared" si="4"/>
        <v>350</v>
      </c>
      <c r="M25" s="321">
        <f t="shared" si="5"/>
        <v>200</v>
      </c>
      <c r="N25" s="321">
        <f t="shared" si="6"/>
        <v>100</v>
      </c>
      <c r="O25" s="321">
        <f t="shared" si="7"/>
        <v>0</v>
      </c>
      <c r="P25" s="321">
        <f t="shared" si="8"/>
        <v>0</v>
      </c>
      <c r="Q25" s="321">
        <f t="shared" si="9"/>
        <v>0</v>
      </c>
      <c r="R25" s="321">
        <f t="shared" si="10"/>
        <v>0</v>
      </c>
      <c r="S25" s="321">
        <f t="shared" si="11"/>
        <v>650</v>
      </c>
      <c r="T25" s="321">
        <f t="shared" si="12"/>
        <v>350</v>
      </c>
      <c r="U25" s="321">
        <f t="shared" ref="U25:V25" si="17">M25-Q25</f>
        <v>200</v>
      </c>
      <c r="V25" s="321">
        <f t="shared" si="17"/>
        <v>100</v>
      </c>
      <c r="W25" s="2643"/>
      <c r="X25" s="2664"/>
      <c r="Y25" s="2176"/>
      <c r="Z25" s="13"/>
      <c r="AA25" s="13"/>
      <c r="AB25" s="13"/>
      <c r="AC25" s="13"/>
    </row>
    <row r="26" spans="1:29">
      <c r="A26" s="319">
        <v>6</v>
      </c>
      <c r="B26" s="323" t="s">
        <v>2394</v>
      </c>
      <c r="C26" s="319" t="s">
        <v>2386</v>
      </c>
      <c r="D26" s="320" t="s">
        <v>2395</v>
      </c>
      <c r="E26" s="319"/>
      <c r="F26" s="319">
        <f t="shared" si="0"/>
        <v>0</v>
      </c>
      <c r="G26" s="319"/>
      <c r="H26" s="319">
        <f t="shared" si="1"/>
        <v>0</v>
      </c>
      <c r="I26" s="319"/>
      <c r="J26" s="319">
        <f t="shared" si="2"/>
        <v>0</v>
      </c>
      <c r="K26" s="321">
        <f t="shared" si="3"/>
        <v>650</v>
      </c>
      <c r="L26" s="321">
        <f t="shared" si="4"/>
        <v>270</v>
      </c>
      <c r="M26" s="321">
        <f t="shared" si="5"/>
        <v>260</v>
      </c>
      <c r="N26" s="321">
        <f t="shared" si="6"/>
        <v>120</v>
      </c>
      <c r="O26" s="321">
        <f t="shared" si="7"/>
        <v>0</v>
      </c>
      <c r="P26" s="321">
        <f t="shared" si="8"/>
        <v>0</v>
      </c>
      <c r="Q26" s="321">
        <f t="shared" si="9"/>
        <v>0</v>
      </c>
      <c r="R26" s="321">
        <f t="shared" si="10"/>
        <v>0</v>
      </c>
      <c r="S26" s="321">
        <f t="shared" si="11"/>
        <v>650</v>
      </c>
      <c r="T26" s="321">
        <f t="shared" si="12"/>
        <v>270</v>
      </c>
      <c r="U26" s="321">
        <f t="shared" ref="U26:V26" si="18">M26-Q26</f>
        <v>260</v>
      </c>
      <c r="V26" s="321">
        <f t="shared" si="18"/>
        <v>120</v>
      </c>
      <c r="W26" s="2643"/>
      <c r="X26" s="2664"/>
      <c r="Y26" s="2176"/>
      <c r="Z26" s="13"/>
      <c r="AA26" s="13"/>
      <c r="AB26" s="13"/>
      <c r="AC26" s="13"/>
    </row>
    <row r="27" spans="1:29" ht="15.75" customHeight="1">
      <c r="A27" s="319">
        <v>7</v>
      </c>
      <c r="B27" s="323" t="s">
        <v>2396</v>
      </c>
      <c r="C27" s="319" t="s">
        <v>2386</v>
      </c>
      <c r="D27" s="320">
        <v>4.74</v>
      </c>
      <c r="E27" s="319">
        <v>10</v>
      </c>
      <c r="F27" s="319">
        <f t="shared" si="0"/>
        <v>0.15</v>
      </c>
      <c r="G27" s="319"/>
      <c r="H27" s="319">
        <f t="shared" si="1"/>
        <v>0</v>
      </c>
      <c r="I27" s="319"/>
      <c r="J27" s="319">
        <f t="shared" si="2"/>
        <v>0</v>
      </c>
      <c r="K27" s="321">
        <f t="shared" si="3"/>
        <v>650</v>
      </c>
      <c r="L27" s="321">
        <f t="shared" si="4"/>
        <v>270</v>
      </c>
      <c r="M27" s="321">
        <f t="shared" si="5"/>
        <v>220</v>
      </c>
      <c r="N27" s="321">
        <f t="shared" si="6"/>
        <v>160</v>
      </c>
      <c r="O27" s="321">
        <f t="shared" si="7"/>
        <v>73.5</v>
      </c>
      <c r="P27" s="321">
        <f t="shared" si="8"/>
        <v>40.5</v>
      </c>
      <c r="Q27" s="321">
        <f t="shared" si="9"/>
        <v>33</v>
      </c>
      <c r="R27" s="321">
        <f t="shared" si="10"/>
        <v>0</v>
      </c>
      <c r="S27" s="321">
        <f t="shared" si="11"/>
        <v>576.5</v>
      </c>
      <c r="T27" s="321">
        <f t="shared" si="12"/>
        <v>229.5</v>
      </c>
      <c r="U27" s="321">
        <f t="shared" ref="U27:V27" si="19">M27-Q27</f>
        <v>187</v>
      </c>
      <c r="V27" s="321">
        <f t="shared" si="19"/>
        <v>160</v>
      </c>
      <c r="W27" s="2643"/>
      <c r="X27" s="2664"/>
      <c r="Y27" s="2176"/>
      <c r="Z27" s="13"/>
      <c r="AA27" s="13"/>
      <c r="AB27" s="13"/>
      <c r="AC27" s="13"/>
    </row>
    <row r="28" spans="1:29" ht="15.75" customHeight="1">
      <c r="A28" s="319">
        <v>8</v>
      </c>
      <c r="B28" s="323" t="s">
        <v>2397</v>
      </c>
      <c r="C28" s="319" t="s">
        <v>2383</v>
      </c>
      <c r="D28" s="320">
        <v>4.6500000000000004</v>
      </c>
      <c r="E28" s="319">
        <v>12</v>
      </c>
      <c r="F28" s="319">
        <f t="shared" si="0"/>
        <v>0.1</v>
      </c>
      <c r="G28" s="319"/>
      <c r="H28" s="319">
        <f t="shared" si="1"/>
        <v>0</v>
      </c>
      <c r="I28" s="319"/>
      <c r="J28" s="319">
        <f t="shared" si="2"/>
        <v>0</v>
      </c>
      <c r="K28" s="321">
        <f t="shared" si="3"/>
        <v>650</v>
      </c>
      <c r="L28" s="321">
        <f t="shared" si="4"/>
        <v>200</v>
      </c>
      <c r="M28" s="321">
        <f t="shared" si="5"/>
        <v>295</v>
      </c>
      <c r="N28" s="321">
        <f t="shared" si="6"/>
        <v>155</v>
      </c>
      <c r="O28" s="321">
        <f t="shared" si="7"/>
        <v>49.5</v>
      </c>
      <c r="P28" s="321">
        <f t="shared" si="8"/>
        <v>20</v>
      </c>
      <c r="Q28" s="321">
        <f t="shared" si="9"/>
        <v>29.5</v>
      </c>
      <c r="R28" s="321">
        <f t="shared" si="10"/>
        <v>0</v>
      </c>
      <c r="S28" s="321">
        <f t="shared" si="11"/>
        <v>600.5</v>
      </c>
      <c r="T28" s="321">
        <f t="shared" si="12"/>
        <v>180</v>
      </c>
      <c r="U28" s="321">
        <f t="shared" ref="U28:V28" si="20">M28-Q28</f>
        <v>265.5</v>
      </c>
      <c r="V28" s="321">
        <f t="shared" si="20"/>
        <v>155</v>
      </c>
      <c r="W28" s="2643"/>
      <c r="X28" s="2664"/>
      <c r="Y28" s="2176"/>
      <c r="Z28" s="13"/>
      <c r="AA28" s="13"/>
      <c r="AB28" s="13"/>
      <c r="AC28" s="13"/>
    </row>
    <row r="29" spans="1:29" ht="15.75" customHeight="1">
      <c r="A29" s="319">
        <v>9</v>
      </c>
      <c r="B29" s="323" t="s">
        <v>2398</v>
      </c>
      <c r="C29" s="319" t="s">
        <v>2383</v>
      </c>
      <c r="D29" s="320">
        <v>3</v>
      </c>
      <c r="E29" s="319"/>
      <c r="F29" s="319">
        <f t="shared" si="0"/>
        <v>0</v>
      </c>
      <c r="G29" s="319" t="s">
        <v>200</v>
      </c>
      <c r="H29" s="319">
        <f t="shared" si="1"/>
        <v>1</v>
      </c>
      <c r="I29" s="319"/>
      <c r="J29" s="319">
        <f t="shared" si="2"/>
        <v>0</v>
      </c>
      <c r="K29" s="321">
        <f t="shared" si="3"/>
        <v>650</v>
      </c>
      <c r="L29" s="321">
        <f t="shared" si="4"/>
        <v>200</v>
      </c>
      <c r="M29" s="321">
        <f t="shared" si="5"/>
        <v>225</v>
      </c>
      <c r="N29" s="321">
        <f t="shared" si="6"/>
        <v>225</v>
      </c>
      <c r="O29" s="321">
        <f t="shared" si="7"/>
        <v>650</v>
      </c>
      <c r="P29" s="321">
        <f t="shared" si="8"/>
        <v>200</v>
      </c>
      <c r="Q29" s="321">
        <f t="shared" si="9"/>
        <v>225</v>
      </c>
      <c r="R29" s="321">
        <f t="shared" si="10"/>
        <v>225</v>
      </c>
      <c r="S29" s="321">
        <f t="shared" si="11"/>
        <v>0</v>
      </c>
      <c r="T29" s="321">
        <f t="shared" si="12"/>
        <v>0</v>
      </c>
      <c r="U29" s="321">
        <f t="shared" ref="U29:V29" si="21">M29-Q29</f>
        <v>0</v>
      </c>
      <c r="V29" s="321">
        <f t="shared" si="21"/>
        <v>0</v>
      </c>
      <c r="W29" s="2643"/>
      <c r="X29" s="2664"/>
      <c r="Y29" s="2176"/>
      <c r="Z29" s="13"/>
      <c r="AA29" s="13"/>
      <c r="AB29" s="13"/>
      <c r="AC29" s="13"/>
    </row>
    <row r="30" spans="1:29" ht="15.75" customHeight="1">
      <c r="A30" s="319">
        <v>10</v>
      </c>
      <c r="B30" s="323" t="s">
        <v>2399</v>
      </c>
      <c r="C30" s="319" t="s">
        <v>2383</v>
      </c>
      <c r="D30" s="325">
        <v>44598</v>
      </c>
      <c r="E30" s="319"/>
      <c r="F30" s="319">
        <f t="shared" si="0"/>
        <v>0</v>
      </c>
      <c r="G30" s="319"/>
      <c r="H30" s="319">
        <f t="shared" si="1"/>
        <v>0</v>
      </c>
      <c r="I30" s="319"/>
      <c r="J30" s="319">
        <f t="shared" si="2"/>
        <v>0</v>
      </c>
      <c r="K30" s="321">
        <f t="shared" si="3"/>
        <v>650</v>
      </c>
      <c r="L30" s="321">
        <f t="shared" si="4"/>
        <v>200</v>
      </c>
      <c r="M30" s="321">
        <f t="shared" si="5"/>
        <v>350</v>
      </c>
      <c r="N30" s="321">
        <f t="shared" si="6"/>
        <v>100</v>
      </c>
      <c r="O30" s="321">
        <f t="shared" si="7"/>
        <v>0</v>
      </c>
      <c r="P30" s="321">
        <f t="shared" si="8"/>
        <v>0</v>
      </c>
      <c r="Q30" s="321">
        <f t="shared" si="9"/>
        <v>0</v>
      </c>
      <c r="R30" s="321">
        <f t="shared" si="10"/>
        <v>0</v>
      </c>
      <c r="S30" s="321">
        <f t="shared" si="11"/>
        <v>650</v>
      </c>
      <c r="T30" s="321">
        <f t="shared" si="12"/>
        <v>200</v>
      </c>
      <c r="U30" s="321">
        <f t="shared" ref="U30:V30" si="22">M30-Q30</f>
        <v>350</v>
      </c>
      <c r="V30" s="321">
        <f t="shared" si="22"/>
        <v>100</v>
      </c>
      <c r="W30" s="2643"/>
      <c r="X30" s="2664"/>
      <c r="Y30" s="2176"/>
      <c r="Z30" s="13"/>
      <c r="AA30" s="13"/>
      <c r="AB30" s="13"/>
      <c r="AC30" s="13"/>
    </row>
    <row r="31" spans="1:29">
      <c r="A31" s="319">
        <v>11</v>
      </c>
      <c r="B31" s="323" t="s">
        <v>2400</v>
      </c>
      <c r="C31" s="319" t="s">
        <v>2383</v>
      </c>
      <c r="D31" s="325">
        <v>44598</v>
      </c>
      <c r="E31" s="319">
        <v>20</v>
      </c>
      <c r="F31" s="319">
        <f t="shared" si="0"/>
        <v>0.1</v>
      </c>
      <c r="G31" s="319"/>
      <c r="H31" s="319">
        <f t="shared" si="1"/>
        <v>0</v>
      </c>
      <c r="I31" s="319"/>
      <c r="J31" s="319">
        <f t="shared" si="2"/>
        <v>0</v>
      </c>
      <c r="K31" s="321">
        <f t="shared" si="3"/>
        <v>650</v>
      </c>
      <c r="L31" s="321">
        <f t="shared" si="4"/>
        <v>200</v>
      </c>
      <c r="M31" s="321">
        <f t="shared" si="5"/>
        <v>350</v>
      </c>
      <c r="N31" s="321">
        <f t="shared" si="6"/>
        <v>100</v>
      </c>
      <c r="O31" s="321">
        <f t="shared" si="7"/>
        <v>55</v>
      </c>
      <c r="P31" s="321">
        <f t="shared" si="8"/>
        <v>20</v>
      </c>
      <c r="Q31" s="321">
        <f t="shared" si="9"/>
        <v>35</v>
      </c>
      <c r="R31" s="321">
        <f t="shared" si="10"/>
        <v>0</v>
      </c>
      <c r="S31" s="321">
        <f t="shared" si="11"/>
        <v>595</v>
      </c>
      <c r="T31" s="321">
        <f t="shared" si="12"/>
        <v>180</v>
      </c>
      <c r="U31" s="321">
        <f t="shared" ref="U31:V31" si="23">M31-Q31</f>
        <v>315</v>
      </c>
      <c r="V31" s="321">
        <f t="shared" si="23"/>
        <v>100</v>
      </c>
      <c r="W31" s="2643"/>
      <c r="X31" s="2664"/>
      <c r="Y31" s="2176"/>
      <c r="Z31" s="13"/>
      <c r="AA31" s="13"/>
      <c r="AB31" s="13"/>
      <c r="AC31" s="13"/>
    </row>
    <row r="32" spans="1:29" ht="15.75" customHeight="1">
      <c r="A32" s="319">
        <v>12</v>
      </c>
      <c r="B32" s="323" t="s">
        <v>2401</v>
      </c>
      <c r="C32" s="319" t="s">
        <v>2383</v>
      </c>
      <c r="D32" s="320" t="s">
        <v>2389</v>
      </c>
      <c r="E32" s="319"/>
      <c r="F32" s="319">
        <f t="shared" si="0"/>
        <v>0</v>
      </c>
      <c r="G32" s="319"/>
      <c r="H32" s="319">
        <f t="shared" si="1"/>
        <v>0</v>
      </c>
      <c r="I32" s="319"/>
      <c r="J32" s="319">
        <f t="shared" si="2"/>
        <v>0</v>
      </c>
      <c r="K32" s="321">
        <f t="shared" si="3"/>
        <v>650</v>
      </c>
      <c r="L32" s="321">
        <f t="shared" si="4"/>
        <v>200</v>
      </c>
      <c r="M32" s="321">
        <f t="shared" si="5"/>
        <v>350</v>
      </c>
      <c r="N32" s="321">
        <f t="shared" si="6"/>
        <v>100</v>
      </c>
      <c r="O32" s="321">
        <f t="shared" si="7"/>
        <v>0</v>
      </c>
      <c r="P32" s="321">
        <f t="shared" si="8"/>
        <v>0</v>
      </c>
      <c r="Q32" s="321">
        <f t="shared" si="9"/>
        <v>0</v>
      </c>
      <c r="R32" s="321">
        <f t="shared" si="10"/>
        <v>0</v>
      </c>
      <c r="S32" s="321">
        <f t="shared" si="11"/>
        <v>650</v>
      </c>
      <c r="T32" s="321">
        <f t="shared" si="12"/>
        <v>200</v>
      </c>
      <c r="U32" s="321">
        <f t="shared" ref="U32:V32" si="24">M32-Q32</f>
        <v>350</v>
      </c>
      <c r="V32" s="321">
        <f t="shared" si="24"/>
        <v>100</v>
      </c>
      <c r="W32" s="2643"/>
      <c r="X32" s="2664"/>
      <c r="Y32" s="2176"/>
      <c r="Z32" s="13"/>
      <c r="AA32" s="13"/>
      <c r="AB32" s="13"/>
      <c r="AC32" s="13"/>
    </row>
    <row r="33" spans="1:29" ht="15.75" customHeight="1">
      <c r="A33" s="319">
        <v>13</v>
      </c>
      <c r="B33" s="323" t="s">
        <v>2402</v>
      </c>
      <c r="C33" s="319" t="s">
        <v>2383</v>
      </c>
      <c r="D33" s="320" t="s">
        <v>2403</v>
      </c>
      <c r="E33" s="319"/>
      <c r="F33" s="319">
        <f t="shared" si="0"/>
        <v>0</v>
      </c>
      <c r="G33" s="319"/>
      <c r="H33" s="319">
        <f t="shared" si="1"/>
        <v>0</v>
      </c>
      <c r="I33" s="319"/>
      <c r="J33" s="319">
        <f t="shared" si="2"/>
        <v>0</v>
      </c>
      <c r="K33" s="321">
        <f t="shared" si="3"/>
        <v>650</v>
      </c>
      <c r="L33" s="321">
        <f t="shared" si="4"/>
        <v>200</v>
      </c>
      <c r="M33" s="321">
        <f t="shared" si="5"/>
        <v>350</v>
      </c>
      <c r="N33" s="321">
        <f t="shared" si="6"/>
        <v>100</v>
      </c>
      <c r="O33" s="321">
        <f t="shared" si="7"/>
        <v>0</v>
      </c>
      <c r="P33" s="321">
        <f t="shared" si="8"/>
        <v>0</v>
      </c>
      <c r="Q33" s="321">
        <f t="shared" si="9"/>
        <v>0</v>
      </c>
      <c r="R33" s="321">
        <f t="shared" si="10"/>
        <v>0</v>
      </c>
      <c r="S33" s="321">
        <f t="shared" si="11"/>
        <v>650</v>
      </c>
      <c r="T33" s="321">
        <f t="shared" si="12"/>
        <v>200</v>
      </c>
      <c r="U33" s="321">
        <f t="shared" ref="U33:V33" si="25">M33-Q33</f>
        <v>350</v>
      </c>
      <c r="V33" s="321">
        <f t="shared" si="25"/>
        <v>100</v>
      </c>
      <c r="W33" s="2643"/>
      <c r="X33" s="2664"/>
      <c r="Y33" s="2176"/>
      <c r="Z33" s="13"/>
      <c r="AA33" s="13"/>
      <c r="AB33" s="13"/>
      <c r="AC33" s="13"/>
    </row>
    <row r="34" spans="1:29" ht="15.75" customHeight="1">
      <c r="A34" s="319">
        <v>14</v>
      </c>
      <c r="B34" s="323" t="s">
        <v>2404</v>
      </c>
      <c r="C34" s="319" t="s">
        <v>2383</v>
      </c>
      <c r="D34" s="320">
        <v>3</v>
      </c>
      <c r="E34" s="319"/>
      <c r="F34" s="319">
        <f t="shared" si="0"/>
        <v>0</v>
      </c>
      <c r="G34" s="319"/>
      <c r="H34" s="319">
        <f t="shared" si="1"/>
        <v>0</v>
      </c>
      <c r="I34" s="319"/>
      <c r="J34" s="319">
        <f t="shared" si="2"/>
        <v>0</v>
      </c>
      <c r="K34" s="321">
        <f t="shared" si="3"/>
        <v>650</v>
      </c>
      <c r="L34" s="321">
        <f t="shared" si="4"/>
        <v>200</v>
      </c>
      <c r="M34" s="321">
        <f t="shared" si="5"/>
        <v>225</v>
      </c>
      <c r="N34" s="321">
        <f t="shared" si="6"/>
        <v>225</v>
      </c>
      <c r="O34" s="321">
        <f t="shared" si="7"/>
        <v>0</v>
      </c>
      <c r="P34" s="321">
        <f t="shared" si="8"/>
        <v>0</v>
      </c>
      <c r="Q34" s="321">
        <f t="shared" si="9"/>
        <v>0</v>
      </c>
      <c r="R34" s="321">
        <f t="shared" si="10"/>
        <v>0</v>
      </c>
      <c r="S34" s="321">
        <f t="shared" si="11"/>
        <v>650</v>
      </c>
      <c r="T34" s="321">
        <f t="shared" si="12"/>
        <v>200</v>
      </c>
      <c r="U34" s="321">
        <f t="shared" ref="U34:V34" si="26">M34-Q34</f>
        <v>225</v>
      </c>
      <c r="V34" s="321">
        <f t="shared" si="26"/>
        <v>225</v>
      </c>
      <c r="W34" s="2643"/>
      <c r="X34" s="2664"/>
      <c r="Y34" s="2176"/>
      <c r="Z34" s="13"/>
      <c r="AA34" s="13"/>
      <c r="AB34" s="13"/>
      <c r="AC34" s="13"/>
    </row>
    <row r="35" spans="1:29" ht="15.75" customHeight="1">
      <c r="A35" s="319">
        <v>15</v>
      </c>
      <c r="B35" s="323" t="s">
        <v>2405</v>
      </c>
      <c r="C35" s="319" t="s">
        <v>2383</v>
      </c>
      <c r="D35" s="320">
        <v>3</v>
      </c>
      <c r="E35" s="319"/>
      <c r="F35" s="319">
        <f t="shared" si="0"/>
        <v>0</v>
      </c>
      <c r="G35" s="319" t="s">
        <v>200</v>
      </c>
      <c r="H35" s="319">
        <f t="shared" si="1"/>
        <v>1</v>
      </c>
      <c r="I35" s="319"/>
      <c r="J35" s="319">
        <f t="shared" si="2"/>
        <v>0</v>
      </c>
      <c r="K35" s="321">
        <f t="shared" si="3"/>
        <v>650</v>
      </c>
      <c r="L35" s="321">
        <f t="shared" si="4"/>
        <v>200</v>
      </c>
      <c r="M35" s="321">
        <f t="shared" si="5"/>
        <v>225</v>
      </c>
      <c r="N35" s="321">
        <f t="shared" si="6"/>
        <v>225</v>
      </c>
      <c r="O35" s="321">
        <f t="shared" si="7"/>
        <v>650</v>
      </c>
      <c r="P35" s="321">
        <f t="shared" si="8"/>
        <v>200</v>
      </c>
      <c r="Q35" s="321">
        <f t="shared" si="9"/>
        <v>225</v>
      </c>
      <c r="R35" s="321">
        <f t="shared" si="10"/>
        <v>225</v>
      </c>
      <c r="S35" s="321">
        <f t="shared" si="11"/>
        <v>0</v>
      </c>
      <c r="T35" s="321">
        <f t="shared" si="12"/>
        <v>0</v>
      </c>
      <c r="U35" s="321">
        <f t="shared" ref="U35:V35" si="27">M35-Q35</f>
        <v>0</v>
      </c>
      <c r="V35" s="321">
        <f t="shared" si="27"/>
        <v>0</v>
      </c>
      <c r="W35" s="2643"/>
      <c r="X35" s="2664"/>
      <c r="Y35" s="2176"/>
      <c r="Z35" s="13"/>
      <c r="AA35" s="13"/>
      <c r="AB35" s="13"/>
      <c r="AC35" s="13"/>
    </row>
    <row r="36" spans="1:29" ht="15.75" customHeight="1">
      <c r="A36" s="319">
        <v>16</v>
      </c>
      <c r="B36" s="323" t="s">
        <v>2406</v>
      </c>
      <c r="C36" s="319" t="s">
        <v>2383</v>
      </c>
      <c r="D36" s="320">
        <v>4.74</v>
      </c>
      <c r="E36" s="319"/>
      <c r="F36" s="319">
        <f t="shared" si="0"/>
        <v>0</v>
      </c>
      <c r="G36" s="319"/>
      <c r="H36" s="319">
        <f t="shared" si="1"/>
        <v>0</v>
      </c>
      <c r="I36" s="319"/>
      <c r="J36" s="319">
        <f t="shared" si="2"/>
        <v>0</v>
      </c>
      <c r="K36" s="321">
        <f t="shared" si="3"/>
        <v>650</v>
      </c>
      <c r="L36" s="321">
        <f t="shared" si="4"/>
        <v>200</v>
      </c>
      <c r="M36" s="321">
        <f t="shared" si="5"/>
        <v>295</v>
      </c>
      <c r="N36" s="321">
        <f t="shared" si="6"/>
        <v>155</v>
      </c>
      <c r="O36" s="321">
        <f t="shared" si="7"/>
        <v>0</v>
      </c>
      <c r="P36" s="321">
        <f t="shared" si="8"/>
        <v>0</v>
      </c>
      <c r="Q36" s="321">
        <f t="shared" si="9"/>
        <v>0</v>
      </c>
      <c r="R36" s="321">
        <f t="shared" si="10"/>
        <v>0</v>
      </c>
      <c r="S36" s="321">
        <f t="shared" si="11"/>
        <v>650</v>
      </c>
      <c r="T36" s="321">
        <f t="shared" si="12"/>
        <v>200</v>
      </c>
      <c r="U36" s="321">
        <f t="shared" ref="U36:V36" si="28">M36-Q36</f>
        <v>295</v>
      </c>
      <c r="V36" s="321">
        <f t="shared" si="28"/>
        <v>155</v>
      </c>
      <c r="W36" s="2643"/>
      <c r="X36" s="2664"/>
      <c r="Y36" s="2176"/>
      <c r="Z36" s="13"/>
      <c r="AA36" s="13"/>
      <c r="AB36" s="13"/>
      <c r="AC36" s="13"/>
    </row>
    <row r="37" spans="1:29" ht="15.75" customHeight="1">
      <c r="A37" s="319">
        <v>17</v>
      </c>
      <c r="B37" s="323" t="s">
        <v>2407</v>
      </c>
      <c r="C37" s="319" t="s">
        <v>2383</v>
      </c>
      <c r="D37" s="320" t="s">
        <v>2408</v>
      </c>
      <c r="E37" s="319">
        <v>5</v>
      </c>
      <c r="F37" s="319">
        <f t="shared" si="0"/>
        <v>0.3</v>
      </c>
      <c r="G37" s="319"/>
      <c r="H37" s="319">
        <f t="shared" si="1"/>
        <v>0</v>
      </c>
      <c r="I37" s="319"/>
      <c r="J37" s="319">
        <f t="shared" si="2"/>
        <v>0</v>
      </c>
      <c r="K37" s="321">
        <f t="shared" si="3"/>
        <v>650</v>
      </c>
      <c r="L37" s="321">
        <f t="shared" si="4"/>
        <v>200</v>
      </c>
      <c r="M37" s="321">
        <f t="shared" si="5"/>
        <v>350</v>
      </c>
      <c r="N37" s="321">
        <f t="shared" si="6"/>
        <v>100</v>
      </c>
      <c r="O37" s="321">
        <f t="shared" si="7"/>
        <v>165</v>
      </c>
      <c r="P37" s="321">
        <f t="shared" si="8"/>
        <v>60</v>
      </c>
      <c r="Q37" s="321">
        <f t="shared" si="9"/>
        <v>105</v>
      </c>
      <c r="R37" s="321">
        <f t="shared" si="10"/>
        <v>0</v>
      </c>
      <c r="S37" s="321">
        <f t="shared" si="11"/>
        <v>485</v>
      </c>
      <c r="T37" s="321">
        <f t="shared" si="12"/>
        <v>140</v>
      </c>
      <c r="U37" s="321">
        <f t="shared" ref="U37:V37" si="29">M37-Q37</f>
        <v>245</v>
      </c>
      <c r="V37" s="321">
        <f t="shared" si="29"/>
        <v>100</v>
      </c>
      <c r="W37" s="2643"/>
      <c r="X37" s="2664"/>
      <c r="Y37" s="2176"/>
      <c r="Z37" s="13"/>
      <c r="AA37" s="13"/>
      <c r="AB37" s="13"/>
      <c r="AC37" s="13"/>
    </row>
    <row r="38" spans="1:29" ht="15.75" customHeight="1">
      <c r="A38" s="319">
        <v>18</v>
      </c>
      <c r="B38" s="323" t="s">
        <v>2409</v>
      </c>
      <c r="C38" s="319" t="s">
        <v>2386</v>
      </c>
      <c r="D38" s="325">
        <v>44655</v>
      </c>
      <c r="E38" s="319">
        <v>10</v>
      </c>
      <c r="F38" s="319">
        <f t="shared" si="0"/>
        <v>0.15</v>
      </c>
      <c r="G38" s="319"/>
      <c r="H38" s="319">
        <f t="shared" si="1"/>
        <v>0</v>
      </c>
      <c r="I38" s="319"/>
      <c r="J38" s="319">
        <f t="shared" si="2"/>
        <v>0</v>
      </c>
      <c r="K38" s="321">
        <f t="shared" si="3"/>
        <v>650</v>
      </c>
      <c r="L38" s="321">
        <f t="shared" si="4"/>
        <v>270</v>
      </c>
      <c r="M38" s="321">
        <f t="shared" si="5"/>
        <v>260</v>
      </c>
      <c r="N38" s="321">
        <f t="shared" si="6"/>
        <v>120</v>
      </c>
      <c r="O38" s="321">
        <f t="shared" si="7"/>
        <v>79.5</v>
      </c>
      <c r="P38" s="321">
        <f t="shared" si="8"/>
        <v>40.5</v>
      </c>
      <c r="Q38" s="321">
        <f t="shared" si="9"/>
        <v>39</v>
      </c>
      <c r="R38" s="321">
        <f t="shared" si="10"/>
        <v>0</v>
      </c>
      <c r="S38" s="321">
        <f t="shared" si="11"/>
        <v>570.5</v>
      </c>
      <c r="T38" s="321">
        <f t="shared" si="12"/>
        <v>229.5</v>
      </c>
      <c r="U38" s="321">
        <f t="shared" ref="U38:V38" si="30">M38-Q38</f>
        <v>221</v>
      </c>
      <c r="V38" s="321">
        <f t="shared" si="30"/>
        <v>120</v>
      </c>
      <c r="W38" s="2643"/>
      <c r="X38" s="2664"/>
      <c r="Y38" s="2176"/>
      <c r="Z38" s="13"/>
      <c r="AA38" s="13"/>
      <c r="AB38" s="13"/>
      <c r="AC38" s="13"/>
    </row>
    <row r="39" spans="1:29" ht="15.75" customHeight="1">
      <c r="A39" s="319">
        <v>19</v>
      </c>
      <c r="B39" s="323" t="s">
        <v>2410</v>
      </c>
      <c r="C39" s="319" t="s">
        <v>2383</v>
      </c>
      <c r="D39" s="320">
        <v>8</v>
      </c>
      <c r="E39" s="319"/>
      <c r="F39" s="319">
        <f t="shared" si="0"/>
        <v>0</v>
      </c>
      <c r="G39" s="319"/>
      <c r="H39" s="319">
        <f t="shared" si="1"/>
        <v>0</v>
      </c>
      <c r="I39" s="319"/>
      <c r="J39" s="319">
        <f t="shared" si="2"/>
        <v>0</v>
      </c>
      <c r="K39" s="321">
        <f t="shared" si="3"/>
        <v>650</v>
      </c>
      <c r="L39" s="321">
        <f t="shared" si="4"/>
        <v>200</v>
      </c>
      <c r="M39" s="321">
        <f t="shared" si="5"/>
        <v>350</v>
      </c>
      <c r="N39" s="321">
        <f t="shared" si="6"/>
        <v>100</v>
      </c>
      <c r="O39" s="321">
        <f t="shared" si="7"/>
        <v>0</v>
      </c>
      <c r="P39" s="321">
        <f t="shared" si="8"/>
        <v>0</v>
      </c>
      <c r="Q39" s="321">
        <f t="shared" si="9"/>
        <v>0</v>
      </c>
      <c r="R39" s="321">
        <f t="shared" si="10"/>
        <v>0</v>
      </c>
      <c r="S39" s="321">
        <f t="shared" si="11"/>
        <v>650</v>
      </c>
      <c r="T39" s="321">
        <f t="shared" si="12"/>
        <v>200</v>
      </c>
      <c r="U39" s="321">
        <f t="shared" ref="U39:V39" si="31">M39-Q39</f>
        <v>350</v>
      </c>
      <c r="V39" s="321">
        <f t="shared" si="31"/>
        <v>100</v>
      </c>
      <c r="W39" s="2643"/>
      <c r="X39" s="2664"/>
      <c r="Y39" s="2176"/>
      <c r="Z39" s="13"/>
      <c r="AA39" s="13"/>
      <c r="AB39" s="13"/>
      <c r="AC39" s="13"/>
    </row>
    <row r="40" spans="1:29" ht="15.75" customHeight="1">
      <c r="A40" s="319">
        <v>20</v>
      </c>
      <c r="B40" s="323" t="s">
        <v>2411</v>
      </c>
      <c r="C40" s="319" t="s">
        <v>2383</v>
      </c>
      <c r="D40" s="320" t="s">
        <v>2412</v>
      </c>
      <c r="E40" s="319"/>
      <c r="F40" s="319">
        <f t="shared" si="0"/>
        <v>0</v>
      </c>
      <c r="G40" s="319"/>
      <c r="H40" s="319">
        <f t="shared" si="1"/>
        <v>0</v>
      </c>
      <c r="I40" s="319"/>
      <c r="J40" s="319">
        <f t="shared" si="2"/>
        <v>0</v>
      </c>
      <c r="K40" s="321">
        <f t="shared" si="3"/>
        <v>650</v>
      </c>
      <c r="L40" s="321">
        <f t="shared" si="4"/>
        <v>200</v>
      </c>
      <c r="M40" s="321">
        <f t="shared" si="5"/>
        <v>350</v>
      </c>
      <c r="N40" s="321">
        <f t="shared" si="6"/>
        <v>100</v>
      </c>
      <c r="O40" s="321">
        <f t="shared" si="7"/>
        <v>0</v>
      </c>
      <c r="P40" s="321">
        <f t="shared" si="8"/>
        <v>0</v>
      </c>
      <c r="Q40" s="321">
        <f t="shared" si="9"/>
        <v>0</v>
      </c>
      <c r="R40" s="321">
        <f t="shared" si="10"/>
        <v>0</v>
      </c>
      <c r="S40" s="321">
        <f t="shared" si="11"/>
        <v>650</v>
      </c>
      <c r="T40" s="321">
        <f t="shared" si="12"/>
        <v>200</v>
      </c>
      <c r="U40" s="321">
        <f t="shared" ref="U40:V40" si="32">M40-Q40</f>
        <v>350</v>
      </c>
      <c r="V40" s="321">
        <f t="shared" si="32"/>
        <v>100</v>
      </c>
      <c r="W40" s="2643"/>
      <c r="X40" s="2664"/>
      <c r="Y40" s="2176"/>
      <c r="Z40" s="13"/>
      <c r="AA40" s="13"/>
      <c r="AB40" s="13"/>
      <c r="AC40" s="13"/>
    </row>
    <row r="41" spans="1:29" ht="15.75" customHeight="1">
      <c r="A41" s="319">
        <v>21</v>
      </c>
      <c r="B41" s="323" t="s">
        <v>2413</v>
      </c>
      <c r="C41" s="319" t="s">
        <v>2383</v>
      </c>
      <c r="D41" s="325">
        <v>44655</v>
      </c>
      <c r="E41" s="319"/>
      <c r="F41" s="319">
        <f t="shared" si="0"/>
        <v>0</v>
      </c>
      <c r="G41" s="319"/>
      <c r="H41" s="319">
        <f t="shared" si="1"/>
        <v>0</v>
      </c>
      <c r="I41" s="319"/>
      <c r="J41" s="319">
        <f t="shared" si="2"/>
        <v>0</v>
      </c>
      <c r="K41" s="321">
        <f t="shared" si="3"/>
        <v>650</v>
      </c>
      <c r="L41" s="321">
        <f t="shared" si="4"/>
        <v>200</v>
      </c>
      <c r="M41" s="321">
        <f t="shared" si="5"/>
        <v>350</v>
      </c>
      <c r="N41" s="321">
        <f t="shared" si="6"/>
        <v>100</v>
      </c>
      <c r="O41" s="321">
        <f t="shared" si="7"/>
        <v>0</v>
      </c>
      <c r="P41" s="321">
        <f t="shared" si="8"/>
        <v>0</v>
      </c>
      <c r="Q41" s="321">
        <f t="shared" si="9"/>
        <v>0</v>
      </c>
      <c r="R41" s="321">
        <f t="shared" si="10"/>
        <v>0</v>
      </c>
      <c r="S41" s="321">
        <f t="shared" si="11"/>
        <v>650</v>
      </c>
      <c r="T41" s="321">
        <f t="shared" si="12"/>
        <v>200</v>
      </c>
      <c r="U41" s="321">
        <f t="shared" ref="U41:V41" si="33">M41-Q41</f>
        <v>350</v>
      </c>
      <c r="V41" s="321">
        <f t="shared" si="33"/>
        <v>100</v>
      </c>
      <c r="W41" s="2643"/>
      <c r="X41" s="2664"/>
      <c r="Y41" s="2176"/>
      <c r="Z41" s="13"/>
      <c r="AA41" s="13"/>
      <c r="AB41" s="13"/>
      <c r="AC41" s="13"/>
    </row>
    <row r="42" spans="1:29" ht="15.75" customHeight="1">
      <c r="A42" s="319">
        <v>22</v>
      </c>
      <c r="B42" s="323" t="s">
        <v>2414</v>
      </c>
      <c r="C42" s="319" t="s">
        <v>2383</v>
      </c>
      <c r="D42" s="320" t="s">
        <v>2415</v>
      </c>
      <c r="E42" s="319"/>
      <c r="F42" s="319">
        <f t="shared" si="0"/>
        <v>0</v>
      </c>
      <c r="G42" s="319" t="s">
        <v>200</v>
      </c>
      <c r="H42" s="319">
        <f t="shared" si="1"/>
        <v>1</v>
      </c>
      <c r="I42" s="319"/>
      <c r="J42" s="319">
        <f t="shared" si="2"/>
        <v>0</v>
      </c>
      <c r="K42" s="321">
        <f t="shared" si="3"/>
        <v>650</v>
      </c>
      <c r="L42" s="321">
        <f t="shared" si="4"/>
        <v>200</v>
      </c>
      <c r="M42" s="321">
        <f t="shared" si="5"/>
        <v>350</v>
      </c>
      <c r="N42" s="321">
        <f t="shared" si="6"/>
        <v>100</v>
      </c>
      <c r="O42" s="321">
        <f t="shared" si="7"/>
        <v>650</v>
      </c>
      <c r="P42" s="321">
        <f t="shared" si="8"/>
        <v>200</v>
      </c>
      <c r="Q42" s="321">
        <f t="shared" si="9"/>
        <v>350</v>
      </c>
      <c r="R42" s="321">
        <f t="shared" si="10"/>
        <v>100</v>
      </c>
      <c r="S42" s="321">
        <f t="shared" si="11"/>
        <v>0</v>
      </c>
      <c r="T42" s="321">
        <f t="shared" si="12"/>
        <v>0</v>
      </c>
      <c r="U42" s="321">
        <f t="shared" ref="U42:V42" si="34">M42-Q42</f>
        <v>0</v>
      </c>
      <c r="V42" s="321">
        <f t="shared" si="34"/>
        <v>0</v>
      </c>
      <c r="W42" s="2643"/>
      <c r="X42" s="2664"/>
      <c r="Y42" s="2176"/>
      <c r="Z42" s="13"/>
      <c r="AA42" s="13"/>
      <c r="AB42" s="13"/>
      <c r="AC42" s="13"/>
    </row>
    <row r="43" spans="1:29" ht="15.75" customHeight="1">
      <c r="A43" s="319">
        <v>23</v>
      </c>
      <c r="B43" s="323" t="s">
        <v>2416</v>
      </c>
      <c r="C43" s="319" t="s">
        <v>2386</v>
      </c>
      <c r="D43" s="320">
        <v>4.74</v>
      </c>
      <c r="E43" s="319"/>
      <c r="F43" s="319">
        <f t="shared" si="0"/>
        <v>0</v>
      </c>
      <c r="G43" s="319"/>
      <c r="H43" s="319">
        <f t="shared" si="1"/>
        <v>0</v>
      </c>
      <c r="I43" s="319"/>
      <c r="J43" s="319">
        <f t="shared" si="2"/>
        <v>0</v>
      </c>
      <c r="K43" s="321">
        <f t="shared" si="3"/>
        <v>650</v>
      </c>
      <c r="L43" s="321">
        <f t="shared" si="4"/>
        <v>270</v>
      </c>
      <c r="M43" s="321">
        <f t="shared" si="5"/>
        <v>220</v>
      </c>
      <c r="N43" s="321">
        <f t="shared" si="6"/>
        <v>160</v>
      </c>
      <c r="O43" s="321">
        <f t="shared" si="7"/>
        <v>0</v>
      </c>
      <c r="P43" s="321">
        <f t="shared" si="8"/>
        <v>0</v>
      </c>
      <c r="Q43" s="321">
        <f t="shared" si="9"/>
        <v>0</v>
      </c>
      <c r="R43" s="321">
        <f t="shared" si="10"/>
        <v>0</v>
      </c>
      <c r="S43" s="321">
        <f t="shared" si="11"/>
        <v>650</v>
      </c>
      <c r="T43" s="321">
        <f t="shared" si="12"/>
        <v>270</v>
      </c>
      <c r="U43" s="321">
        <f t="shared" ref="U43:V43" si="35">M43-Q43</f>
        <v>220</v>
      </c>
      <c r="V43" s="321">
        <f t="shared" si="35"/>
        <v>160</v>
      </c>
      <c r="W43" s="2643"/>
      <c r="X43" s="2664"/>
      <c r="Y43" s="2176"/>
      <c r="Z43" s="13"/>
      <c r="AA43" s="13"/>
      <c r="AB43" s="13"/>
      <c r="AC43" s="13"/>
    </row>
    <row r="44" spans="1:29" ht="15.75" customHeight="1">
      <c r="A44" s="319">
        <v>24</v>
      </c>
      <c r="B44" s="323" t="s">
        <v>2417</v>
      </c>
      <c r="C44" s="319" t="s">
        <v>2386</v>
      </c>
      <c r="D44" s="320" t="s">
        <v>2412</v>
      </c>
      <c r="E44" s="319">
        <v>5</v>
      </c>
      <c r="F44" s="319">
        <f t="shared" si="0"/>
        <v>0.3</v>
      </c>
      <c r="G44" s="319"/>
      <c r="H44" s="319">
        <f t="shared" si="1"/>
        <v>0</v>
      </c>
      <c r="I44" s="319"/>
      <c r="J44" s="319">
        <f t="shared" si="2"/>
        <v>0</v>
      </c>
      <c r="K44" s="321">
        <f t="shared" si="3"/>
        <v>650</v>
      </c>
      <c r="L44" s="321">
        <f t="shared" si="4"/>
        <v>270</v>
      </c>
      <c r="M44" s="321">
        <f t="shared" si="5"/>
        <v>260</v>
      </c>
      <c r="N44" s="321">
        <f t="shared" si="6"/>
        <v>120</v>
      </c>
      <c r="O44" s="321">
        <f t="shared" si="7"/>
        <v>159</v>
      </c>
      <c r="P44" s="321">
        <f t="shared" si="8"/>
        <v>81</v>
      </c>
      <c r="Q44" s="321">
        <f t="shared" si="9"/>
        <v>78</v>
      </c>
      <c r="R44" s="321">
        <f t="shared" si="10"/>
        <v>0</v>
      </c>
      <c r="S44" s="321">
        <f t="shared" si="11"/>
        <v>491</v>
      </c>
      <c r="T44" s="321">
        <f t="shared" si="12"/>
        <v>189</v>
      </c>
      <c r="U44" s="321">
        <f t="shared" ref="U44:V44" si="36">M44-Q44</f>
        <v>182</v>
      </c>
      <c r="V44" s="321">
        <f t="shared" si="36"/>
        <v>120</v>
      </c>
      <c r="W44" s="2643"/>
      <c r="X44" s="2664"/>
      <c r="Y44" s="2176"/>
      <c r="Z44" s="13"/>
      <c r="AA44" s="13"/>
      <c r="AB44" s="13"/>
      <c r="AC44" s="13"/>
    </row>
    <row r="45" spans="1:29" ht="15.75" customHeight="1">
      <c r="A45" s="319">
        <v>25</v>
      </c>
      <c r="B45" s="323" t="s">
        <v>2418</v>
      </c>
      <c r="C45" s="319" t="s">
        <v>2386</v>
      </c>
      <c r="D45" s="320">
        <v>4.74</v>
      </c>
      <c r="E45" s="319"/>
      <c r="F45" s="319">
        <f t="shared" si="0"/>
        <v>0</v>
      </c>
      <c r="G45" s="319"/>
      <c r="H45" s="319">
        <f t="shared" si="1"/>
        <v>0</v>
      </c>
      <c r="I45" s="319"/>
      <c r="J45" s="319">
        <f t="shared" si="2"/>
        <v>0</v>
      </c>
      <c r="K45" s="321">
        <f t="shared" si="3"/>
        <v>650</v>
      </c>
      <c r="L45" s="321">
        <f t="shared" si="4"/>
        <v>270</v>
      </c>
      <c r="M45" s="321">
        <f t="shared" si="5"/>
        <v>220</v>
      </c>
      <c r="N45" s="321">
        <f t="shared" si="6"/>
        <v>160</v>
      </c>
      <c r="O45" s="321">
        <f t="shared" si="7"/>
        <v>0</v>
      </c>
      <c r="P45" s="321">
        <f t="shared" si="8"/>
        <v>0</v>
      </c>
      <c r="Q45" s="321">
        <f t="shared" si="9"/>
        <v>0</v>
      </c>
      <c r="R45" s="321">
        <f t="shared" si="10"/>
        <v>0</v>
      </c>
      <c r="S45" s="321">
        <f t="shared" si="11"/>
        <v>650</v>
      </c>
      <c r="T45" s="321">
        <f t="shared" si="12"/>
        <v>270</v>
      </c>
      <c r="U45" s="321">
        <f t="shared" ref="U45:V45" si="37">M45-Q45</f>
        <v>220</v>
      </c>
      <c r="V45" s="321">
        <f t="shared" si="37"/>
        <v>160</v>
      </c>
      <c r="W45" s="2643"/>
      <c r="X45" s="2664"/>
      <c r="Y45" s="2176"/>
      <c r="Z45" s="13"/>
      <c r="AA45" s="13"/>
      <c r="AB45" s="13"/>
      <c r="AC45" s="13"/>
    </row>
    <row r="46" spans="1:29" ht="15.75" customHeight="1">
      <c r="A46" s="319">
        <v>26</v>
      </c>
      <c r="B46" s="323" t="s">
        <v>2419</v>
      </c>
      <c r="C46" s="319" t="s">
        <v>2386</v>
      </c>
      <c r="D46" s="326" t="s">
        <v>2420</v>
      </c>
      <c r="E46" s="319"/>
      <c r="F46" s="319">
        <f t="shared" si="0"/>
        <v>0</v>
      </c>
      <c r="G46" s="319"/>
      <c r="H46" s="319">
        <f t="shared" si="1"/>
        <v>0</v>
      </c>
      <c r="I46" s="319"/>
      <c r="J46" s="319">
        <f t="shared" si="2"/>
        <v>0</v>
      </c>
      <c r="K46" s="321">
        <f t="shared" si="3"/>
        <v>650</v>
      </c>
      <c r="L46" s="321">
        <f t="shared" si="4"/>
        <v>270</v>
      </c>
      <c r="M46" s="321">
        <f t="shared" si="5"/>
        <v>260</v>
      </c>
      <c r="N46" s="321">
        <f t="shared" si="6"/>
        <v>120</v>
      </c>
      <c r="O46" s="321">
        <f t="shared" si="7"/>
        <v>0</v>
      </c>
      <c r="P46" s="321">
        <f t="shared" si="8"/>
        <v>0</v>
      </c>
      <c r="Q46" s="321">
        <f t="shared" si="9"/>
        <v>0</v>
      </c>
      <c r="R46" s="321">
        <f t="shared" si="10"/>
        <v>0</v>
      </c>
      <c r="S46" s="321">
        <f t="shared" si="11"/>
        <v>650</v>
      </c>
      <c r="T46" s="321">
        <f t="shared" si="12"/>
        <v>270</v>
      </c>
      <c r="U46" s="321">
        <f t="shared" ref="U46:V46" si="38">M46-Q46</f>
        <v>260</v>
      </c>
      <c r="V46" s="321">
        <f t="shared" si="38"/>
        <v>120</v>
      </c>
      <c r="W46" s="2643"/>
      <c r="X46" s="2664"/>
      <c r="Y46" s="2176"/>
      <c r="Z46" s="13"/>
      <c r="AA46" s="13"/>
      <c r="AB46" s="13"/>
      <c r="AC46" s="13"/>
    </row>
    <row r="47" spans="1:29" ht="15.75" customHeight="1">
      <c r="A47" s="2925" t="s">
        <v>2421</v>
      </c>
      <c r="B47" s="2783"/>
      <c r="C47" s="327"/>
      <c r="D47" s="328"/>
      <c r="E47" s="329"/>
      <c r="F47" s="319"/>
      <c r="G47" s="330"/>
      <c r="H47" s="330"/>
      <c r="I47" s="312"/>
      <c r="J47" s="312"/>
      <c r="K47" s="331">
        <f t="shared" ref="K47:V47" si="39">SUM(K21:K46)</f>
        <v>16900</v>
      </c>
      <c r="L47" s="331">
        <f t="shared" si="39"/>
        <v>5980</v>
      </c>
      <c r="M47" s="331">
        <f t="shared" si="39"/>
        <v>7420</v>
      </c>
      <c r="N47" s="331">
        <f t="shared" si="39"/>
        <v>3500</v>
      </c>
      <c r="O47" s="331">
        <f t="shared" si="39"/>
        <v>2670</v>
      </c>
      <c r="P47" s="331">
        <f t="shared" si="39"/>
        <v>942</v>
      </c>
      <c r="Q47" s="331">
        <f t="shared" si="39"/>
        <v>1178</v>
      </c>
      <c r="R47" s="331">
        <f t="shared" si="39"/>
        <v>550</v>
      </c>
      <c r="S47" s="331">
        <f t="shared" si="39"/>
        <v>14230</v>
      </c>
      <c r="T47" s="331">
        <f t="shared" si="39"/>
        <v>5038</v>
      </c>
      <c r="U47" s="331">
        <f t="shared" si="39"/>
        <v>6242</v>
      </c>
      <c r="V47" s="331">
        <f t="shared" si="39"/>
        <v>2950</v>
      </c>
      <c r="W47" s="2644"/>
      <c r="X47" s="2665"/>
      <c r="Y47" s="2178"/>
      <c r="Z47" s="13"/>
      <c r="AA47" s="13"/>
      <c r="AB47" s="13"/>
      <c r="AC47" s="13"/>
    </row>
    <row r="48" spans="1:29" ht="15.75" customHeight="1">
      <c r="A48" s="332"/>
      <c r="B48" s="330"/>
      <c r="C48" s="327"/>
      <c r="D48" s="328"/>
      <c r="E48" s="329"/>
      <c r="F48" s="319"/>
      <c r="G48" s="330"/>
      <c r="H48" s="330"/>
      <c r="I48" s="312"/>
      <c r="J48" s="312"/>
      <c r="K48" s="331">
        <f>K47-SUM(L47:N47)</f>
        <v>0</v>
      </c>
      <c r="L48" s="331"/>
      <c r="M48" s="331"/>
      <c r="N48" s="331"/>
      <c r="O48" s="331">
        <f>O47-SUM(P47:R47)</f>
        <v>0</v>
      </c>
      <c r="P48" s="331"/>
      <c r="Q48" s="331"/>
      <c r="R48" s="331"/>
      <c r="S48" s="331">
        <f>S47-SUM(T47:V47)</f>
        <v>0</v>
      </c>
      <c r="T48" s="331"/>
      <c r="U48" s="331"/>
      <c r="V48" s="331"/>
      <c r="W48" s="2644"/>
      <c r="X48" s="2665"/>
      <c r="Y48" s="2178"/>
      <c r="Z48" s="13"/>
      <c r="AA48" s="13"/>
      <c r="AB48" s="13"/>
      <c r="AC48" s="13"/>
    </row>
    <row r="49" spans="1:29" ht="15.75" customHeight="1">
      <c r="A49" s="309" t="s">
        <v>2422</v>
      </c>
      <c r="B49" s="312" t="s">
        <v>2423</v>
      </c>
      <c r="C49" s="333"/>
      <c r="D49" s="328"/>
      <c r="E49" s="334"/>
      <c r="F49" s="319"/>
      <c r="G49" s="312"/>
      <c r="H49" s="335"/>
      <c r="I49" s="2896" t="s">
        <v>1532</v>
      </c>
      <c r="J49" s="2179"/>
      <c r="K49" s="2966" t="s">
        <v>2354</v>
      </c>
      <c r="L49" s="2782"/>
      <c r="M49" s="2782"/>
      <c r="N49" s="2783"/>
      <c r="O49" s="2966" t="s">
        <v>2355</v>
      </c>
      <c r="P49" s="2782"/>
      <c r="Q49" s="2782"/>
      <c r="R49" s="2783"/>
      <c r="S49" s="2966" t="s">
        <v>2356</v>
      </c>
      <c r="T49" s="2782"/>
      <c r="U49" s="2782"/>
      <c r="V49" s="2783"/>
      <c r="W49" s="2967" t="s">
        <v>32</v>
      </c>
      <c r="X49" s="2664"/>
      <c r="Y49" s="2176"/>
      <c r="Z49" s="13"/>
      <c r="AA49" s="13"/>
      <c r="AB49" s="13"/>
      <c r="AC49" s="13"/>
    </row>
    <row r="50" spans="1:29" ht="38.25">
      <c r="A50" s="307"/>
      <c r="B50" s="315" t="s">
        <v>2424</v>
      </c>
      <c r="C50" s="336"/>
      <c r="D50" s="337" t="s">
        <v>2425</v>
      </c>
      <c r="E50" s="338"/>
      <c r="F50" s="319"/>
      <c r="G50" s="314"/>
      <c r="H50" s="339"/>
      <c r="I50" s="2779"/>
      <c r="J50" s="340"/>
      <c r="K50" s="307" t="s">
        <v>1911</v>
      </c>
      <c r="L50" s="307" t="s">
        <v>2364</v>
      </c>
      <c r="M50" s="307" t="s">
        <v>2365</v>
      </c>
      <c r="N50" s="307" t="s">
        <v>2366</v>
      </c>
      <c r="O50" s="307" t="s">
        <v>1911</v>
      </c>
      <c r="P50" s="307" t="s">
        <v>2364</v>
      </c>
      <c r="Q50" s="307" t="s">
        <v>2365</v>
      </c>
      <c r="R50" s="307" t="s">
        <v>2366</v>
      </c>
      <c r="S50" s="307" t="s">
        <v>1911</v>
      </c>
      <c r="T50" s="307" t="s">
        <v>2364</v>
      </c>
      <c r="U50" s="307" t="s">
        <v>2365</v>
      </c>
      <c r="V50" s="307" t="s">
        <v>2366</v>
      </c>
      <c r="W50" s="2968"/>
      <c r="X50" s="2664"/>
      <c r="Y50" s="2176"/>
      <c r="Z50" s="13"/>
      <c r="AA50" s="13"/>
      <c r="AB50" s="13"/>
      <c r="AC50" s="13"/>
    </row>
    <row r="51" spans="1:29" ht="15.75" customHeight="1">
      <c r="A51" s="307"/>
      <c r="B51" s="315" t="s">
        <v>2426</v>
      </c>
      <c r="C51" s="336"/>
      <c r="D51" s="341"/>
      <c r="E51" s="342"/>
      <c r="F51" s="319"/>
      <c r="G51" s="315"/>
      <c r="H51" s="315"/>
      <c r="I51" s="310" t="s">
        <v>467</v>
      </c>
      <c r="J51" s="310"/>
      <c r="K51" s="310" t="s">
        <v>468</v>
      </c>
      <c r="L51" s="310" t="s">
        <v>469</v>
      </c>
      <c r="M51" s="310" t="s">
        <v>470</v>
      </c>
      <c r="N51" s="310" t="s">
        <v>471</v>
      </c>
      <c r="O51" s="310" t="s">
        <v>1536</v>
      </c>
      <c r="P51" s="310" t="s">
        <v>2368</v>
      </c>
      <c r="Q51" s="310" t="s">
        <v>474</v>
      </c>
      <c r="R51" s="311" t="s">
        <v>475</v>
      </c>
      <c r="S51" s="310" t="s">
        <v>625</v>
      </c>
      <c r="T51" s="310" t="s">
        <v>534</v>
      </c>
      <c r="U51" s="310" t="s">
        <v>535</v>
      </c>
      <c r="V51" s="310" t="s">
        <v>536</v>
      </c>
      <c r="W51" s="345" t="s">
        <v>537</v>
      </c>
      <c r="X51" s="2664"/>
      <c r="Y51" s="2176"/>
      <c r="Z51" s="13"/>
      <c r="AA51" s="13"/>
      <c r="AB51" s="13"/>
      <c r="AC51" s="13"/>
    </row>
    <row r="52" spans="1:29" ht="15.75" customHeight="1">
      <c r="A52" s="307"/>
      <c r="B52" s="315" t="s">
        <v>2427</v>
      </c>
      <c r="C52" s="336"/>
      <c r="D52" s="341"/>
      <c r="E52" s="342"/>
      <c r="F52" s="319"/>
      <c r="G52" s="315"/>
      <c r="H52" s="315"/>
      <c r="I52" s="307"/>
      <c r="J52" s="307"/>
      <c r="K52" s="307"/>
      <c r="L52" s="307"/>
      <c r="M52" s="307"/>
      <c r="N52" s="307"/>
      <c r="O52" s="307"/>
      <c r="P52" s="307"/>
      <c r="Q52" s="307"/>
      <c r="R52" s="307"/>
      <c r="S52" s="307"/>
      <c r="T52" s="307"/>
      <c r="U52" s="307"/>
      <c r="V52" s="307"/>
      <c r="W52" s="2608"/>
      <c r="X52" s="2664"/>
      <c r="Y52" s="2176"/>
      <c r="Z52" s="13"/>
      <c r="AA52" s="13"/>
      <c r="AB52" s="13"/>
      <c r="AC52" s="13"/>
    </row>
    <row r="53" spans="1:29" ht="15.75" customHeight="1">
      <c r="A53" s="307">
        <v>1</v>
      </c>
      <c r="B53" s="315" t="s">
        <v>2428</v>
      </c>
      <c r="C53" s="343" t="s">
        <v>2383</v>
      </c>
      <c r="D53" s="320" t="s">
        <v>2429</v>
      </c>
      <c r="E53" s="342"/>
      <c r="F53" s="319">
        <f t="shared" ref="F53:F63" si="40">IF(E53=1, 0.75, IF(OR(E53=2, E53=14, E53=21), 0.7, IF(OR(E53=3, E53=17), 0.65, IF(E53=4, 0.4, IF(OR(E53=5, E53=6, E53=25), 0.3, IF(OR(E53=7, E53=8, E53=9, E53=26), 0.2, IF(OR(E53=10, E53=15, E53=18), 0.15, IF(OR(E53=11, E53=12, E53=16, E53=19, E53=20), 0.1, IF(E53=24, 0.35, IF(E53=27, 0.5, 0))))))))))</f>
        <v>0</v>
      </c>
      <c r="G53" s="319"/>
      <c r="H53" s="319">
        <f t="shared" ref="H53:H63" si="41">IF(G53="A", 1, IF(G53="B", 0.7, IF(G53="C", 0.6, 0)))</f>
        <v>0</v>
      </c>
      <c r="I53" s="319"/>
      <c r="J53" s="319">
        <f t="shared" ref="J53:J63" si="42">IF(I53="D", 1, IF(OR(I53="E", I53="F"), 0.1, 0))</f>
        <v>0</v>
      </c>
      <c r="K53" s="321">
        <f t="shared" ref="K53:K63" si="43">L53+M53+N53</f>
        <v>650</v>
      </c>
      <c r="L53" s="321">
        <f t="shared" ref="L53:L63" si="44">IF(C53="N1", 270, IF(C53="N2", 350, IF(C53="N3", 200, 0)))</f>
        <v>200</v>
      </c>
      <c r="M53" s="321">
        <f t="shared" ref="M53:M63" si="45">IF(AND(C53="N1", D53&gt;=6.2),260, IF(AND(C53="N1",D53&gt;=5.76),240,IF(AND(C53="N1",D53&gt;=4.4),220,IF(AND(C53="N1", D53&gt;=4.32), 200,IF(AND(C53="N1", D53&gt;=3.33),175,IF(AND(C53="N1", D53&gt;=2.34),165, IF(AND(C53="N2",D53&gt;=6.2),200, IF(AND(C53="N2",5.76&lt;=D53),185,IF(AND(C53="N2",4.4&lt;=D53),170,IF(AND(C53="N2",4.32&lt;=D53), 155, IF(AND(C53="N2",3.33&lt;=D53),135,IF(AND(C53="N2",2.34&lt;=D53),125, IF(AND(C53="N3",D53&gt;=6.2),350, IF(AND(C53="N3",5.76&lt;=D53),325,IF(AND(C53="N3",4.4&lt;=D53),295,IF(AND(C53="N3",4.32&lt;=D53),270,IF(AND(C53="N3",3.33&lt;=D53),235,IF(AND(C53="N3",2.34&lt;=D53), 225, "SAI THÔNG TIN"))))))))))))))))))</f>
        <v>350</v>
      </c>
      <c r="N53" s="321">
        <f t="shared" ref="N53:N63" si="46">IF(AND(C53="N1", D53&gt;=6.2),120, IF(AND(C53="N1",D53&gt;=5.76),140,IF(AND(C53="N1",4.4&lt;=D53),160,IF(AND(C53="N1",4.32&lt;=D53), 180,IF(AND(C53="N1",3.33&lt;=D53),205,IF(AND(C53="N1",2.34&lt;=D53),215, IF(AND(C53="N2",D53&gt;=6.2),100, IF(AND(C53="N2",5.76&lt;=D53),115,IF(AND(C53="N2",4.4&lt;=D53),130,IF(AND(C53="N2",4.32&lt;=D53), 145, IF(AND(C53="N2",3.33&lt;=D53),165,IF(AND(C53="N2",2.34&lt;=D53),175, IF(AND(C53="N3",D53&gt;=6.2),100, IF(AND(C53="N3",5.76&lt;=D53),125,IF(AND(C53="N3",4.4&lt;=D53),155,IF(AND(C53="N3",4.32&lt;=D53),180,IF(AND(C53="N3",3.33&lt;=D53),215,IF(AND(C53="N3",2.34&lt;=D53), 225, "SAI THÔNG TIN"))))))))))))))))))</f>
        <v>100</v>
      </c>
      <c r="O53" s="321">
        <f t="shared" ref="O53:O63" si="47">P53+Q53+R53</f>
        <v>0</v>
      </c>
      <c r="P53" s="321">
        <f t="shared" ref="P53:P63" si="48">L53-T53</f>
        <v>0</v>
      </c>
      <c r="Q53" s="321">
        <f t="shared" ref="Q53:Q63" si="49">IF(OR(G53="A", I53="D"), M53, IF(G53="C", 0.6*M53, IF(OR(I53="E", I53="F"), 0.1*M53, IF(G53="B", 0, F53*M53))))</f>
        <v>0</v>
      </c>
      <c r="R53" s="321">
        <f t="shared" ref="R53:R63" si="50">IF(OR(G53="A", I53="D"), N53, IF(G53="C", 0.6*N53, IF(I53="E", 0.1*N53, IF(G53="B", 0.7*N53, 0))))</f>
        <v>0</v>
      </c>
      <c r="S53" s="321">
        <f t="shared" ref="S53:S63" si="51">T53+U53+V53</f>
        <v>650</v>
      </c>
      <c r="T53" s="321">
        <f t="shared" ref="T53:T63" si="52">L53*(1-F53)*(1-H53)*(1-J55)</f>
        <v>200</v>
      </c>
      <c r="U53" s="321">
        <f t="shared" ref="U53:V53" si="53">M53-Q53</f>
        <v>350</v>
      </c>
      <c r="V53" s="321">
        <f t="shared" si="53"/>
        <v>100</v>
      </c>
      <c r="W53" s="2608"/>
      <c r="X53" s="2664"/>
      <c r="Y53" s="2176"/>
      <c r="Z53" s="13"/>
      <c r="AA53" s="13"/>
      <c r="AB53" s="13"/>
      <c r="AC53" s="13"/>
    </row>
    <row r="54" spans="1:29" ht="15.75" customHeight="1">
      <c r="A54" s="307">
        <v>2</v>
      </c>
      <c r="B54" s="315" t="s">
        <v>610</v>
      </c>
      <c r="C54" s="343" t="s">
        <v>2383</v>
      </c>
      <c r="D54" s="320">
        <v>6.89</v>
      </c>
      <c r="E54" s="342">
        <v>1</v>
      </c>
      <c r="F54" s="319">
        <f t="shared" si="40"/>
        <v>0.75</v>
      </c>
      <c r="G54" s="319"/>
      <c r="H54" s="319">
        <f t="shared" si="41"/>
        <v>0</v>
      </c>
      <c r="I54" s="319"/>
      <c r="J54" s="319">
        <f t="shared" si="42"/>
        <v>0</v>
      </c>
      <c r="K54" s="321">
        <f t="shared" si="43"/>
        <v>650</v>
      </c>
      <c r="L54" s="321">
        <f t="shared" si="44"/>
        <v>200</v>
      </c>
      <c r="M54" s="321">
        <f t="shared" si="45"/>
        <v>350</v>
      </c>
      <c r="N54" s="321">
        <f t="shared" si="46"/>
        <v>100</v>
      </c>
      <c r="O54" s="321">
        <f t="shared" si="47"/>
        <v>412.5</v>
      </c>
      <c r="P54" s="321">
        <f t="shared" si="48"/>
        <v>150</v>
      </c>
      <c r="Q54" s="321">
        <f t="shared" si="49"/>
        <v>262.5</v>
      </c>
      <c r="R54" s="321">
        <f t="shared" si="50"/>
        <v>0</v>
      </c>
      <c r="S54" s="321">
        <f t="shared" si="51"/>
        <v>237.5</v>
      </c>
      <c r="T54" s="321">
        <f t="shared" si="52"/>
        <v>50</v>
      </c>
      <c r="U54" s="321">
        <f t="shared" ref="U54:V54" si="54">M54-Q54</f>
        <v>87.5</v>
      </c>
      <c r="V54" s="321">
        <f t="shared" si="54"/>
        <v>100</v>
      </c>
      <c r="W54" s="2608"/>
      <c r="X54" s="2664"/>
      <c r="Y54" s="2176"/>
      <c r="Z54" s="13"/>
      <c r="AA54" s="13"/>
      <c r="AB54" s="13"/>
      <c r="AC54" s="13"/>
    </row>
    <row r="55" spans="1:29" ht="15.75" customHeight="1">
      <c r="A55" s="307">
        <v>3</v>
      </c>
      <c r="B55" s="315" t="s">
        <v>2430</v>
      </c>
      <c r="C55" s="343" t="s">
        <v>2383</v>
      </c>
      <c r="D55" s="320">
        <v>6.56</v>
      </c>
      <c r="E55" s="342">
        <v>6</v>
      </c>
      <c r="F55" s="319">
        <f t="shared" si="40"/>
        <v>0.3</v>
      </c>
      <c r="G55" s="319"/>
      <c r="H55" s="319">
        <f t="shared" si="41"/>
        <v>0</v>
      </c>
      <c r="I55" s="319"/>
      <c r="J55" s="319">
        <f t="shared" si="42"/>
        <v>0</v>
      </c>
      <c r="K55" s="321">
        <f t="shared" si="43"/>
        <v>650</v>
      </c>
      <c r="L55" s="321">
        <f t="shared" si="44"/>
        <v>200</v>
      </c>
      <c r="M55" s="321">
        <f t="shared" si="45"/>
        <v>350</v>
      </c>
      <c r="N55" s="321">
        <f t="shared" si="46"/>
        <v>100</v>
      </c>
      <c r="O55" s="321">
        <f t="shared" si="47"/>
        <v>165</v>
      </c>
      <c r="P55" s="321">
        <f t="shared" si="48"/>
        <v>60</v>
      </c>
      <c r="Q55" s="321">
        <f t="shared" si="49"/>
        <v>105</v>
      </c>
      <c r="R55" s="321">
        <f t="shared" si="50"/>
        <v>0</v>
      </c>
      <c r="S55" s="321">
        <f t="shared" si="51"/>
        <v>485</v>
      </c>
      <c r="T55" s="321">
        <f t="shared" si="52"/>
        <v>140</v>
      </c>
      <c r="U55" s="321">
        <f t="shared" ref="U55:V55" si="55">M55-Q55</f>
        <v>245</v>
      </c>
      <c r="V55" s="321">
        <f t="shared" si="55"/>
        <v>100</v>
      </c>
      <c r="W55" s="2608"/>
      <c r="X55" s="2664"/>
      <c r="Y55" s="2176"/>
      <c r="Z55" s="13"/>
      <c r="AA55" s="13"/>
      <c r="AB55" s="13"/>
      <c r="AC55" s="13"/>
    </row>
    <row r="56" spans="1:29" ht="15.75" customHeight="1">
      <c r="A56" s="307">
        <v>4</v>
      </c>
      <c r="B56" s="315" t="s">
        <v>2431</v>
      </c>
      <c r="C56" s="343" t="s">
        <v>2386</v>
      </c>
      <c r="D56" s="320">
        <v>5.8</v>
      </c>
      <c r="E56" s="342"/>
      <c r="F56" s="319">
        <f t="shared" si="40"/>
        <v>0</v>
      </c>
      <c r="G56" s="319"/>
      <c r="H56" s="319">
        <f t="shared" si="41"/>
        <v>0</v>
      </c>
      <c r="I56" s="319"/>
      <c r="J56" s="319">
        <f t="shared" si="42"/>
        <v>0</v>
      </c>
      <c r="K56" s="321">
        <f t="shared" si="43"/>
        <v>650</v>
      </c>
      <c r="L56" s="321">
        <f t="shared" si="44"/>
        <v>270</v>
      </c>
      <c r="M56" s="321">
        <f t="shared" si="45"/>
        <v>240</v>
      </c>
      <c r="N56" s="321">
        <f t="shared" si="46"/>
        <v>140</v>
      </c>
      <c r="O56" s="321">
        <f t="shared" si="47"/>
        <v>0</v>
      </c>
      <c r="P56" s="321">
        <f t="shared" si="48"/>
        <v>0</v>
      </c>
      <c r="Q56" s="321">
        <f t="shared" si="49"/>
        <v>0</v>
      </c>
      <c r="R56" s="321">
        <f t="shared" si="50"/>
        <v>0</v>
      </c>
      <c r="S56" s="321">
        <f t="shared" si="51"/>
        <v>650</v>
      </c>
      <c r="T56" s="321">
        <f t="shared" si="52"/>
        <v>270</v>
      </c>
      <c r="U56" s="321">
        <f t="shared" ref="U56:V56" si="56">M56-Q56</f>
        <v>240</v>
      </c>
      <c r="V56" s="321">
        <f t="shared" si="56"/>
        <v>140</v>
      </c>
      <c r="W56" s="2608"/>
      <c r="X56" s="2664"/>
      <c r="Y56" s="2176"/>
      <c r="Z56" s="13"/>
      <c r="AA56" s="13"/>
      <c r="AB56" s="13"/>
      <c r="AC56" s="13"/>
    </row>
    <row r="57" spans="1:29" ht="15.75" customHeight="1">
      <c r="A57" s="307">
        <v>5</v>
      </c>
      <c r="B57" s="315" t="s">
        <v>2432</v>
      </c>
      <c r="C57" s="343" t="s">
        <v>2383</v>
      </c>
      <c r="D57" s="320">
        <v>4.4000000000000004</v>
      </c>
      <c r="E57" s="342"/>
      <c r="F57" s="319">
        <f t="shared" si="40"/>
        <v>0</v>
      </c>
      <c r="G57" s="319"/>
      <c r="H57" s="319">
        <f t="shared" si="41"/>
        <v>0</v>
      </c>
      <c r="I57" s="319"/>
      <c r="J57" s="319">
        <f t="shared" si="42"/>
        <v>0</v>
      </c>
      <c r="K57" s="321">
        <f t="shared" si="43"/>
        <v>650</v>
      </c>
      <c r="L57" s="321">
        <f t="shared" si="44"/>
        <v>200</v>
      </c>
      <c r="M57" s="321">
        <f t="shared" si="45"/>
        <v>295</v>
      </c>
      <c r="N57" s="321">
        <f t="shared" si="46"/>
        <v>155</v>
      </c>
      <c r="O57" s="321">
        <f t="shared" si="47"/>
        <v>0</v>
      </c>
      <c r="P57" s="321">
        <f t="shared" si="48"/>
        <v>0</v>
      </c>
      <c r="Q57" s="321">
        <f t="shared" si="49"/>
        <v>0</v>
      </c>
      <c r="R57" s="321">
        <f t="shared" si="50"/>
        <v>0</v>
      </c>
      <c r="S57" s="321">
        <f t="shared" si="51"/>
        <v>650</v>
      </c>
      <c r="T57" s="321">
        <f t="shared" si="52"/>
        <v>200</v>
      </c>
      <c r="U57" s="321">
        <f t="shared" ref="U57:V57" si="57">M57-Q57</f>
        <v>295</v>
      </c>
      <c r="V57" s="321">
        <f t="shared" si="57"/>
        <v>155</v>
      </c>
      <c r="W57" s="2608"/>
      <c r="X57" s="2664"/>
      <c r="Y57" s="2176"/>
      <c r="Z57" s="13"/>
      <c r="AA57" s="13"/>
      <c r="AB57" s="13"/>
      <c r="AC57" s="13"/>
    </row>
    <row r="58" spans="1:29" ht="15.75" customHeight="1">
      <c r="A58" s="307">
        <v>6</v>
      </c>
      <c r="B58" s="315" t="s">
        <v>2433</v>
      </c>
      <c r="C58" s="343" t="s">
        <v>2383</v>
      </c>
      <c r="D58" s="320">
        <v>3.99</v>
      </c>
      <c r="E58" s="342">
        <v>20</v>
      </c>
      <c r="F58" s="319">
        <f t="shared" si="40"/>
        <v>0.1</v>
      </c>
      <c r="G58" s="319"/>
      <c r="H58" s="319">
        <f t="shared" si="41"/>
        <v>0</v>
      </c>
      <c r="I58" s="319"/>
      <c r="J58" s="319">
        <f t="shared" si="42"/>
        <v>0</v>
      </c>
      <c r="K58" s="321">
        <f t="shared" si="43"/>
        <v>650</v>
      </c>
      <c r="L58" s="321">
        <f t="shared" si="44"/>
        <v>200</v>
      </c>
      <c r="M58" s="321">
        <f t="shared" si="45"/>
        <v>235</v>
      </c>
      <c r="N58" s="321">
        <f t="shared" si="46"/>
        <v>215</v>
      </c>
      <c r="O58" s="321">
        <f t="shared" si="47"/>
        <v>43.5</v>
      </c>
      <c r="P58" s="321">
        <f t="shared" si="48"/>
        <v>20</v>
      </c>
      <c r="Q58" s="321">
        <f t="shared" si="49"/>
        <v>23.5</v>
      </c>
      <c r="R58" s="321">
        <f t="shared" si="50"/>
        <v>0</v>
      </c>
      <c r="S58" s="321">
        <f t="shared" si="51"/>
        <v>606.5</v>
      </c>
      <c r="T58" s="321">
        <f t="shared" si="52"/>
        <v>180</v>
      </c>
      <c r="U58" s="321">
        <f t="shared" ref="U58:V58" si="58">M58-Q58</f>
        <v>211.5</v>
      </c>
      <c r="V58" s="321">
        <f t="shared" si="58"/>
        <v>215</v>
      </c>
      <c r="W58" s="2608"/>
      <c r="X58" s="2664"/>
      <c r="Y58" s="2176"/>
      <c r="Z58" s="13"/>
      <c r="AA58" s="13"/>
      <c r="AB58" s="13"/>
      <c r="AC58" s="13"/>
    </row>
    <row r="59" spans="1:29" ht="15.75" customHeight="1">
      <c r="A59" s="307">
        <v>7</v>
      </c>
      <c r="B59" s="315" t="s">
        <v>2434</v>
      </c>
      <c r="C59" s="343" t="s">
        <v>2383</v>
      </c>
      <c r="D59" s="320">
        <v>3.99</v>
      </c>
      <c r="E59" s="342"/>
      <c r="F59" s="319">
        <f t="shared" si="40"/>
        <v>0</v>
      </c>
      <c r="G59" s="319"/>
      <c r="H59" s="319">
        <f t="shared" si="41"/>
        <v>0</v>
      </c>
      <c r="I59" s="319"/>
      <c r="J59" s="319">
        <f t="shared" si="42"/>
        <v>0</v>
      </c>
      <c r="K59" s="321">
        <f t="shared" si="43"/>
        <v>650</v>
      </c>
      <c r="L59" s="321">
        <f t="shared" si="44"/>
        <v>200</v>
      </c>
      <c r="M59" s="321">
        <f t="shared" si="45"/>
        <v>235</v>
      </c>
      <c r="N59" s="321">
        <f t="shared" si="46"/>
        <v>215</v>
      </c>
      <c r="O59" s="321">
        <f t="shared" si="47"/>
        <v>0</v>
      </c>
      <c r="P59" s="321">
        <f t="shared" si="48"/>
        <v>0</v>
      </c>
      <c r="Q59" s="321">
        <f t="shared" si="49"/>
        <v>0</v>
      </c>
      <c r="R59" s="321">
        <f t="shared" si="50"/>
        <v>0</v>
      </c>
      <c r="S59" s="321">
        <f t="shared" si="51"/>
        <v>650</v>
      </c>
      <c r="T59" s="321">
        <f t="shared" si="52"/>
        <v>200</v>
      </c>
      <c r="U59" s="321">
        <f t="shared" ref="U59:V59" si="59">M59-Q59</f>
        <v>235</v>
      </c>
      <c r="V59" s="321">
        <f t="shared" si="59"/>
        <v>215</v>
      </c>
      <c r="W59" s="2608"/>
      <c r="X59" s="2664"/>
      <c r="Y59" s="2176"/>
      <c r="Z59" s="13"/>
      <c r="AA59" s="13"/>
      <c r="AB59" s="13"/>
      <c r="AC59" s="13"/>
    </row>
    <row r="60" spans="1:29" ht="15.75" customHeight="1">
      <c r="A60" s="307">
        <v>8</v>
      </c>
      <c r="B60" s="315" t="s">
        <v>2435</v>
      </c>
      <c r="C60" s="343" t="s">
        <v>2383</v>
      </c>
      <c r="D60" s="320">
        <v>3.33</v>
      </c>
      <c r="E60" s="342">
        <v>7</v>
      </c>
      <c r="F60" s="319">
        <f t="shared" si="40"/>
        <v>0.2</v>
      </c>
      <c r="G60" s="319"/>
      <c r="H60" s="319">
        <f t="shared" si="41"/>
        <v>0</v>
      </c>
      <c r="I60" s="319"/>
      <c r="J60" s="319">
        <f t="shared" si="42"/>
        <v>0</v>
      </c>
      <c r="K60" s="321">
        <f t="shared" si="43"/>
        <v>650</v>
      </c>
      <c r="L60" s="321">
        <f t="shared" si="44"/>
        <v>200</v>
      </c>
      <c r="M60" s="321">
        <f t="shared" si="45"/>
        <v>235</v>
      </c>
      <c r="N60" s="321">
        <f t="shared" si="46"/>
        <v>215</v>
      </c>
      <c r="O60" s="321">
        <f t="shared" si="47"/>
        <v>87</v>
      </c>
      <c r="P60" s="321">
        <f t="shared" si="48"/>
        <v>40</v>
      </c>
      <c r="Q60" s="321">
        <f t="shared" si="49"/>
        <v>47</v>
      </c>
      <c r="R60" s="321">
        <f t="shared" si="50"/>
        <v>0</v>
      </c>
      <c r="S60" s="321">
        <f t="shared" si="51"/>
        <v>563</v>
      </c>
      <c r="T60" s="321">
        <f t="shared" si="52"/>
        <v>160</v>
      </c>
      <c r="U60" s="321">
        <f t="shared" ref="U60:V60" si="60">M60-Q60</f>
        <v>188</v>
      </c>
      <c r="V60" s="321">
        <f t="shared" si="60"/>
        <v>215</v>
      </c>
      <c r="W60" s="2608"/>
      <c r="X60" s="2664"/>
      <c r="Y60" s="2176"/>
      <c r="Z60" s="13"/>
      <c r="AA60" s="13"/>
      <c r="AB60" s="13"/>
      <c r="AC60" s="13"/>
    </row>
    <row r="61" spans="1:29" ht="15.75" customHeight="1">
      <c r="A61" s="307">
        <v>9</v>
      </c>
      <c r="B61" s="315" t="s">
        <v>2436</v>
      </c>
      <c r="C61" s="343" t="s">
        <v>2383</v>
      </c>
      <c r="D61" s="320">
        <v>3.33</v>
      </c>
      <c r="E61" s="342"/>
      <c r="F61" s="319">
        <f t="shared" si="40"/>
        <v>0</v>
      </c>
      <c r="G61" s="319" t="s">
        <v>200</v>
      </c>
      <c r="H61" s="319">
        <f t="shared" si="41"/>
        <v>1</v>
      </c>
      <c r="I61" s="319"/>
      <c r="J61" s="319">
        <f t="shared" si="42"/>
        <v>0</v>
      </c>
      <c r="K61" s="321">
        <f t="shared" si="43"/>
        <v>650</v>
      </c>
      <c r="L61" s="321">
        <f t="shared" si="44"/>
        <v>200</v>
      </c>
      <c r="M61" s="321">
        <f t="shared" si="45"/>
        <v>235</v>
      </c>
      <c r="N61" s="321">
        <f t="shared" si="46"/>
        <v>215</v>
      </c>
      <c r="O61" s="321">
        <f t="shared" si="47"/>
        <v>650</v>
      </c>
      <c r="P61" s="321">
        <f t="shared" si="48"/>
        <v>200</v>
      </c>
      <c r="Q61" s="321">
        <f t="shared" si="49"/>
        <v>235</v>
      </c>
      <c r="R61" s="321">
        <f t="shared" si="50"/>
        <v>215</v>
      </c>
      <c r="S61" s="321">
        <f t="shared" si="51"/>
        <v>0</v>
      </c>
      <c r="T61" s="321">
        <f t="shared" si="52"/>
        <v>0</v>
      </c>
      <c r="U61" s="321">
        <f t="shared" ref="U61:V61" si="61">M61-Q61</f>
        <v>0</v>
      </c>
      <c r="V61" s="321">
        <f t="shared" si="61"/>
        <v>0</v>
      </c>
      <c r="W61" s="2608"/>
      <c r="X61" s="2664"/>
      <c r="Y61" s="2176"/>
      <c r="Z61" s="13"/>
      <c r="AA61" s="13"/>
      <c r="AB61" s="13"/>
      <c r="AC61" s="13"/>
    </row>
    <row r="62" spans="1:29" ht="15.75" customHeight="1">
      <c r="A62" s="308">
        <v>10</v>
      </c>
      <c r="B62" s="315" t="s">
        <v>2437</v>
      </c>
      <c r="C62" s="343" t="s">
        <v>2383</v>
      </c>
      <c r="D62" s="320">
        <v>6.56</v>
      </c>
      <c r="E62" s="342">
        <v>7</v>
      </c>
      <c r="F62" s="319">
        <f t="shared" si="40"/>
        <v>0.2</v>
      </c>
      <c r="G62" s="319"/>
      <c r="H62" s="319">
        <f t="shared" si="41"/>
        <v>0</v>
      </c>
      <c r="I62" s="319"/>
      <c r="J62" s="319">
        <f t="shared" si="42"/>
        <v>0</v>
      </c>
      <c r="K62" s="321">
        <f t="shared" si="43"/>
        <v>650</v>
      </c>
      <c r="L62" s="321">
        <f t="shared" si="44"/>
        <v>200</v>
      </c>
      <c r="M62" s="321">
        <f t="shared" si="45"/>
        <v>350</v>
      </c>
      <c r="N62" s="321">
        <f t="shared" si="46"/>
        <v>100</v>
      </c>
      <c r="O62" s="321">
        <f t="shared" si="47"/>
        <v>110</v>
      </c>
      <c r="P62" s="321">
        <f t="shared" si="48"/>
        <v>40</v>
      </c>
      <c r="Q62" s="321">
        <f t="shared" si="49"/>
        <v>70</v>
      </c>
      <c r="R62" s="321">
        <f t="shared" si="50"/>
        <v>0</v>
      </c>
      <c r="S62" s="321">
        <f t="shared" si="51"/>
        <v>540</v>
      </c>
      <c r="T62" s="321">
        <f t="shared" si="52"/>
        <v>160</v>
      </c>
      <c r="U62" s="321">
        <f t="shared" ref="U62:V62" si="62">M62-Q62</f>
        <v>280</v>
      </c>
      <c r="V62" s="321">
        <f t="shared" si="62"/>
        <v>100</v>
      </c>
      <c r="W62" s="2608"/>
      <c r="X62" s="2664"/>
      <c r="Y62" s="2176"/>
      <c r="Z62" s="13"/>
      <c r="AA62" s="13"/>
      <c r="AB62" s="13"/>
      <c r="AC62" s="13"/>
    </row>
    <row r="63" spans="1:29" ht="15.75" customHeight="1">
      <c r="A63" s="307">
        <v>11</v>
      </c>
      <c r="B63" s="344" t="s">
        <v>2438</v>
      </c>
      <c r="C63" s="343" t="s">
        <v>2383</v>
      </c>
      <c r="D63" s="320">
        <v>3</v>
      </c>
      <c r="E63" s="342">
        <v>10</v>
      </c>
      <c r="F63" s="319">
        <f t="shared" si="40"/>
        <v>0.15</v>
      </c>
      <c r="G63" s="319"/>
      <c r="H63" s="319">
        <f t="shared" si="41"/>
        <v>0</v>
      </c>
      <c r="I63" s="319"/>
      <c r="J63" s="319">
        <f t="shared" si="42"/>
        <v>0</v>
      </c>
      <c r="K63" s="321">
        <f t="shared" si="43"/>
        <v>650</v>
      </c>
      <c r="L63" s="321">
        <f t="shared" si="44"/>
        <v>200</v>
      </c>
      <c r="M63" s="321">
        <f t="shared" si="45"/>
        <v>225</v>
      </c>
      <c r="N63" s="321">
        <f t="shared" si="46"/>
        <v>225</v>
      </c>
      <c r="O63" s="321">
        <f t="shared" si="47"/>
        <v>63.75</v>
      </c>
      <c r="P63" s="321">
        <f t="shared" si="48"/>
        <v>30</v>
      </c>
      <c r="Q63" s="321">
        <f t="shared" si="49"/>
        <v>33.75</v>
      </c>
      <c r="R63" s="321">
        <f t="shared" si="50"/>
        <v>0</v>
      </c>
      <c r="S63" s="321">
        <f t="shared" si="51"/>
        <v>586.25</v>
      </c>
      <c r="T63" s="321">
        <f t="shared" si="52"/>
        <v>170</v>
      </c>
      <c r="U63" s="321">
        <f t="shared" ref="U63:V63" si="63">M63-Q63</f>
        <v>191.25</v>
      </c>
      <c r="V63" s="321">
        <f t="shared" si="63"/>
        <v>225</v>
      </c>
      <c r="W63" s="2608"/>
      <c r="X63" s="2664"/>
      <c r="Y63" s="2176"/>
      <c r="Z63" s="13"/>
      <c r="AA63" s="13"/>
      <c r="AB63" s="13"/>
      <c r="AC63" s="13"/>
    </row>
    <row r="64" spans="1:29" ht="15.75" customHeight="1">
      <c r="A64" s="310"/>
      <c r="B64" s="309" t="s">
        <v>2439</v>
      </c>
      <c r="C64" s="345"/>
      <c r="D64" s="346"/>
      <c r="E64" s="347"/>
      <c r="F64" s="319"/>
      <c r="G64" s="310"/>
      <c r="H64" s="310"/>
      <c r="I64" s="310"/>
      <c r="J64" s="310"/>
      <c r="K64" s="331">
        <f t="shared" ref="K64:V64" si="64">SUM(K53:K63)</f>
        <v>7150</v>
      </c>
      <c r="L64" s="331">
        <f t="shared" si="64"/>
        <v>2270</v>
      </c>
      <c r="M64" s="331">
        <f t="shared" si="64"/>
        <v>3100</v>
      </c>
      <c r="N64" s="331">
        <f t="shared" si="64"/>
        <v>1780</v>
      </c>
      <c r="O64" s="331">
        <f t="shared" si="64"/>
        <v>1531.75</v>
      </c>
      <c r="P64" s="331">
        <f t="shared" si="64"/>
        <v>540</v>
      </c>
      <c r="Q64" s="331">
        <f t="shared" si="64"/>
        <v>776.75</v>
      </c>
      <c r="R64" s="331">
        <f t="shared" si="64"/>
        <v>215</v>
      </c>
      <c r="S64" s="331">
        <f t="shared" si="64"/>
        <v>5618.25</v>
      </c>
      <c r="T64" s="331">
        <f t="shared" si="64"/>
        <v>1730</v>
      </c>
      <c r="U64" s="331">
        <f t="shared" si="64"/>
        <v>2323.25</v>
      </c>
      <c r="V64" s="331">
        <f t="shared" si="64"/>
        <v>1565</v>
      </c>
      <c r="W64" s="345"/>
      <c r="X64" s="2664"/>
      <c r="Y64" s="2176"/>
      <c r="Z64" s="13"/>
      <c r="AA64" s="13"/>
      <c r="AB64" s="13"/>
      <c r="AC64" s="13"/>
    </row>
    <row r="65" spans="1:29" ht="15.75" customHeight="1">
      <c r="A65" s="310"/>
      <c r="B65" s="310"/>
      <c r="C65" s="345"/>
      <c r="D65" s="346"/>
      <c r="E65" s="347"/>
      <c r="F65" s="319"/>
      <c r="G65" s="310"/>
      <c r="H65" s="310"/>
      <c r="I65" s="310"/>
      <c r="J65" s="310"/>
      <c r="K65" s="331">
        <f>K64-SUM(L64:N64)</f>
        <v>0</v>
      </c>
      <c r="L65" s="331"/>
      <c r="M65" s="331"/>
      <c r="N65" s="331"/>
      <c r="O65" s="331">
        <f>O64-SUM(P64:R64)</f>
        <v>0</v>
      </c>
      <c r="P65" s="331"/>
      <c r="Q65" s="331"/>
      <c r="R65" s="331"/>
      <c r="S65" s="331">
        <f>S64-SUM(T64:V64)</f>
        <v>0</v>
      </c>
      <c r="T65" s="331"/>
      <c r="U65" s="331"/>
      <c r="V65" s="331"/>
      <c r="W65" s="345"/>
      <c r="X65" s="2664"/>
      <c r="Y65" s="2176"/>
      <c r="Z65" s="13"/>
      <c r="AA65" s="13"/>
      <c r="AB65" s="13"/>
      <c r="AC65" s="13"/>
    </row>
    <row r="66" spans="1:29" ht="15.75" customHeight="1">
      <c r="A66" s="309" t="s">
        <v>998</v>
      </c>
      <c r="B66" s="317" t="s">
        <v>2440</v>
      </c>
      <c r="C66" s="348"/>
      <c r="D66" s="328"/>
      <c r="E66" s="334"/>
      <c r="F66" s="319"/>
      <c r="G66" s="349"/>
      <c r="H66" s="349"/>
      <c r="I66" s="310"/>
      <c r="J66" s="310"/>
      <c r="K66" s="310"/>
      <c r="L66" s="310"/>
      <c r="M66" s="310"/>
      <c r="N66" s="310"/>
      <c r="O66" s="310"/>
      <c r="P66" s="310"/>
      <c r="Q66" s="310"/>
      <c r="R66" s="313"/>
      <c r="S66" s="310"/>
      <c r="T66" s="310"/>
      <c r="U66" s="310"/>
      <c r="V66" s="310"/>
      <c r="W66" s="345"/>
      <c r="X66" s="2664"/>
      <c r="Y66" s="2176"/>
      <c r="Z66" s="13"/>
      <c r="AA66" s="13"/>
      <c r="AB66" s="13"/>
      <c r="AC66" s="13"/>
    </row>
    <row r="67" spans="1:29" ht="27" customHeight="1">
      <c r="A67" s="307"/>
      <c r="B67" s="315" t="s">
        <v>2441</v>
      </c>
      <c r="C67" s="336"/>
      <c r="D67" s="341"/>
      <c r="E67" s="342"/>
      <c r="F67" s="319"/>
      <c r="G67" s="315"/>
      <c r="H67" s="350"/>
      <c r="I67" s="2896" t="s">
        <v>1532</v>
      </c>
      <c r="J67" s="2179"/>
      <c r="K67" s="2966" t="s">
        <v>2354</v>
      </c>
      <c r="L67" s="2782"/>
      <c r="M67" s="2782"/>
      <c r="N67" s="2783"/>
      <c r="O67" s="2966" t="s">
        <v>2355</v>
      </c>
      <c r="P67" s="2782"/>
      <c r="Q67" s="2782"/>
      <c r="R67" s="2783"/>
      <c r="S67" s="2966" t="s">
        <v>2356</v>
      </c>
      <c r="T67" s="2782"/>
      <c r="U67" s="2782"/>
      <c r="V67" s="2783"/>
      <c r="W67" s="2967" t="s">
        <v>32</v>
      </c>
      <c r="X67" s="2664"/>
      <c r="Y67" s="2176"/>
      <c r="Z67" s="13"/>
      <c r="AA67" s="13"/>
      <c r="AB67" s="13"/>
      <c r="AC67" s="13"/>
    </row>
    <row r="68" spans="1:29" ht="38.25">
      <c r="A68" s="307"/>
      <c r="B68" s="315" t="s">
        <v>2378</v>
      </c>
      <c r="C68" s="336"/>
      <c r="D68" s="337" t="s">
        <v>2425</v>
      </c>
      <c r="E68" s="338"/>
      <c r="F68" s="319"/>
      <c r="G68" s="314"/>
      <c r="H68" s="339"/>
      <c r="I68" s="2779"/>
      <c r="J68" s="340"/>
      <c r="K68" s="307" t="s">
        <v>1911</v>
      </c>
      <c r="L68" s="307" t="s">
        <v>2364</v>
      </c>
      <c r="M68" s="307" t="s">
        <v>2365</v>
      </c>
      <c r="N68" s="307" t="s">
        <v>2366</v>
      </c>
      <c r="O68" s="307" t="s">
        <v>1911</v>
      </c>
      <c r="P68" s="307" t="s">
        <v>2364</v>
      </c>
      <c r="Q68" s="307" t="s">
        <v>2365</v>
      </c>
      <c r="R68" s="307" t="s">
        <v>2366</v>
      </c>
      <c r="S68" s="307" t="s">
        <v>1911</v>
      </c>
      <c r="T68" s="307" t="s">
        <v>2364</v>
      </c>
      <c r="U68" s="307" t="s">
        <v>2365</v>
      </c>
      <c r="V68" s="307" t="s">
        <v>2366</v>
      </c>
      <c r="W68" s="2968"/>
      <c r="X68" s="2664"/>
      <c r="Y68" s="2176"/>
      <c r="Z68" s="13"/>
      <c r="AA68" s="13"/>
      <c r="AB68" s="13"/>
      <c r="AC68" s="13"/>
    </row>
    <row r="69" spans="1:29" ht="24" customHeight="1">
      <c r="A69" s="307"/>
      <c r="B69" s="315" t="s">
        <v>2442</v>
      </c>
      <c r="C69" s="336"/>
      <c r="D69" s="341"/>
      <c r="E69" s="342"/>
      <c r="F69" s="319"/>
      <c r="G69" s="315"/>
      <c r="H69" s="315"/>
      <c r="I69" s="310" t="s">
        <v>467</v>
      </c>
      <c r="J69" s="310"/>
      <c r="K69" s="310" t="s">
        <v>468</v>
      </c>
      <c r="L69" s="310" t="s">
        <v>469</v>
      </c>
      <c r="M69" s="310" t="s">
        <v>470</v>
      </c>
      <c r="N69" s="310" t="s">
        <v>471</v>
      </c>
      <c r="O69" s="310" t="s">
        <v>1536</v>
      </c>
      <c r="P69" s="310" t="s">
        <v>2368</v>
      </c>
      <c r="Q69" s="310" t="s">
        <v>474</v>
      </c>
      <c r="R69" s="311" t="s">
        <v>475</v>
      </c>
      <c r="S69" s="310" t="s">
        <v>625</v>
      </c>
      <c r="T69" s="310" t="s">
        <v>534</v>
      </c>
      <c r="U69" s="310" t="s">
        <v>535</v>
      </c>
      <c r="V69" s="310" t="s">
        <v>536</v>
      </c>
      <c r="W69" s="345" t="s">
        <v>537</v>
      </c>
      <c r="X69" s="2664"/>
      <c r="Y69" s="2176"/>
      <c r="Z69" s="13"/>
      <c r="AA69" s="13"/>
      <c r="AB69" s="13"/>
      <c r="AC69" s="13"/>
    </row>
    <row r="70" spans="1:29" ht="29.25" customHeight="1">
      <c r="A70" s="307"/>
      <c r="B70" s="315" t="s">
        <v>2443</v>
      </c>
      <c r="C70" s="336"/>
      <c r="D70" s="341"/>
      <c r="E70" s="342"/>
      <c r="F70" s="319"/>
      <c r="G70" s="315"/>
      <c r="H70" s="315"/>
      <c r="I70" s="307"/>
      <c r="J70" s="307"/>
      <c r="K70" s="307"/>
      <c r="L70" s="307"/>
      <c r="M70" s="307"/>
      <c r="N70" s="307"/>
      <c r="O70" s="307"/>
      <c r="P70" s="307"/>
      <c r="Q70" s="307"/>
      <c r="R70" s="307"/>
      <c r="S70" s="307"/>
      <c r="T70" s="307"/>
      <c r="U70" s="307"/>
      <c r="V70" s="307"/>
      <c r="W70" s="345"/>
      <c r="X70" s="2664"/>
      <c r="Y70" s="2176"/>
      <c r="Z70" s="13"/>
      <c r="AA70" s="13"/>
      <c r="AB70" s="13"/>
      <c r="AC70" s="13"/>
    </row>
    <row r="71" spans="1:29" ht="34.5" customHeight="1">
      <c r="A71" s="307"/>
      <c r="B71" s="315" t="s">
        <v>2444</v>
      </c>
      <c r="C71" s="336"/>
      <c r="D71" s="341"/>
      <c r="E71" s="342"/>
      <c r="F71" s="319"/>
      <c r="G71" s="315"/>
      <c r="H71" s="315"/>
      <c r="I71" s="307"/>
      <c r="J71" s="307"/>
      <c r="K71" s="307"/>
      <c r="L71" s="307"/>
      <c r="M71" s="307"/>
      <c r="N71" s="307"/>
      <c r="O71" s="307"/>
      <c r="P71" s="307"/>
      <c r="Q71" s="307"/>
      <c r="R71" s="307"/>
      <c r="S71" s="307"/>
      <c r="T71" s="307"/>
      <c r="U71" s="307"/>
      <c r="V71" s="307"/>
      <c r="W71" s="345"/>
      <c r="X71" s="2664"/>
      <c r="Y71" s="2176"/>
      <c r="Z71" s="13"/>
      <c r="AA71" s="13"/>
      <c r="AB71" s="13"/>
      <c r="AC71" s="13"/>
    </row>
    <row r="72" spans="1:29" ht="15.75" customHeight="1">
      <c r="A72" s="307"/>
      <c r="B72" s="315" t="s">
        <v>2445</v>
      </c>
      <c r="C72" s="336"/>
      <c r="D72" s="341"/>
      <c r="E72" s="342"/>
      <c r="F72" s="319"/>
      <c r="G72" s="315"/>
      <c r="H72" s="315"/>
      <c r="I72" s="307"/>
      <c r="J72" s="307"/>
      <c r="K72" s="307"/>
      <c r="L72" s="307"/>
      <c r="M72" s="307"/>
      <c r="N72" s="307"/>
      <c r="O72" s="307"/>
      <c r="P72" s="307"/>
      <c r="Q72" s="307"/>
      <c r="R72" s="307"/>
      <c r="S72" s="307"/>
      <c r="T72" s="307"/>
      <c r="U72" s="307"/>
      <c r="V72" s="307"/>
      <c r="W72" s="345"/>
      <c r="X72" s="2664"/>
      <c r="Y72" s="2176"/>
      <c r="Z72" s="13"/>
      <c r="AA72" s="13"/>
      <c r="AB72" s="13"/>
      <c r="AC72" s="13"/>
    </row>
    <row r="73" spans="1:29" ht="15.75" customHeight="1">
      <c r="A73" s="312">
        <v>1</v>
      </c>
      <c r="B73" s="323" t="s">
        <v>2446</v>
      </c>
      <c r="C73" s="343" t="s">
        <v>2383</v>
      </c>
      <c r="D73" s="320">
        <v>3.99</v>
      </c>
      <c r="E73" s="342"/>
      <c r="F73" s="319">
        <f t="shared" ref="F73:F85" si="65">IF(E73=1, 0.75, IF(OR(E73=2, E73=14, E73=21), 0.7, IF(OR(E73=3, E73=17), 0.65, IF(E73=4, 0.4, IF(OR(E73=5, E73=6, E73=25), 0.3, IF(OR(E73=7, E73=8, E73=9, E73=26), 0.2, IF(OR(E73=10, E73=15, E73=18), 0.15, IF(OR(E73=11, E73=12, E73=16, E73=19, E73=20), 0.1, IF(E73=24, 0.35, IF(E73=27, 0.5, 0))))))))))</f>
        <v>0</v>
      </c>
      <c r="G73" s="319"/>
      <c r="H73" s="319">
        <f t="shared" ref="H73:H85" si="66">IF(G73="A", 1, IF(G73="B", 0.7, IF(G73="C", 0.6, 0)))</f>
        <v>0</v>
      </c>
      <c r="I73" s="319"/>
      <c r="J73" s="319">
        <f t="shared" ref="J73:J85" si="67">IF(I73="D", 1, IF(OR(I73="E", I73="F"), 0.1, 0))</f>
        <v>0</v>
      </c>
      <c r="K73" s="321">
        <f t="shared" ref="K73:K85" si="68">L73+M73+N73</f>
        <v>650</v>
      </c>
      <c r="L73" s="321">
        <f t="shared" ref="L73:L85" si="69">IF(C73="N1", 270, IF(C73="N2", 350, IF(C73="N3", 200, 0)))</f>
        <v>200</v>
      </c>
      <c r="M73" s="321">
        <f t="shared" ref="M73:M85" si="70">IF(AND(C73="N1", D73&gt;=6.2),260, IF(AND(C73="N1",D73&gt;=5.76),240,IF(AND(C73="N1",D73&gt;=4.4),220,IF(AND(C73="N1", D73&gt;=4.32), 200,IF(AND(C73="N1", D73&gt;=3.33),175,IF(AND(C73="N1", D73&gt;=2.34),165, IF(AND(C73="N2",D73&gt;=6.2),200, IF(AND(C73="N2",5.76&lt;=D73),185,IF(AND(C73="N2",4.4&lt;=D73),170,IF(AND(C73="N2",4.32&lt;=D73), 155, IF(AND(C73="N2",3.33&lt;=D73),135,IF(AND(C73="N2",2.34&lt;=D73),125, IF(AND(C73="N3",D73&gt;=6.2),350, IF(AND(C73="N3",5.76&lt;=D73),325,IF(AND(C73="N3",4.4&lt;=D73),295,IF(AND(C73="N3",4.32&lt;=D73),270,IF(AND(C73="N3",3.33&lt;=D73),235,IF(AND(C73="N3",2.34&lt;=D73), 225, "SAI THÔNG TIN"))))))))))))))))))</f>
        <v>235</v>
      </c>
      <c r="N73" s="321">
        <f t="shared" ref="N73:N85" si="71">IF(AND(C73="N1", D73&gt;=6.2),120, IF(AND(C73="N1",D73&gt;=5.76),140,IF(AND(C73="N1",4.4&lt;=D73),160,IF(AND(C73="N1",4.32&lt;=D73), 180,IF(AND(C73="N1",3.33&lt;=D73),205,IF(AND(C73="N1",2.34&lt;=D73),215, IF(AND(C73="N2",D73&gt;=6.2),100, IF(AND(C73="N2",5.76&lt;=D73),115,IF(AND(C73="N2",4.4&lt;=D73),130,IF(AND(C73="N2",4.32&lt;=D73), 145, IF(AND(C73="N2",3.33&lt;=D73),165,IF(AND(C73="N2",2.34&lt;=D73),175, IF(AND(C73="N3",D73&gt;=6.2),100, IF(AND(C73="N3",5.76&lt;=D73),125,IF(AND(C73="N3",4.4&lt;=D73),155,IF(AND(C73="N3",4.32&lt;=D73),180,IF(AND(C73="N3",3.33&lt;=D73),215,IF(AND(C73="N3",2.34&lt;=D73), 225, "SAI THÔNG TIN"))))))))))))))))))</f>
        <v>215</v>
      </c>
      <c r="O73" s="321">
        <f t="shared" ref="O73:O85" si="72">P73+Q73+R73</f>
        <v>0</v>
      </c>
      <c r="P73" s="321">
        <f t="shared" ref="P73:P85" si="73">L73-T73</f>
        <v>0</v>
      </c>
      <c r="Q73" s="321">
        <f t="shared" ref="Q73:Q85" si="74">IF(OR(G73="A", I73="D"), M73, IF(G73="C", 0.6*M73, IF(OR(I73="E", I73="F"), 0.1*M73, IF(G73="B", 0, F73*M73))))</f>
        <v>0</v>
      </c>
      <c r="R73" s="321">
        <f t="shared" ref="R73:R85" si="75">IF(OR(G73="A", I73="D"), N73, IF(G73="C", 0.6*N73, IF(I73="E", 0.1*N73, IF(G73="B", 0.7*N73, 0))))</f>
        <v>0</v>
      </c>
      <c r="S73" s="321">
        <f t="shared" ref="S73:S85" si="76">T73+U73+V73</f>
        <v>650</v>
      </c>
      <c r="T73" s="321">
        <f t="shared" ref="T73:T85" si="77">L73*(1-F73)*(1-H73)*(1-J75)</f>
        <v>200</v>
      </c>
      <c r="U73" s="321">
        <f t="shared" ref="U73:V73" si="78">M73-Q73</f>
        <v>235</v>
      </c>
      <c r="V73" s="321">
        <f t="shared" si="78"/>
        <v>215</v>
      </c>
      <c r="W73" s="345"/>
      <c r="X73" s="2664"/>
      <c r="Y73" s="2176"/>
      <c r="Z73" s="13"/>
      <c r="AA73" s="13"/>
      <c r="AB73" s="13"/>
      <c r="AC73" s="13"/>
    </row>
    <row r="74" spans="1:29" ht="15.75" customHeight="1">
      <c r="A74" s="319">
        <v>2</v>
      </c>
      <c r="B74" s="323" t="s">
        <v>2447</v>
      </c>
      <c r="C74" s="343" t="s">
        <v>2383</v>
      </c>
      <c r="D74" s="320">
        <v>6.56</v>
      </c>
      <c r="E74" s="342">
        <v>6</v>
      </c>
      <c r="F74" s="319">
        <f t="shared" si="65"/>
        <v>0.3</v>
      </c>
      <c r="G74" s="319"/>
      <c r="H74" s="319">
        <f t="shared" si="66"/>
        <v>0</v>
      </c>
      <c r="I74" s="319"/>
      <c r="J74" s="319">
        <f t="shared" si="67"/>
        <v>0</v>
      </c>
      <c r="K74" s="321">
        <f t="shared" si="68"/>
        <v>650</v>
      </c>
      <c r="L74" s="321">
        <f t="shared" si="69"/>
        <v>200</v>
      </c>
      <c r="M74" s="321">
        <f t="shared" si="70"/>
        <v>350</v>
      </c>
      <c r="N74" s="321">
        <f t="shared" si="71"/>
        <v>100</v>
      </c>
      <c r="O74" s="321">
        <f t="shared" si="72"/>
        <v>165</v>
      </c>
      <c r="P74" s="321">
        <f t="shared" si="73"/>
        <v>60</v>
      </c>
      <c r="Q74" s="321">
        <f t="shared" si="74"/>
        <v>105</v>
      </c>
      <c r="R74" s="321">
        <f t="shared" si="75"/>
        <v>0</v>
      </c>
      <c r="S74" s="321">
        <f t="shared" si="76"/>
        <v>485</v>
      </c>
      <c r="T74" s="321">
        <f t="shared" si="77"/>
        <v>140</v>
      </c>
      <c r="U74" s="321">
        <f t="shared" ref="U74:V74" si="79">M74-Q74</f>
        <v>245</v>
      </c>
      <c r="V74" s="321">
        <f t="shared" si="79"/>
        <v>100</v>
      </c>
      <c r="W74" s="343"/>
      <c r="X74" s="2664"/>
      <c r="Y74" s="2176"/>
      <c r="Z74" s="13"/>
      <c r="AA74" s="13"/>
      <c r="AB74" s="13"/>
      <c r="AC74" s="13"/>
    </row>
    <row r="75" spans="1:29" ht="15.75" customHeight="1">
      <c r="A75" s="319">
        <v>3</v>
      </c>
      <c r="B75" s="323" t="s">
        <v>2448</v>
      </c>
      <c r="C75" s="343" t="s">
        <v>2383</v>
      </c>
      <c r="D75" s="320">
        <v>6.56</v>
      </c>
      <c r="E75" s="342"/>
      <c r="F75" s="319">
        <f t="shared" si="65"/>
        <v>0</v>
      </c>
      <c r="G75" s="319"/>
      <c r="H75" s="319">
        <f t="shared" si="66"/>
        <v>0</v>
      </c>
      <c r="I75" s="319"/>
      <c r="J75" s="319">
        <f t="shared" si="67"/>
        <v>0</v>
      </c>
      <c r="K75" s="321">
        <f t="shared" si="68"/>
        <v>650</v>
      </c>
      <c r="L75" s="321">
        <f t="shared" si="69"/>
        <v>200</v>
      </c>
      <c r="M75" s="321">
        <f t="shared" si="70"/>
        <v>350</v>
      </c>
      <c r="N75" s="321">
        <f t="shared" si="71"/>
        <v>100</v>
      </c>
      <c r="O75" s="321">
        <f t="shared" si="72"/>
        <v>0</v>
      </c>
      <c r="P75" s="321">
        <f t="shared" si="73"/>
        <v>0</v>
      </c>
      <c r="Q75" s="321">
        <f t="shared" si="74"/>
        <v>0</v>
      </c>
      <c r="R75" s="321">
        <f t="shared" si="75"/>
        <v>0</v>
      </c>
      <c r="S75" s="321">
        <f t="shared" si="76"/>
        <v>650</v>
      </c>
      <c r="T75" s="321">
        <f t="shared" si="77"/>
        <v>200</v>
      </c>
      <c r="U75" s="321">
        <f t="shared" ref="U75:V75" si="80">M75-Q75</f>
        <v>350</v>
      </c>
      <c r="V75" s="321">
        <f t="shared" si="80"/>
        <v>100</v>
      </c>
      <c r="W75" s="343"/>
      <c r="X75" s="2664"/>
      <c r="Y75" s="2176"/>
      <c r="Z75" s="13"/>
      <c r="AA75" s="13"/>
      <c r="AB75" s="13"/>
      <c r="AC75" s="13"/>
    </row>
    <row r="76" spans="1:29" ht="15.75" customHeight="1">
      <c r="A76" s="319">
        <v>4</v>
      </c>
      <c r="B76" s="323" t="s">
        <v>2449</v>
      </c>
      <c r="C76" s="343" t="s">
        <v>2383</v>
      </c>
      <c r="D76" s="320">
        <v>6.92</v>
      </c>
      <c r="E76" s="342">
        <v>7</v>
      </c>
      <c r="F76" s="319">
        <f t="shared" si="65"/>
        <v>0.2</v>
      </c>
      <c r="G76" s="319"/>
      <c r="H76" s="319">
        <f t="shared" si="66"/>
        <v>0</v>
      </c>
      <c r="I76" s="319"/>
      <c r="J76" s="319">
        <f t="shared" si="67"/>
        <v>0</v>
      </c>
      <c r="K76" s="321">
        <f t="shared" si="68"/>
        <v>650</v>
      </c>
      <c r="L76" s="321">
        <f t="shared" si="69"/>
        <v>200</v>
      </c>
      <c r="M76" s="321">
        <f t="shared" si="70"/>
        <v>350</v>
      </c>
      <c r="N76" s="321">
        <f t="shared" si="71"/>
        <v>100</v>
      </c>
      <c r="O76" s="321">
        <f t="shared" si="72"/>
        <v>110</v>
      </c>
      <c r="P76" s="321">
        <f t="shared" si="73"/>
        <v>40</v>
      </c>
      <c r="Q76" s="321">
        <f t="shared" si="74"/>
        <v>70</v>
      </c>
      <c r="R76" s="321">
        <f t="shared" si="75"/>
        <v>0</v>
      </c>
      <c r="S76" s="321">
        <f t="shared" si="76"/>
        <v>540</v>
      </c>
      <c r="T76" s="321">
        <f t="shared" si="77"/>
        <v>160</v>
      </c>
      <c r="U76" s="321">
        <f t="shared" ref="U76:V76" si="81">M76-Q76</f>
        <v>280</v>
      </c>
      <c r="V76" s="321">
        <f t="shared" si="81"/>
        <v>100</v>
      </c>
      <c r="W76" s="343"/>
      <c r="X76" s="2664"/>
      <c r="Y76" s="2176"/>
      <c r="Z76" s="13"/>
      <c r="AA76" s="13"/>
      <c r="AB76" s="13"/>
      <c r="AC76" s="13"/>
    </row>
    <row r="77" spans="1:29" ht="15.75" customHeight="1">
      <c r="A77" s="319">
        <v>5</v>
      </c>
      <c r="B77" s="323" t="s">
        <v>2450</v>
      </c>
      <c r="C77" s="343" t="s">
        <v>2383</v>
      </c>
      <c r="D77" s="320">
        <v>6.56</v>
      </c>
      <c r="E77" s="342">
        <v>7</v>
      </c>
      <c r="F77" s="319">
        <f t="shared" si="65"/>
        <v>0.2</v>
      </c>
      <c r="G77" s="319"/>
      <c r="H77" s="319">
        <f t="shared" si="66"/>
        <v>0</v>
      </c>
      <c r="I77" s="319"/>
      <c r="J77" s="319">
        <f t="shared" si="67"/>
        <v>0</v>
      </c>
      <c r="K77" s="321">
        <f t="shared" si="68"/>
        <v>650</v>
      </c>
      <c r="L77" s="321">
        <f t="shared" si="69"/>
        <v>200</v>
      </c>
      <c r="M77" s="321">
        <f t="shared" si="70"/>
        <v>350</v>
      </c>
      <c r="N77" s="321">
        <f t="shared" si="71"/>
        <v>100</v>
      </c>
      <c r="O77" s="321">
        <f t="shared" si="72"/>
        <v>110</v>
      </c>
      <c r="P77" s="321">
        <f t="shared" si="73"/>
        <v>40</v>
      </c>
      <c r="Q77" s="321">
        <f t="shared" si="74"/>
        <v>70</v>
      </c>
      <c r="R77" s="321">
        <f t="shared" si="75"/>
        <v>0</v>
      </c>
      <c r="S77" s="321">
        <f t="shared" si="76"/>
        <v>540</v>
      </c>
      <c r="T77" s="321">
        <f t="shared" si="77"/>
        <v>160</v>
      </c>
      <c r="U77" s="321">
        <f t="shared" ref="U77:V77" si="82">M77-Q77</f>
        <v>280</v>
      </c>
      <c r="V77" s="321">
        <f t="shared" si="82"/>
        <v>100</v>
      </c>
      <c r="W77" s="343"/>
      <c r="X77" s="2664"/>
      <c r="Y77" s="2176"/>
      <c r="Z77" s="13"/>
      <c r="AA77" s="13"/>
      <c r="AB77" s="13"/>
      <c r="AC77" s="13"/>
    </row>
    <row r="78" spans="1:29" ht="15.75" customHeight="1">
      <c r="A78" s="319">
        <v>6</v>
      </c>
      <c r="B78" s="323" t="s">
        <v>2451</v>
      </c>
      <c r="C78" s="343" t="s">
        <v>2383</v>
      </c>
      <c r="D78" s="320">
        <v>4.4000000000000004</v>
      </c>
      <c r="E78" s="342">
        <v>16</v>
      </c>
      <c r="F78" s="319">
        <f t="shared" si="65"/>
        <v>0.1</v>
      </c>
      <c r="G78" s="319"/>
      <c r="H78" s="319">
        <f t="shared" si="66"/>
        <v>0</v>
      </c>
      <c r="I78" s="319"/>
      <c r="J78" s="319">
        <f t="shared" si="67"/>
        <v>0</v>
      </c>
      <c r="K78" s="321">
        <f t="shared" si="68"/>
        <v>650</v>
      </c>
      <c r="L78" s="321">
        <f t="shared" si="69"/>
        <v>200</v>
      </c>
      <c r="M78" s="321">
        <f t="shared" si="70"/>
        <v>295</v>
      </c>
      <c r="N78" s="321">
        <f t="shared" si="71"/>
        <v>155</v>
      </c>
      <c r="O78" s="321">
        <f t="shared" si="72"/>
        <v>49.5</v>
      </c>
      <c r="P78" s="321">
        <f t="shared" si="73"/>
        <v>20</v>
      </c>
      <c r="Q78" s="321">
        <f t="shared" si="74"/>
        <v>29.5</v>
      </c>
      <c r="R78" s="321">
        <f t="shared" si="75"/>
        <v>0</v>
      </c>
      <c r="S78" s="321">
        <f t="shared" si="76"/>
        <v>600.5</v>
      </c>
      <c r="T78" s="321">
        <f t="shared" si="77"/>
        <v>180</v>
      </c>
      <c r="U78" s="321">
        <f t="shared" ref="U78:V78" si="83">M78-Q78</f>
        <v>265.5</v>
      </c>
      <c r="V78" s="321">
        <f t="shared" si="83"/>
        <v>155</v>
      </c>
      <c r="W78" s="343"/>
      <c r="X78" s="2664"/>
      <c r="Y78" s="2176"/>
      <c r="Z78" s="13"/>
      <c r="AA78" s="13"/>
      <c r="AB78" s="13"/>
      <c r="AC78" s="13"/>
    </row>
    <row r="79" spans="1:29" ht="15.75" customHeight="1">
      <c r="A79" s="319">
        <v>7</v>
      </c>
      <c r="B79" s="323" t="s">
        <v>2452</v>
      </c>
      <c r="C79" s="343" t="s">
        <v>2383</v>
      </c>
      <c r="D79" s="320">
        <v>5.42</v>
      </c>
      <c r="E79" s="342"/>
      <c r="F79" s="319">
        <f t="shared" si="65"/>
        <v>0</v>
      </c>
      <c r="G79" s="319"/>
      <c r="H79" s="319">
        <f t="shared" si="66"/>
        <v>0</v>
      </c>
      <c r="I79" s="319"/>
      <c r="J79" s="319">
        <f t="shared" si="67"/>
        <v>0</v>
      </c>
      <c r="K79" s="321">
        <f t="shared" si="68"/>
        <v>650</v>
      </c>
      <c r="L79" s="321">
        <f t="shared" si="69"/>
        <v>200</v>
      </c>
      <c r="M79" s="321">
        <f t="shared" si="70"/>
        <v>295</v>
      </c>
      <c r="N79" s="321">
        <f t="shared" si="71"/>
        <v>155</v>
      </c>
      <c r="O79" s="321">
        <f t="shared" si="72"/>
        <v>0</v>
      </c>
      <c r="P79" s="321">
        <f t="shared" si="73"/>
        <v>0</v>
      </c>
      <c r="Q79" s="321">
        <f t="shared" si="74"/>
        <v>0</v>
      </c>
      <c r="R79" s="321">
        <f t="shared" si="75"/>
        <v>0</v>
      </c>
      <c r="S79" s="321">
        <f t="shared" si="76"/>
        <v>650</v>
      </c>
      <c r="T79" s="321">
        <f t="shared" si="77"/>
        <v>200</v>
      </c>
      <c r="U79" s="321">
        <f t="shared" ref="U79:V79" si="84">M79-Q79</f>
        <v>295</v>
      </c>
      <c r="V79" s="321">
        <f t="shared" si="84"/>
        <v>155</v>
      </c>
      <c r="W79" s="343"/>
      <c r="X79" s="2664"/>
      <c r="Y79" s="2176"/>
      <c r="Z79" s="13"/>
      <c r="AA79" s="13"/>
      <c r="AB79" s="13"/>
      <c r="AC79" s="13"/>
    </row>
    <row r="80" spans="1:29" ht="15.75" customHeight="1">
      <c r="A80" s="319">
        <v>8</v>
      </c>
      <c r="B80" s="323" t="s">
        <v>2453</v>
      </c>
      <c r="C80" s="343" t="s">
        <v>2383</v>
      </c>
      <c r="D80" s="320">
        <v>3.99</v>
      </c>
      <c r="E80" s="342">
        <v>20</v>
      </c>
      <c r="F80" s="319">
        <f t="shared" si="65"/>
        <v>0.1</v>
      </c>
      <c r="G80" s="319"/>
      <c r="H80" s="319">
        <f t="shared" si="66"/>
        <v>0</v>
      </c>
      <c r="I80" s="319"/>
      <c r="J80" s="319">
        <f t="shared" si="67"/>
        <v>0</v>
      </c>
      <c r="K80" s="321">
        <f t="shared" si="68"/>
        <v>650</v>
      </c>
      <c r="L80" s="321">
        <f t="shared" si="69"/>
        <v>200</v>
      </c>
      <c r="M80" s="321">
        <f t="shared" si="70"/>
        <v>235</v>
      </c>
      <c r="N80" s="321">
        <f t="shared" si="71"/>
        <v>215</v>
      </c>
      <c r="O80" s="321">
        <f t="shared" si="72"/>
        <v>43.5</v>
      </c>
      <c r="P80" s="321">
        <f t="shared" si="73"/>
        <v>20</v>
      </c>
      <c r="Q80" s="321">
        <f t="shared" si="74"/>
        <v>23.5</v>
      </c>
      <c r="R80" s="321">
        <f t="shared" si="75"/>
        <v>0</v>
      </c>
      <c r="S80" s="321">
        <f t="shared" si="76"/>
        <v>606.5</v>
      </c>
      <c r="T80" s="321">
        <f t="shared" si="77"/>
        <v>180</v>
      </c>
      <c r="U80" s="321">
        <f t="shared" ref="U80:V80" si="85">M80-Q80</f>
        <v>211.5</v>
      </c>
      <c r="V80" s="321">
        <f t="shared" si="85"/>
        <v>215</v>
      </c>
      <c r="W80" s="343"/>
      <c r="X80" s="2664"/>
      <c r="Y80" s="2176"/>
      <c r="Z80" s="13"/>
      <c r="AA80" s="13"/>
      <c r="AB80" s="13"/>
      <c r="AC80" s="13"/>
    </row>
    <row r="81" spans="1:29" ht="15.75" customHeight="1">
      <c r="A81" s="319">
        <v>9</v>
      </c>
      <c r="B81" s="323" t="s">
        <v>2454</v>
      </c>
      <c r="C81" s="343" t="s">
        <v>2383</v>
      </c>
      <c r="D81" s="320">
        <v>3.33</v>
      </c>
      <c r="E81" s="342"/>
      <c r="F81" s="319">
        <f t="shared" si="65"/>
        <v>0</v>
      </c>
      <c r="G81" s="319"/>
      <c r="H81" s="319">
        <f t="shared" si="66"/>
        <v>0</v>
      </c>
      <c r="I81" s="319"/>
      <c r="J81" s="319">
        <f t="shared" si="67"/>
        <v>0</v>
      </c>
      <c r="K81" s="321">
        <f t="shared" si="68"/>
        <v>650</v>
      </c>
      <c r="L81" s="321">
        <f t="shared" si="69"/>
        <v>200</v>
      </c>
      <c r="M81" s="321">
        <f t="shared" si="70"/>
        <v>235</v>
      </c>
      <c r="N81" s="321">
        <f t="shared" si="71"/>
        <v>215</v>
      </c>
      <c r="O81" s="321">
        <f t="shared" si="72"/>
        <v>0</v>
      </c>
      <c r="P81" s="321">
        <f t="shared" si="73"/>
        <v>0</v>
      </c>
      <c r="Q81" s="321">
        <f t="shared" si="74"/>
        <v>0</v>
      </c>
      <c r="R81" s="321">
        <f t="shared" si="75"/>
        <v>0</v>
      </c>
      <c r="S81" s="321">
        <f t="shared" si="76"/>
        <v>650</v>
      </c>
      <c r="T81" s="321">
        <f t="shared" si="77"/>
        <v>200</v>
      </c>
      <c r="U81" s="321">
        <f t="shared" ref="U81:V81" si="86">M81-Q81</f>
        <v>235</v>
      </c>
      <c r="V81" s="321">
        <f t="shared" si="86"/>
        <v>215</v>
      </c>
      <c r="W81" s="343"/>
      <c r="X81" s="2664"/>
      <c r="Y81" s="2176"/>
      <c r="Z81" s="13"/>
      <c r="AA81" s="13"/>
      <c r="AB81" s="13"/>
      <c r="AC81" s="13"/>
    </row>
    <row r="82" spans="1:29" ht="15.75" customHeight="1">
      <c r="A82" s="319">
        <v>10</v>
      </c>
      <c r="B82" s="323" t="s">
        <v>2455</v>
      </c>
      <c r="C82" s="343" t="s">
        <v>2383</v>
      </c>
      <c r="D82" s="320">
        <v>3.33</v>
      </c>
      <c r="E82" s="342">
        <v>10</v>
      </c>
      <c r="F82" s="319">
        <f t="shared" si="65"/>
        <v>0.15</v>
      </c>
      <c r="G82" s="319"/>
      <c r="H82" s="319">
        <f t="shared" si="66"/>
        <v>0</v>
      </c>
      <c r="I82" s="319"/>
      <c r="J82" s="319">
        <f t="shared" si="67"/>
        <v>0</v>
      </c>
      <c r="K82" s="321">
        <f t="shared" si="68"/>
        <v>650</v>
      </c>
      <c r="L82" s="321">
        <f t="shared" si="69"/>
        <v>200</v>
      </c>
      <c r="M82" s="321">
        <f t="shared" si="70"/>
        <v>235</v>
      </c>
      <c r="N82" s="321">
        <f t="shared" si="71"/>
        <v>215</v>
      </c>
      <c r="O82" s="321">
        <f t="shared" si="72"/>
        <v>65.25</v>
      </c>
      <c r="P82" s="321">
        <f t="shared" si="73"/>
        <v>30</v>
      </c>
      <c r="Q82" s="321">
        <f t="shared" si="74"/>
        <v>35.25</v>
      </c>
      <c r="R82" s="321">
        <f t="shared" si="75"/>
        <v>0</v>
      </c>
      <c r="S82" s="321">
        <f t="shared" si="76"/>
        <v>584.75</v>
      </c>
      <c r="T82" s="321">
        <f t="shared" si="77"/>
        <v>170</v>
      </c>
      <c r="U82" s="321">
        <f t="shared" ref="U82:V82" si="87">M82-Q82</f>
        <v>199.75</v>
      </c>
      <c r="V82" s="321">
        <f t="shared" si="87"/>
        <v>215</v>
      </c>
      <c r="W82" s="343"/>
      <c r="X82" s="2664"/>
      <c r="Y82" s="2176"/>
      <c r="Z82" s="13"/>
      <c r="AA82" s="13"/>
      <c r="AB82" s="13"/>
      <c r="AC82" s="13"/>
    </row>
    <row r="83" spans="1:29" ht="15.75" customHeight="1">
      <c r="A83" s="319">
        <v>11</v>
      </c>
      <c r="B83" s="323" t="s">
        <v>2456</v>
      </c>
      <c r="C83" s="343" t="s">
        <v>2386</v>
      </c>
      <c r="D83" s="320">
        <v>3.33</v>
      </c>
      <c r="E83" s="342"/>
      <c r="F83" s="319">
        <f t="shared" si="65"/>
        <v>0</v>
      </c>
      <c r="G83" s="319" t="s">
        <v>206</v>
      </c>
      <c r="H83" s="319">
        <f t="shared" si="66"/>
        <v>0.7</v>
      </c>
      <c r="I83" s="319"/>
      <c r="J83" s="319">
        <f t="shared" si="67"/>
        <v>0</v>
      </c>
      <c r="K83" s="321">
        <f t="shared" si="68"/>
        <v>650</v>
      </c>
      <c r="L83" s="321">
        <f t="shared" si="69"/>
        <v>270</v>
      </c>
      <c r="M83" s="321">
        <f t="shared" si="70"/>
        <v>175</v>
      </c>
      <c r="N83" s="321">
        <f t="shared" si="71"/>
        <v>205</v>
      </c>
      <c r="O83" s="321">
        <f t="shared" si="72"/>
        <v>332.5</v>
      </c>
      <c r="P83" s="321">
        <f t="shared" si="73"/>
        <v>189</v>
      </c>
      <c r="Q83" s="321">
        <f t="shared" si="74"/>
        <v>0</v>
      </c>
      <c r="R83" s="321">
        <f t="shared" si="75"/>
        <v>143.5</v>
      </c>
      <c r="S83" s="321">
        <f t="shared" si="76"/>
        <v>317.5</v>
      </c>
      <c r="T83" s="321">
        <f t="shared" si="77"/>
        <v>81.000000000000014</v>
      </c>
      <c r="U83" s="321">
        <f t="shared" ref="U83:V83" si="88">M83-Q83</f>
        <v>175</v>
      </c>
      <c r="V83" s="321">
        <f t="shared" si="88"/>
        <v>61.5</v>
      </c>
      <c r="W83" s="343"/>
      <c r="X83" s="2664"/>
      <c r="Y83" s="2176"/>
      <c r="Z83" s="13"/>
      <c r="AA83" s="13"/>
      <c r="AB83" s="13"/>
      <c r="AC83" s="13"/>
    </row>
    <row r="84" spans="1:29" ht="15.75" customHeight="1">
      <c r="A84" s="319">
        <v>12</v>
      </c>
      <c r="B84" s="323" t="s">
        <v>2457</v>
      </c>
      <c r="C84" s="343" t="s">
        <v>2383</v>
      </c>
      <c r="D84" s="320">
        <v>3.33</v>
      </c>
      <c r="E84" s="342"/>
      <c r="F84" s="319">
        <f t="shared" si="65"/>
        <v>0</v>
      </c>
      <c r="G84" s="319" t="s">
        <v>206</v>
      </c>
      <c r="H84" s="319">
        <f t="shared" si="66"/>
        <v>0.7</v>
      </c>
      <c r="I84" s="319"/>
      <c r="J84" s="319">
        <f t="shared" si="67"/>
        <v>0</v>
      </c>
      <c r="K84" s="321">
        <f t="shared" si="68"/>
        <v>650</v>
      </c>
      <c r="L84" s="321">
        <f t="shared" si="69"/>
        <v>200</v>
      </c>
      <c r="M84" s="321">
        <f t="shared" si="70"/>
        <v>235</v>
      </c>
      <c r="N84" s="321">
        <f t="shared" si="71"/>
        <v>215</v>
      </c>
      <c r="O84" s="321">
        <f t="shared" si="72"/>
        <v>290.5</v>
      </c>
      <c r="P84" s="321">
        <f t="shared" si="73"/>
        <v>140</v>
      </c>
      <c r="Q84" s="321">
        <f t="shared" si="74"/>
        <v>0</v>
      </c>
      <c r="R84" s="321">
        <f t="shared" si="75"/>
        <v>150.5</v>
      </c>
      <c r="S84" s="321">
        <f t="shared" si="76"/>
        <v>359.5</v>
      </c>
      <c r="T84" s="321">
        <f t="shared" si="77"/>
        <v>60.000000000000007</v>
      </c>
      <c r="U84" s="321">
        <f t="shared" ref="U84:V84" si="89">M84-Q84</f>
        <v>235</v>
      </c>
      <c r="V84" s="321">
        <f t="shared" si="89"/>
        <v>64.5</v>
      </c>
      <c r="W84" s="343"/>
      <c r="X84" s="2664"/>
      <c r="Y84" s="2176"/>
      <c r="Z84" s="13"/>
      <c r="AA84" s="13"/>
      <c r="AB84" s="13"/>
      <c r="AC84" s="13"/>
    </row>
    <row r="85" spans="1:29" ht="15.75" customHeight="1">
      <c r="A85" s="319">
        <v>13</v>
      </c>
      <c r="B85" s="323" t="s">
        <v>2458</v>
      </c>
      <c r="C85" s="343" t="s">
        <v>2383</v>
      </c>
      <c r="D85" s="320">
        <v>2.34</v>
      </c>
      <c r="E85" s="342">
        <v>24</v>
      </c>
      <c r="F85" s="319">
        <f t="shared" si="65"/>
        <v>0.35</v>
      </c>
      <c r="G85" s="319"/>
      <c r="H85" s="319">
        <f t="shared" si="66"/>
        <v>0</v>
      </c>
      <c r="I85" s="319"/>
      <c r="J85" s="319">
        <f t="shared" si="67"/>
        <v>0</v>
      </c>
      <c r="K85" s="321">
        <f t="shared" si="68"/>
        <v>650</v>
      </c>
      <c r="L85" s="321">
        <f t="shared" si="69"/>
        <v>200</v>
      </c>
      <c r="M85" s="321">
        <f t="shared" si="70"/>
        <v>225</v>
      </c>
      <c r="N85" s="321">
        <f t="shared" si="71"/>
        <v>225</v>
      </c>
      <c r="O85" s="321">
        <f t="shared" si="72"/>
        <v>148.75</v>
      </c>
      <c r="P85" s="321">
        <f t="shared" si="73"/>
        <v>70</v>
      </c>
      <c r="Q85" s="321">
        <f t="shared" si="74"/>
        <v>78.75</v>
      </c>
      <c r="R85" s="321">
        <f t="shared" si="75"/>
        <v>0</v>
      </c>
      <c r="S85" s="321">
        <f t="shared" si="76"/>
        <v>501.25</v>
      </c>
      <c r="T85" s="321">
        <f t="shared" si="77"/>
        <v>130</v>
      </c>
      <c r="U85" s="321">
        <f t="shared" ref="U85:V85" si="90">M85-Q85</f>
        <v>146.25</v>
      </c>
      <c r="V85" s="321">
        <f t="shared" si="90"/>
        <v>225</v>
      </c>
      <c r="W85" s="345" t="s">
        <v>2459</v>
      </c>
      <c r="X85" s="2664"/>
      <c r="Y85" s="2176"/>
      <c r="Z85" s="13"/>
      <c r="AA85" s="13"/>
      <c r="AB85" s="13"/>
      <c r="AC85" s="13"/>
    </row>
    <row r="86" spans="1:29" ht="15.75" customHeight="1">
      <c r="A86" s="310"/>
      <c r="B86" s="309" t="s">
        <v>2439</v>
      </c>
      <c r="C86" s="345"/>
      <c r="D86" s="346"/>
      <c r="E86" s="347"/>
      <c r="F86" s="310"/>
      <c r="G86" s="310"/>
      <c r="H86" s="310"/>
      <c r="I86" s="310"/>
      <c r="J86" s="310"/>
      <c r="K86" s="331">
        <f t="shared" ref="K86:V86" si="91">SUM(K73:K85)</f>
        <v>8450</v>
      </c>
      <c r="L86" s="331">
        <f t="shared" si="91"/>
        <v>2670</v>
      </c>
      <c r="M86" s="331">
        <f t="shared" si="91"/>
        <v>3565</v>
      </c>
      <c r="N86" s="331">
        <f t="shared" si="91"/>
        <v>2215</v>
      </c>
      <c r="O86" s="331">
        <f t="shared" si="91"/>
        <v>1315</v>
      </c>
      <c r="P86" s="331">
        <f t="shared" si="91"/>
        <v>609</v>
      </c>
      <c r="Q86" s="331">
        <f t="shared" si="91"/>
        <v>412</v>
      </c>
      <c r="R86" s="331">
        <f t="shared" si="91"/>
        <v>294</v>
      </c>
      <c r="S86" s="331">
        <f t="shared" si="91"/>
        <v>7135</v>
      </c>
      <c r="T86" s="331">
        <f t="shared" si="91"/>
        <v>2061</v>
      </c>
      <c r="U86" s="331">
        <f t="shared" si="91"/>
        <v>3153</v>
      </c>
      <c r="V86" s="331">
        <f t="shared" si="91"/>
        <v>1921</v>
      </c>
      <c r="W86" s="2645"/>
      <c r="X86" s="2664"/>
      <c r="Y86" s="2176"/>
      <c r="Z86" s="13"/>
      <c r="AA86" s="13"/>
      <c r="AB86" s="13"/>
      <c r="AC86" s="13"/>
    </row>
    <row r="87" spans="1:29" ht="15.75" customHeight="1">
      <c r="A87" s="310"/>
      <c r="B87" s="310"/>
      <c r="C87" s="345"/>
      <c r="D87" s="346"/>
      <c r="E87" s="347"/>
      <c r="F87" s="310"/>
      <c r="G87" s="310"/>
      <c r="H87" s="310"/>
      <c r="I87" s="310"/>
      <c r="J87" s="310"/>
      <c r="K87" s="331">
        <f>K86-SUM(L86:N86)</f>
        <v>0</v>
      </c>
      <c r="L87" s="331"/>
      <c r="M87" s="331"/>
      <c r="N87" s="331"/>
      <c r="O87" s="331">
        <f>O86-SUM(P86:R86)</f>
        <v>0</v>
      </c>
      <c r="P87" s="331"/>
      <c r="Q87" s="331"/>
      <c r="R87" s="331"/>
      <c r="S87" s="331">
        <f>S86-SUM(T86:V86)</f>
        <v>0</v>
      </c>
      <c r="T87" s="310"/>
      <c r="U87" s="310"/>
      <c r="V87" s="310"/>
      <c r="W87" s="345"/>
      <c r="X87" s="2664"/>
      <c r="Y87" s="2176"/>
      <c r="Z87" s="13"/>
      <c r="AA87" s="13"/>
      <c r="AB87" s="13"/>
      <c r="AC87" s="13"/>
    </row>
    <row r="88" spans="1:29" ht="15.75" customHeight="1">
      <c r="A88" s="309" t="s">
        <v>2460</v>
      </c>
      <c r="B88" s="309" t="s">
        <v>547</v>
      </c>
      <c r="C88" s="345"/>
      <c r="D88" s="346"/>
      <c r="E88" s="347"/>
      <c r="F88" s="310"/>
      <c r="G88" s="310"/>
      <c r="H88" s="352"/>
      <c r="I88" s="2896" t="s">
        <v>1532</v>
      </c>
      <c r="J88" s="2179"/>
      <c r="K88" s="2966" t="s">
        <v>2354</v>
      </c>
      <c r="L88" s="2782"/>
      <c r="M88" s="2782"/>
      <c r="N88" s="2783"/>
      <c r="O88" s="2966" t="s">
        <v>2355</v>
      </c>
      <c r="P88" s="2782"/>
      <c r="Q88" s="2782"/>
      <c r="R88" s="2783"/>
      <c r="S88" s="2966" t="s">
        <v>2356</v>
      </c>
      <c r="T88" s="2782"/>
      <c r="U88" s="2782"/>
      <c r="V88" s="2783"/>
      <c r="W88" s="2967" t="s">
        <v>32</v>
      </c>
      <c r="X88" s="2664"/>
      <c r="Y88" s="2176"/>
      <c r="Z88" s="13"/>
      <c r="AA88" s="13"/>
      <c r="AB88" s="13"/>
      <c r="AC88" s="13"/>
    </row>
    <row r="89" spans="1:29" ht="38.25">
      <c r="A89" s="310"/>
      <c r="B89" s="315" t="s">
        <v>2461</v>
      </c>
      <c r="C89" s="345"/>
      <c r="D89" s="337" t="s">
        <v>2425</v>
      </c>
      <c r="E89" s="338"/>
      <c r="F89" s="314"/>
      <c r="G89" s="314"/>
      <c r="H89" s="339"/>
      <c r="I89" s="2779"/>
      <c r="J89" s="340"/>
      <c r="K89" s="307" t="s">
        <v>1911</v>
      </c>
      <c r="L89" s="307" t="s">
        <v>2364</v>
      </c>
      <c r="M89" s="307" t="s">
        <v>2365</v>
      </c>
      <c r="N89" s="307" t="s">
        <v>2366</v>
      </c>
      <c r="O89" s="307" t="s">
        <v>1911</v>
      </c>
      <c r="P89" s="307" t="s">
        <v>2364</v>
      </c>
      <c r="Q89" s="307" t="s">
        <v>2365</v>
      </c>
      <c r="R89" s="307" t="s">
        <v>2366</v>
      </c>
      <c r="S89" s="307" t="s">
        <v>1911</v>
      </c>
      <c r="T89" s="307" t="s">
        <v>2364</v>
      </c>
      <c r="U89" s="307" t="s">
        <v>2365</v>
      </c>
      <c r="V89" s="307" t="s">
        <v>2366</v>
      </c>
      <c r="W89" s="2968"/>
      <c r="X89" s="2664"/>
      <c r="Y89" s="2176"/>
      <c r="Z89" s="13"/>
      <c r="AA89" s="13"/>
      <c r="AB89" s="13"/>
      <c r="AC89" s="13"/>
    </row>
    <row r="90" spans="1:29" ht="15.75" customHeight="1">
      <c r="A90" s="310"/>
      <c r="B90" s="310"/>
      <c r="C90" s="345"/>
      <c r="D90" s="346"/>
      <c r="E90" s="347"/>
      <c r="F90" s="310"/>
      <c r="G90" s="310"/>
      <c r="H90" s="310"/>
      <c r="I90" s="310" t="s">
        <v>467</v>
      </c>
      <c r="J90" s="310"/>
      <c r="K90" s="310" t="s">
        <v>468</v>
      </c>
      <c r="L90" s="310" t="s">
        <v>469</v>
      </c>
      <c r="M90" s="310" t="s">
        <v>470</v>
      </c>
      <c r="N90" s="310" t="s">
        <v>471</v>
      </c>
      <c r="O90" s="310" t="s">
        <v>1536</v>
      </c>
      <c r="P90" s="310" t="s">
        <v>2368</v>
      </c>
      <c r="Q90" s="310" t="s">
        <v>474</v>
      </c>
      <c r="R90" s="311" t="s">
        <v>475</v>
      </c>
      <c r="S90" s="310" t="s">
        <v>625</v>
      </c>
      <c r="T90" s="310" t="s">
        <v>534</v>
      </c>
      <c r="U90" s="310" t="s">
        <v>535</v>
      </c>
      <c r="V90" s="310" t="s">
        <v>536</v>
      </c>
      <c r="W90" s="345" t="s">
        <v>537</v>
      </c>
      <c r="X90" s="2664"/>
      <c r="Y90" s="2176"/>
      <c r="Z90" s="13"/>
      <c r="AA90" s="13"/>
      <c r="AB90" s="13"/>
      <c r="AC90" s="13"/>
    </row>
    <row r="91" spans="1:29" ht="15.75" customHeight="1">
      <c r="A91" s="337">
        <v>1</v>
      </c>
      <c r="B91" s="353" t="s">
        <v>2462</v>
      </c>
      <c r="C91" s="354" t="s">
        <v>2383</v>
      </c>
      <c r="D91" s="1999">
        <v>4.74</v>
      </c>
      <c r="E91" s="341">
        <v>20</v>
      </c>
      <c r="F91" s="319">
        <f t="shared" ref="F91:F105" si="92">IF(E91=1, 0.75, IF(OR(E91=2, E91=14, E91=21), 0.7, IF(OR(E91=3, E91=17), 0.65, IF(E91=4, 0.4, IF(OR(E91=5, E91=6, E91=25), 0.3, IF(OR(E91=7, E91=8, E91=9, E91=26), 0.2, IF(OR(E91=10, E91=15, E91=18), 0.15, IF(OR(E91=11, E91=12, E91=16, E91=19, E91=20), 0.1, IF(E91=24, 0.35, IF(E91=27, 0.5, 0))))))))))</f>
        <v>0.1</v>
      </c>
      <c r="G91" s="319"/>
      <c r="H91" s="319">
        <f t="shared" ref="H91:H105" si="93">IF(G91="A", 1, IF(G91="B", 0.7, IF(G91="C", 0.6, 0)))</f>
        <v>0</v>
      </c>
      <c r="I91" s="319"/>
      <c r="J91" s="319">
        <f t="shared" ref="J91:J105" si="94">IF(I91="D", 1, IF(OR(I91="E", I91="F"), 0.1, 0))</f>
        <v>0</v>
      </c>
      <c r="K91" s="321">
        <f t="shared" ref="K91:K105" si="95">L91+M91+N91</f>
        <v>650</v>
      </c>
      <c r="L91" s="321">
        <f t="shared" ref="L91:L105" si="96">IF(C91="N1", 270, IF(C91="N2", 350, IF(C91="N3", 200, 0)))</f>
        <v>200</v>
      </c>
      <c r="M91" s="321">
        <f t="shared" ref="M91:M105" si="97">IF(AND(C91="N1", D91&gt;=6.2),260, IF(AND(C91="N1",D91&gt;=5.76),240,IF(AND(C91="N1",D91&gt;=4.4),220,IF(AND(C91="N1", D91&gt;=4.32), 200,IF(AND(C91="N1", D91&gt;=3.33),175,IF(AND(C91="N1", D91&gt;=2.34),165, IF(AND(C91="N2",D91&gt;=6.2),200, IF(AND(C91="N2",5.76&lt;=D91),185,IF(AND(C91="N2",4.4&lt;=D91),170,IF(AND(C91="N2",4.32&lt;=D91), 155, IF(AND(C91="N2",3.33&lt;=D91),135,IF(AND(C91="N2",2.34&lt;=D91),125, IF(AND(C91="N3",D91&gt;=6.2),350, IF(AND(C91="N3",5.76&lt;=D91),325,IF(AND(C91="N3",4.4&lt;=D91),295,IF(AND(C91="N3",4.32&lt;=D91),270,IF(AND(C91="N3",3.33&lt;=D91),235,IF(AND(C91="N3",2.34&lt;=D91), 225, "SAI THÔNG TIN"))))))))))))))))))</f>
        <v>295</v>
      </c>
      <c r="N91" s="321">
        <f t="shared" ref="N91:N105" si="98">IF(AND(C91="N1", D91&gt;=6.2),120, IF(AND(C91="N1",D91&gt;=5.76),140,IF(AND(C91="N1",4.4&lt;=D91),160,IF(AND(C91="N1",4.32&lt;=D91), 180,IF(AND(C91="N1",3.33&lt;=D91),205,IF(AND(C91="N1",2.34&lt;=D91),215, IF(AND(C91="N2",D91&gt;=6.2),100, IF(AND(C91="N2",5.76&lt;=D91),115,IF(AND(C91="N2",4.4&lt;=D91),130,IF(AND(C91="N2",4.32&lt;=D91), 145, IF(AND(C91="N2",3.33&lt;=D91),165,IF(AND(C91="N2",2.34&lt;=D91),175, IF(AND(C91="N3",D91&gt;=6.2),100, IF(AND(C91="N3",5.76&lt;=D91),125,IF(AND(C91="N3",4.4&lt;=D91),155,IF(AND(C91="N3",4.32&lt;=D91),180,IF(AND(C91="N3",3.33&lt;=D91),215,IF(AND(C91="N3",2.34&lt;=D91), 225, "SAI THÔNG TIN"))))))))))))))))))</f>
        <v>155</v>
      </c>
      <c r="O91" s="321">
        <f t="shared" ref="O91:O105" si="99">P91+Q91+R91</f>
        <v>49.5</v>
      </c>
      <c r="P91" s="321">
        <f t="shared" ref="P91:P105" si="100">L91-T91</f>
        <v>20</v>
      </c>
      <c r="Q91" s="321">
        <f t="shared" ref="Q91:Q105" si="101">IF(OR(G91="A", I91="D"), M91, IF(G91="C", 0.6*M91, IF(OR(I91="E", I91="F"), 0.1*M91, IF(G91="B", 0, F91*M91))))</f>
        <v>29.5</v>
      </c>
      <c r="R91" s="321">
        <f t="shared" ref="R91:R105" si="102">IF(OR(G91="A", I91="D"), N91, IF(G91="C", 0.6*N91, IF(I91="E", 0.1*N91, IF(G91="B", 0.7*N91, 0))))</f>
        <v>0</v>
      </c>
      <c r="S91" s="321">
        <f t="shared" ref="S91:S105" si="103">T91+U91+V91</f>
        <v>600.5</v>
      </c>
      <c r="T91" s="321">
        <f t="shared" ref="T91:T104" si="104">L91*(1-F91)*(1-H91)*(1-J93)</f>
        <v>180</v>
      </c>
      <c r="U91" s="321">
        <f t="shared" ref="U91:V91" si="105">M91-Q91</f>
        <v>265.5</v>
      </c>
      <c r="V91" s="321">
        <f t="shared" si="105"/>
        <v>155</v>
      </c>
      <c r="W91" s="2646"/>
      <c r="X91" s="2666"/>
      <c r="Y91" s="1876"/>
      <c r="Z91" s="13"/>
      <c r="AA91" s="13"/>
      <c r="AB91" s="13"/>
      <c r="AC91" s="13"/>
    </row>
    <row r="92" spans="1:29" ht="15.75" customHeight="1">
      <c r="A92" s="355">
        <v>2</v>
      </c>
      <c r="B92" s="2180" t="s">
        <v>2463</v>
      </c>
      <c r="C92" s="1999" t="s">
        <v>2383</v>
      </c>
      <c r="D92" s="1999">
        <v>3.99</v>
      </c>
      <c r="E92" s="356"/>
      <c r="F92" s="319">
        <f t="shared" si="92"/>
        <v>0</v>
      </c>
      <c r="G92" s="2180"/>
      <c r="H92" s="319">
        <f t="shared" si="93"/>
        <v>0</v>
      </c>
      <c r="I92" s="2002" t="s">
        <v>219</v>
      </c>
      <c r="J92" s="319">
        <f t="shared" si="94"/>
        <v>0.1</v>
      </c>
      <c r="K92" s="321">
        <f t="shared" si="95"/>
        <v>650</v>
      </c>
      <c r="L92" s="321">
        <f t="shared" si="96"/>
        <v>200</v>
      </c>
      <c r="M92" s="321">
        <f t="shared" si="97"/>
        <v>235</v>
      </c>
      <c r="N92" s="321">
        <f t="shared" si="98"/>
        <v>215</v>
      </c>
      <c r="O92" s="321">
        <f t="shared" si="99"/>
        <v>45</v>
      </c>
      <c r="P92" s="321">
        <f t="shared" si="100"/>
        <v>0</v>
      </c>
      <c r="Q92" s="321">
        <f t="shared" si="101"/>
        <v>23.5</v>
      </c>
      <c r="R92" s="321">
        <f t="shared" si="102"/>
        <v>21.5</v>
      </c>
      <c r="S92" s="321">
        <f t="shared" si="103"/>
        <v>605</v>
      </c>
      <c r="T92" s="321">
        <f t="shared" si="104"/>
        <v>200</v>
      </c>
      <c r="U92" s="321">
        <f t="shared" ref="U92:V92" si="106">M92-Q92</f>
        <v>211.5</v>
      </c>
      <c r="V92" s="321">
        <f t="shared" si="106"/>
        <v>193.5</v>
      </c>
      <c r="W92" s="2647"/>
      <c r="X92" s="2666"/>
      <c r="Y92" s="1876"/>
      <c r="Z92" s="13"/>
      <c r="AA92" s="13"/>
      <c r="AB92" s="13"/>
      <c r="AC92" s="13"/>
    </row>
    <row r="93" spans="1:29" ht="15.75" customHeight="1">
      <c r="A93" s="355">
        <v>3</v>
      </c>
      <c r="B93" s="2180" t="s">
        <v>2464</v>
      </c>
      <c r="C93" s="1999" t="s">
        <v>2383</v>
      </c>
      <c r="D93" s="1999">
        <v>4.4000000000000004</v>
      </c>
      <c r="E93" s="356">
        <v>7</v>
      </c>
      <c r="F93" s="319">
        <f t="shared" si="92"/>
        <v>0.2</v>
      </c>
      <c r="G93" s="2180"/>
      <c r="H93" s="319">
        <f t="shared" si="93"/>
        <v>0</v>
      </c>
      <c r="I93" s="2002"/>
      <c r="J93" s="319">
        <f t="shared" si="94"/>
        <v>0</v>
      </c>
      <c r="K93" s="321">
        <f t="shared" si="95"/>
        <v>650</v>
      </c>
      <c r="L93" s="321">
        <f t="shared" si="96"/>
        <v>200</v>
      </c>
      <c r="M93" s="321">
        <f t="shared" si="97"/>
        <v>295</v>
      </c>
      <c r="N93" s="321">
        <f t="shared" si="98"/>
        <v>155</v>
      </c>
      <c r="O93" s="321">
        <f t="shared" si="99"/>
        <v>99</v>
      </c>
      <c r="P93" s="321">
        <f t="shared" si="100"/>
        <v>40</v>
      </c>
      <c r="Q93" s="321">
        <f t="shared" si="101"/>
        <v>59</v>
      </c>
      <c r="R93" s="321">
        <f t="shared" si="102"/>
        <v>0</v>
      </c>
      <c r="S93" s="321">
        <f t="shared" si="103"/>
        <v>551</v>
      </c>
      <c r="T93" s="321">
        <f t="shared" si="104"/>
        <v>160</v>
      </c>
      <c r="U93" s="321">
        <f t="shared" ref="U93:V93" si="107">M93-Q93</f>
        <v>236</v>
      </c>
      <c r="V93" s="321">
        <f t="shared" si="107"/>
        <v>155</v>
      </c>
      <c r="W93" s="2647"/>
      <c r="X93" s="2666"/>
      <c r="Y93" s="1876"/>
      <c r="Z93" s="13"/>
      <c r="AA93" s="13"/>
      <c r="AB93" s="13"/>
      <c r="AC93" s="13"/>
    </row>
    <row r="94" spans="1:29" ht="15.75" customHeight="1">
      <c r="A94" s="355">
        <v>4</v>
      </c>
      <c r="B94" s="2181" t="s">
        <v>2465</v>
      </c>
      <c r="C94" s="1999" t="s">
        <v>2383</v>
      </c>
      <c r="D94" s="1999">
        <v>4.6500000000000004</v>
      </c>
      <c r="E94" s="356">
        <v>6</v>
      </c>
      <c r="F94" s="319">
        <f t="shared" si="92"/>
        <v>0.3</v>
      </c>
      <c r="G94" s="2180"/>
      <c r="H94" s="319">
        <f t="shared" si="93"/>
        <v>0</v>
      </c>
      <c r="I94" s="2002"/>
      <c r="J94" s="319">
        <f t="shared" si="94"/>
        <v>0</v>
      </c>
      <c r="K94" s="321">
        <f t="shared" si="95"/>
        <v>650</v>
      </c>
      <c r="L94" s="321">
        <f t="shared" si="96"/>
        <v>200</v>
      </c>
      <c r="M94" s="321">
        <f t="shared" si="97"/>
        <v>295</v>
      </c>
      <c r="N94" s="321">
        <f t="shared" si="98"/>
        <v>155</v>
      </c>
      <c r="O94" s="321">
        <f t="shared" si="99"/>
        <v>148.5</v>
      </c>
      <c r="P94" s="321">
        <f t="shared" si="100"/>
        <v>60</v>
      </c>
      <c r="Q94" s="321">
        <f t="shared" si="101"/>
        <v>88.5</v>
      </c>
      <c r="R94" s="321">
        <f t="shared" si="102"/>
        <v>0</v>
      </c>
      <c r="S94" s="321">
        <f t="shared" si="103"/>
        <v>501.5</v>
      </c>
      <c r="T94" s="321">
        <f t="shared" si="104"/>
        <v>140</v>
      </c>
      <c r="U94" s="321">
        <f t="shared" ref="U94:V94" si="108">M94-Q94</f>
        <v>206.5</v>
      </c>
      <c r="V94" s="321">
        <f t="shared" si="108"/>
        <v>155</v>
      </c>
      <c r="W94" s="2647"/>
      <c r="X94" s="2666"/>
      <c r="Y94" s="1876"/>
      <c r="Z94" s="13"/>
      <c r="AA94" s="13"/>
      <c r="AB94" s="13"/>
      <c r="AC94" s="13"/>
    </row>
    <row r="95" spans="1:29" ht="15.75" customHeight="1">
      <c r="A95" s="355">
        <v>5</v>
      </c>
      <c r="B95" s="2181" t="s">
        <v>2466</v>
      </c>
      <c r="C95" s="1999" t="s">
        <v>2383</v>
      </c>
      <c r="D95" s="1999">
        <v>7.64</v>
      </c>
      <c r="E95" s="356"/>
      <c r="F95" s="319">
        <f t="shared" si="92"/>
        <v>0</v>
      </c>
      <c r="G95" s="2180"/>
      <c r="H95" s="319">
        <f t="shared" si="93"/>
        <v>0</v>
      </c>
      <c r="I95" s="2002"/>
      <c r="J95" s="319">
        <f t="shared" si="94"/>
        <v>0</v>
      </c>
      <c r="K95" s="321">
        <f t="shared" si="95"/>
        <v>650</v>
      </c>
      <c r="L95" s="321">
        <f t="shared" si="96"/>
        <v>200</v>
      </c>
      <c r="M95" s="321">
        <f t="shared" si="97"/>
        <v>350</v>
      </c>
      <c r="N95" s="321">
        <f t="shared" si="98"/>
        <v>100</v>
      </c>
      <c r="O95" s="321">
        <f t="shared" si="99"/>
        <v>0</v>
      </c>
      <c r="P95" s="321">
        <f t="shared" si="100"/>
        <v>0</v>
      </c>
      <c r="Q95" s="321">
        <f t="shared" si="101"/>
        <v>0</v>
      </c>
      <c r="R95" s="321">
        <f t="shared" si="102"/>
        <v>0</v>
      </c>
      <c r="S95" s="321">
        <f t="shared" si="103"/>
        <v>650</v>
      </c>
      <c r="T95" s="321">
        <f t="shared" si="104"/>
        <v>200</v>
      </c>
      <c r="U95" s="321">
        <f t="shared" ref="U95:V95" si="109">M95-Q95</f>
        <v>350</v>
      </c>
      <c r="V95" s="321">
        <f t="shared" si="109"/>
        <v>100</v>
      </c>
      <c r="W95" s="2648"/>
      <c r="X95" s="2666"/>
      <c r="Y95" s="1876"/>
      <c r="Z95" s="13"/>
      <c r="AA95" s="13"/>
      <c r="AB95" s="13"/>
      <c r="AC95" s="13"/>
    </row>
    <row r="96" spans="1:29" ht="15.75" customHeight="1">
      <c r="A96" s="355">
        <v>6</v>
      </c>
      <c r="B96" s="2181" t="s">
        <v>2467</v>
      </c>
      <c r="C96" s="1999" t="s">
        <v>2383</v>
      </c>
      <c r="D96" s="1999">
        <v>5.08</v>
      </c>
      <c r="E96" s="356">
        <v>7</v>
      </c>
      <c r="F96" s="319">
        <f t="shared" si="92"/>
        <v>0.2</v>
      </c>
      <c r="G96" s="2180"/>
      <c r="H96" s="319">
        <f t="shared" si="93"/>
        <v>0</v>
      </c>
      <c r="I96" s="2002"/>
      <c r="J96" s="319">
        <f t="shared" si="94"/>
        <v>0</v>
      </c>
      <c r="K96" s="321">
        <f t="shared" si="95"/>
        <v>650</v>
      </c>
      <c r="L96" s="321">
        <f t="shared" si="96"/>
        <v>200</v>
      </c>
      <c r="M96" s="321">
        <f t="shared" si="97"/>
        <v>295</v>
      </c>
      <c r="N96" s="321">
        <f t="shared" si="98"/>
        <v>155</v>
      </c>
      <c r="O96" s="321">
        <f t="shared" si="99"/>
        <v>99</v>
      </c>
      <c r="P96" s="321">
        <f t="shared" si="100"/>
        <v>40</v>
      </c>
      <c r="Q96" s="321">
        <f t="shared" si="101"/>
        <v>59</v>
      </c>
      <c r="R96" s="321">
        <f t="shared" si="102"/>
        <v>0</v>
      </c>
      <c r="S96" s="321">
        <f t="shared" si="103"/>
        <v>551</v>
      </c>
      <c r="T96" s="321">
        <f t="shared" si="104"/>
        <v>160</v>
      </c>
      <c r="U96" s="321">
        <f t="shared" ref="U96:V96" si="110">M96-Q96</f>
        <v>236</v>
      </c>
      <c r="V96" s="321">
        <f t="shared" si="110"/>
        <v>155</v>
      </c>
      <c r="W96" s="2647"/>
      <c r="X96" s="2666"/>
      <c r="Y96" s="1876"/>
      <c r="Z96" s="13"/>
      <c r="AA96" s="13"/>
      <c r="AB96" s="13"/>
      <c r="AC96" s="13"/>
    </row>
    <row r="97" spans="1:29" ht="15.75" customHeight="1">
      <c r="A97" s="355">
        <v>7</v>
      </c>
      <c r="B97" s="2181" t="s">
        <v>2468</v>
      </c>
      <c r="C97" s="1999" t="s">
        <v>2383</v>
      </c>
      <c r="D97" s="1999">
        <v>4.9800000000000004</v>
      </c>
      <c r="E97" s="356"/>
      <c r="F97" s="319">
        <f t="shared" si="92"/>
        <v>0</v>
      </c>
      <c r="G97" s="2180"/>
      <c r="H97" s="319">
        <f t="shared" si="93"/>
        <v>0</v>
      </c>
      <c r="I97" s="2002"/>
      <c r="J97" s="319">
        <f t="shared" si="94"/>
        <v>0</v>
      </c>
      <c r="K97" s="321">
        <f t="shared" si="95"/>
        <v>650</v>
      </c>
      <c r="L97" s="321">
        <f t="shared" si="96"/>
        <v>200</v>
      </c>
      <c r="M97" s="321">
        <f t="shared" si="97"/>
        <v>295</v>
      </c>
      <c r="N97" s="321">
        <f t="shared" si="98"/>
        <v>155</v>
      </c>
      <c r="O97" s="321">
        <f t="shared" si="99"/>
        <v>0</v>
      </c>
      <c r="P97" s="321">
        <f t="shared" si="100"/>
        <v>0</v>
      </c>
      <c r="Q97" s="321">
        <f t="shared" si="101"/>
        <v>0</v>
      </c>
      <c r="R97" s="321">
        <f t="shared" si="102"/>
        <v>0</v>
      </c>
      <c r="S97" s="321">
        <f t="shared" si="103"/>
        <v>650</v>
      </c>
      <c r="T97" s="321">
        <f t="shared" si="104"/>
        <v>200</v>
      </c>
      <c r="U97" s="321">
        <f t="shared" ref="U97:V97" si="111">M97-Q97</f>
        <v>295</v>
      </c>
      <c r="V97" s="321">
        <f t="shared" si="111"/>
        <v>155</v>
      </c>
      <c r="W97" s="2647"/>
      <c r="X97" s="2666"/>
      <c r="Y97" s="1876"/>
      <c r="Z97" s="13"/>
      <c r="AA97" s="13"/>
      <c r="AB97" s="13"/>
      <c r="AC97" s="13"/>
    </row>
    <row r="98" spans="1:29" ht="15.75" customHeight="1">
      <c r="A98" s="355">
        <v>8</v>
      </c>
      <c r="B98" s="2181" t="s">
        <v>2469</v>
      </c>
      <c r="C98" s="1999" t="s">
        <v>2383</v>
      </c>
      <c r="D98" s="1999">
        <v>4.4000000000000004</v>
      </c>
      <c r="E98" s="356"/>
      <c r="F98" s="319">
        <f t="shared" si="92"/>
        <v>0</v>
      </c>
      <c r="G98" s="2180"/>
      <c r="H98" s="319">
        <f t="shared" si="93"/>
        <v>0</v>
      </c>
      <c r="I98" s="2002"/>
      <c r="J98" s="319">
        <f t="shared" si="94"/>
        <v>0</v>
      </c>
      <c r="K98" s="321">
        <f t="shared" si="95"/>
        <v>650</v>
      </c>
      <c r="L98" s="321">
        <f t="shared" si="96"/>
        <v>200</v>
      </c>
      <c r="M98" s="321">
        <f t="shared" si="97"/>
        <v>295</v>
      </c>
      <c r="N98" s="321">
        <f t="shared" si="98"/>
        <v>155</v>
      </c>
      <c r="O98" s="321">
        <f t="shared" si="99"/>
        <v>0</v>
      </c>
      <c r="P98" s="321">
        <f t="shared" si="100"/>
        <v>0</v>
      </c>
      <c r="Q98" s="321">
        <f t="shared" si="101"/>
        <v>0</v>
      </c>
      <c r="R98" s="321">
        <f t="shared" si="102"/>
        <v>0</v>
      </c>
      <c r="S98" s="321">
        <f t="shared" si="103"/>
        <v>650</v>
      </c>
      <c r="T98" s="321">
        <f t="shared" si="104"/>
        <v>200</v>
      </c>
      <c r="U98" s="321">
        <f t="shared" ref="U98:V98" si="112">M98-Q98</f>
        <v>295</v>
      </c>
      <c r="V98" s="321">
        <f t="shared" si="112"/>
        <v>155</v>
      </c>
      <c r="W98" s="2647"/>
      <c r="X98" s="2666"/>
      <c r="Y98" s="1876"/>
      <c r="Z98" s="13"/>
      <c r="AA98" s="13"/>
      <c r="AB98" s="13"/>
      <c r="AC98" s="13"/>
    </row>
    <row r="99" spans="1:29" ht="15.75" customHeight="1">
      <c r="A99" s="355">
        <v>9</v>
      </c>
      <c r="B99" s="2181" t="s">
        <v>2470</v>
      </c>
      <c r="C99" s="1999" t="s">
        <v>2383</v>
      </c>
      <c r="D99" s="1999">
        <v>3.33</v>
      </c>
      <c r="E99" s="356">
        <v>15</v>
      </c>
      <c r="F99" s="319">
        <f t="shared" si="92"/>
        <v>0.15</v>
      </c>
      <c r="G99" s="2180"/>
      <c r="H99" s="319">
        <f t="shared" si="93"/>
        <v>0</v>
      </c>
      <c r="I99" s="2002"/>
      <c r="J99" s="319">
        <f t="shared" si="94"/>
        <v>0</v>
      </c>
      <c r="K99" s="321">
        <f t="shared" si="95"/>
        <v>650</v>
      </c>
      <c r="L99" s="321">
        <f t="shared" si="96"/>
        <v>200</v>
      </c>
      <c r="M99" s="321">
        <f t="shared" si="97"/>
        <v>235</v>
      </c>
      <c r="N99" s="321">
        <f t="shared" si="98"/>
        <v>215</v>
      </c>
      <c r="O99" s="321">
        <f t="shared" si="99"/>
        <v>65.25</v>
      </c>
      <c r="P99" s="321">
        <f t="shared" si="100"/>
        <v>30</v>
      </c>
      <c r="Q99" s="321">
        <f t="shared" si="101"/>
        <v>35.25</v>
      </c>
      <c r="R99" s="321">
        <f t="shared" si="102"/>
        <v>0</v>
      </c>
      <c r="S99" s="321">
        <f t="shared" si="103"/>
        <v>584.75</v>
      </c>
      <c r="T99" s="321">
        <f t="shared" si="104"/>
        <v>170</v>
      </c>
      <c r="U99" s="321">
        <f t="shared" ref="U99:V99" si="113">M99-Q99</f>
        <v>199.75</v>
      </c>
      <c r="V99" s="321">
        <f t="shared" si="113"/>
        <v>215</v>
      </c>
      <c r="W99" s="2647"/>
      <c r="X99" s="2666"/>
      <c r="Y99" s="1876"/>
      <c r="Z99" s="13"/>
      <c r="AA99" s="13"/>
      <c r="AB99" s="13"/>
      <c r="AC99" s="13"/>
    </row>
    <row r="100" spans="1:29" ht="15.75" customHeight="1">
      <c r="A100" s="355">
        <v>10</v>
      </c>
      <c r="B100" s="2181" t="s">
        <v>2471</v>
      </c>
      <c r="C100" s="1999" t="s">
        <v>2383</v>
      </c>
      <c r="D100" s="1999">
        <v>5.42</v>
      </c>
      <c r="E100" s="356"/>
      <c r="F100" s="319">
        <f t="shared" si="92"/>
        <v>0</v>
      </c>
      <c r="G100" s="2180"/>
      <c r="H100" s="319">
        <f t="shared" si="93"/>
        <v>0</v>
      </c>
      <c r="I100" s="2002"/>
      <c r="J100" s="319">
        <f t="shared" si="94"/>
        <v>0</v>
      </c>
      <c r="K100" s="321">
        <f t="shared" si="95"/>
        <v>650</v>
      </c>
      <c r="L100" s="321">
        <f t="shared" si="96"/>
        <v>200</v>
      </c>
      <c r="M100" s="321">
        <f t="shared" si="97"/>
        <v>295</v>
      </c>
      <c r="N100" s="321">
        <f t="shared" si="98"/>
        <v>155</v>
      </c>
      <c r="O100" s="321">
        <f t="shared" si="99"/>
        <v>0</v>
      </c>
      <c r="P100" s="321">
        <f t="shared" si="100"/>
        <v>0</v>
      </c>
      <c r="Q100" s="321">
        <f t="shared" si="101"/>
        <v>0</v>
      </c>
      <c r="R100" s="321">
        <f t="shared" si="102"/>
        <v>0</v>
      </c>
      <c r="S100" s="321">
        <f t="shared" si="103"/>
        <v>650</v>
      </c>
      <c r="T100" s="321">
        <f t="shared" si="104"/>
        <v>200</v>
      </c>
      <c r="U100" s="321">
        <f t="shared" ref="U100:V100" si="114">M100-Q100</f>
        <v>295</v>
      </c>
      <c r="V100" s="321">
        <f t="shared" si="114"/>
        <v>155</v>
      </c>
      <c r="W100" s="2647"/>
      <c r="X100" s="2666"/>
      <c r="Y100" s="1876"/>
      <c r="Z100" s="13"/>
      <c r="AA100" s="13"/>
      <c r="AB100" s="13"/>
      <c r="AC100" s="13"/>
    </row>
    <row r="101" spans="1:29" ht="15.75" customHeight="1">
      <c r="A101" s="355">
        <v>11</v>
      </c>
      <c r="B101" s="2181" t="s">
        <v>2472</v>
      </c>
      <c r="C101" s="1999" t="s">
        <v>2383</v>
      </c>
      <c r="D101" s="1999">
        <v>3.66</v>
      </c>
      <c r="E101" s="356"/>
      <c r="F101" s="319">
        <f t="shared" si="92"/>
        <v>0</v>
      </c>
      <c r="G101" s="2180"/>
      <c r="H101" s="319">
        <f t="shared" si="93"/>
        <v>0</v>
      </c>
      <c r="I101" s="2002"/>
      <c r="J101" s="319">
        <f t="shared" si="94"/>
        <v>0</v>
      </c>
      <c r="K101" s="321">
        <f t="shared" si="95"/>
        <v>650</v>
      </c>
      <c r="L101" s="321">
        <f t="shared" si="96"/>
        <v>200</v>
      </c>
      <c r="M101" s="321">
        <f t="shared" si="97"/>
        <v>235</v>
      </c>
      <c r="N101" s="321">
        <f t="shared" si="98"/>
        <v>215</v>
      </c>
      <c r="O101" s="321">
        <f t="shared" si="99"/>
        <v>0</v>
      </c>
      <c r="P101" s="321">
        <f t="shared" si="100"/>
        <v>0</v>
      </c>
      <c r="Q101" s="321">
        <f t="shared" si="101"/>
        <v>0</v>
      </c>
      <c r="R101" s="321">
        <f t="shared" si="102"/>
        <v>0</v>
      </c>
      <c r="S101" s="321">
        <f t="shared" si="103"/>
        <v>650</v>
      </c>
      <c r="T101" s="321">
        <f t="shared" si="104"/>
        <v>200</v>
      </c>
      <c r="U101" s="321">
        <f t="shared" ref="U101:V101" si="115">M101-Q101</f>
        <v>235</v>
      </c>
      <c r="V101" s="321">
        <f t="shared" si="115"/>
        <v>215</v>
      </c>
      <c r="W101" s="2647"/>
      <c r="X101" s="2666"/>
      <c r="Y101" s="1876"/>
      <c r="Z101" s="13"/>
      <c r="AA101" s="13"/>
      <c r="AB101" s="13"/>
      <c r="AC101" s="13"/>
    </row>
    <row r="102" spans="1:29" ht="15.75" customHeight="1">
      <c r="A102" s="355">
        <v>12</v>
      </c>
      <c r="B102" s="2180" t="s">
        <v>2473</v>
      </c>
      <c r="C102" s="1999" t="s">
        <v>2383</v>
      </c>
      <c r="D102" s="1999">
        <v>6.2</v>
      </c>
      <c r="E102" s="356"/>
      <c r="F102" s="319">
        <f t="shared" si="92"/>
        <v>0</v>
      </c>
      <c r="G102" s="2180"/>
      <c r="H102" s="319">
        <f t="shared" si="93"/>
        <v>0</v>
      </c>
      <c r="I102" s="2002"/>
      <c r="J102" s="319">
        <f t="shared" si="94"/>
        <v>0</v>
      </c>
      <c r="K102" s="321">
        <f t="shared" si="95"/>
        <v>650</v>
      </c>
      <c r="L102" s="321">
        <f t="shared" si="96"/>
        <v>200</v>
      </c>
      <c r="M102" s="321">
        <f t="shared" si="97"/>
        <v>350</v>
      </c>
      <c r="N102" s="321">
        <f t="shared" si="98"/>
        <v>100</v>
      </c>
      <c r="O102" s="321">
        <f t="shared" si="99"/>
        <v>0</v>
      </c>
      <c r="P102" s="321">
        <f t="shared" si="100"/>
        <v>0</v>
      </c>
      <c r="Q102" s="321">
        <f t="shared" si="101"/>
        <v>0</v>
      </c>
      <c r="R102" s="321">
        <f t="shared" si="102"/>
        <v>0</v>
      </c>
      <c r="S102" s="321">
        <f t="shared" si="103"/>
        <v>650</v>
      </c>
      <c r="T102" s="321">
        <f t="shared" si="104"/>
        <v>200</v>
      </c>
      <c r="U102" s="321">
        <f t="shared" ref="U102:V102" si="116">M102-Q102</f>
        <v>350</v>
      </c>
      <c r="V102" s="321">
        <f t="shared" si="116"/>
        <v>100</v>
      </c>
      <c r="W102" s="2647"/>
      <c r="X102" s="2666"/>
      <c r="Y102" s="1876"/>
      <c r="Z102" s="13"/>
      <c r="AA102" s="13"/>
      <c r="AB102" s="13"/>
      <c r="AC102" s="13"/>
    </row>
    <row r="103" spans="1:29" ht="15.75" customHeight="1">
      <c r="A103" s="355">
        <v>13</v>
      </c>
      <c r="B103" s="2180" t="s">
        <v>2474</v>
      </c>
      <c r="C103" s="1999" t="s">
        <v>2383</v>
      </c>
      <c r="D103" s="1999">
        <v>3.66</v>
      </c>
      <c r="E103" s="356">
        <v>12</v>
      </c>
      <c r="F103" s="319">
        <f t="shared" si="92"/>
        <v>0.1</v>
      </c>
      <c r="G103" s="2180"/>
      <c r="H103" s="319">
        <f t="shared" si="93"/>
        <v>0</v>
      </c>
      <c r="I103" s="2002"/>
      <c r="J103" s="319">
        <f t="shared" si="94"/>
        <v>0</v>
      </c>
      <c r="K103" s="321">
        <f t="shared" si="95"/>
        <v>650</v>
      </c>
      <c r="L103" s="321">
        <f t="shared" si="96"/>
        <v>200</v>
      </c>
      <c r="M103" s="321">
        <f t="shared" si="97"/>
        <v>235</v>
      </c>
      <c r="N103" s="321">
        <f t="shared" si="98"/>
        <v>215</v>
      </c>
      <c r="O103" s="321">
        <f t="shared" si="99"/>
        <v>43.5</v>
      </c>
      <c r="P103" s="321">
        <f t="shared" si="100"/>
        <v>20</v>
      </c>
      <c r="Q103" s="321">
        <f t="shared" si="101"/>
        <v>23.5</v>
      </c>
      <c r="R103" s="321">
        <f t="shared" si="102"/>
        <v>0</v>
      </c>
      <c r="S103" s="321">
        <f t="shared" si="103"/>
        <v>606.5</v>
      </c>
      <c r="T103" s="321">
        <f t="shared" si="104"/>
        <v>180</v>
      </c>
      <c r="U103" s="321">
        <f t="shared" ref="U103:V103" si="117">M103-Q103</f>
        <v>211.5</v>
      </c>
      <c r="V103" s="321">
        <f t="shared" si="117"/>
        <v>215</v>
      </c>
      <c r="W103" s="2647"/>
      <c r="X103" s="2666"/>
      <c r="Y103" s="1876"/>
      <c r="Z103" s="13"/>
      <c r="AA103" s="13"/>
      <c r="AB103" s="13"/>
      <c r="AC103" s="13"/>
    </row>
    <row r="104" spans="1:29" ht="15.75" customHeight="1">
      <c r="A104" s="355">
        <v>14</v>
      </c>
      <c r="B104" s="2181" t="s">
        <v>2475</v>
      </c>
      <c r="C104" s="1999" t="s">
        <v>2383</v>
      </c>
      <c r="D104" s="1999">
        <v>4.74</v>
      </c>
      <c r="E104" s="2182"/>
      <c r="F104" s="319">
        <f t="shared" si="92"/>
        <v>0</v>
      </c>
      <c r="G104" s="2180" t="s">
        <v>200</v>
      </c>
      <c r="H104" s="319">
        <f t="shared" si="93"/>
        <v>1</v>
      </c>
      <c r="I104" s="2002"/>
      <c r="J104" s="319">
        <f t="shared" si="94"/>
        <v>0</v>
      </c>
      <c r="K104" s="321">
        <f t="shared" si="95"/>
        <v>650</v>
      </c>
      <c r="L104" s="321">
        <f t="shared" si="96"/>
        <v>200</v>
      </c>
      <c r="M104" s="321">
        <f t="shared" si="97"/>
        <v>295</v>
      </c>
      <c r="N104" s="321">
        <f t="shared" si="98"/>
        <v>155</v>
      </c>
      <c r="O104" s="321">
        <f t="shared" si="99"/>
        <v>650</v>
      </c>
      <c r="P104" s="321">
        <f t="shared" si="100"/>
        <v>200</v>
      </c>
      <c r="Q104" s="321">
        <f t="shared" si="101"/>
        <v>295</v>
      </c>
      <c r="R104" s="321">
        <f t="shared" si="102"/>
        <v>155</v>
      </c>
      <c r="S104" s="321">
        <f t="shared" si="103"/>
        <v>0</v>
      </c>
      <c r="T104" s="321">
        <f t="shared" si="104"/>
        <v>0</v>
      </c>
      <c r="U104" s="321">
        <f t="shared" ref="U104:V104" si="118">M104-Q104</f>
        <v>0</v>
      </c>
      <c r="V104" s="321">
        <f t="shared" si="118"/>
        <v>0</v>
      </c>
      <c r="W104" s="2647"/>
      <c r="X104" s="2666"/>
      <c r="Y104" s="1876"/>
      <c r="Z104" s="13"/>
      <c r="AA104" s="13"/>
      <c r="AB104" s="13"/>
      <c r="AC104" s="13"/>
    </row>
    <row r="105" spans="1:29" ht="15.75" customHeight="1">
      <c r="A105" s="355">
        <v>15</v>
      </c>
      <c r="B105" s="2181" t="s">
        <v>2476</v>
      </c>
      <c r="C105" s="1999" t="s">
        <v>2383</v>
      </c>
      <c r="D105" s="1999">
        <v>4.74</v>
      </c>
      <c r="E105" s="2182"/>
      <c r="F105" s="319">
        <f t="shared" si="92"/>
        <v>0</v>
      </c>
      <c r="G105" s="2180" t="s">
        <v>200</v>
      </c>
      <c r="H105" s="319">
        <f t="shared" si="93"/>
        <v>1</v>
      </c>
      <c r="I105" s="2002"/>
      <c r="J105" s="319">
        <f t="shared" si="94"/>
        <v>0</v>
      </c>
      <c r="K105" s="321">
        <f t="shared" si="95"/>
        <v>650</v>
      </c>
      <c r="L105" s="321">
        <f t="shared" si="96"/>
        <v>200</v>
      </c>
      <c r="M105" s="321">
        <f t="shared" si="97"/>
        <v>295</v>
      </c>
      <c r="N105" s="321">
        <f t="shared" si="98"/>
        <v>155</v>
      </c>
      <c r="O105" s="321">
        <f t="shared" si="99"/>
        <v>650</v>
      </c>
      <c r="P105" s="321">
        <f t="shared" si="100"/>
        <v>200</v>
      </c>
      <c r="Q105" s="321">
        <f t="shared" si="101"/>
        <v>295</v>
      </c>
      <c r="R105" s="321">
        <f t="shared" si="102"/>
        <v>155</v>
      </c>
      <c r="S105" s="321">
        <f t="shared" si="103"/>
        <v>0</v>
      </c>
      <c r="T105" s="321">
        <f>L105*(1-F105)*(1-H105)*(1-J106)</f>
        <v>0</v>
      </c>
      <c r="U105" s="321">
        <f t="shared" ref="U105:V105" si="119">M105-Q105</f>
        <v>0</v>
      </c>
      <c r="V105" s="321">
        <f t="shared" si="119"/>
        <v>0</v>
      </c>
      <c r="W105" s="2647"/>
      <c r="X105" s="2666"/>
      <c r="Y105" s="1876"/>
      <c r="Z105" s="13"/>
      <c r="AA105" s="13"/>
      <c r="AB105" s="13"/>
      <c r="AC105" s="13"/>
    </row>
    <row r="106" spans="1:29" ht="15.75" customHeight="1">
      <c r="A106" s="357"/>
      <c r="B106" s="358" t="s">
        <v>2439</v>
      </c>
      <c r="C106" s="357"/>
      <c r="D106" s="2183"/>
      <c r="E106" s="357"/>
      <c r="F106" s="319"/>
      <c r="G106" s="357"/>
      <c r="H106" s="357"/>
      <c r="I106" s="357"/>
      <c r="J106" s="357"/>
      <c r="K106" s="359">
        <f t="shared" ref="K106:V106" si="120">SUM(K91:K105)</f>
        <v>9750</v>
      </c>
      <c r="L106" s="359">
        <f t="shared" si="120"/>
        <v>3000</v>
      </c>
      <c r="M106" s="359">
        <f t="shared" si="120"/>
        <v>4295</v>
      </c>
      <c r="N106" s="359">
        <f t="shared" si="120"/>
        <v>2455</v>
      </c>
      <c r="O106" s="359">
        <f t="shared" si="120"/>
        <v>1849.75</v>
      </c>
      <c r="P106" s="359">
        <f t="shared" si="120"/>
        <v>610</v>
      </c>
      <c r="Q106" s="359">
        <f t="shared" si="120"/>
        <v>908.25</v>
      </c>
      <c r="R106" s="359">
        <f t="shared" si="120"/>
        <v>331.5</v>
      </c>
      <c r="S106" s="359">
        <f t="shared" si="120"/>
        <v>7900.25</v>
      </c>
      <c r="T106" s="359">
        <f t="shared" si="120"/>
        <v>2390</v>
      </c>
      <c r="U106" s="359">
        <f t="shared" si="120"/>
        <v>3386.75</v>
      </c>
      <c r="V106" s="359">
        <f t="shared" si="120"/>
        <v>2123.5</v>
      </c>
      <c r="W106" s="2649"/>
      <c r="X106" s="2667"/>
      <c r="Y106" s="2184"/>
      <c r="Z106" s="13"/>
      <c r="AA106" s="13"/>
      <c r="AB106" s="13"/>
      <c r="AC106" s="13"/>
    </row>
    <row r="107" spans="1:29" ht="15.75" customHeight="1">
      <c r="A107" s="310"/>
      <c r="B107" s="310"/>
      <c r="C107" s="345"/>
      <c r="D107" s="346"/>
      <c r="E107" s="347"/>
      <c r="F107" s="319"/>
      <c r="G107" s="310"/>
      <c r="H107" s="310"/>
      <c r="I107" s="310"/>
      <c r="J107" s="310"/>
      <c r="K107" s="360">
        <f>K106-SUM(L106:N106)</f>
        <v>0</v>
      </c>
      <c r="L107" s="331"/>
      <c r="M107" s="331"/>
      <c r="N107" s="331"/>
      <c r="O107" s="360">
        <f>O106-SUM(P106:R106)</f>
        <v>0</v>
      </c>
      <c r="P107" s="331"/>
      <c r="Q107" s="331"/>
      <c r="R107" s="331"/>
      <c r="S107" s="360">
        <f>S106-SUM(T106:V106)</f>
        <v>0</v>
      </c>
      <c r="T107" s="310"/>
      <c r="U107" s="310"/>
      <c r="V107" s="310"/>
      <c r="W107" s="345"/>
      <c r="X107" s="2664"/>
      <c r="Y107" s="2176"/>
      <c r="Z107" s="13"/>
      <c r="AA107" s="13"/>
      <c r="AB107" s="13"/>
      <c r="AC107" s="13"/>
    </row>
    <row r="108" spans="1:29" ht="15.75" customHeight="1">
      <c r="A108" s="309" t="s">
        <v>445</v>
      </c>
      <c r="B108" s="361" t="s">
        <v>894</v>
      </c>
      <c r="C108" s="345"/>
      <c r="D108" s="346"/>
      <c r="E108" s="347"/>
      <c r="F108" s="319"/>
      <c r="G108" s="310"/>
      <c r="H108" s="310"/>
      <c r="I108" s="310"/>
      <c r="J108" s="310"/>
      <c r="K108" s="310"/>
      <c r="L108" s="310"/>
      <c r="M108" s="310"/>
      <c r="N108" s="310"/>
      <c r="O108" s="310"/>
      <c r="P108" s="310"/>
      <c r="Q108" s="310"/>
      <c r="R108" s="313"/>
      <c r="S108" s="310"/>
      <c r="T108" s="310"/>
      <c r="U108" s="310"/>
      <c r="V108" s="310"/>
      <c r="W108" s="345"/>
      <c r="X108" s="2664"/>
      <c r="Y108" s="2176"/>
      <c r="Z108" s="13"/>
      <c r="AA108" s="13"/>
      <c r="AB108" s="13"/>
      <c r="AC108" s="13"/>
    </row>
    <row r="109" spans="1:29">
      <c r="A109" s="362"/>
      <c r="B109" s="363" t="s">
        <v>2477</v>
      </c>
      <c r="C109" s="364"/>
      <c r="D109" s="341"/>
      <c r="E109" s="365"/>
      <c r="F109" s="319"/>
      <c r="G109" s="363"/>
      <c r="H109" s="366"/>
      <c r="I109" s="2896" t="s">
        <v>1532</v>
      </c>
      <c r="J109" s="2179"/>
      <c r="K109" s="2966" t="s">
        <v>2354</v>
      </c>
      <c r="L109" s="2782"/>
      <c r="M109" s="2782"/>
      <c r="N109" s="2783"/>
      <c r="O109" s="2966" t="s">
        <v>2355</v>
      </c>
      <c r="P109" s="2782"/>
      <c r="Q109" s="2782"/>
      <c r="R109" s="2783"/>
      <c r="S109" s="2966" t="s">
        <v>2356</v>
      </c>
      <c r="T109" s="2782"/>
      <c r="U109" s="2782"/>
      <c r="V109" s="2783"/>
      <c r="W109" s="2967" t="s">
        <v>32</v>
      </c>
      <c r="X109" s="2664"/>
      <c r="Y109" s="2176"/>
      <c r="Z109" s="13"/>
      <c r="AA109" s="13"/>
      <c r="AB109" s="13"/>
      <c r="AC109" s="13"/>
    </row>
    <row r="110" spans="1:29" ht="38.25">
      <c r="A110" s="362"/>
      <c r="B110" s="363" t="s">
        <v>2478</v>
      </c>
      <c r="C110" s="364"/>
      <c r="D110" s="337" t="s">
        <v>2425</v>
      </c>
      <c r="E110" s="338"/>
      <c r="F110" s="319"/>
      <c r="G110" s="314"/>
      <c r="H110" s="339"/>
      <c r="I110" s="2779"/>
      <c r="J110" s="340"/>
      <c r="K110" s="307" t="s">
        <v>1911</v>
      </c>
      <c r="L110" s="307" t="s">
        <v>2364</v>
      </c>
      <c r="M110" s="307" t="s">
        <v>2365</v>
      </c>
      <c r="N110" s="307" t="s">
        <v>2366</v>
      </c>
      <c r="O110" s="307" t="s">
        <v>1911</v>
      </c>
      <c r="P110" s="307" t="s">
        <v>2364</v>
      </c>
      <c r="Q110" s="307" t="s">
        <v>2365</v>
      </c>
      <c r="R110" s="307" t="s">
        <v>2366</v>
      </c>
      <c r="S110" s="307" t="s">
        <v>1911</v>
      </c>
      <c r="T110" s="307" t="s">
        <v>2364</v>
      </c>
      <c r="U110" s="307" t="s">
        <v>2365</v>
      </c>
      <c r="V110" s="307" t="s">
        <v>2366</v>
      </c>
      <c r="W110" s="2968"/>
      <c r="X110" s="2664"/>
      <c r="Y110" s="2176"/>
      <c r="Z110" s="13"/>
      <c r="AA110" s="13"/>
      <c r="AB110" s="13"/>
      <c r="AC110" s="13"/>
    </row>
    <row r="111" spans="1:29" ht="15.75" customHeight="1">
      <c r="A111" s="362"/>
      <c r="B111" s="363" t="s">
        <v>2479</v>
      </c>
      <c r="C111" s="364"/>
      <c r="D111" s="341"/>
      <c r="E111" s="365"/>
      <c r="F111" s="319"/>
      <c r="G111" s="363"/>
      <c r="H111" s="363"/>
      <c r="I111" s="310" t="s">
        <v>467</v>
      </c>
      <c r="J111" s="310"/>
      <c r="K111" s="310" t="s">
        <v>468</v>
      </c>
      <c r="L111" s="310" t="s">
        <v>469</v>
      </c>
      <c r="M111" s="310" t="s">
        <v>470</v>
      </c>
      <c r="N111" s="310" t="s">
        <v>471</v>
      </c>
      <c r="O111" s="310" t="s">
        <v>1536</v>
      </c>
      <c r="P111" s="310" t="s">
        <v>2368</v>
      </c>
      <c r="Q111" s="310" t="s">
        <v>474</v>
      </c>
      <c r="R111" s="311" t="s">
        <v>475</v>
      </c>
      <c r="S111" s="310" t="s">
        <v>625</v>
      </c>
      <c r="T111" s="310" t="s">
        <v>534</v>
      </c>
      <c r="U111" s="310" t="s">
        <v>535</v>
      </c>
      <c r="V111" s="310" t="s">
        <v>536</v>
      </c>
      <c r="W111" s="345" t="s">
        <v>537</v>
      </c>
      <c r="X111" s="2664"/>
      <c r="Y111" s="2176"/>
      <c r="Z111" s="13"/>
      <c r="AA111" s="13"/>
      <c r="AB111" s="13"/>
      <c r="AC111" s="13"/>
    </row>
    <row r="112" spans="1:29" ht="15.75" customHeight="1">
      <c r="A112" s="362"/>
      <c r="B112" s="363" t="s">
        <v>2480</v>
      </c>
      <c r="C112" s="364"/>
      <c r="D112" s="341"/>
      <c r="E112" s="365"/>
      <c r="F112" s="319"/>
      <c r="G112" s="363"/>
      <c r="H112" s="363"/>
      <c r="I112" s="362"/>
      <c r="J112" s="362"/>
      <c r="K112" s="362"/>
      <c r="L112" s="362"/>
      <c r="M112" s="362"/>
      <c r="N112" s="362"/>
      <c r="O112" s="362"/>
      <c r="P112" s="362"/>
      <c r="Q112" s="362"/>
      <c r="R112" s="362"/>
      <c r="S112" s="362"/>
      <c r="T112" s="362"/>
      <c r="U112" s="362"/>
      <c r="V112" s="362"/>
      <c r="W112" s="2650"/>
      <c r="X112" s="2664"/>
      <c r="Y112" s="2176"/>
      <c r="Z112" s="13"/>
      <c r="AA112" s="13"/>
      <c r="AB112" s="13"/>
      <c r="AC112" s="13"/>
    </row>
    <row r="113" spans="1:29" ht="15.75" customHeight="1">
      <c r="A113" s="362"/>
      <c r="B113" s="363" t="s">
        <v>2481</v>
      </c>
      <c r="C113" s="364"/>
      <c r="D113" s="341"/>
      <c r="E113" s="365"/>
      <c r="F113" s="319"/>
      <c r="G113" s="363"/>
      <c r="H113" s="363"/>
      <c r="I113" s="362"/>
      <c r="J113" s="362"/>
      <c r="K113" s="362"/>
      <c r="L113" s="362"/>
      <c r="M113" s="362"/>
      <c r="N113" s="362"/>
      <c r="O113" s="362"/>
      <c r="P113" s="362"/>
      <c r="Q113" s="362"/>
      <c r="R113" s="362"/>
      <c r="S113" s="362"/>
      <c r="T113" s="362"/>
      <c r="U113" s="362"/>
      <c r="V113" s="362"/>
      <c r="W113" s="2650"/>
      <c r="X113" s="2664"/>
      <c r="Y113" s="2176"/>
      <c r="Z113" s="13"/>
      <c r="AA113" s="13"/>
      <c r="AB113" s="13"/>
      <c r="AC113" s="13"/>
    </row>
    <row r="114" spans="1:29" ht="15.75" customHeight="1">
      <c r="A114" s="362"/>
      <c r="B114" s="363" t="s">
        <v>2482</v>
      </c>
      <c r="C114" s="364"/>
      <c r="D114" s="341"/>
      <c r="E114" s="365"/>
      <c r="F114" s="319"/>
      <c r="G114" s="363"/>
      <c r="H114" s="363"/>
      <c r="I114" s="362"/>
      <c r="J114" s="362"/>
      <c r="K114" s="362"/>
      <c r="L114" s="362"/>
      <c r="M114" s="362"/>
      <c r="N114" s="362"/>
      <c r="O114" s="362"/>
      <c r="P114" s="362"/>
      <c r="Q114" s="362"/>
      <c r="R114" s="362"/>
      <c r="S114" s="362"/>
      <c r="T114" s="362"/>
      <c r="U114" s="362"/>
      <c r="V114" s="362"/>
      <c r="W114" s="2650"/>
      <c r="X114" s="2664"/>
      <c r="Y114" s="2176"/>
      <c r="Z114" s="13"/>
      <c r="AA114" s="13"/>
      <c r="AB114" s="13"/>
      <c r="AC114" s="13"/>
    </row>
    <row r="115" spans="1:29" ht="15.75" customHeight="1">
      <c r="A115" s="367"/>
      <c r="B115" s="2185" t="s">
        <v>2483</v>
      </c>
      <c r="C115" s="343" t="s">
        <v>2386</v>
      </c>
      <c r="D115" s="320">
        <v>5.08</v>
      </c>
      <c r="E115" s="342">
        <v>6</v>
      </c>
      <c r="F115" s="319">
        <f t="shared" ref="F115:F119" si="121">IF(E115=1, 0.75, IF(OR(E115=2, E115=14, E115=21), 0.7, IF(OR(E115=3, E115=17), 0.65, IF(E115=4, 0.4, IF(OR(E115=5, E115=6, E115=25), 0.3, IF(OR(E115=7, E115=8, E115=9, E115=26), 0.2, IF(OR(E115=10, E115=15, E115=18), 0.15, IF(OR(E115=11, E115=12, E115=16, E115=19, E115=20), 0.1, IF(E115=24, 0.35, IF(E115=27, 0.5, 0))))))))))</f>
        <v>0.3</v>
      </c>
      <c r="G115" s="319"/>
      <c r="H115" s="319">
        <f t="shared" ref="H115:H119" si="122">IF(G115="A", 1, IF(G115="B", 0.7, IF(G115="C", 0.6, 0)))</f>
        <v>0</v>
      </c>
      <c r="I115" s="319"/>
      <c r="J115" s="319">
        <f t="shared" ref="J115:J119" si="123">IF(I115="D", 1, IF(OR(I115="E", I115="F"), 0.1, 0))</f>
        <v>0</v>
      </c>
      <c r="K115" s="321">
        <f t="shared" ref="K115:K119" si="124">L115+M115+N115</f>
        <v>650</v>
      </c>
      <c r="L115" s="321">
        <f t="shared" ref="L115:L119" si="125">IF(C115="N1", 270, IF(C115="N2", 350, IF(C115="N3", 200, 0)))</f>
        <v>270</v>
      </c>
      <c r="M115" s="321">
        <f t="shared" ref="M115:M119" si="126">IF(AND(C115="N1", D115&gt;=6.2),260, IF(AND(C115="N1",D115&gt;=5.76),240,IF(AND(C115="N1",D115&gt;=4.4),220,IF(AND(C115="N1", D115&gt;=4.32), 200,IF(AND(C115="N1", D115&gt;=3.33),175,IF(AND(C115="N1", D115&gt;=2.34),165, IF(AND(C115="N2",D115&gt;=6.2),200, IF(AND(C115="N2",5.76&lt;=D115),185,IF(AND(C115="N2",4.4&lt;=D115),170,IF(AND(C115="N2",4.32&lt;=D115), 155, IF(AND(C115="N2",3.33&lt;=D115),135,IF(AND(C115="N2",2.34&lt;=D115),125, IF(AND(C115="N3",D115&gt;=6.2),350, IF(AND(C115="N3",5.76&lt;=D115),325,IF(AND(C115="N3",4.4&lt;=D115),295,IF(AND(C115="N3",4.32&lt;=D115),270,IF(AND(C115="N3",3.33&lt;=D115),235,IF(AND(C115="N3",2.34&lt;=D115), 225, "SAI THÔNG TIN"))))))))))))))))))</f>
        <v>220</v>
      </c>
      <c r="N115" s="321">
        <f t="shared" ref="N115:N119" si="127">IF(AND(C115="N1", D115&gt;=6.2),120, IF(AND(C115="N1",D115&gt;=5.76),140,IF(AND(C115="N1",4.4&lt;=D115),160,IF(AND(C115="N1",4.32&lt;=D115), 180,IF(AND(C115="N1",3.33&lt;=D115),205,IF(AND(C115="N1",2.34&lt;=D115),215, IF(AND(C115="N2",D115&gt;=6.2),100, IF(AND(C115="N2",5.76&lt;=D115),115,IF(AND(C115="N2",4.4&lt;=D115),130,IF(AND(C115="N2",4.32&lt;=D115), 145, IF(AND(C115="N2",3.33&lt;=D115),165,IF(AND(C115="N2",2.34&lt;=D115),175, IF(AND(C115="N3",D115&gt;=6.2),100, IF(AND(C115="N3",5.76&lt;=D115),125,IF(AND(C115="N3",4.4&lt;=D115),155,IF(AND(C115="N3",4.32&lt;=D115),180,IF(AND(C115="N3",3.33&lt;=D115),215,IF(AND(C115="N3",2.34&lt;=D115), 225, "SAI THÔNG TIN"))))))))))))))))))</f>
        <v>160</v>
      </c>
      <c r="O115" s="321">
        <f t="shared" ref="O115:O119" si="128">P115+Q115+R115</f>
        <v>147</v>
      </c>
      <c r="P115" s="321">
        <f t="shared" ref="P115:P119" si="129">L115-T115</f>
        <v>81</v>
      </c>
      <c r="Q115" s="321">
        <f t="shared" ref="Q115:Q119" si="130">IF(OR(G115="A", I115="D"), M115, IF(G115="C", 0.6*M115, IF(OR(I115="E", I115="F"), 0.1*M115, IF(G115="B", 0, F115*M115))))</f>
        <v>66</v>
      </c>
      <c r="R115" s="321">
        <f t="shared" ref="R115:R119" si="131">IF(OR(G115="A", I115="D"), N115, IF(G115="C", 0.6*N115, IF(I115="E", 0.1*N115, IF(G115="B", 0.7*N115, 0))))</f>
        <v>0</v>
      </c>
      <c r="S115" s="321">
        <f t="shared" ref="S115:S119" si="132">T115+U115+V115</f>
        <v>503</v>
      </c>
      <c r="T115" s="321">
        <f t="shared" ref="T115:T119" si="133">L115*(1-F115)*(1-H115)*(1-J117)</f>
        <v>189</v>
      </c>
      <c r="U115" s="321">
        <f t="shared" ref="U115:V115" si="134">M115-Q115</f>
        <v>154</v>
      </c>
      <c r="V115" s="321">
        <f t="shared" si="134"/>
        <v>160</v>
      </c>
      <c r="W115" s="2651"/>
      <c r="X115" s="2664"/>
      <c r="Y115" s="2176"/>
      <c r="Z115" s="13"/>
      <c r="AA115" s="13"/>
      <c r="AB115" s="13"/>
      <c r="AC115" s="13"/>
    </row>
    <row r="116" spans="1:29" ht="15.75" customHeight="1">
      <c r="A116" s="367"/>
      <c r="B116" s="2185" t="s">
        <v>2484</v>
      </c>
      <c r="C116" s="343" t="s">
        <v>2386</v>
      </c>
      <c r="D116" s="320">
        <v>3.33</v>
      </c>
      <c r="E116" s="342">
        <v>10</v>
      </c>
      <c r="F116" s="319">
        <f t="shared" si="121"/>
        <v>0.15</v>
      </c>
      <c r="G116" s="319"/>
      <c r="H116" s="319">
        <f t="shared" si="122"/>
        <v>0</v>
      </c>
      <c r="I116" s="319"/>
      <c r="J116" s="319">
        <f t="shared" si="123"/>
        <v>0</v>
      </c>
      <c r="K116" s="321">
        <f t="shared" si="124"/>
        <v>650</v>
      </c>
      <c r="L116" s="321">
        <f t="shared" si="125"/>
        <v>270</v>
      </c>
      <c r="M116" s="321">
        <f t="shared" si="126"/>
        <v>175</v>
      </c>
      <c r="N116" s="321">
        <f t="shared" si="127"/>
        <v>205</v>
      </c>
      <c r="O116" s="321">
        <f t="shared" si="128"/>
        <v>66.75</v>
      </c>
      <c r="P116" s="321">
        <f t="shared" si="129"/>
        <v>40.5</v>
      </c>
      <c r="Q116" s="321">
        <f t="shared" si="130"/>
        <v>26.25</v>
      </c>
      <c r="R116" s="321">
        <f t="shared" si="131"/>
        <v>0</v>
      </c>
      <c r="S116" s="321">
        <f t="shared" si="132"/>
        <v>583.25</v>
      </c>
      <c r="T116" s="321">
        <f t="shared" si="133"/>
        <v>229.5</v>
      </c>
      <c r="U116" s="321">
        <f t="shared" ref="U116:V116" si="135">M116-Q116</f>
        <v>148.75</v>
      </c>
      <c r="V116" s="321">
        <f t="shared" si="135"/>
        <v>205</v>
      </c>
      <c r="W116" s="2651"/>
      <c r="X116" s="2664"/>
      <c r="Y116" s="2176"/>
      <c r="Z116" s="13"/>
      <c r="AA116" s="13"/>
      <c r="AB116" s="13"/>
      <c r="AC116" s="13"/>
    </row>
    <row r="117" spans="1:29" ht="15.75" customHeight="1">
      <c r="A117" s="367"/>
      <c r="B117" s="2185" t="s">
        <v>2485</v>
      </c>
      <c r="C117" s="343" t="s">
        <v>2386</v>
      </c>
      <c r="D117" s="320">
        <v>6.44</v>
      </c>
      <c r="E117" s="342"/>
      <c r="F117" s="319">
        <f t="shared" si="121"/>
        <v>0</v>
      </c>
      <c r="G117" s="319"/>
      <c r="H117" s="319">
        <f t="shared" si="122"/>
        <v>0</v>
      </c>
      <c r="I117" s="319"/>
      <c r="J117" s="319">
        <f t="shared" si="123"/>
        <v>0</v>
      </c>
      <c r="K117" s="321">
        <f t="shared" si="124"/>
        <v>650</v>
      </c>
      <c r="L117" s="321">
        <f t="shared" si="125"/>
        <v>270</v>
      </c>
      <c r="M117" s="321">
        <f t="shared" si="126"/>
        <v>260</v>
      </c>
      <c r="N117" s="321">
        <f t="shared" si="127"/>
        <v>120</v>
      </c>
      <c r="O117" s="321">
        <f t="shared" si="128"/>
        <v>0</v>
      </c>
      <c r="P117" s="321">
        <f t="shared" si="129"/>
        <v>0</v>
      </c>
      <c r="Q117" s="321">
        <f t="shared" si="130"/>
        <v>0</v>
      </c>
      <c r="R117" s="321">
        <f t="shared" si="131"/>
        <v>0</v>
      </c>
      <c r="S117" s="321">
        <f t="shared" si="132"/>
        <v>650</v>
      </c>
      <c r="T117" s="321">
        <f t="shared" si="133"/>
        <v>270</v>
      </c>
      <c r="U117" s="321">
        <f t="shared" ref="U117:V117" si="136">M117-Q117</f>
        <v>260</v>
      </c>
      <c r="V117" s="321">
        <f t="shared" si="136"/>
        <v>120</v>
      </c>
      <c r="W117" s="2651"/>
      <c r="X117" s="2664"/>
      <c r="Y117" s="2176"/>
      <c r="Z117" s="13"/>
      <c r="AA117" s="13"/>
      <c r="AB117" s="13"/>
      <c r="AC117" s="13"/>
    </row>
    <row r="118" spans="1:29" ht="15.75" customHeight="1">
      <c r="A118" s="367"/>
      <c r="B118" s="2185" t="s">
        <v>2486</v>
      </c>
      <c r="C118" s="343" t="s">
        <v>2391</v>
      </c>
      <c r="D118" s="320">
        <v>5.76</v>
      </c>
      <c r="E118" s="342">
        <v>12</v>
      </c>
      <c r="F118" s="319">
        <f t="shared" si="121"/>
        <v>0.1</v>
      </c>
      <c r="G118" s="319"/>
      <c r="H118" s="319">
        <f t="shared" si="122"/>
        <v>0</v>
      </c>
      <c r="I118" s="319"/>
      <c r="J118" s="319">
        <f t="shared" si="123"/>
        <v>0</v>
      </c>
      <c r="K118" s="321">
        <f t="shared" si="124"/>
        <v>650</v>
      </c>
      <c r="L118" s="321">
        <f t="shared" si="125"/>
        <v>350</v>
      </c>
      <c r="M118" s="321">
        <f t="shared" si="126"/>
        <v>185</v>
      </c>
      <c r="N118" s="321">
        <f t="shared" si="127"/>
        <v>115</v>
      </c>
      <c r="O118" s="321">
        <f t="shared" si="128"/>
        <v>53.5</v>
      </c>
      <c r="P118" s="321">
        <f t="shared" si="129"/>
        <v>35</v>
      </c>
      <c r="Q118" s="321">
        <f t="shared" si="130"/>
        <v>18.5</v>
      </c>
      <c r="R118" s="321">
        <f t="shared" si="131"/>
        <v>0</v>
      </c>
      <c r="S118" s="321">
        <f t="shared" si="132"/>
        <v>596.5</v>
      </c>
      <c r="T118" s="321">
        <f t="shared" si="133"/>
        <v>315</v>
      </c>
      <c r="U118" s="321">
        <f t="shared" ref="U118:V118" si="137">M118-Q118</f>
        <v>166.5</v>
      </c>
      <c r="V118" s="321">
        <f t="shared" si="137"/>
        <v>115</v>
      </c>
      <c r="W118" s="2651"/>
      <c r="X118" s="2664"/>
      <c r="Y118" s="2176"/>
      <c r="Z118" s="13"/>
      <c r="AA118" s="13"/>
      <c r="AB118" s="13"/>
      <c r="AC118" s="13"/>
    </row>
    <row r="119" spans="1:29" ht="15.75" customHeight="1">
      <c r="A119" s="367"/>
      <c r="B119" s="2185" t="s">
        <v>2487</v>
      </c>
      <c r="C119" s="343" t="s">
        <v>2386</v>
      </c>
      <c r="D119" s="320">
        <v>4.6500000000000004</v>
      </c>
      <c r="E119" s="342">
        <v>19</v>
      </c>
      <c r="F119" s="319">
        <f t="shared" si="121"/>
        <v>0.1</v>
      </c>
      <c r="G119" s="319"/>
      <c r="H119" s="319">
        <f t="shared" si="122"/>
        <v>0</v>
      </c>
      <c r="I119" s="319"/>
      <c r="J119" s="319">
        <f t="shared" si="123"/>
        <v>0</v>
      </c>
      <c r="K119" s="321">
        <f t="shared" si="124"/>
        <v>650</v>
      </c>
      <c r="L119" s="321">
        <f t="shared" si="125"/>
        <v>270</v>
      </c>
      <c r="M119" s="321">
        <f t="shared" si="126"/>
        <v>220</v>
      </c>
      <c r="N119" s="321">
        <f t="shared" si="127"/>
        <v>160</v>
      </c>
      <c r="O119" s="321">
        <f t="shared" si="128"/>
        <v>49</v>
      </c>
      <c r="P119" s="321">
        <f t="shared" si="129"/>
        <v>27</v>
      </c>
      <c r="Q119" s="321">
        <f t="shared" si="130"/>
        <v>22</v>
      </c>
      <c r="R119" s="321">
        <f t="shared" si="131"/>
        <v>0</v>
      </c>
      <c r="S119" s="321">
        <f t="shared" si="132"/>
        <v>601</v>
      </c>
      <c r="T119" s="321">
        <f t="shared" si="133"/>
        <v>243</v>
      </c>
      <c r="U119" s="321">
        <f t="shared" ref="U119:V119" si="138">M119-Q119</f>
        <v>198</v>
      </c>
      <c r="V119" s="321">
        <f t="shared" si="138"/>
        <v>160</v>
      </c>
      <c r="W119" s="2651"/>
      <c r="X119" s="2664"/>
      <c r="Y119" s="2176"/>
      <c r="Z119" s="13"/>
      <c r="AA119" s="13"/>
      <c r="AB119" s="13"/>
      <c r="AC119" s="13"/>
    </row>
    <row r="120" spans="1:29" ht="15.75" customHeight="1">
      <c r="A120" s="2965" t="s">
        <v>2421</v>
      </c>
      <c r="B120" s="2783"/>
      <c r="C120" s="368"/>
      <c r="D120" s="328"/>
      <c r="E120" s="369"/>
      <c r="F120" s="370"/>
      <c r="G120" s="370"/>
      <c r="H120" s="370"/>
      <c r="I120" s="370"/>
      <c r="J120" s="370"/>
      <c r="K120" s="371">
        <f t="shared" ref="K120:V120" si="139">SUM(K115:K119)</f>
        <v>3250</v>
      </c>
      <c r="L120" s="371">
        <f t="shared" si="139"/>
        <v>1430</v>
      </c>
      <c r="M120" s="371">
        <f t="shared" si="139"/>
        <v>1060</v>
      </c>
      <c r="N120" s="371">
        <f t="shared" si="139"/>
        <v>760</v>
      </c>
      <c r="O120" s="371">
        <f t="shared" si="139"/>
        <v>316.25</v>
      </c>
      <c r="P120" s="371">
        <f t="shared" si="139"/>
        <v>183.5</v>
      </c>
      <c r="Q120" s="371">
        <f t="shared" si="139"/>
        <v>132.75</v>
      </c>
      <c r="R120" s="371">
        <f t="shared" si="139"/>
        <v>0</v>
      </c>
      <c r="S120" s="371">
        <f t="shared" si="139"/>
        <v>2933.75</v>
      </c>
      <c r="T120" s="371">
        <f t="shared" si="139"/>
        <v>1246.5</v>
      </c>
      <c r="U120" s="371">
        <f t="shared" si="139"/>
        <v>927.25</v>
      </c>
      <c r="V120" s="371">
        <f t="shared" si="139"/>
        <v>760</v>
      </c>
      <c r="W120" s="2652"/>
      <c r="X120" s="2668"/>
      <c r="Y120" s="1997"/>
      <c r="Z120" s="13"/>
      <c r="AA120" s="13"/>
      <c r="AB120" s="13"/>
      <c r="AC120" s="13"/>
    </row>
    <row r="121" spans="1:29" ht="15.75" customHeight="1">
      <c r="A121" s="312">
        <v>6</v>
      </c>
      <c r="B121" s="317" t="s">
        <v>2488</v>
      </c>
      <c r="C121" s="348"/>
      <c r="D121" s="328"/>
      <c r="E121" s="334"/>
      <c r="F121" s="319"/>
      <c r="G121" s="349"/>
      <c r="H121" s="349"/>
      <c r="I121" s="349"/>
      <c r="J121" s="349"/>
      <c r="K121" s="331">
        <f>K120-SUM(L120:N120)</f>
        <v>0</v>
      </c>
      <c r="L121" s="331"/>
      <c r="M121" s="331"/>
      <c r="N121" s="331"/>
      <c r="O121" s="372">
        <f>O120-SUM(P120:R120)</f>
        <v>0</v>
      </c>
      <c r="P121" s="331"/>
      <c r="Q121" s="331"/>
      <c r="R121" s="331"/>
      <c r="S121" s="331">
        <f>S120-SUM(T120:V120)</f>
        <v>0</v>
      </c>
      <c r="T121" s="318">
        <f>SUM(U121:W121)</f>
        <v>0</v>
      </c>
      <c r="U121" s="318"/>
      <c r="V121" s="318"/>
      <c r="W121" s="2642"/>
      <c r="X121" s="2664"/>
      <c r="Y121" s="2176"/>
      <c r="Z121" s="13"/>
      <c r="AA121" s="13"/>
      <c r="AB121" s="13"/>
      <c r="AC121" s="13"/>
    </row>
    <row r="122" spans="1:29" ht="15.75" customHeight="1">
      <c r="A122" s="307"/>
      <c r="B122" s="315" t="s">
        <v>2489</v>
      </c>
      <c r="C122" s="336"/>
      <c r="D122" s="341"/>
      <c r="E122" s="342"/>
      <c r="F122" s="319"/>
      <c r="G122" s="315"/>
      <c r="H122" s="350"/>
      <c r="I122" s="2896" t="s">
        <v>1532</v>
      </c>
      <c r="J122" s="2179"/>
      <c r="K122" s="2966" t="s">
        <v>2354</v>
      </c>
      <c r="L122" s="2782"/>
      <c r="M122" s="2782"/>
      <c r="N122" s="2783"/>
      <c r="O122" s="2966" t="s">
        <v>2355</v>
      </c>
      <c r="P122" s="2782"/>
      <c r="Q122" s="2782"/>
      <c r="R122" s="2783"/>
      <c r="S122" s="2966" t="s">
        <v>2356</v>
      </c>
      <c r="T122" s="2782"/>
      <c r="U122" s="2782"/>
      <c r="V122" s="2783"/>
      <c r="W122" s="2967" t="s">
        <v>32</v>
      </c>
      <c r="X122" s="2664"/>
      <c r="Y122" s="2176"/>
      <c r="Z122" s="13"/>
      <c r="AA122" s="13"/>
      <c r="AB122" s="13"/>
      <c r="AC122" s="13"/>
    </row>
    <row r="123" spans="1:29" ht="38.25">
      <c r="A123" s="307"/>
      <c r="B123" s="315" t="s">
        <v>2378</v>
      </c>
      <c r="C123" s="336"/>
      <c r="D123" s="337" t="s">
        <v>2425</v>
      </c>
      <c r="E123" s="338"/>
      <c r="F123" s="319"/>
      <c r="G123" s="314"/>
      <c r="H123" s="339"/>
      <c r="I123" s="2779"/>
      <c r="J123" s="340"/>
      <c r="K123" s="307" t="s">
        <v>1911</v>
      </c>
      <c r="L123" s="307" t="s">
        <v>2364</v>
      </c>
      <c r="M123" s="307" t="s">
        <v>2365</v>
      </c>
      <c r="N123" s="307" t="s">
        <v>2366</v>
      </c>
      <c r="O123" s="307" t="s">
        <v>1911</v>
      </c>
      <c r="P123" s="307" t="s">
        <v>2364</v>
      </c>
      <c r="Q123" s="307" t="s">
        <v>2365</v>
      </c>
      <c r="R123" s="307" t="s">
        <v>2366</v>
      </c>
      <c r="S123" s="307" t="s">
        <v>1911</v>
      </c>
      <c r="T123" s="307" t="s">
        <v>2364</v>
      </c>
      <c r="U123" s="307" t="s">
        <v>2365</v>
      </c>
      <c r="V123" s="307" t="s">
        <v>2366</v>
      </c>
      <c r="W123" s="2968"/>
      <c r="X123" s="2664"/>
      <c r="Y123" s="2176"/>
      <c r="Z123" s="13"/>
      <c r="AA123" s="13"/>
      <c r="AB123" s="13"/>
      <c r="AC123" s="13"/>
    </row>
    <row r="124" spans="1:29" ht="15.75" customHeight="1">
      <c r="A124" s="307"/>
      <c r="B124" s="315" t="s">
        <v>2490</v>
      </c>
      <c r="C124" s="336"/>
      <c r="D124" s="341"/>
      <c r="E124" s="342"/>
      <c r="F124" s="319"/>
      <c r="G124" s="315"/>
      <c r="H124" s="315"/>
      <c r="I124" s="310" t="s">
        <v>467</v>
      </c>
      <c r="J124" s="310"/>
      <c r="K124" s="310" t="s">
        <v>468</v>
      </c>
      <c r="L124" s="310" t="s">
        <v>469</v>
      </c>
      <c r="M124" s="310" t="s">
        <v>470</v>
      </c>
      <c r="N124" s="310" t="s">
        <v>471</v>
      </c>
      <c r="O124" s="310" t="s">
        <v>1536</v>
      </c>
      <c r="P124" s="310" t="s">
        <v>2368</v>
      </c>
      <c r="Q124" s="310" t="s">
        <v>474</v>
      </c>
      <c r="R124" s="311" t="s">
        <v>475</v>
      </c>
      <c r="S124" s="310" t="s">
        <v>625</v>
      </c>
      <c r="T124" s="310" t="s">
        <v>534</v>
      </c>
      <c r="U124" s="310" t="s">
        <v>535</v>
      </c>
      <c r="V124" s="310" t="s">
        <v>536</v>
      </c>
      <c r="W124" s="345" t="s">
        <v>537</v>
      </c>
      <c r="X124" s="2664"/>
      <c r="Y124" s="2176"/>
      <c r="Z124" s="13"/>
      <c r="AA124" s="13"/>
      <c r="AB124" s="13"/>
      <c r="AC124" s="13"/>
    </row>
    <row r="125" spans="1:29" ht="15.75" customHeight="1">
      <c r="A125" s="307"/>
      <c r="B125" s="315" t="s">
        <v>2380</v>
      </c>
      <c r="C125" s="336"/>
      <c r="D125" s="341"/>
      <c r="E125" s="342"/>
      <c r="F125" s="319"/>
      <c r="G125" s="315"/>
      <c r="H125" s="315"/>
      <c r="I125" s="315"/>
      <c r="J125" s="315"/>
      <c r="K125" s="307"/>
      <c r="L125" s="307"/>
      <c r="M125" s="307"/>
      <c r="N125" s="307"/>
      <c r="O125" s="307"/>
      <c r="P125" s="307"/>
      <c r="Q125" s="307"/>
      <c r="R125" s="307"/>
      <c r="S125" s="307"/>
      <c r="T125" s="307"/>
      <c r="U125" s="307"/>
      <c r="V125" s="307"/>
      <c r="W125" s="2608"/>
      <c r="X125" s="2664"/>
      <c r="Y125" s="2176"/>
      <c r="Z125" s="13"/>
      <c r="AA125" s="13"/>
      <c r="AB125" s="13"/>
      <c r="AC125" s="13"/>
    </row>
    <row r="126" spans="1:29" ht="15.75" customHeight="1">
      <c r="A126" s="307"/>
      <c r="B126" s="315" t="s">
        <v>2491</v>
      </c>
      <c r="C126" s="336"/>
      <c r="D126" s="341"/>
      <c r="E126" s="342"/>
      <c r="F126" s="319"/>
      <c r="G126" s="315"/>
      <c r="H126" s="315"/>
      <c r="I126" s="315"/>
      <c r="J126" s="315"/>
      <c r="K126" s="307"/>
      <c r="L126" s="307"/>
      <c r="M126" s="307"/>
      <c r="N126" s="307"/>
      <c r="O126" s="307"/>
      <c r="P126" s="307"/>
      <c r="Q126" s="307"/>
      <c r="R126" s="307"/>
      <c r="S126" s="307"/>
      <c r="T126" s="307"/>
      <c r="U126" s="307"/>
      <c r="V126" s="307"/>
      <c r="W126" s="2608"/>
      <c r="X126" s="2664"/>
      <c r="Y126" s="2176"/>
      <c r="Z126" s="13"/>
      <c r="AA126" s="13"/>
      <c r="AB126" s="13"/>
      <c r="AC126" s="13"/>
    </row>
    <row r="127" spans="1:29" ht="15.75" customHeight="1">
      <c r="A127" s="319">
        <v>1</v>
      </c>
      <c r="B127" s="323" t="s">
        <v>2492</v>
      </c>
      <c r="C127" s="343" t="s">
        <v>2383</v>
      </c>
      <c r="D127" s="320">
        <v>5.42</v>
      </c>
      <c r="E127" s="342"/>
      <c r="F127" s="319">
        <f t="shared" ref="F127:F144" si="140">IF(E127=1, 0.75, IF(OR(E127=2, E127=14, E127=21), 0.7, IF(OR(E127=3, E127=17), 0.65, IF(E127=4, 0.4, IF(OR(E127=5, E127=6, E127=25), 0.3, IF(OR(E127=7, E127=8, E127=9, E127=26), 0.2, IF(OR(E127=10, E127=15, E127=18), 0.15, IF(OR(E127=11, E127=12, E127=16, E127=19, E127=20), 0.1, IF(E127=24, 0.35, IF(E127=27, 0.5, 0))))))))))</f>
        <v>0</v>
      </c>
      <c r="G127" s="319"/>
      <c r="H127" s="319">
        <f t="shared" ref="H127:H144" si="141">IF(G127="A", 1, IF(G127="B", 0.7, IF(G127="C", 0.6, 0)))</f>
        <v>0</v>
      </c>
      <c r="I127" s="319"/>
      <c r="J127" s="319">
        <f t="shared" ref="J127:J144" si="142">IF(I127="D", 1, IF(OR(I127="E", I127="F"), 0.1, 0))</f>
        <v>0</v>
      </c>
      <c r="K127" s="321">
        <f t="shared" ref="K127:K144" si="143">L127+M127+N127</f>
        <v>650</v>
      </c>
      <c r="L127" s="321">
        <f t="shared" ref="L127:L144" si="144">IF(C127="N1", 270, IF(C127="N2", 350, IF(C127="N3", 200, 0)))</f>
        <v>200</v>
      </c>
      <c r="M127" s="321">
        <f t="shared" ref="M127:M144" si="145">IF(AND(C127="N1", D127&gt;=6.2),260, IF(AND(C127="N1",D127&gt;=5.76),240,IF(AND(C127="N1",D127&gt;=4.4),220,IF(AND(C127="N1", D127&gt;=4.32), 200,IF(AND(C127="N1", D127&gt;=3.33),175,IF(AND(C127="N1", D127&gt;=2.34),165, IF(AND(C127="N2",D127&gt;=6.2),200, IF(AND(C127="N2",5.76&lt;=D127),185,IF(AND(C127="N2",4.4&lt;=D127),170,IF(AND(C127="N2",4.32&lt;=D127), 155, IF(AND(C127="N2",3.33&lt;=D127),135,IF(AND(C127="N2",2.34&lt;=D127),125, IF(AND(C127="N3",D127&gt;=6.2),350, IF(AND(C127="N3",5.76&lt;=D127),325,IF(AND(C127="N3",4.4&lt;=D127),295,IF(AND(C127="N3",4.32&lt;=D127),270,IF(AND(C127="N3",3.33&lt;=D127),235,IF(AND(C127="N3",2.34&lt;=D127), 225, "SAI THÔNG TIN"))))))))))))))))))</f>
        <v>295</v>
      </c>
      <c r="N127" s="321">
        <f t="shared" ref="N127:N144" si="146">IF(AND(C127="N1", D127&gt;=6.2),120, IF(AND(C127="N1",D127&gt;=5.76),140,IF(AND(C127="N1",4.4&lt;=D127),160,IF(AND(C127="N1",4.32&lt;=D127), 180,IF(AND(C127="N1",3.33&lt;=D127),205,IF(AND(C127="N1",2.34&lt;=D127),215, IF(AND(C127="N2",D127&gt;=6.2),100, IF(AND(C127="N2",5.76&lt;=D127),115,IF(AND(C127="N2",4.4&lt;=D127),130,IF(AND(C127="N2",4.32&lt;=D127), 145, IF(AND(C127="N2",3.33&lt;=D127),165,IF(AND(C127="N2",2.34&lt;=D127),175, IF(AND(C127="N3",D127&gt;=6.2),100, IF(AND(C127="N3",5.76&lt;=D127),125,IF(AND(C127="N3",4.4&lt;=D127),155,IF(AND(C127="N3",4.32&lt;=D127),180,IF(AND(C127="N3",3.33&lt;=D127),215,IF(AND(C127="N3",2.34&lt;=D127), 225, "SAI THÔNG TIN"))))))))))))))))))</f>
        <v>155</v>
      </c>
      <c r="O127" s="321">
        <f t="shared" ref="O127:O144" si="147">P127+Q127+R127</f>
        <v>0</v>
      </c>
      <c r="P127" s="321">
        <f t="shared" ref="P127:P144" si="148">L127-T127</f>
        <v>0</v>
      </c>
      <c r="Q127" s="321">
        <f t="shared" ref="Q127:Q144" si="149">IF(OR(G127="A", I127="D"), M127, IF(G127="C", 0.6*M127, IF(OR(I127="E", I127="F"), 0.1*M127, IF(G127="B", 0, F127*M127))))</f>
        <v>0</v>
      </c>
      <c r="R127" s="321">
        <f t="shared" ref="R127:R144" si="150">IF(OR(G127="A", I127="D"), N127, IF(G127="C", 0.6*N127, IF(I127="E", 0.1*N127, IF(G127="B", 0.7*N127, 0))))</f>
        <v>0</v>
      </c>
      <c r="S127" s="321">
        <f t="shared" ref="S127:S144" si="151">T127+U127+V127</f>
        <v>650</v>
      </c>
      <c r="T127" s="321">
        <f t="shared" ref="T127:T144" si="152">L127*(1-F127)*(1-H127)*(1-J129)</f>
        <v>200</v>
      </c>
      <c r="U127" s="321">
        <f t="shared" ref="U127:V127" si="153">M127-Q127</f>
        <v>295</v>
      </c>
      <c r="V127" s="321">
        <f t="shared" si="153"/>
        <v>155</v>
      </c>
      <c r="W127" s="1089"/>
      <c r="X127" s="2664"/>
      <c r="Y127" s="2176"/>
      <c r="Z127" s="13"/>
      <c r="AA127" s="13"/>
      <c r="AB127" s="13"/>
      <c r="AC127" s="13"/>
    </row>
    <row r="128" spans="1:29" ht="27" customHeight="1">
      <c r="A128" s="319">
        <v>2</v>
      </c>
      <c r="B128" s="323" t="s">
        <v>2493</v>
      </c>
      <c r="C128" s="343" t="s">
        <v>2383</v>
      </c>
      <c r="D128" s="320">
        <v>4.4000000000000004</v>
      </c>
      <c r="E128" s="342">
        <v>7</v>
      </c>
      <c r="F128" s="319">
        <f t="shared" si="140"/>
        <v>0.2</v>
      </c>
      <c r="G128" s="319"/>
      <c r="H128" s="319">
        <f t="shared" si="141"/>
        <v>0</v>
      </c>
      <c r="I128" s="319"/>
      <c r="J128" s="319">
        <f t="shared" si="142"/>
        <v>0</v>
      </c>
      <c r="K128" s="321">
        <f t="shared" si="143"/>
        <v>650</v>
      </c>
      <c r="L128" s="321">
        <f t="shared" si="144"/>
        <v>200</v>
      </c>
      <c r="M128" s="321">
        <f t="shared" si="145"/>
        <v>295</v>
      </c>
      <c r="N128" s="321">
        <f t="shared" si="146"/>
        <v>155</v>
      </c>
      <c r="O128" s="321">
        <f t="shared" si="147"/>
        <v>99</v>
      </c>
      <c r="P128" s="321">
        <f t="shared" si="148"/>
        <v>40</v>
      </c>
      <c r="Q128" s="321">
        <f t="shared" si="149"/>
        <v>59</v>
      </c>
      <c r="R128" s="321">
        <f t="shared" si="150"/>
        <v>0</v>
      </c>
      <c r="S128" s="321">
        <f t="shared" si="151"/>
        <v>551</v>
      </c>
      <c r="T128" s="321">
        <f t="shared" si="152"/>
        <v>160</v>
      </c>
      <c r="U128" s="321">
        <f t="shared" ref="U128:V128" si="154">M128-Q128</f>
        <v>236</v>
      </c>
      <c r="V128" s="321">
        <f t="shared" si="154"/>
        <v>155</v>
      </c>
      <c r="W128" s="1089"/>
      <c r="X128" s="2664"/>
      <c r="Y128" s="2176"/>
      <c r="Z128" s="13"/>
      <c r="AA128" s="13"/>
      <c r="AB128" s="13"/>
      <c r="AC128" s="13"/>
    </row>
    <row r="129" spans="1:29" ht="30" customHeight="1">
      <c r="A129" s="319">
        <v>3</v>
      </c>
      <c r="B129" s="323" t="s">
        <v>2494</v>
      </c>
      <c r="C129" s="343" t="s">
        <v>2383</v>
      </c>
      <c r="D129" s="320">
        <v>3.99</v>
      </c>
      <c r="E129" s="342">
        <v>20</v>
      </c>
      <c r="F129" s="319">
        <f t="shared" si="140"/>
        <v>0.1</v>
      </c>
      <c r="G129" s="319"/>
      <c r="H129" s="319">
        <f t="shared" si="141"/>
        <v>0</v>
      </c>
      <c r="I129" s="319"/>
      <c r="J129" s="319">
        <f t="shared" si="142"/>
        <v>0</v>
      </c>
      <c r="K129" s="321">
        <f t="shared" si="143"/>
        <v>650</v>
      </c>
      <c r="L129" s="321">
        <f t="shared" si="144"/>
        <v>200</v>
      </c>
      <c r="M129" s="321">
        <f t="shared" si="145"/>
        <v>235</v>
      </c>
      <c r="N129" s="321">
        <f t="shared" si="146"/>
        <v>215</v>
      </c>
      <c r="O129" s="321">
        <f t="shared" si="147"/>
        <v>43.5</v>
      </c>
      <c r="P129" s="321">
        <f t="shared" si="148"/>
        <v>20</v>
      </c>
      <c r="Q129" s="321">
        <f t="shared" si="149"/>
        <v>23.5</v>
      </c>
      <c r="R129" s="321">
        <f t="shared" si="150"/>
        <v>0</v>
      </c>
      <c r="S129" s="321">
        <f t="shared" si="151"/>
        <v>606.5</v>
      </c>
      <c r="T129" s="321">
        <f t="shared" si="152"/>
        <v>180</v>
      </c>
      <c r="U129" s="321">
        <f t="shared" ref="U129:V129" si="155">M129-Q129</f>
        <v>211.5</v>
      </c>
      <c r="V129" s="321">
        <f t="shared" si="155"/>
        <v>215</v>
      </c>
      <c r="W129" s="1089"/>
      <c r="X129" s="2664"/>
      <c r="Y129" s="2176"/>
      <c r="Z129" s="13"/>
      <c r="AA129" s="13"/>
      <c r="AB129" s="13"/>
      <c r="AC129" s="13"/>
    </row>
    <row r="130" spans="1:29" ht="24" customHeight="1">
      <c r="A130" s="319">
        <v>4</v>
      </c>
      <c r="B130" s="323" t="s">
        <v>2495</v>
      </c>
      <c r="C130" s="343" t="s">
        <v>2383</v>
      </c>
      <c r="D130" s="320">
        <v>3.66</v>
      </c>
      <c r="E130" s="342">
        <v>12</v>
      </c>
      <c r="F130" s="319">
        <f t="shared" si="140"/>
        <v>0.1</v>
      </c>
      <c r="G130" s="319"/>
      <c r="H130" s="319">
        <f t="shared" si="141"/>
        <v>0</v>
      </c>
      <c r="I130" s="319"/>
      <c r="J130" s="319">
        <f t="shared" si="142"/>
        <v>0</v>
      </c>
      <c r="K130" s="321">
        <f t="shared" si="143"/>
        <v>650</v>
      </c>
      <c r="L130" s="321">
        <f t="shared" si="144"/>
        <v>200</v>
      </c>
      <c r="M130" s="321">
        <f t="shared" si="145"/>
        <v>235</v>
      </c>
      <c r="N130" s="321">
        <f t="shared" si="146"/>
        <v>215</v>
      </c>
      <c r="O130" s="321">
        <f t="shared" si="147"/>
        <v>43.5</v>
      </c>
      <c r="P130" s="321">
        <f t="shared" si="148"/>
        <v>20</v>
      </c>
      <c r="Q130" s="321">
        <f t="shared" si="149"/>
        <v>23.5</v>
      </c>
      <c r="R130" s="321">
        <f t="shared" si="150"/>
        <v>0</v>
      </c>
      <c r="S130" s="321">
        <f t="shared" si="151"/>
        <v>606.5</v>
      </c>
      <c r="T130" s="321">
        <f t="shared" si="152"/>
        <v>180</v>
      </c>
      <c r="U130" s="321">
        <f t="shared" ref="U130:V130" si="156">M130-Q130</f>
        <v>211.5</v>
      </c>
      <c r="V130" s="321">
        <f t="shared" si="156"/>
        <v>215</v>
      </c>
      <c r="W130" s="1089"/>
      <c r="X130" s="2664"/>
      <c r="Y130" s="2176"/>
      <c r="Z130" s="13"/>
      <c r="AA130" s="13"/>
      <c r="AB130" s="13"/>
      <c r="AC130" s="13"/>
    </row>
    <row r="131" spans="1:29" ht="15.75" customHeight="1">
      <c r="A131" s="319">
        <v>5</v>
      </c>
      <c r="B131" s="323" t="s">
        <v>2496</v>
      </c>
      <c r="C131" s="343" t="s">
        <v>2386</v>
      </c>
      <c r="D131" s="320">
        <v>3.66</v>
      </c>
      <c r="E131" s="342"/>
      <c r="F131" s="319">
        <f t="shared" si="140"/>
        <v>0</v>
      </c>
      <c r="G131" s="319"/>
      <c r="H131" s="319">
        <f t="shared" si="141"/>
        <v>0</v>
      </c>
      <c r="I131" s="319"/>
      <c r="J131" s="319">
        <f t="shared" si="142"/>
        <v>0</v>
      </c>
      <c r="K131" s="321">
        <f t="shared" si="143"/>
        <v>650</v>
      </c>
      <c r="L131" s="321">
        <f t="shared" si="144"/>
        <v>270</v>
      </c>
      <c r="M131" s="321">
        <f t="shared" si="145"/>
        <v>175</v>
      </c>
      <c r="N131" s="321">
        <f t="shared" si="146"/>
        <v>205</v>
      </c>
      <c r="O131" s="321">
        <f t="shared" si="147"/>
        <v>0</v>
      </c>
      <c r="P131" s="321">
        <f t="shared" si="148"/>
        <v>0</v>
      </c>
      <c r="Q131" s="321">
        <f t="shared" si="149"/>
        <v>0</v>
      </c>
      <c r="R131" s="321">
        <f t="shared" si="150"/>
        <v>0</v>
      </c>
      <c r="S131" s="321">
        <f t="shared" si="151"/>
        <v>650</v>
      </c>
      <c r="T131" s="321">
        <f t="shared" si="152"/>
        <v>270</v>
      </c>
      <c r="U131" s="321">
        <f t="shared" ref="U131:V131" si="157">M131-Q131</f>
        <v>175</v>
      </c>
      <c r="V131" s="321">
        <f t="shared" si="157"/>
        <v>205</v>
      </c>
      <c r="W131" s="1089"/>
      <c r="X131" s="2664"/>
      <c r="Y131" s="2176"/>
      <c r="Z131" s="13"/>
      <c r="AA131" s="13"/>
      <c r="AB131" s="13"/>
      <c r="AC131" s="13"/>
    </row>
    <row r="132" spans="1:29" ht="15.75" customHeight="1">
      <c r="A132" s="319">
        <v>6</v>
      </c>
      <c r="B132" s="323" t="s">
        <v>2497</v>
      </c>
      <c r="C132" s="343" t="s">
        <v>2383</v>
      </c>
      <c r="D132" s="320">
        <v>4.6500000000000004</v>
      </c>
      <c r="E132" s="342"/>
      <c r="F132" s="319">
        <f t="shared" si="140"/>
        <v>0</v>
      </c>
      <c r="G132" s="319"/>
      <c r="H132" s="319">
        <f t="shared" si="141"/>
        <v>0</v>
      </c>
      <c r="I132" s="319"/>
      <c r="J132" s="319">
        <f t="shared" si="142"/>
        <v>0</v>
      </c>
      <c r="K132" s="321">
        <f t="shared" si="143"/>
        <v>650</v>
      </c>
      <c r="L132" s="321">
        <f t="shared" si="144"/>
        <v>200</v>
      </c>
      <c r="M132" s="321">
        <f t="shared" si="145"/>
        <v>295</v>
      </c>
      <c r="N132" s="321">
        <f t="shared" si="146"/>
        <v>155</v>
      </c>
      <c r="O132" s="321">
        <f t="shared" si="147"/>
        <v>0</v>
      </c>
      <c r="P132" s="321">
        <f t="shared" si="148"/>
        <v>0</v>
      </c>
      <c r="Q132" s="321">
        <f t="shared" si="149"/>
        <v>0</v>
      </c>
      <c r="R132" s="321">
        <f t="shared" si="150"/>
        <v>0</v>
      </c>
      <c r="S132" s="321">
        <f t="shared" si="151"/>
        <v>650</v>
      </c>
      <c r="T132" s="321">
        <f t="shared" si="152"/>
        <v>200</v>
      </c>
      <c r="U132" s="321">
        <f t="shared" ref="U132:V132" si="158">M132-Q132</f>
        <v>295</v>
      </c>
      <c r="V132" s="321">
        <f t="shared" si="158"/>
        <v>155</v>
      </c>
      <c r="W132" s="1089"/>
      <c r="X132" s="2664"/>
      <c r="Y132" s="2176"/>
      <c r="Z132" s="13"/>
      <c r="AA132" s="13"/>
      <c r="AB132" s="13"/>
      <c r="AC132" s="13"/>
    </row>
    <row r="133" spans="1:29" ht="27" customHeight="1">
      <c r="A133" s="319">
        <v>7</v>
      </c>
      <c r="B133" s="323" t="s">
        <v>2498</v>
      </c>
      <c r="C133" s="343" t="s">
        <v>2386</v>
      </c>
      <c r="D133" s="320">
        <v>4.74</v>
      </c>
      <c r="E133" s="342">
        <v>6</v>
      </c>
      <c r="F133" s="319">
        <f t="shared" si="140"/>
        <v>0.3</v>
      </c>
      <c r="G133" s="319"/>
      <c r="H133" s="319">
        <f t="shared" si="141"/>
        <v>0</v>
      </c>
      <c r="I133" s="319"/>
      <c r="J133" s="319">
        <f t="shared" si="142"/>
        <v>0</v>
      </c>
      <c r="K133" s="321">
        <f t="shared" si="143"/>
        <v>650</v>
      </c>
      <c r="L133" s="321">
        <f t="shared" si="144"/>
        <v>270</v>
      </c>
      <c r="M133" s="321">
        <f t="shared" si="145"/>
        <v>220</v>
      </c>
      <c r="N133" s="321">
        <f t="shared" si="146"/>
        <v>160</v>
      </c>
      <c r="O133" s="321">
        <f t="shared" si="147"/>
        <v>147</v>
      </c>
      <c r="P133" s="321">
        <f t="shared" si="148"/>
        <v>81</v>
      </c>
      <c r="Q133" s="321">
        <f t="shared" si="149"/>
        <v>66</v>
      </c>
      <c r="R133" s="321">
        <f t="shared" si="150"/>
        <v>0</v>
      </c>
      <c r="S133" s="321">
        <f t="shared" si="151"/>
        <v>503</v>
      </c>
      <c r="T133" s="321">
        <f t="shared" si="152"/>
        <v>189</v>
      </c>
      <c r="U133" s="321">
        <f t="shared" ref="U133:V133" si="159">M133-Q133</f>
        <v>154</v>
      </c>
      <c r="V133" s="321">
        <f t="shared" si="159"/>
        <v>160</v>
      </c>
      <c r="W133" s="1089"/>
      <c r="X133" s="2664"/>
      <c r="Y133" s="2176"/>
      <c r="Z133" s="13"/>
      <c r="AA133" s="13"/>
      <c r="AB133" s="13"/>
      <c r="AC133" s="13"/>
    </row>
    <row r="134" spans="1:29" ht="30.75" customHeight="1">
      <c r="A134" s="319">
        <v>8</v>
      </c>
      <c r="B134" s="323" t="s">
        <v>2499</v>
      </c>
      <c r="C134" s="343" t="s">
        <v>2383</v>
      </c>
      <c r="D134" s="320">
        <v>3.66</v>
      </c>
      <c r="E134" s="342">
        <v>10</v>
      </c>
      <c r="F134" s="319">
        <f t="shared" si="140"/>
        <v>0.15</v>
      </c>
      <c r="G134" s="319"/>
      <c r="H134" s="319">
        <f t="shared" si="141"/>
        <v>0</v>
      </c>
      <c r="I134" s="319"/>
      <c r="J134" s="319">
        <f t="shared" si="142"/>
        <v>0</v>
      </c>
      <c r="K134" s="321">
        <f t="shared" si="143"/>
        <v>650</v>
      </c>
      <c r="L134" s="321">
        <f t="shared" si="144"/>
        <v>200</v>
      </c>
      <c r="M134" s="321">
        <f t="shared" si="145"/>
        <v>235</v>
      </c>
      <c r="N134" s="321">
        <f t="shared" si="146"/>
        <v>215</v>
      </c>
      <c r="O134" s="321">
        <f t="shared" si="147"/>
        <v>65.25</v>
      </c>
      <c r="P134" s="321">
        <f t="shared" si="148"/>
        <v>30</v>
      </c>
      <c r="Q134" s="321">
        <f t="shared" si="149"/>
        <v>35.25</v>
      </c>
      <c r="R134" s="321">
        <f t="shared" si="150"/>
        <v>0</v>
      </c>
      <c r="S134" s="321">
        <f t="shared" si="151"/>
        <v>584.75</v>
      </c>
      <c r="T134" s="321">
        <f t="shared" si="152"/>
        <v>170</v>
      </c>
      <c r="U134" s="321">
        <f t="shared" ref="U134:V134" si="160">M134-Q134</f>
        <v>199.75</v>
      </c>
      <c r="V134" s="321">
        <f t="shared" si="160"/>
        <v>215</v>
      </c>
      <c r="W134" s="1089"/>
      <c r="X134" s="2664"/>
      <c r="Y134" s="2176"/>
      <c r="Z134" s="13"/>
      <c r="AA134" s="13"/>
      <c r="AB134" s="13"/>
      <c r="AC134" s="13"/>
    </row>
    <row r="135" spans="1:29" ht="15.75" customHeight="1">
      <c r="A135" s="319">
        <v>9</v>
      </c>
      <c r="B135" s="323" t="s">
        <v>2500</v>
      </c>
      <c r="C135" s="343" t="s">
        <v>2383</v>
      </c>
      <c r="D135" s="320">
        <v>7.64</v>
      </c>
      <c r="E135" s="342"/>
      <c r="F135" s="319">
        <f t="shared" si="140"/>
        <v>0</v>
      </c>
      <c r="G135" s="319"/>
      <c r="H135" s="319">
        <f t="shared" si="141"/>
        <v>0</v>
      </c>
      <c r="I135" s="319"/>
      <c r="J135" s="319">
        <f t="shared" si="142"/>
        <v>0</v>
      </c>
      <c r="K135" s="321">
        <f t="shared" si="143"/>
        <v>650</v>
      </c>
      <c r="L135" s="321">
        <f t="shared" si="144"/>
        <v>200</v>
      </c>
      <c r="M135" s="321">
        <f t="shared" si="145"/>
        <v>350</v>
      </c>
      <c r="N135" s="321">
        <f t="shared" si="146"/>
        <v>100</v>
      </c>
      <c r="O135" s="321">
        <f t="shared" si="147"/>
        <v>0</v>
      </c>
      <c r="P135" s="321">
        <f t="shared" si="148"/>
        <v>0</v>
      </c>
      <c r="Q135" s="321">
        <f t="shared" si="149"/>
        <v>0</v>
      </c>
      <c r="R135" s="321">
        <f t="shared" si="150"/>
        <v>0</v>
      </c>
      <c r="S135" s="321">
        <f t="shared" si="151"/>
        <v>650</v>
      </c>
      <c r="T135" s="321">
        <f t="shared" si="152"/>
        <v>200</v>
      </c>
      <c r="U135" s="321">
        <f t="shared" ref="U135:V135" si="161">M135-Q135</f>
        <v>350</v>
      </c>
      <c r="V135" s="321">
        <f t="shared" si="161"/>
        <v>100</v>
      </c>
      <c r="W135" s="1089"/>
      <c r="X135" s="2664"/>
      <c r="Y135" s="2176"/>
      <c r="Z135" s="13"/>
      <c r="AA135" s="13"/>
      <c r="AB135" s="13"/>
      <c r="AC135" s="13"/>
    </row>
    <row r="136" spans="1:29" ht="15.75" customHeight="1">
      <c r="A136" s="319">
        <v>10</v>
      </c>
      <c r="B136" s="323" t="s">
        <v>2501</v>
      </c>
      <c r="C136" s="343" t="s">
        <v>2383</v>
      </c>
      <c r="D136" s="320">
        <v>4.74</v>
      </c>
      <c r="E136" s="342"/>
      <c r="F136" s="319">
        <f t="shared" si="140"/>
        <v>0</v>
      </c>
      <c r="G136" s="319"/>
      <c r="H136" s="319">
        <f t="shared" si="141"/>
        <v>0</v>
      </c>
      <c r="I136" s="319"/>
      <c r="J136" s="319">
        <f t="shared" si="142"/>
        <v>0</v>
      </c>
      <c r="K136" s="321">
        <f t="shared" si="143"/>
        <v>650</v>
      </c>
      <c r="L136" s="321">
        <f t="shared" si="144"/>
        <v>200</v>
      </c>
      <c r="M136" s="321">
        <f t="shared" si="145"/>
        <v>295</v>
      </c>
      <c r="N136" s="321">
        <f t="shared" si="146"/>
        <v>155</v>
      </c>
      <c r="O136" s="321">
        <f t="shared" si="147"/>
        <v>0</v>
      </c>
      <c r="P136" s="321">
        <f t="shared" si="148"/>
        <v>0</v>
      </c>
      <c r="Q136" s="321">
        <f t="shared" si="149"/>
        <v>0</v>
      </c>
      <c r="R136" s="321">
        <f t="shared" si="150"/>
        <v>0</v>
      </c>
      <c r="S136" s="321">
        <f t="shared" si="151"/>
        <v>650</v>
      </c>
      <c r="T136" s="321">
        <f t="shared" si="152"/>
        <v>200</v>
      </c>
      <c r="U136" s="321">
        <f t="shared" ref="U136:V136" si="162">M136-Q136</f>
        <v>295</v>
      </c>
      <c r="V136" s="321">
        <f t="shared" si="162"/>
        <v>155</v>
      </c>
      <c r="W136" s="1089"/>
      <c r="X136" s="2664"/>
      <c r="Y136" s="2176"/>
      <c r="Z136" s="13"/>
      <c r="AA136" s="13"/>
      <c r="AB136" s="13"/>
      <c r="AC136" s="13"/>
    </row>
    <row r="137" spans="1:29" ht="27.75" customHeight="1">
      <c r="A137" s="319">
        <v>11</v>
      </c>
      <c r="B137" s="323" t="s">
        <v>2502</v>
      </c>
      <c r="C137" s="343" t="s">
        <v>2383</v>
      </c>
      <c r="D137" s="320">
        <v>3.66</v>
      </c>
      <c r="E137" s="342">
        <v>7</v>
      </c>
      <c r="F137" s="319">
        <f t="shared" si="140"/>
        <v>0.2</v>
      </c>
      <c r="G137" s="319"/>
      <c r="H137" s="319">
        <f t="shared" si="141"/>
        <v>0</v>
      </c>
      <c r="I137" s="319"/>
      <c r="J137" s="319">
        <f t="shared" si="142"/>
        <v>0</v>
      </c>
      <c r="K137" s="321">
        <f t="shared" si="143"/>
        <v>650</v>
      </c>
      <c r="L137" s="321">
        <f t="shared" si="144"/>
        <v>200</v>
      </c>
      <c r="M137" s="321">
        <f t="shared" si="145"/>
        <v>235</v>
      </c>
      <c r="N137" s="321">
        <f t="shared" si="146"/>
        <v>215</v>
      </c>
      <c r="O137" s="321">
        <f t="shared" si="147"/>
        <v>87</v>
      </c>
      <c r="P137" s="321">
        <f t="shared" si="148"/>
        <v>40</v>
      </c>
      <c r="Q137" s="321">
        <f t="shared" si="149"/>
        <v>47</v>
      </c>
      <c r="R137" s="321">
        <f t="shared" si="150"/>
        <v>0</v>
      </c>
      <c r="S137" s="321">
        <f t="shared" si="151"/>
        <v>563</v>
      </c>
      <c r="T137" s="321">
        <f t="shared" si="152"/>
        <v>160</v>
      </c>
      <c r="U137" s="321">
        <f t="shared" ref="U137:V137" si="163">M137-Q137</f>
        <v>188</v>
      </c>
      <c r="V137" s="321">
        <f t="shared" si="163"/>
        <v>215</v>
      </c>
      <c r="W137" s="1089"/>
      <c r="X137" s="2664"/>
      <c r="Y137" s="2176"/>
      <c r="Z137" s="13"/>
      <c r="AA137" s="13"/>
      <c r="AB137" s="13"/>
      <c r="AC137" s="13"/>
    </row>
    <row r="138" spans="1:29" ht="15.75" customHeight="1">
      <c r="A138" s="319">
        <v>12</v>
      </c>
      <c r="B138" s="323" t="s">
        <v>2503</v>
      </c>
      <c r="C138" s="343" t="s">
        <v>2383</v>
      </c>
      <c r="D138" s="320">
        <v>4.4000000000000004</v>
      </c>
      <c r="E138" s="342"/>
      <c r="F138" s="319">
        <f t="shared" si="140"/>
        <v>0</v>
      </c>
      <c r="G138" s="319"/>
      <c r="H138" s="319">
        <f t="shared" si="141"/>
        <v>0</v>
      </c>
      <c r="I138" s="319"/>
      <c r="J138" s="319">
        <f t="shared" si="142"/>
        <v>0</v>
      </c>
      <c r="K138" s="321">
        <f t="shared" si="143"/>
        <v>650</v>
      </c>
      <c r="L138" s="321">
        <f t="shared" si="144"/>
        <v>200</v>
      </c>
      <c r="M138" s="321">
        <f t="shared" si="145"/>
        <v>295</v>
      </c>
      <c r="N138" s="321">
        <f t="shared" si="146"/>
        <v>155</v>
      </c>
      <c r="O138" s="321">
        <f t="shared" si="147"/>
        <v>0</v>
      </c>
      <c r="P138" s="321">
        <f t="shared" si="148"/>
        <v>0</v>
      </c>
      <c r="Q138" s="321">
        <f t="shared" si="149"/>
        <v>0</v>
      </c>
      <c r="R138" s="321">
        <f t="shared" si="150"/>
        <v>0</v>
      </c>
      <c r="S138" s="321">
        <f t="shared" si="151"/>
        <v>650</v>
      </c>
      <c r="T138" s="321">
        <f t="shared" si="152"/>
        <v>200</v>
      </c>
      <c r="U138" s="321">
        <f t="shared" ref="U138:V138" si="164">M138-Q138</f>
        <v>295</v>
      </c>
      <c r="V138" s="321">
        <f t="shared" si="164"/>
        <v>155</v>
      </c>
      <c r="W138" s="1089"/>
      <c r="X138" s="2664"/>
      <c r="Y138" s="2176"/>
      <c r="Z138" s="13"/>
      <c r="AA138" s="13"/>
      <c r="AB138" s="13"/>
      <c r="AC138" s="13"/>
    </row>
    <row r="139" spans="1:29" ht="15.75" customHeight="1">
      <c r="A139" s="319">
        <v>13</v>
      </c>
      <c r="B139" s="323" t="s">
        <v>2504</v>
      </c>
      <c r="C139" s="343" t="s">
        <v>2383</v>
      </c>
      <c r="D139" s="320">
        <v>7.28</v>
      </c>
      <c r="E139" s="342"/>
      <c r="F139" s="319">
        <f t="shared" si="140"/>
        <v>0</v>
      </c>
      <c r="G139" s="319"/>
      <c r="H139" s="319">
        <f t="shared" si="141"/>
        <v>0</v>
      </c>
      <c r="I139" s="319"/>
      <c r="J139" s="319">
        <f t="shared" si="142"/>
        <v>0</v>
      </c>
      <c r="K139" s="321">
        <f t="shared" si="143"/>
        <v>650</v>
      </c>
      <c r="L139" s="321">
        <f t="shared" si="144"/>
        <v>200</v>
      </c>
      <c r="M139" s="321">
        <f t="shared" si="145"/>
        <v>350</v>
      </c>
      <c r="N139" s="321">
        <f t="shared" si="146"/>
        <v>100</v>
      </c>
      <c r="O139" s="321">
        <f t="shared" si="147"/>
        <v>0</v>
      </c>
      <c r="P139" s="321">
        <f t="shared" si="148"/>
        <v>0</v>
      </c>
      <c r="Q139" s="321">
        <f t="shared" si="149"/>
        <v>0</v>
      </c>
      <c r="R139" s="321">
        <f t="shared" si="150"/>
        <v>0</v>
      </c>
      <c r="S139" s="321">
        <f t="shared" si="151"/>
        <v>650</v>
      </c>
      <c r="T139" s="321">
        <f t="shared" si="152"/>
        <v>200</v>
      </c>
      <c r="U139" s="321">
        <f t="shared" ref="U139:V139" si="165">M139-Q139</f>
        <v>350</v>
      </c>
      <c r="V139" s="321">
        <f t="shared" si="165"/>
        <v>100</v>
      </c>
      <c r="W139" s="1089"/>
      <c r="X139" s="2664"/>
      <c r="Y139" s="2176"/>
      <c r="Z139" s="13"/>
      <c r="AA139" s="13"/>
      <c r="AB139" s="13"/>
      <c r="AC139" s="13"/>
    </row>
    <row r="140" spans="1:29" ht="15.75" customHeight="1">
      <c r="A140" s="319">
        <v>14</v>
      </c>
      <c r="B140" s="323" t="s">
        <v>2505</v>
      </c>
      <c r="C140" s="343" t="s">
        <v>2383</v>
      </c>
      <c r="D140" s="320">
        <v>4.32</v>
      </c>
      <c r="E140" s="342"/>
      <c r="F140" s="319">
        <f t="shared" si="140"/>
        <v>0</v>
      </c>
      <c r="G140" s="319"/>
      <c r="H140" s="319">
        <f t="shared" si="141"/>
        <v>0</v>
      </c>
      <c r="I140" s="319"/>
      <c r="J140" s="319">
        <f t="shared" si="142"/>
        <v>0</v>
      </c>
      <c r="K140" s="321">
        <f t="shared" si="143"/>
        <v>650</v>
      </c>
      <c r="L140" s="321">
        <f t="shared" si="144"/>
        <v>200</v>
      </c>
      <c r="M140" s="321">
        <f t="shared" si="145"/>
        <v>270</v>
      </c>
      <c r="N140" s="321">
        <f t="shared" si="146"/>
        <v>180</v>
      </c>
      <c r="O140" s="321">
        <f t="shared" si="147"/>
        <v>0</v>
      </c>
      <c r="P140" s="321">
        <f t="shared" si="148"/>
        <v>0</v>
      </c>
      <c r="Q140" s="321">
        <f t="shared" si="149"/>
        <v>0</v>
      </c>
      <c r="R140" s="321">
        <f t="shared" si="150"/>
        <v>0</v>
      </c>
      <c r="S140" s="321">
        <f t="shared" si="151"/>
        <v>650</v>
      </c>
      <c r="T140" s="321">
        <f t="shared" si="152"/>
        <v>200</v>
      </c>
      <c r="U140" s="321">
        <f t="shared" ref="U140:V140" si="166">M140-Q140</f>
        <v>270</v>
      </c>
      <c r="V140" s="321">
        <f t="shared" si="166"/>
        <v>180</v>
      </c>
      <c r="W140" s="1089"/>
      <c r="X140" s="2664"/>
      <c r="Y140" s="2176"/>
      <c r="Z140" s="13"/>
      <c r="AA140" s="13"/>
      <c r="AB140" s="13"/>
      <c r="AC140" s="13"/>
    </row>
    <row r="141" spans="1:29" ht="15.75" customHeight="1">
      <c r="A141" s="319">
        <v>15</v>
      </c>
      <c r="B141" s="323" t="s">
        <v>2506</v>
      </c>
      <c r="C141" s="343" t="s">
        <v>2383</v>
      </c>
      <c r="D141" s="320">
        <v>3.66</v>
      </c>
      <c r="E141" s="342"/>
      <c r="F141" s="319">
        <f t="shared" si="140"/>
        <v>0</v>
      </c>
      <c r="G141" s="319"/>
      <c r="H141" s="319">
        <f t="shared" si="141"/>
        <v>0</v>
      </c>
      <c r="I141" s="319"/>
      <c r="J141" s="319">
        <f t="shared" si="142"/>
        <v>0</v>
      </c>
      <c r="K141" s="321">
        <f t="shared" si="143"/>
        <v>650</v>
      </c>
      <c r="L141" s="321">
        <f t="shared" si="144"/>
        <v>200</v>
      </c>
      <c r="M141" s="321">
        <f t="shared" si="145"/>
        <v>235</v>
      </c>
      <c r="N141" s="321">
        <f t="shared" si="146"/>
        <v>215</v>
      </c>
      <c r="O141" s="321">
        <f t="shared" si="147"/>
        <v>0</v>
      </c>
      <c r="P141" s="321">
        <f t="shared" si="148"/>
        <v>0</v>
      </c>
      <c r="Q141" s="321">
        <f t="shared" si="149"/>
        <v>0</v>
      </c>
      <c r="R141" s="321">
        <f t="shared" si="150"/>
        <v>0</v>
      </c>
      <c r="S141" s="321">
        <f t="shared" si="151"/>
        <v>650</v>
      </c>
      <c r="T141" s="321">
        <f t="shared" si="152"/>
        <v>200</v>
      </c>
      <c r="U141" s="321">
        <f t="shared" ref="U141:V141" si="167">M141-Q141</f>
        <v>235</v>
      </c>
      <c r="V141" s="321">
        <f t="shared" si="167"/>
        <v>215</v>
      </c>
      <c r="W141" s="1089"/>
      <c r="X141" s="2664"/>
      <c r="Y141" s="2176"/>
      <c r="Z141" s="13"/>
      <c r="AA141" s="13"/>
      <c r="AB141" s="13"/>
      <c r="AC141" s="13"/>
    </row>
    <row r="142" spans="1:29" ht="21" customHeight="1">
      <c r="A142" s="319">
        <v>16</v>
      </c>
      <c r="B142" s="323" t="s">
        <v>2507</v>
      </c>
      <c r="C142" s="343" t="s">
        <v>2383</v>
      </c>
      <c r="D142" s="320">
        <v>3.33</v>
      </c>
      <c r="E142" s="342">
        <v>15</v>
      </c>
      <c r="F142" s="319">
        <f t="shared" si="140"/>
        <v>0.15</v>
      </c>
      <c r="G142" s="319" t="s">
        <v>206</v>
      </c>
      <c r="H142" s="319">
        <f t="shared" si="141"/>
        <v>0.7</v>
      </c>
      <c r="I142" s="319"/>
      <c r="J142" s="319">
        <f t="shared" si="142"/>
        <v>0</v>
      </c>
      <c r="K142" s="321">
        <f t="shared" si="143"/>
        <v>650</v>
      </c>
      <c r="L142" s="321">
        <f t="shared" si="144"/>
        <v>200</v>
      </c>
      <c r="M142" s="321">
        <f t="shared" si="145"/>
        <v>235</v>
      </c>
      <c r="N142" s="321">
        <f t="shared" si="146"/>
        <v>215</v>
      </c>
      <c r="O142" s="321">
        <f t="shared" si="147"/>
        <v>299.5</v>
      </c>
      <c r="P142" s="321">
        <f t="shared" si="148"/>
        <v>149</v>
      </c>
      <c r="Q142" s="321">
        <f t="shared" si="149"/>
        <v>0</v>
      </c>
      <c r="R142" s="321">
        <f t="shared" si="150"/>
        <v>150.5</v>
      </c>
      <c r="S142" s="321">
        <f t="shared" si="151"/>
        <v>350.5</v>
      </c>
      <c r="T142" s="321">
        <f t="shared" si="152"/>
        <v>51.000000000000007</v>
      </c>
      <c r="U142" s="321">
        <f t="shared" ref="U142:V142" si="168">M142-Q142</f>
        <v>235</v>
      </c>
      <c r="V142" s="321">
        <f t="shared" si="168"/>
        <v>64.5</v>
      </c>
      <c r="W142" s="1089"/>
      <c r="X142" s="2664"/>
      <c r="Y142" s="2176"/>
      <c r="Z142" s="13"/>
      <c r="AA142" s="13"/>
      <c r="AB142" s="13"/>
      <c r="AC142" s="13"/>
    </row>
    <row r="143" spans="1:29" ht="15.75" customHeight="1">
      <c r="A143" s="319">
        <v>17</v>
      </c>
      <c r="B143" s="323" t="s">
        <v>2508</v>
      </c>
      <c r="C143" s="343" t="s">
        <v>2383</v>
      </c>
      <c r="D143" s="320">
        <v>4.4000000000000004</v>
      </c>
      <c r="E143" s="342"/>
      <c r="F143" s="319">
        <f t="shared" si="140"/>
        <v>0</v>
      </c>
      <c r="G143" s="319"/>
      <c r="H143" s="319">
        <f t="shared" si="141"/>
        <v>0</v>
      </c>
      <c r="I143" s="319"/>
      <c r="J143" s="319">
        <f t="shared" si="142"/>
        <v>0</v>
      </c>
      <c r="K143" s="321">
        <f t="shared" si="143"/>
        <v>650</v>
      </c>
      <c r="L143" s="321">
        <f t="shared" si="144"/>
        <v>200</v>
      </c>
      <c r="M143" s="321">
        <f t="shared" si="145"/>
        <v>295</v>
      </c>
      <c r="N143" s="321">
        <f t="shared" si="146"/>
        <v>155</v>
      </c>
      <c r="O143" s="321">
        <f t="shared" si="147"/>
        <v>0</v>
      </c>
      <c r="P143" s="321">
        <f t="shared" si="148"/>
        <v>0</v>
      </c>
      <c r="Q143" s="321">
        <f t="shared" si="149"/>
        <v>0</v>
      </c>
      <c r="R143" s="321">
        <f t="shared" si="150"/>
        <v>0</v>
      </c>
      <c r="S143" s="321">
        <f t="shared" si="151"/>
        <v>650</v>
      </c>
      <c r="T143" s="321">
        <f t="shared" si="152"/>
        <v>200</v>
      </c>
      <c r="U143" s="321">
        <f t="shared" ref="U143:V143" si="169">M143-Q143</f>
        <v>295</v>
      </c>
      <c r="V143" s="321">
        <f t="shared" si="169"/>
        <v>155</v>
      </c>
      <c r="W143" s="1089"/>
      <c r="X143" s="2664"/>
      <c r="Y143" s="2176"/>
      <c r="Z143" s="13"/>
      <c r="AA143" s="13"/>
      <c r="AB143" s="13"/>
      <c r="AC143" s="13"/>
    </row>
    <row r="144" spans="1:29" ht="22.5" customHeight="1">
      <c r="A144" s="319">
        <v>18</v>
      </c>
      <c r="B144" s="323" t="s">
        <v>2509</v>
      </c>
      <c r="C144" s="343" t="s">
        <v>2383</v>
      </c>
      <c r="D144" s="320">
        <v>3.33</v>
      </c>
      <c r="E144" s="342">
        <v>10</v>
      </c>
      <c r="F144" s="319">
        <f t="shared" si="140"/>
        <v>0.15</v>
      </c>
      <c r="G144" s="319"/>
      <c r="H144" s="319">
        <f t="shared" si="141"/>
        <v>0</v>
      </c>
      <c r="I144" s="319"/>
      <c r="J144" s="319">
        <f t="shared" si="142"/>
        <v>0</v>
      </c>
      <c r="K144" s="321">
        <f t="shared" si="143"/>
        <v>650</v>
      </c>
      <c r="L144" s="321">
        <f t="shared" si="144"/>
        <v>200</v>
      </c>
      <c r="M144" s="321">
        <f t="shared" si="145"/>
        <v>235</v>
      </c>
      <c r="N144" s="321">
        <f t="shared" si="146"/>
        <v>215</v>
      </c>
      <c r="O144" s="321">
        <f t="shared" si="147"/>
        <v>65.25</v>
      </c>
      <c r="P144" s="321">
        <f t="shared" si="148"/>
        <v>30</v>
      </c>
      <c r="Q144" s="321">
        <f t="shared" si="149"/>
        <v>35.25</v>
      </c>
      <c r="R144" s="321">
        <f t="shared" si="150"/>
        <v>0</v>
      </c>
      <c r="S144" s="321">
        <f t="shared" si="151"/>
        <v>584.75</v>
      </c>
      <c r="T144" s="321">
        <f t="shared" si="152"/>
        <v>170</v>
      </c>
      <c r="U144" s="321">
        <f t="shared" ref="U144:V144" si="170">M144-Q144</f>
        <v>199.75</v>
      </c>
      <c r="V144" s="321">
        <f t="shared" si="170"/>
        <v>215</v>
      </c>
      <c r="W144" s="1089"/>
      <c r="X144" s="2664"/>
      <c r="Y144" s="2176"/>
      <c r="Z144" s="13"/>
      <c r="AA144" s="13"/>
      <c r="AB144" s="13"/>
      <c r="AC144" s="13"/>
    </row>
    <row r="145" spans="1:29" ht="40.5" customHeight="1">
      <c r="A145" s="2965" t="s">
        <v>2421</v>
      </c>
      <c r="B145" s="2783"/>
      <c r="C145" s="368"/>
      <c r="D145" s="328"/>
      <c r="E145" s="369"/>
      <c r="F145" s="370"/>
      <c r="G145" s="370"/>
      <c r="H145" s="370"/>
      <c r="I145" s="370"/>
      <c r="J145" s="370"/>
      <c r="K145" s="374">
        <f t="shared" ref="K145:V145" si="171">SUM(K127:K144)</f>
        <v>11700</v>
      </c>
      <c r="L145" s="374">
        <f t="shared" si="171"/>
        <v>3740</v>
      </c>
      <c r="M145" s="374">
        <f t="shared" si="171"/>
        <v>4780</v>
      </c>
      <c r="N145" s="374">
        <f t="shared" si="171"/>
        <v>3180</v>
      </c>
      <c r="O145" s="374">
        <f t="shared" si="171"/>
        <v>850</v>
      </c>
      <c r="P145" s="374">
        <f t="shared" si="171"/>
        <v>410</v>
      </c>
      <c r="Q145" s="374">
        <f t="shared" si="171"/>
        <v>289.5</v>
      </c>
      <c r="R145" s="374">
        <f t="shared" si="171"/>
        <v>150.5</v>
      </c>
      <c r="S145" s="374">
        <f t="shared" si="171"/>
        <v>10850</v>
      </c>
      <c r="T145" s="374">
        <f t="shared" si="171"/>
        <v>3330</v>
      </c>
      <c r="U145" s="374">
        <f t="shared" si="171"/>
        <v>4490.5</v>
      </c>
      <c r="V145" s="374">
        <f t="shared" si="171"/>
        <v>3029.5</v>
      </c>
      <c r="W145" s="2652"/>
      <c r="X145" s="2668"/>
      <c r="Y145" s="1997"/>
      <c r="Z145" s="13"/>
      <c r="AA145" s="13"/>
      <c r="AB145" s="13"/>
      <c r="AC145" s="13"/>
    </row>
    <row r="146" spans="1:29" ht="15.75" customHeight="1">
      <c r="A146" s="310"/>
      <c r="B146" s="310"/>
      <c r="C146" s="345"/>
      <c r="D146" s="346"/>
      <c r="E146" s="347"/>
      <c r="F146" s="319"/>
      <c r="G146" s="310"/>
      <c r="H146" s="310"/>
      <c r="I146" s="310"/>
      <c r="J146" s="310"/>
      <c r="K146" s="375">
        <f>K145-SUM(L145:N145)</f>
        <v>0</v>
      </c>
      <c r="L146" s="331"/>
      <c r="M146" s="331"/>
      <c r="N146" s="331"/>
      <c r="O146" s="375">
        <f>O145-SUM(P145:R145)</f>
        <v>0</v>
      </c>
      <c r="P146" s="331"/>
      <c r="Q146" s="331"/>
      <c r="R146" s="331"/>
      <c r="S146" s="375">
        <f>S145-SUM(T145:V145)</f>
        <v>0</v>
      </c>
      <c r="T146" s="310"/>
      <c r="U146" s="310"/>
      <c r="V146" s="310"/>
      <c r="W146" s="345"/>
      <c r="X146" s="2664"/>
      <c r="Y146" s="2176"/>
      <c r="Z146" s="13"/>
      <c r="AA146" s="13"/>
      <c r="AB146" s="13"/>
      <c r="AC146" s="13"/>
    </row>
    <row r="147" spans="1:29" ht="15.75" customHeight="1">
      <c r="A147" s="309" t="s">
        <v>2510</v>
      </c>
      <c r="B147" s="309" t="s">
        <v>2511</v>
      </c>
      <c r="C147" s="345"/>
      <c r="D147" s="346"/>
      <c r="E147" s="347"/>
      <c r="F147" s="319"/>
      <c r="G147" s="310"/>
      <c r="H147" s="310"/>
      <c r="I147" s="310"/>
      <c r="J147" s="310"/>
      <c r="K147" s="310"/>
      <c r="L147" s="310"/>
      <c r="M147" s="310"/>
      <c r="N147" s="310"/>
      <c r="O147" s="310"/>
      <c r="P147" s="310"/>
      <c r="Q147" s="310"/>
      <c r="R147" s="313"/>
      <c r="S147" s="310"/>
      <c r="T147" s="310"/>
      <c r="U147" s="310"/>
      <c r="V147" s="310"/>
      <c r="W147" s="345"/>
      <c r="X147" s="2664"/>
      <c r="Y147" s="2176"/>
      <c r="Z147" s="13"/>
      <c r="AA147" s="13"/>
      <c r="AB147" s="13"/>
      <c r="AC147" s="13"/>
    </row>
    <row r="148" spans="1:29" ht="15.75" customHeight="1">
      <c r="A148" s="310"/>
      <c r="B148" s="315" t="s">
        <v>2512</v>
      </c>
      <c r="C148" s="336"/>
      <c r="D148" s="341"/>
      <c r="E148" s="342"/>
      <c r="F148" s="319"/>
      <c r="G148" s="315"/>
      <c r="H148" s="350"/>
      <c r="I148" s="2896" t="s">
        <v>1532</v>
      </c>
      <c r="J148" s="2179"/>
      <c r="K148" s="2966" t="s">
        <v>2354</v>
      </c>
      <c r="L148" s="2782"/>
      <c r="M148" s="2782"/>
      <c r="N148" s="2783"/>
      <c r="O148" s="2966" t="s">
        <v>2355</v>
      </c>
      <c r="P148" s="2782"/>
      <c r="Q148" s="2782"/>
      <c r="R148" s="2783"/>
      <c r="S148" s="2966" t="s">
        <v>2356</v>
      </c>
      <c r="T148" s="2782"/>
      <c r="U148" s="2782"/>
      <c r="V148" s="2783"/>
      <c r="W148" s="2967" t="s">
        <v>32</v>
      </c>
      <c r="X148" s="2664"/>
      <c r="Y148" s="2176"/>
      <c r="Z148" s="13"/>
      <c r="AA148" s="13"/>
      <c r="AB148" s="13"/>
      <c r="AC148" s="13"/>
    </row>
    <row r="149" spans="1:29" ht="38.25">
      <c r="A149" s="307"/>
      <c r="B149" s="376" t="s">
        <v>2378</v>
      </c>
      <c r="C149" s="377"/>
      <c r="D149" s="337" t="s">
        <v>2425</v>
      </c>
      <c r="E149" s="338"/>
      <c r="F149" s="319"/>
      <c r="G149" s="314"/>
      <c r="H149" s="339"/>
      <c r="I149" s="2779"/>
      <c r="J149" s="340"/>
      <c r="K149" s="307" t="s">
        <v>1911</v>
      </c>
      <c r="L149" s="307" t="s">
        <v>2364</v>
      </c>
      <c r="M149" s="307" t="s">
        <v>2365</v>
      </c>
      <c r="N149" s="307" t="s">
        <v>2366</v>
      </c>
      <c r="O149" s="307" t="s">
        <v>1911</v>
      </c>
      <c r="P149" s="307" t="s">
        <v>2364</v>
      </c>
      <c r="Q149" s="307" t="s">
        <v>2365</v>
      </c>
      <c r="R149" s="307" t="s">
        <v>2366</v>
      </c>
      <c r="S149" s="307" t="s">
        <v>1911</v>
      </c>
      <c r="T149" s="307" t="s">
        <v>2364</v>
      </c>
      <c r="U149" s="307" t="s">
        <v>2365</v>
      </c>
      <c r="V149" s="307" t="s">
        <v>2366</v>
      </c>
      <c r="W149" s="2968"/>
      <c r="X149" s="2664"/>
      <c r="Y149" s="2176"/>
      <c r="Z149" s="13"/>
      <c r="AA149" s="13"/>
      <c r="AB149" s="13"/>
      <c r="AC149" s="13"/>
    </row>
    <row r="150" spans="1:29" ht="15.75" customHeight="1">
      <c r="A150" s="307"/>
      <c r="B150" s="315" t="s">
        <v>2513</v>
      </c>
      <c r="C150" s="336"/>
      <c r="D150" s="341"/>
      <c r="E150" s="342"/>
      <c r="F150" s="319"/>
      <c r="G150" s="315"/>
      <c r="H150" s="315"/>
      <c r="I150" s="310" t="s">
        <v>467</v>
      </c>
      <c r="J150" s="310"/>
      <c r="K150" s="310" t="s">
        <v>468</v>
      </c>
      <c r="L150" s="310" t="s">
        <v>469</v>
      </c>
      <c r="M150" s="310" t="s">
        <v>470</v>
      </c>
      <c r="N150" s="310" t="s">
        <v>471</v>
      </c>
      <c r="O150" s="310" t="s">
        <v>1536</v>
      </c>
      <c r="P150" s="310" t="s">
        <v>2368</v>
      </c>
      <c r="Q150" s="310" t="s">
        <v>474</v>
      </c>
      <c r="R150" s="311" t="s">
        <v>475</v>
      </c>
      <c r="S150" s="310" t="s">
        <v>625</v>
      </c>
      <c r="T150" s="310" t="s">
        <v>534</v>
      </c>
      <c r="U150" s="310" t="s">
        <v>535</v>
      </c>
      <c r="V150" s="310" t="s">
        <v>536</v>
      </c>
      <c r="W150" s="345" t="s">
        <v>537</v>
      </c>
      <c r="X150" s="2664"/>
      <c r="Y150" s="2176"/>
      <c r="Z150" s="13"/>
      <c r="AA150" s="13"/>
      <c r="AB150" s="13"/>
      <c r="AC150" s="13"/>
    </row>
    <row r="151" spans="1:29" ht="15.75" customHeight="1">
      <c r="A151" s="307"/>
      <c r="B151" s="315" t="s">
        <v>2380</v>
      </c>
      <c r="C151" s="336"/>
      <c r="D151" s="341"/>
      <c r="E151" s="342"/>
      <c r="F151" s="319"/>
      <c r="G151" s="315"/>
      <c r="H151" s="315"/>
      <c r="I151" s="307"/>
      <c r="J151" s="307"/>
      <c r="K151" s="307"/>
      <c r="L151" s="307"/>
      <c r="M151" s="307"/>
      <c r="N151" s="307"/>
      <c r="O151" s="307"/>
      <c r="P151" s="307"/>
      <c r="Q151" s="307"/>
      <c r="R151" s="307"/>
      <c r="S151" s="307"/>
      <c r="T151" s="307"/>
      <c r="U151" s="307"/>
      <c r="V151" s="307"/>
      <c r="W151" s="2608"/>
      <c r="X151" s="2664"/>
      <c r="Y151" s="2176"/>
      <c r="Z151" s="13"/>
      <c r="AA151" s="13"/>
      <c r="AB151" s="13"/>
      <c r="AC151" s="13"/>
    </row>
    <row r="152" spans="1:29" ht="15.75" customHeight="1">
      <c r="A152" s="307"/>
      <c r="B152" s="315" t="s">
        <v>2514</v>
      </c>
      <c r="C152" s="336"/>
      <c r="D152" s="341"/>
      <c r="E152" s="342"/>
      <c r="F152" s="319"/>
      <c r="G152" s="315"/>
      <c r="H152" s="315"/>
      <c r="I152" s="307"/>
      <c r="J152" s="307"/>
      <c r="K152" s="307"/>
      <c r="L152" s="307"/>
      <c r="M152" s="307"/>
      <c r="N152" s="307"/>
      <c r="O152" s="307"/>
      <c r="P152" s="307"/>
      <c r="Q152" s="307"/>
      <c r="R152" s="307"/>
      <c r="S152" s="307"/>
      <c r="T152" s="307"/>
      <c r="U152" s="307"/>
      <c r="V152" s="307"/>
      <c r="W152" s="2608"/>
      <c r="X152" s="2664"/>
      <c r="Y152" s="2176"/>
      <c r="Z152" s="13"/>
      <c r="AA152" s="13"/>
      <c r="AB152" s="13"/>
      <c r="AC152" s="13"/>
    </row>
    <row r="153" spans="1:29" ht="15.75" customHeight="1">
      <c r="A153" s="307"/>
      <c r="B153" s="315" t="s">
        <v>2515</v>
      </c>
      <c r="C153" s="336"/>
      <c r="D153" s="341"/>
      <c r="E153" s="342"/>
      <c r="F153" s="319"/>
      <c r="G153" s="315"/>
      <c r="H153" s="315"/>
      <c r="I153" s="307"/>
      <c r="J153" s="307"/>
      <c r="K153" s="307"/>
      <c r="L153" s="307"/>
      <c r="M153" s="307"/>
      <c r="N153" s="307"/>
      <c r="O153" s="307"/>
      <c r="P153" s="307"/>
      <c r="Q153" s="307"/>
      <c r="R153" s="307"/>
      <c r="S153" s="307"/>
      <c r="T153" s="307"/>
      <c r="U153" s="307"/>
      <c r="V153" s="307"/>
      <c r="W153" s="2608"/>
      <c r="X153" s="2664"/>
      <c r="Y153" s="2176"/>
      <c r="Z153" s="13"/>
      <c r="AA153" s="13"/>
      <c r="AB153" s="13"/>
      <c r="AC153" s="13"/>
    </row>
    <row r="154" spans="1:29" ht="15.75" customHeight="1">
      <c r="A154" s="312">
        <v>1</v>
      </c>
      <c r="B154" s="323" t="s">
        <v>2516</v>
      </c>
      <c r="C154" s="343" t="s">
        <v>2383</v>
      </c>
      <c r="D154" s="320">
        <v>4.74</v>
      </c>
      <c r="E154" s="342">
        <v>6</v>
      </c>
      <c r="F154" s="319">
        <f t="shared" ref="F154:F165" si="172">IF(E154=1, 0.75, IF(OR(E154=2, E154=14, E154=21), 0.7, IF(OR(E154=3, E154=17), 0.65, IF(E154=4, 0.4, IF(OR(E154=5, E154=6, E154=25), 0.3, IF(OR(E154=7, E154=8, E154=9, E154=26), 0.2, IF(OR(E154=10, E154=15, E154=18), 0.15, IF(OR(E154=11, E154=12, E154=16, E154=19, E154=20), 0.1, IF(E154=24, 0.35, IF(E154=27, 0.5, 0))))))))))</f>
        <v>0.3</v>
      </c>
      <c r="G154" s="319"/>
      <c r="H154" s="319">
        <f t="shared" ref="H154:H165" si="173">IF(G154="A", 1, IF(G154="B", 0.7, IF(G154="C", 0.6, 0)))</f>
        <v>0</v>
      </c>
      <c r="I154" s="319"/>
      <c r="J154" s="319">
        <f t="shared" ref="J154:J165" si="174">IF(I154="D", 1, IF(OR(I154="E", I154="F"), 0.1, 0))</f>
        <v>0</v>
      </c>
      <c r="K154" s="321">
        <f t="shared" ref="K154:K165" si="175">L154+M154+N154</f>
        <v>650</v>
      </c>
      <c r="L154" s="321">
        <f t="shared" ref="L154:L165" si="176">IF(C154="N1", 270, IF(C154="N2", 350, IF(C154="N3", 200, 0)))</f>
        <v>200</v>
      </c>
      <c r="M154" s="321">
        <f t="shared" ref="M154:M165" si="177">IF(AND(C154="N1", D154&gt;=6.2),260, IF(AND(C154="N1",D154&gt;=5.76),240,IF(AND(C154="N1",D154&gt;=4.4),220,IF(AND(C154="N1", D154&gt;=4.32), 200,IF(AND(C154="N1", D154&gt;=3.33),175,IF(AND(C154="N1", D154&gt;=2.34),165, IF(AND(C154="N2",D154&gt;=6.2),200, IF(AND(C154="N2",5.76&lt;=D154),185,IF(AND(C154="N2",4.4&lt;=D154),170,IF(AND(C154="N2",4.32&lt;=D154), 155, IF(AND(C154="N2",3.33&lt;=D154),135,IF(AND(C154="N2",2.34&lt;=D154),125, IF(AND(C154="N3",D154&gt;=6.2),350, IF(AND(C154="N3",5.76&lt;=D154),325,IF(AND(C154="N3",4.4&lt;=D154),295,IF(AND(C154="N3",4.32&lt;=D154),270,IF(AND(C154="N3",3.33&lt;=D154),235,IF(AND(C154="N3",2.34&lt;=D154), 225, "SAI THÔNG TIN"))))))))))))))))))</f>
        <v>295</v>
      </c>
      <c r="N154" s="321">
        <f t="shared" ref="N154:N165" si="178">IF(AND(C154="N1", D154&gt;=6.2),120, IF(AND(C154="N1",D154&gt;=5.76),140,IF(AND(C154="N1",4.4&lt;=D154),160,IF(AND(C154="N1",4.32&lt;=D154), 180,IF(AND(C154="N1",3.33&lt;=D154),205,IF(AND(C154="N1",2.34&lt;=D154),215, IF(AND(C154="N2",D154&gt;=6.2),100, IF(AND(C154="N2",5.76&lt;=D154),115,IF(AND(C154="N2",4.4&lt;=D154),130,IF(AND(C154="N2",4.32&lt;=D154), 145, IF(AND(C154="N2",3.33&lt;=D154),165,IF(AND(C154="N2",2.34&lt;=D154),175, IF(AND(C154="N3",D154&gt;=6.2),100, IF(AND(C154="N3",5.76&lt;=D154),125,IF(AND(C154="N3",4.4&lt;=D154),155,IF(AND(C154="N3",4.32&lt;=D154),180,IF(AND(C154="N3",3.33&lt;=D154),215,IF(AND(C154="N3",2.34&lt;=D154), 225, "SAI THÔNG TIN"))))))))))))))))))</f>
        <v>155</v>
      </c>
      <c r="O154" s="321">
        <f t="shared" ref="O154:O165" si="179">P154+Q154+R154</f>
        <v>148.5</v>
      </c>
      <c r="P154" s="321">
        <f t="shared" ref="P154:P165" si="180">L154-T154</f>
        <v>60</v>
      </c>
      <c r="Q154" s="321">
        <f t="shared" ref="Q154:Q165" si="181">IF(OR(G154="A", I154="D"), M154, IF(G154="C", 0.6*M154, IF(OR(I154="E", I154="F"), 0.1*M154, IF(G154="B", 0, F154*M154))))</f>
        <v>88.5</v>
      </c>
      <c r="R154" s="321">
        <f t="shared" ref="R154:R165" si="182">IF(OR(G154="A", I154="D"), N154, IF(G154="C", 0.6*N154, IF(I154="E", 0.1*N154, IF(G154="B", 0.7*N154, 0))))</f>
        <v>0</v>
      </c>
      <c r="S154" s="321">
        <f t="shared" ref="S154:S165" si="183">T154+U154+V154</f>
        <v>501.5</v>
      </c>
      <c r="T154" s="321">
        <f t="shared" ref="T154:T165" si="184">L154*(1-F154)*(1-H154)*(1-J156)</f>
        <v>140</v>
      </c>
      <c r="U154" s="321">
        <f t="shared" ref="U154:V154" si="185">M154-Q154</f>
        <v>206.5</v>
      </c>
      <c r="V154" s="321">
        <f t="shared" si="185"/>
        <v>155</v>
      </c>
      <c r="W154" s="1089"/>
      <c r="X154" s="2664"/>
      <c r="Y154" s="2176"/>
      <c r="Z154" s="13"/>
      <c r="AA154" s="13"/>
      <c r="AB154" s="13"/>
      <c r="AC154" s="13"/>
    </row>
    <row r="155" spans="1:29" ht="15.75" customHeight="1">
      <c r="A155" s="319">
        <v>2</v>
      </c>
      <c r="B155" s="323" t="s">
        <v>2517</v>
      </c>
      <c r="C155" s="343" t="s">
        <v>2383</v>
      </c>
      <c r="D155" s="320">
        <v>4.74</v>
      </c>
      <c r="E155" s="342">
        <v>7</v>
      </c>
      <c r="F155" s="319">
        <f t="shared" si="172"/>
        <v>0.2</v>
      </c>
      <c r="G155" s="319"/>
      <c r="H155" s="319">
        <f t="shared" si="173"/>
        <v>0</v>
      </c>
      <c r="I155" s="319"/>
      <c r="J155" s="319">
        <f t="shared" si="174"/>
        <v>0</v>
      </c>
      <c r="K155" s="321">
        <f t="shared" si="175"/>
        <v>650</v>
      </c>
      <c r="L155" s="321">
        <f t="shared" si="176"/>
        <v>200</v>
      </c>
      <c r="M155" s="321">
        <f t="shared" si="177"/>
        <v>295</v>
      </c>
      <c r="N155" s="321">
        <f t="shared" si="178"/>
        <v>155</v>
      </c>
      <c r="O155" s="321">
        <f t="shared" si="179"/>
        <v>99</v>
      </c>
      <c r="P155" s="321">
        <f t="shared" si="180"/>
        <v>40</v>
      </c>
      <c r="Q155" s="321">
        <f t="shared" si="181"/>
        <v>59</v>
      </c>
      <c r="R155" s="321">
        <f t="shared" si="182"/>
        <v>0</v>
      </c>
      <c r="S155" s="321">
        <f t="shared" si="183"/>
        <v>551</v>
      </c>
      <c r="T155" s="321">
        <f t="shared" si="184"/>
        <v>160</v>
      </c>
      <c r="U155" s="321">
        <f t="shared" ref="U155:V155" si="186">M155-Q155</f>
        <v>236</v>
      </c>
      <c r="V155" s="321">
        <f t="shared" si="186"/>
        <v>155</v>
      </c>
      <c r="W155" s="1089"/>
      <c r="X155" s="2664"/>
      <c r="Y155" s="2176"/>
      <c r="Z155" s="13"/>
      <c r="AA155" s="13"/>
      <c r="AB155" s="13"/>
      <c r="AC155" s="13"/>
    </row>
    <row r="156" spans="1:29" ht="15.75" customHeight="1">
      <c r="A156" s="319">
        <v>3</v>
      </c>
      <c r="B156" s="323" t="s">
        <v>2518</v>
      </c>
      <c r="C156" s="343" t="s">
        <v>2383</v>
      </c>
      <c r="D156" s="320">
        <v>4.4000000000000004</v>
      </c>
      <c r="E156" s="342"/>
      <c r="F156" s="319">
        <f t="shared" si="172"/>
        <v>0</v>
      </c>
      <c r="G156" s="319"/>
      <c r="H156" s="319">
        <f t="shared" si="173"/>
        <v>0</v>
      </c>
      <c r="I156" s="319"/>
      <c r="J156" s="319">
        <f t="shared" si="174"/>
        <v>0</v>
      </c>
      <c r="K156" s="321">
        <f t="shared" si="175"/>
        <v>650</v>
      </c>
      <c r="L156" s="321">
        <f t="shared" si="176"/>
        <v>200</v>
      </c>
      <c r="M156" s="321">
        <f t="shared" si="177"/>
        <v>295</v>
      </c>
      <c r="N156" s="321">
        <f t="shared" si="178"/>
        <v>155</v>
      </c>
      <c r="O156" s="321">
        <f t="shared" si="179"/>
        <v>0</v>
      </c>
      <c r="P156" s="321">
        <f t="shared" si="180"/>
        <v>0</v>
      </c>
      <c r="Q156" s="321">
        <f t="shared" si="181"/>
        <v>0</v>
      </c>
      <c r="R156" s="321">
        <f t="shared" si="182"/>
        <v>0</v>
      </c>
      <c r="S156" s="321">
        <f t="shared" si="183"/>
        <v>650</v>
      </c>
      <c r="T156" s="321">
        <f t="shared" si="184"/>
        <v>200</v>
      </c>
      <c r="U156" s="321">
        <f t="shared" ref="U156:V156" si="187">M156-Q156</f>
        <v>295</v>
      </c>
      <c r="V156" s="321">
        <f t="shared" si="187"/>
        <v>155</v>
      </c>
      <c r="W156" s="1089"/>
      <c r="X156" s="2664"/>
      <c r="Y156" s="2176"/>
      <c r="Z156" s="13"/>
      <c r="AA156" s="13"/>
      <c r="AB156" s="13"/>
      <c r="AC156" s="13"/>
    </row>
    <row r="157" spans="1:29" ht="15.75" customHeight="1">
      <c r="A157" s="319">
        <v>4</v>
      </c>
      <c r="B157" s="323" t="s">
        <v>2519</v>
      </c>
      <c r="C157" s="343" t="s">
        <v>2383</v>
      </c>
      <c r="D157" s="320">
        <v>4.4000000000000004</v>
      </c>
      <c r="E157" s="342">
        <v>10</v>
      </c>
      <c r="F157" s="319">
        <f t="shared" si="172"/>
        <v>0.15</v>
      </c>
      <c r="G157" s="319"/>
      <c r="H157" s="319">
        <f t="shared" si="173"/>
        <v>0</v>
      </c>
      <c r="I157" s="319"/>
      <c r="J157" s="319">
        <f t="shared" si="174"/>
        <v>0</v>
      </c>
      <c r="K157" s="321">
        <f t="shared" si="175"/>
        <v>650</v>
      </c>
      <c r="L157" s="321">
        <f t="shared" si="176"/>
        <v>200</v>
      </c>
      <c r="M157" s="321">
        <f t="shared" si="177"/>
        <v>295</v>
      </c>
      <c r="N157" s="321">
        <f t="shared" si="178"/>
        <v>155</v>
      </c>
      <c r="O157" s="321">
        <f t="shared" si="179"/>
        <v>74.25</v>
      </c>
      <c r="P157" s="321">
        <f t="shared" si="180"/>
        <v>30</v>
      </c>
      <c r="Q157" s="321">
        <f t="shared" si="181"/>
        <v>44.25</v>
      </c>
      <c r="R157" s="321">
        <f t="shared" si="182"/>
        <v>0</v>
      </c>
      <c r="S157" s="321">
        <f t="shared" si="183"/>
        <v>575.75</v>
      </c>
      <c r="T157" s="321">
        <f t="shared" si="184"/>
        <v>170</v>
      </c>
      <c r="U157" s="321">
        <f t="shared" ref="U157:V157" si="188">M157-Q157</f>
        <v>250.75</v>
      </c>
      <c r="V157" s="321">
        <f t="shared" si="188"/>
        <v>155</v>
      </c>
      <c r="W157" s="1089"/>
      <c r="X157" s="2664"/>
      <c r="Y157" s="2176"/>
      <c r="Z157" s="13"/>
      <c r="AA157" s="13"/>
      <c r="AB157" s="13"/>
      <c r="AC157" s="13"/>
    </row>
    <row r="158" spans="1:29" ht="15.75" customHeight="1">
      <c r="A158" s="319">
        <v>5</v>
      </c>
      <c r="B158" s="323" t="s">
        <v>2520</v>
      </c>
      <c r="C158" s="343" t="s">
        <v>2383</v>
      </c>
      <c r="D158" s="320">
        <v>3.66</v>
      </c>
      <c r="E158" s="342"/>
      <c r="F158" s="319">
        <f t="shared" si="172"/>
        <v>0</v>
      </c>
      <c r="G158" s="319"/>
      <c r="H158" s="319">
        <f t="shared" si="173"/>
        <v>0</v>
      </c>
      <c r="I158" s="319"/>
      <c r="J158" s="319">
        <f t="shared" si="174"/>
        <v>0</v>
      </c>
      <c r="K158" s="321">
        <f t="shared" si="175"/>
        <v>650</v>
      </c>
      <c r="L158" s="321">
        <f t="shared" si="176"/>
        <v>200</v>
      </c>
      <c r="M158" s="321">
        <f t="shared" si="177"/>
        <v>235</v>
      </c>
      <c r="N158" s="321">
        <f t="shared" si="178"/>
        <v>215</v>
      </c>
      <c r="O158" s="321">
        <f t="shared" si="179"/>
        <v>0</v>
      </c>
      <c r="P158" s="321">
        <f t="shared" si="180"/>
        <v>0</v>
      </c>
      <c r="Q158" s="321">
        <f t="shared" si="181"/>
        <v>0</v>
      </c>
      <c r="R158" s="321">
        <f t="shared" si="182"/>
        <v>0</v>
      </c>
      <c r="S158" s="321">
        <f t="shared" si="183"/>
        <v>650</v>
      </c>
      <c r="T158" s="321">
        <f t="shared" si="184"/>
        <v>200</v>
      </c>
      <c r="U158" s="321">
        <f t="shared" ref="U158:V158" si="189">M158-Q158</f>
        <v>235</v>
      </c>
      <c r="V158" s="321">
        <f t="shared" si="189"/>
        <v>215</v>
      </c>
      <c r="W158" s="1089"/>
      <c r="X158" s="2664"/>
      <c r="Y158" s="2176"/>
      <c r="Z158" s="13"/>
      <c r="AA158" s="13"/>
      <c r="AB158" s="13"/>
      <c r="AC158" s="13"/>
    </row>
    <row r="159" spans="1:29" ht="15.75" customHeight="1">
      <c r="A159" s="378">
        <v>6</v>
      </c>
      <c r="B159" s="323" t="s">
        <v>2521</v>
      </c>
      <c r="C159" s="343" t="s">
        <v>2383</v>
      </c>
      <c r="D159" s="320">
        <v>6.56</v>
      </c>
      <c r="E159" s="342"/>
      <c r="F159" s="319">
        <f t="shared" si="172"/>
        <v>0</v>
      </c>
      <c r="G159" s="319"/>
      <c r="H159" s="319">
        <f t="shared" si="173"/>
        <v>0</v>
      </c>
      <c r="I159" s="319"/>
      <c r="J159" s="319">
        <f t="shared" si="174"/>
        <v>0</v>
      </c>
      <c r="K159" s="321">
        <f t="shared" si="175"/>
        <v>650</v>
      </c>
      <c r="L159" s="321">
        <f t="shared" si="176"/>
        <v>200</v>
      </c>
      <c r="M159" s="321">
        <f t="shared" si="177"/>
        <v>350</v>
      </c>
      <c r="N159" s="321">
        <f t="shared" si="178"/>
        <v>100</v>
      </c>
      <c r="O159" s="321">
        <f t="shared" si="179"/>
        <v>0</v>
      </c>
      <c r="P159" s="321">
        <f t="shared" si="180"/>
        <v>0</v>
      </c>
      <c r="Q159" s="321">
        <f t="shared" si="181"/>
        <v>0</v>
      </c>
      <c r="R159" s="321">
        <f t="shared" si="182"/>
        <v>0</v>
      </c>
      <c r="S159" s="321">
        <f t="shared" si="183"/>
        <v>650</v>
      </c>
      <c r="T159" s="321">
        <f t="shared" si="184"/>
        <v>200</v>
      </c>
      <c r="U159" s="321">
        <f t="shared" ref="U159:V159" si="190">M159-Q159</f>
        <v>350</v>
      </c>
      <c r="V159" s="321">
        <f t="shared" si="190"/>
        <v>100</v>
      </c>
      <c r="W159" s="1089"/>
      <c r="X159" s="2664"/>
      <c r="Y159" s="2176"/>
      <c r="Z159" s="13"/>
      <c r="AA159" s="13"/>
      <c r="AB159" s="13"/>
      <c r="AC159" s="13"/>
    </row>
    <row r="160" spans="1:29" ht="15.75" customHeight="1">
      <c r="A160" s="319">
        <v>7</v>
      </c>
      <c r="B160" s="323" t="s">
        <v>2522</v>
      </c>
      <c r="C160" s="343" t="s">
        <v>2383</v>
      </c>
      <c r="D160" s="320">
        <v>4.4000000000000004</v>
      </c>
      <c r="E160" s="342">
        <v>7</v>
      </c>
      <c r="F160" s="319">
        <f t="shared" si="172"/>
        <v>0.2</v>
      </c>
      <c r="G160" s="319"/>
      <c r="H160" s="319">
        <f t="shared" si="173"/>
        <v>0</v>
      </c>
      <c r="I160" s="319"/>
      <c r="J160" s="319">
        <f t="shared" si="174"/>
        <v>0</v>
      </c>
      <c r="K160" s="321">
        <f t="shared" si="175"/>
        <v>650</v>
      </c>
      <c r="L160" s="321">
        <f t="shared" si="176"/>
        <v>200</v>
      </c>
      <c r="M160" s="321">
        <f t="shared" si="177"/>
        <v>295</v>
      </c>
      <c r="N160" s="321">
        <f t="shared" si="178"/>
        <v>155</v>
      </c>
      <c r="O160" s="321">
        <f t="shared" si="179"/>
        <v>99</v>
      </c>
      <c r="P160" s="321">
        <f t="shared" si="180"/>
        <v>40</v>
      </c>
      <c r="Q160" s="321">
        <f t="shared" si="181"/>
        <v>59</v>
      </c>
      <c r="R160" s="321">
        <f t="shared" si="182"/>
        <v>0</v>
      </c>
      <c r="S160" s="321">
        <f t="shared" si="183"/>
        <v>551</v>
      </c>
      <c r="T160" s="321">
        <f t="shared" si="184"/>
        <v>160</v>
      </c>
      <c r="U160" s="321">
        <f t="shared" ref="U160:V160" si="191">M160-Q160</f>
        <v>236</v>
      </c>
      <c r="V160" s="321">
        <f t="shared" si="191"/>
        <v>155</v>
      </c>
      <c r="W160" s="1089"/>
      <c r="X160" s="2664"/>
      <c r="Y160" s="2176"/>
      <c r="Z160" s="13"/>
      <c r="AA160" s="13"/>
      <c r="AB160" s="13"/>
      <c r="AC160" s="13"/>
    </row>
    <row r="161" spans="1:29" ht="15.75" customHeight="1">
      <c r="A161" s="319">
        <v>8</v>
      </c>
      <c r="B161" s="323" t="s">
        <v>2523</v>
      </c>
      <c r="C161" s="343" t="s">
        <v>2383</v>
      </c>
      <c r="D161" s="320">
        <v>4.4000000000000004</v>
      </c>
      <c r="E161" s="342"/>
      <c r="F161" s="319">
        <f t="shared" si="172"/>
        <v>0</v>
      </c>
      <c r="G161" s="319"/>
      <c r="H161" s="319">
        <f t="shared" si="173"/>
        <v>0</v>
      </c>
      <c r="I161" s="319"/>
      <c r="J161" s="319">
        <f t="shared" si="174"/>
        <v>0</v>
      </c>
      <c r="K161" s="321">
        <f t="shared" si="175"/>
        <v>650</v>
      </c>
      <c r="L161" s="321">
        <f t="shared" si="176"/>
        <v>200</v>
      </c>
      <c r="M161" s="321">
        <f t="shared" si="177"/>
        <v>295</v>
      </c>
      <c r="N161" s="321">
        <f t="shared" si="178"/>
        <v>155</v>
      </c>
      <c r="O161" s="321">
        <f t="shared" si="179"/>
        <v>0</v>
      </c>
      <c r="P161" s="321">
        <f t="shared" si="180"/>
        <v>0</v>
      </c>
      <c r="Q161" s="321">
        <f t="shared" si="181"/>
        <v>0</v>
      </c>
      <c r="R161" s="321">
        <f t="shared" si="182"/>
        <v>0</v>
      </c>
      <c r="S161" s="321">
        <f t="shared" si="183"/>
        <v>650</v>
      </c>
      <c r="T161" s="321">
        <f t="shared" si="184"/>
        <v>200</v>
      </c>
      <c r="U161" s="321">
        <f t="shared" ref="U161:V161" si="192">M161-Q161</f>
        <v>295</v>
      </c>
      <c r="V161" s="321">
        <f t="shared" si="192"/>
        <v>155</v>
      </c>
      <c r="W161" s="1089"/>
      <c r="X161" s="2664"/>
      <c r="Y161" s="2176"/>
      <c r="Z161" s="13"/>
      <c r="AA161" s="13"/>
      <c r="AB161" s="13"/>
      <c r="AC161" s="13"/>
    </row>
    <row r="162" spans="1:29" ht="15.75" customHeight="1">
      <c r="A162" s="319">
        <v>9</v>
      </c>
      <c r="B162" s="323" t="s">
        <v>2524</v>
      </c>
      <c r="C162" s="343" t="s">
        <v>2383</v>
      </c>
      <c r="D162" s="320">
        <v>4.4000000000000004</v>
      </c>
      <c r="E162" s="342">
        <v>19</v>
      </c>
      <c r="F162" s="319">
        <f t="shared" si="172"/>
        <v>0.1</v>
      </c>
      <c r="G162" s="319"/>
      <c r="H162" s="319">
        <f t="shared" si="173"/>
        <v>0</v>
      </c>
      <c r="I162" s="319"/>
      <c r="J162" s="319">
        <f t="shared" si="174"/>
        <v>0</v>
      </c>
      <c r="K162" s="321">
        <f t="shared" si="175"/>
        <v>650</v>
      </c>
      <c r="L162" s="321">
        <f t="shared" si="176"/>
        <v>200</v>
      </c>
      <c r="M162" s="321">
        <f t="shared" si="177"/>
        <v>295</v>
      </c>
      <c r="N162" s="321">
        <f t="shared" si="178"/>
        <v>155</v>
      </c>
      <c r="O162" s="321">
        <f t="shared" si="179"/>
        <v>49.5</v>
      </c>
      <c r="P162" s="321">
        <f t="shared" si="180"/>
        <v>20</v>
      </c>
      <c r="Q162" s="321">
        <f t="shared" si="181"/>
        <v>29.5</v>
      </c>
      <c r="R162" s="321">
        <f t="shared" si="182"/>
        <v>0</v>
      </c>
      <c r="S162" s="321">
        <f t="shared" si="183"/>
        <v>600.5</v>
      </c>
      <c r="T162" s="321">
        <f t="shared" si="184"/>
        <v>180</v>
      </c>
      <c r="U162" s="321">
        <f t="shared" ref="U162:V162" si="193">M162-Q162</f>
        <v>265.5</v>
      </c>
      <c r="V162" s="321">
        <f t="shared" si="193"/>
        <v>155</v>
      </c>
      <c r="W162" s="1089"/>
      <c r="X162" s="2664"/>
      <c r="Y162" s="2176"/>
      <c r="Z162" s="13"/>
      <c r="AA162" s="13"/>
      <c r="AB162" s="13"/>
      <c r="AC162" s="13"/>
    </row>
    <row r="163" spans="1:29" ht="15.75" customHeight="1">
      <c r="A163" s="319">
        <v>10</v>
      </c>
      <c r="B163" s="323" t="s">
        <v>2525</v>
      </c>
      <c r="C163" s="343" t="s">
        <v>2383</v>
      </c>
      <c r="D163" s="320">
        <v>4.4000000000000004</v>
      </c>
      <c r="E163" s="342"/>
      <c r="F163" s="319">
        <f t="shared" si="172"/>
        <v>0</v>
      </c>
      <c r="G163" s="319"/>
      <c r="H163" s="319">
        <f t="shared" si="173"/>
        <v>0</v>
      </c>
      <c r="I163" s="319"/>
      <c r="J163" s="319">
        <f t="shared" si="174"/>
        <v>0</v>
      </c>
      <c r="K163" s="321">
        <f t="shared" si="175"/>
        <v>650</v>
      </c>
      <c r="L163" s="321">
        <f t="shared" si="176"/>
        <v>200</v>
      </c>
      <c r="M163" s="321">
        <f t="shared" si="177"/>
        <v>295</v>
      </c>
      <c r="N163" s="321">
        <f t="shared" si="178"/>
        <v>155</v>
      </c>
      <c r="O163" s="321">
        <f t="shared" si="179"/>
        <v>0</v>
      </c>
      <c r="P163" s="321">
        <f t="shared" si="180"/>
        <v>0</v>
      </c>
      <c r="Q163" s="321">
        <f t="shared" si="181"/>
        <v>0</v>
      </c>
      <c r="R163" s="321">
        <f t="shared" si="182"/>
        <v>0</v>
      </c>
      <c r="S163" s="321">
        <f t="shared" si="183"/>
        <v>650</v>
      </c>
      <c r="T163" s="321">
        <f t="shared" si="184"/>
        <v>200</v>
      </c>
      <c r="U163" s="321">
        <f t="shared" ref="U163:V163" si="194">M163-Q163</f>
        <v>295</v>
      </c>
      <c r="V163" s="321">
        <f t="shared" si="194"/>
        <v>155</v>
      </c>
      <c r="W163" s="2643"/>
      <c r="X163" s="2664"/>
      <c r="Y163" s="2176"/>
      <c r="Z163" s="13"/>
      <c r="AA163" s="13"/>
      <c r="AB163" s="13"/>
      <c r="AC163" s="13"/>
    </row>
    <row r="164" spans="1:29" ht="15.75" customHeight="1">
      <c r="A164" s="319">
        <v>11</v>
      </c>
      <c r="B164" s="323" t="s">
        <v>2526</v>
      </c>
      <c r="C164" s="343" t="s">
        <v>2383</v>
      </c>
      <c r="D164" s="320">
        <v>5.76</v>
      </c>
      <c r="E164" s="342"/>
      <c r="F164" s="319">
        <f t="shared" si="172"/>
        <v>0</v>
      </c>
      <c r="G164" s="319"/>
      <c r="H164" s="319">
        <f t="shared" si="173"/>
        <v>0</v>
      </c>
      <c r="I164" s="319"/>
      <c r="J164" s="319">
        <f t="shared" si="174"/>
        <v>0</v>
      </c>
      <c r="K164" s="321">
        <f t="shared" si="175"/>
        <v>650</v>
      </c>
      <c r="L164" s="321">
        <f t="shared" si="176"/>
        <v>200</v>
      </c>
      <c r="M164" s="321">
        <f t="shared" si="177"/>
        <v>325</v>
      </c>
      <c r="N164" s="321">
        <f t="shared" si="178"/>
        <v>125</v>
      </c>
      <c r="O164" s="321">
        <f t="shared" si="179"/>
        <v>0</v>
      </c>
      <c r="P164" s="321">
        <f t="shared" si="180"/>
        <v>0</v>
      </c>
      <c r="Q164" s="321">
        <f t="shared" si="181"/>
        <v>0</v>
      </c>
      <c r="R164" s="321">
        <f t="shared" si="182"/>
        <v>0</v>
      </c>
      <c r="S164" s="321">
        <f t="shared" si="183"/>
        <v>650</v>
      </c>
      <c r="T164" s="321">
        <f t="shared" si="184"/>
        <v>200</v>
      </c>
      <c r="U164" s="321">
        <f t="shared" ref="U164:V164" si="195">M164-Q164</f>
        <v>325</v>
      </c>
      <c r="V164" s="321">
        <f t="shared" si="195"/>
        <v>125</v>
      </c>
      <c r="W164" s="2643"/>
      <c r="X164" s="2664"/>
      <c r="Y164" s="2176"/>
      <c r="Z164" s="13"/>
      <c r="AA164" s="13"/>
      <c r="AB164" s="13"/>
      <c r="AC164" s="13"/>
    </row>
    <row r="165" spans="1:29" ht="15.75" customHeight="1">
      <c r="A165" s="319">
        <v>12</v>
      </c>
      <c r="B165" s="323" t="s">
        <v>2527</v>
      </c>
      <c r="C165" s="343" t="s">
        <v>2383</v>
      </c>
      <c r="D165" s="320">
        <v>4.74</v>
      </c>
      <c r="E165" s="342">
        <v>12</v>
      </c>
      <c r="F165" s="319">
        <f t="shared" si="172"/>
        <v>0.1</v>
      </c>
      <c r="G165" s="319"/>
      <c r="H165" s="319">
        <f t="shared" si="173"/>
        <v>0</v>
      </c>
      <c r="I165" s="319"/>
      <c r="J165" s="319">
        <f t="shared" si="174"/>
        <v>0</v>
      </c>
      <c r="K165" s="321">
        <f t="shared" si="175"/>
        <v>650</v>
      </c>
      <c r="L165" s="321">
        <f t="shared" si="176"/>
        <v>200</v>
      </c>
      <c r="M165" s="321">
        <f t="shared" si="177"/>
        <v>295</v>
      </c>
      <c r="N165" s="321">
        <f t="shared" si="178"/>
        <v>155</v>
      </c>
      <c r="O165" s="321">
        <f t="shared" si="179"/>
        <v>49.5</v>
      </c>
      <c r="P165" s="321">
        <f t="shared" si="180"/>
        <v>20</v>
      </c>
      <c r="Q165" s="321">
        <f t="shared" si="181"/>
        <v>29.5</v>
      </c>
      <c r="R165" s="321">
        <f t="shared" si="182"/>
        <v>0</v>
      </c>
      <c r="S165" s="321">
        <f t="shared" si="183"/>
        <v>600.5</v>
      </c>
      <c r="T165" s="321">
        <f t="shared" si="184"/>
        <v>180</v>
      </c>
      <c r="U165" s="321">
        <f t="shared" ref="U165:V165" si="196">M165-Q165</f>
        <v>265.5</v>
      </c>
      <c r="V165" s="321">
        <f t="shared" si="196"/>
        <v>155</v>
      </c>
      <c r="W165" s="2643"/>
      <c r="X165" s="2664"/>
      <c r="Y165" s="2176"/>
      <c r="Z165" s="13"/>
      <c r="AA165" s="13"/>
      <c r="AB165" s="13"/>
      <c r="AC165" s="13"/>
    </row>
    <row r="166" spans="1:29" ht="15.75" customHeight="1">
      <c r="A166" s="379"/>
      <c r="B166" s="380" t="s">
        <v>2528</v>
      </c>
      <c r="C166" s="381"/>
      <c r="D166" s="382"/>
      <c r="E166" s="383"/>
      <c r="F166" s="319"/>
      <c r="G166" s="380"/>
      <c r="H166" s="380"/>
      <c r="I166" s="384"/>
      <c r="J166" s="384"/>
      <c r="K166" s="318">
        <f t="shared" ref="K166:V166" si="197">SUM(K154:K165)</f>
        <v>7800</v>
      </c>
      <c r="L166" s="318">
        <f t="shared" si="197"/>
        <v>2400</v>
      </c>
      <c r="M166" s="318">
        <f t="shared" si="197"/>
        <v>3565</v>
      </c>
      <c r="N166" s="318">
        <f t="shared" si="197"/>
        <v>1835</v>
      </c>
      <c r="O166" s="318">
        <f t="shared" si="197"/>
        <v>519.75</v>
      </c>
      <c r="P166" s="318">
        <f t="shared" si="197"/>
        <v>210</v>
      </c>
      <c r="Q166" s="318">
        <f t="shared" si="197"/>
        <v>309.75</v>
      </c>
      <c r="R166" s="318">
        <f t="shared" si="197"/>
        <v>0</v>
      </c>
      <c r="S166" s="318">
        <f t="shared" si="197"/>
        <v>7280.25</v>
      </c>
      <c r="T166" s="318">
        <f t="shared" si="197"/>
        <v>2190</v>
      </c>
      <c r="U166" s="318">
        <f t="shared" si="197"/>
        <v>3255.25</v>
      </c>
      <c r="V166" s="318">
        <f t="shared" si="197"/>
        <v>1835</v>
      </c>
      <c r="W166" s="2653"/>
      <c r="X166" s="2668"/>
      <c r="Y166" s="2184"/>
      <c r="Z166" s="13"/>
      <c r="AA166" s="13"/>
      <c r="AB166" s="13"/>
      <c r="AC166" s="13"/>
    </row>
    <row r="167" spans="1:29" ht="15.75" customHeight="1">
      <c r="A167" s="312"/>
      <c r="B167" s="310"/>
      <c r="C167" s="345"/>
      <c r="D167" s="346"/>
      <c r="E167" s="347"/>
      <c r="F167" s="319"/>
      <c r="G167" s="310"/>
      <c r="H167" s="310"/>
      <c r="I167" s="310"/>
      <c r="J167" s="310"/>
      <c r="K167" s="331">
        <f>K166-SUM(L166:N166)</f>
        <v>0</v>
      </c>
      <c r="L167" s="331"/>
      <c r="M167" s="331"/>
      <c r="N167" s="331"/>
      <c r="O167" s="331">
        <f>O166-SUM(P166:R166)</f>
        <v>0</v>
      </c>
      <c r="P167" s="331"/>
      <c r="Q167" s="331"/>
      <c r="R167" s="331"/>
      <c r="S167" s="331">
        <f>S166-SUM(T166:V166)</f>
        <v>0</v>
      </c>
      <c r="T167" s="310"/>
      <c r="U167" s="310"/>
      <c r="V167" s="310"/>
      <c r="W167" s="345"/>
      <c r="X167" s="2664"/>
      <c r="Y167" s="2176"/>
      <c r="Z167" s="13"/>
      <c r="AA167" s="13"/>
      <c r="AB167" s="13"/>
      <c r="AC167" s="13"/>
    </row>
    <row r="168" spans="1:29" ht="15.75" customHeight="1">
      <c r="A168" s="309" t="s">
        <v>2529</v>
      </c>
      <c r="B168" s="361" t="s">
        <v>2530</v>
      </c>
      <c r="C168" s="345"/>
      <c r="D168" s="346"/>
      <c r="E168" s="347"/>
      <c r="F168" s="319"/>
      <c r="G168" s="310"/>
      <c r="H168" s="310"/>
      <c r="I168" s="310"/>
      <c r="J168" s="310"/>
      <c r="K168" s="310"/>
      <c r="L168" s="310"/>
      <c r="M168" s="310"/>
      <c r="N168" s="310"/>
      <c r="O168" s="310"/>
      <c r="P168" s="310"/>
      <c r="Q168" s="310"/>
      <c r="R168" s="313"/>
      <c r="S168" s="310"/>
      <c r="T168" s="310"/>
      <c r="U168" s="310"/>
      <c r="V168" s="310"/>
      <c r="W168" s="345"/>
      <c r="X168" s="2664"/>
      <c r="Y168" s="2176"/>
      <c r="Z168" s="13"/>
      <c r="AA168" s="13"/>
      <c r="AB168" s="13"/>
      <c r="AC168" s="13"/>
    </row>
    <row r="169" spans="1:29" ht="15.75" customHeight="1">
      <c r="A169" s="307"/>
      <c r="B169" s="315" t="s">
        <v>2531</v>
      </c>
      <c r="C169" s="336"/>
      <c r="D169" s="341"/>
      <c r="E169" s="342"/>
      <c r="F169" s="319"/>
      <c r="G169" s="315"/>
      <c r="H169" s="350"/>
      <c r="I169" s="2896" t="s">
        <v>1532</v>
      </c>
      <c r="J169" s="2179"/>
      <c r="K169" s="2966" t="s">
        <v>2354</v>
      </c>
      <c r="L169" s="2782"/>
      <c r="M169" s="2782"/>
      <c r="N169" s="2783"/>
      <c r="O169" s="2966" t="s">
        <v>2355</v>
      </c>
      <c r="P169" s="2782"/>
      <c r="Q169" s="2782"/>
      <c r="R169" s="2783"/>
      <c r="S169" s="2966" t="s">
        <v>2356</v>
      </c>
      <c r="T169" s="2782"/>
      <c r="U169" s="2782"/>
      <c r="V169" s="2783"/>
      <c r="W169" s="2967" t="s">
        <v>32</v>
      </c>
      <c r="X169" s="2664"/>
      <c r="Y169" s="2176"/>
      <c r="Z169" s="13"/>
      <c r="AA169" s="13"/>
      <c r="AB169" s="13"/>
      <c r="AC169" s="13"/>
    </row>
    <row r="170" spans="1:29" ht="38.25">
      <c r="A170" s="307"/>
      <c r="B170" s="315" t="s">
        <v>2532</v>
      </c>
      <c r="C170" s="336"/>
      <c r="D170" s="337" t="s">
        <v>2425</v>
      </c>
      <c r="E170" s="338"/>
      <c r="F170" s="319"/>
      <c r="G170" s="314"/>
      <c r="H170" s="339"/>
      <c r="I170" s="2779"/>
      <c r="J170" s="340"/>
      <c r="K170" s="307" t="s">
        <v>1911</v>
      </c>
      <c r="L170" s="307" t="s">
        <v>2364</v>
      </c>
      <c r="M170" s="307" t="s">
        <v>2365</v>
      </c>
      <c r="N170" s="307" t="s">
        <v>2366</v>
      </c>
      <c r="O170" s="307" t="s">
        <v>1911</v>
      </c>
      <c r="P170" s="307" t="s">
        <v>2364</v>
      </c>
      <c r="Q170" s="307" t="s">
        <v>2365</v>
      </c>
      <c r="R170" s="307" t="s">
        <v>2366</v>
      </c>
      <c r="S170" s="307" t="s">
        <v>1911</v>
      </c>
      <c r="T170" s="307" t="s">
        <v>2364</v>
      </c>
      <c r="U170" s="307" t="s">
        <v>2365</v>
      </c>
      <c r="V170" s="307" t="s">
        <v>2366</v>
      </c>
      <c r="W170" s="2968"/>
      <c r="X170" s="2664"/>
      <c r="Y170" s="2176"/>
      <c r="Z170" s="13"/>
      <c r="AA170" s="13"/>
      <c r="AB170" s="13"/>
      <c r="AC170" s="13"/>
    </row>
    <row r="171" spans="1:29">
      <c r="A171" s="307"/>
      <c r="B171" s="315" t="s">
        <v>2533</v>
      </c>
      <c r="C171" s="336"/>
      <c r="D171" s="341"/>
      <c r="E171" s="342"/>
      <c r="F171" s="319"/>
      <c r="G171" s="315"/>
      <c r="H171" s="315"/>
      <c r="I171" s="310" t="s">
        <v>467</v>
      </c>
      <c r="J171" s="310"/>
      <c r="K171" s="310" t="s">
        <v>468</v>
      </c>
      <c r="L171" s="310" t="s">
        <v>469</v>
      </c>
      <c r="M171" s="310" t="s">
        <v>470</v>
      </c>
      <c r="N171" s="310" t="s">
        <v>471</v>
      </c>
      <c r="O171" s="310" t="s">
        <v>1536</v>
      </c>
      <c r="P171" s="310" t="s">
        <v>2368</v>
      </c>
      <c r="Q171" s="310" t="s">
        <v>474</v>
      </c>
      <c r="R171" s="311" t="s">
        <v>475</v>
      </c>
      <c r="S171" s="310" t="s">
        <v>625</v>
      </c>
      <c r="T171" s="310" t="s">
        <v>534</v>
      </c>
      <c r="U171" s="310" t="s">
        <v>535</v>
      </c>
      <c r="V171" s="310" t="s">
        <v>536</v>
      </c>
      <c r="W171" s="345" t="s">
        <v>537</v>
      </c>
      <c r="X171" s="2664"/>
      <c r="Y171" s="2176"/>
      <c r="Z171" s="13"/>
      <c r="AA171" s="13"/>
      <c r="AB171" s="13"/>
      <c r="AC171" s="13"/>
    </row>
    <row r="172" spans="1:29" ht="15.75" customHeight="1">
      <c r="A172" s="307"/>
      <c r="B172" s="315" t="s">
        <v>2534</v>
      </c>
      <c r="C172" s="336"/>
      <c r="D172" s="341"/>
      <c r="E172" s="342"/>
      <c r="F172" s="319"/>
      <c r="G172" s="315"/>
      <c r="H172" s="315"/>
      <c r="I172" s="307"/>
      <c r="J172" s="307"/>
      <c r="K172" s="307"/>
      <c r="L172" s="307"/>
      <c r="M172" s="307"/>
      <c r="N172" s="307"/>
      <c r="O172" s="307"/>
      <c r="P172" s="307"/>
      <c r="Q172" s="307"/>
      <c r="R172" s="307"/>
      <c r="S172" s="307"/>
      <c r="T172" s="307"/>
      <c r="U172" s="307"/>
      <c r="V172" s="307"/>
      <c r="W172" s="2608"/>
      <c r="X172" s="2664"/>
      <c r="Y172" s="2176"/>
      <c r="Z172" s="13"/>
      <c r="AA172" s="13"/>
      <c r="AB172" s="13"/>
      <c r="AC172" s="13"/>
    </row>
    <row r="173" spans="1:29" ht="15.75" customHeight="1">
      <c r="A173" s="307"/>
      <c r="B173" s="315" t="s">
        <v>2535</v>
      </c>
      <c r="C173" s="336"/>
      <c r="D173" s="341"/>
      <c r="E173" s="342"/>
      <c r="F173" s="319"/>
      <c r="G173" s="315"/>
      <c r="H173" s="315"/>
      <c r="I173" s="307"/>
      <c r="J173" s="307"/>
      <c r="K173" s="307"/>
      <c r="L173" s="307"/>
      <c r="M173" s="307"/>
      <c r="N173" s="307"/>
      <c r="O173" s="307"/>
      <c r="P173" s="307"/>
      <c r="Q173" s="307"/>
      <c r="R173" s="307"/>
      <c r="S173" s="307"/>
      <c r="T173" s="307"/>
      <c r="U173" s="307"/>
      <c r="V173" s="307"/>
      <c r="W173" s="2608"/>
      <c r="X173" s="2664"/>
      <c r="Y173" s="2176"/>
      <c r="Z173" s="13"/>
      <c r="AA173" s="13"/>
      <c r="AB173" s="13"/>
      <c r="AC173" s="13"/>
    </row>
    <row r="174" spans="1:29" ht="15.75" customHeight="1">
      <c r="A174" s="307"/>
      <c r="B174" s="315" t="s">
        <v>2536</v>
      </c>
      <c r="C174" s="336"/>
      <c r="D174" s="341"/>
      <c r="E174" s="342"/>
      <c r="F174" s="319"/>
      <c r="G174" s="315"/>
      <c r="H174" s="315"/>
      <c r="I174" s="307"/>
      <c r="J174" s="307"/>
      <c r="K174" s="307"/>
      <c r="L174" s="307"/>
      <c r="M174" s="307"/>
      <c r="N174" s="307"/>
      <c r="O174" s="307"/>
      <c r="P174" s="307"/>
      <c r="Q174" s="307"/>
      <c r="R174" s="307"/>
      <c r="S174" s="307"/>
      <c r="T174" s="307"/>
      <c r="U174" s="307"/>
      <c r="V174" s="307"/>
      <c r="W174" s="2608"/>
      <c r="X174" s="2664"/>
      <c r="Y174" s="2176"/>
      <c r="Z174" s="13"/>
      <c r="AA174" s="13"/>
      <c r="AB174" s="13"/>
      <c r="AC174" s="13"/>
    </row>
    <row r="175" spans="1:29" ht="15.75" customHeight="1">
      <c r="A175" s="312" t="s">
        <v>258</v>
      </c>
      <c r="B175" s="349" t="s">
        <v>2537</v>
      </c>
      <c r="C175" s="336"/>
      <c r="D175" s="328"/>
      <c r="E175" s="334"/>
      <c r="F175" s="319"/>
      <c r="G175" s="349"/>
      <c r="H175" s="349"/>
      <c r="I175" s="312"/>
      <c r="J175" s="312"/>
      <c r="K175" s="318"/>
      <c r="L175" s="318"/>
      <c r="M175" s="318"/>
      <c r="N175" s="318"/>
      <c r="O175" s="318"/>
      <c r="P175" s="318"/>
      <c r="Q175" s="318"/>
      <c r="R175" s="318"/>
      <c r="S175" s="318"/>
      <c r="T175" s="318"/>
      <c r="U175" s="318"/>
      <c r="V175" s="318"/>
      <c r="W175" s="2642"/>
      <c r="X175" s="2664"/>
      <c r="Y175" s="2176"/>
      <c r="Z175" s="13"/>
      <c r="AA175" s="13"/>
      <c r="AB175" s="13"/>
      <c r="AC175" s="13"/>
    </row>
    <row r="176" spans="1:29" ht="15.75" customHeight="1">
      <c r="A176" s="319">
        <v>1</v>
      </c>
      <c r="B176" s="385" t="s">
        <v>2538</v>
      </c>
      <c r="C176" s="343" t="s">
        <v>2383</v>
      </c>
      <c r="D176" s="386">
        <v>4.4400000000000004</v>
      </c>
      <c r="E176" s="342">
        <v>12</v>
      </c>
      <c r="F176" s="319">
        <f t="shared" ref="F176:F183" si="198">IF(E176=1, 0.75, IF(OR(E176=2, E176=14, E176=21), 0.7, IF(OR(E176=3, E176=17), 0.65, IF(E176=4, 0.4, IF(OR(E176=5, E176=6, E176=25), 0.3, IF(OR(E176=7, E176=8, E176=9, E176=26), 0.2, IF(OR(E176=10, E176=15, E176=18), 0.15, IF(OR(E176=11, E176=12, E176=16, E176=19, E176=20), 0.1, IF(E176=24, 0.35, IF(E176=27, 0.5, 0))))))))))</f>
        <v>0.1</v>
      </c>
      <c r="G176" s="319"/>
      <c r="H176" s="319">
        <f t="shared" ref="H176:H183" si="199">IF(G176="A", 1, IF(G176="B", 0.7, IF(G176="C", 0.6, 0)))</f>
        <v>0</v>
      </c>
      <c r="I176" s="319"/>
      <c r="J176" s="319">
        <f t="shared" ref="J176:J183" si="200">IF(I176="D", 1, IF(OR(I176="E", I176="F"), 0.1, 0))</f>
        <v>0</v>
      </c>
      <c r="K176" s="321">
        <f t="shared" ref="K176:K183" si="201">L176+M176+N176</f>
        <v>650</v>
      </c>
      <c r="L176" s="321">
        <f t="shared" ref="L176:L183" si="202">IF(C176="N1", 270, IF(C176="N2", 350, IF(C176="N3", 200, 0)))</f>
        <v>200</v>
      </c>
      <c r="M176" s="321">
        <f t="shared" ref="M176:M183" si="203">IF(AND(C176="N1", D176&gt;=6.2),260, IF(AND(C176="N1",D176&gt;=5.76),240,IF(AND(C176="N1",D176&gt;=4.4),220,IF(AND(C176="N1", D176&gt;=4.32), 200,IF(AND(C176="N1", D176&gt;=3.33),175,IF(AND(C176="N1", D176&gt;=2.34),165, IF(AND(C176="N2",D176&gt;=6.2),200, IF(AND(C176="N2",5.76&lt;=D176),185,IF(AND(C176="N2",4.4&lt;=D176),170,IF(AND(C176="N2",4.32&lt;=D176), 155, IF(AND(C176="N2",3.33&lt;=D176),135,IF(AND(C176="N2",2.34&lt;=D176),125, IF(AND(C176="N3",D176&gt;=6.2),350, IF(AND(C176="N3",5.76&lt;=D176),325,IF(AND(C176="N3",4.4&lt;=D176),295,IF(AND(C176="N3",4.32&lt;=D176),270,IF(AND(C176="N3",3.33&lt;=D176),235,IF(AND(C176="N3",2.34&lt;=D176), 225, "SAI THÔNG TIN"))))))))))))))))))</f>
        <v>295</v>
      </c>
      <c r="N176" s="321">
        <f t="shared" ref="N176:N183" si="204">IF(AND(C176="N1", D176&gt;=6.2),120, IF(AND(C176="N1",D176&gt;=5.76),140,IF(AND(C176="N1",4.4&lt;=D176),160,IF(AND(C176="N1",4.32&lt;=D176), 180,IF(AND(C176="N1",3.33&lt;=D176),205,IF(AND(C176="N1",2.34&lt;=D176),215, IF(AND(C176="N2",D176&gt;=6.2),100, IF(AND(C176="N2",5.76&lt;=D176),115,IF(AND(C176="N2",4.4&lt;=D176),130,IF(AND(C176="N2",4.32&lt;=D176), 145, IF(AND(C176="N2",3.33&lt;=D176),165,IF(AND(C176="N2",2.34&lt;=D176),175, IF(AND(C176="N3",D176&gt;=6.2),100, IF(AND(C176="N3",5.76&lt;=D176),125,IF(AND(C176="N3",4.4&lt;=D176),155,IF(AND(C176="N3",4.32&lt;=D176),180,IF(AND(C176="N3",3.33&lt;=D176),215,IF(AND(C176="N3",2.34&lt;=D176), 225, "SAI THÔNG TIN"))))))))))))))))))</f>
        <v>155</v>
      </c>
      <c r="O176" s="321">
        <f t="shared" ref="O176:O183" si="205">P176+Q176+R176</f>
        <v>49.5</v>
      </c>
      <c r="P176" s="321">
        <f t="shared" ref="P176:P183" si="206">L176-T176</f>
        <v>20</v>
      </c>
      <c r="Q176" s="321">
        <f t="shared" ref="Q176:Q183" si="207">IF(OR(G176="A", I176="D"), M176, IF(G176="C", 0.6*M176, IF(OR(I176="E", I176="F"), 0.1*M176, IF(G176="B", 0, F176*M176))))</f>
        <v>29.5</v>
      </c>
      <c r="R176" s="321">
        <f t="shared" ref="R176:R183" si="208">IF(OR(G176="A", I176="D"), N176, IF(G176="C", 0.6*N176, IF(I176="E", 0.1*N176, IF(G176="B", 0.7*N176, 0))))</f>
        <v>0</v>
      </c>
      <c r="S176" s="321">
        <f t="shared" ref="S176:S183" si="209">T176+U176+V176</f>
        <v>600.5</v>
      </c>
      <c r="T176" s="321">
        <f t="shared" ref="T176:T183" si="210">L176*(1-F176)*(1-H176)*(1-J178)</f>
        <v>180</v>
      </c>
      <c r="U176" s="321">
        <f t="shared" ref="U176:V176" si="211">M176-Q176</f>
        <v>265.5</v>
      </c>
      <c r="V176" s="321">
        <f t="shared" si="211"/>
        <v>155</v>
      </c>
      <c r="W176" s="2643"/>
      <c r="X176" s="2664"/>
      <c r="Y176" s="2176"/>
      <c r="Z176" s="13"/>
      <c r="AA176" s="13"/>
      <c r="AB176" s="13"/>
      <c r="AC176" s="13"/>
    </row>
    <row r="177" spans="1:29" ht="15.75" customHeight="1">
      <c r="A177" s="319">
        <v>2</v>
      </c>
      <c r="B177" s="323" t="s">
        <v>2539</v>
      </c>
      <c r="C177" s="343" t="s">
        <v>2383</v>
      </c>
      <c r="D177" s="320">
        <v>4.6500000000000004</v>
      </c>
      <c r="E177" s="342"/>
      <c r="F177" s="319">
        <f t="shared" si="198"/>
        <v>0</v>
      </c>
      <c r="G177" s="319"/>
      <c r="H177" s="319">
        <f t="shared" si="199"/>
        <v>0</v>
      </c>
      <c r="I177" s="319"/>
      <c r="J177" s="319">
        <f t="shared" si="200"/>
        <v>0</v>
      </c>
      <c r="K177" s="321">
        <f t="shared" si="201"/>
        <v>650</v>
      </c>
      <c r="L177" s="321">
        <f t="shared" si="202"/>
        <v>200</v>
      </c>
      <c r="M177" s="321">
        <f t="shared" si="203"/>
        <v>295</v>
      </c>
      <c r="N177" s="321">
        <f t="shared" si="204"/>
        <v>155</v>
      </c>
      <c r="O177" s="321">
        <f t="shared" si="205"/>
        <v>0</v>
      </c>
      <c r="P177" s="321">
        <f t="shared" si="206"/>
        <v>0</v>
      </c>
      <c r="Q177" s="321">
        <f t="shared" si="207"/>
        <v>0</v>
      </c>
      <c r="R177" s="321">
        <f t="shared" si="208"/>
        <v>0</v>
      </c>
      <c r="S177" s="321">
        <f t="shared" si="209"/>
        <v>650</v>
      </c>
      <c r="T177" s="321">
        <f t="shared" si="210"/>
        <v>200</v>
      </c>
      <c r="U177" s="321">
        <f t="shared" ref="U177:V177" si="212">M177-Q177</f>
        <v>295</v>
      </c>
      <c r="V177" s="321">
        <f t="shared" si="212"/>
        <v>155</v>
      </c>
      <c r="W177" s="2643"/>
      <c r="X177" s="2664"/>
      <c r="Y177" s="2176"/>
      <c r="Z177" s="13"/>
      <c r="AA177" s="13"/>
      <c r="AB177" s="13"/>
      <c r="AC177" s="13"/>
    </row>
    <row r="178" spans="1:29" ht="15.75" customHeight="1">
      <c r="A178" s="319">
        <v>3</v>
      </c>
      <c r="B178" s="323" t="s">
        <v>2540</v>
      </c>
      <c r="C178" s="343" t="s">
        <v>2383</v>
      </c>
      <c r="D178" s="320">
        <v>4.74</v>
      </c>
      <c r="E178" s="342">
        <v>7</v>
      </c>
      <c r="F178" s="319">
        <f t="shared" si="198"/>
        <v>0.2</v>
      </c>
      <c r="G178" s="319"/>
      <c r="H178" s="319">
        <f t="shared" si="199"/>
        <v>0</v>
      </c>
      <c r="I178" s="319"/>
      <c r="J178" s="319">
        <f t="shared" si="200"/>
        <v>0</v>
      </c>
      <c r="K178" s="321">
        <f t="shared" si="201"/>
        <v>650</v>
      </c>
      <c r="L178" s="321">
        <f t="shared" si="202"/>
        <v>200</v>
      </c>
      <c r="M178" s="321">
        <f t="shared" si="203"/>
        <v>295</v>
      </c>
      <c r="N178" s="321">
        <f t="shared" si="204"/>
        <v>155</v>
      </c>
      <c r="O178" s="321">
        <f t="shared" si="205"/>
        <v>99</v>
      </c>
      <c r="P178" s="321">
        <f t="shared" si="206"/>
        <v>40</v>
      </c>
      <c r="Q178" s="321">
        <f t="shared" si="207"/>
        <v>59</v>
      </c>
      <c r="R178" s="321">
        <f t="shared" si="208"/>
        <v>0</v>
      </c>
      <c r="S178" s="321">
        <f t="shared" si="209"/>
        <v>551</v>
      </c>
      <c r="T178" s="321">
        <f t="shared" si="210"/>
        <v>160</v>
      </c>
      <c r="U178" s="321">
        <f t="shared" ref="U178:V178" si="213">M178-Q178</f>
        <v>236</v>
      </c>
      <c r="V178" s="321">
        <f t="shared" si="213"/>
        <v>155</v>
      </c>
      <c r="W178" s="2643"/>
      <c r="X178" s="2664"/>
      <c r="Y178" s="2176"/>
      <c r="Z178" s="13"/>
      <c r="AA178" s="13"/>
      <c r="AB178" s="13"/>
      <c r="AC178" s="13"/>
    </row>
    <row r="179" spans="1:29" ht="15.75" customHeight="1">
      <c r="A179" s="319">
        <v>4</v>
      </c>
      <c r="B179" s="323" t="s">
        <v>2541</v>
      </c>
      <c r="C179" s="343" t="s">
        <v>2383</v>
      </c>
      <c r="D179" s="320">
        <v>4.6500000000000004</v>
      </c>
      <c r="E179" s="342"/>
      <c r="F179" s="319">
        <f t="shared" si="198"/>
        <v>0</v>
      </c>
      <c r="G179" s="319"/>
      <c r="H179" s="319">
        <f t="shared" si="199"/>
        <v>0</v>
      </c>
      <c r="I179" s="319"/>
      <c r="J179" s="319">
        <f t="shared" si="200"/>
        <v>0</v>
      </c>
      <c r="K179" s="321">
        <f t="shared" si="201"/>
        <v>650</v>
      </c>
      <c r="L179" s="321">
        <f t="shared" si="202"/>
        <v>200</v>
      </c>
      <c r="M179" s="321">
        <f t="shared" si="203"/>
        <v>295</v>
      </c>
      <c r="N179" s="321">
        <f t="shared" si="204"/>
        <v>155</v>
      </c>
      <c r="O179" s="321">
        <f t="shared" si="205"/>
        <v>0</v>
      </c>
      <c r="P179" s="321">
        <f t="shared" si="206"/>
        <v>0</v>
      </c>
      <c r="Q179" s="321">
        <f t="shared" si="207"/>
        <v>0</v>
      </c>
      <c r="R179" s="321">
        <f t="shared" si="208"/>
        <v>0</v>
      </c>
      <c r="S179" s="321">
        <f t="shared" si="209"/>
        <v>650</v>
      </c>
      <c r="T179" s="321">
        <f t="shared" si="210"/>
        <v>200</v>
      </c>
      <c r="U179" s="321">
        <f t="shared" ref="U179:V179" si="214">M179-Q179</f>
        <v>295</v>
      </c>
      <c r="V179" s="321">
        <f t="shared" si="214"/>
        <v>155</v>
      </c>
      <c r="W179" s="2643"/>
      <c r="X179" s="2664"/>
      <c r="Y179" s="2176"/>
      <c r="Z179" s="13"/>
      <c r="AA179" s="13"/>
      <c r="AB179" s="13"/>
      <c r="AC179" s="13"/>
    </row>
    <row r="180" spans="1:29" ht="15.75" customHeight="1">
      <c r="A180" s="319">
        <v>5</v>
      </c>
      <c r="B180" s="323" t="s">
        <v>2542</v>
      </c>
      <c r="C180" s="343" t="s">
        <v>2383</v>
      </c>
      <c r="D180" s="320">
        <v>4.4400000000000004</v>
      </c>
      <c r="E180" s="342">
        <v>10</v>
      </c>
      <c r="F180" s="319">
        <f t="shared" si="198"/>
        <v>0.15</v>
      </c>
      <c r="G180" s="319"/>
      <c r="H180" s="319">
        <f t="shared" si="199"/>
        <v>0</v>
      </c>
      <c r="I180" s="319"/>
      <c r="J180" s="319">
        <f t="shared" si="200"/>
        <v>0</v>
      </c>
      <c r="K180" s="321">
        <f t="shared" si="201"/>
        <v>650</v>
      </c>
      <c r="L180" s="321">
        <f t="shared" si="202"/>
        <v>200</v>
      </c>
      <c r="M180" s="321">
        <f t="shared" si="203"/>
        <v>295</v>
      </c>
      <c r="N180" s="321">
        <f t="shared" si="204"/>
        <v>155</v>
      </c>
      <c r="O180" s="321">
        <f t="shared" si="205"/>
        <v>74.25</v>
      </c>
      <c r="P180" s="321">
        <f t="shared" si="206"/>
        <v>30</v>
      </c>
      <c r="Q180" s="321">
        <f t="shared" si="207"/>
        <v>44.25</v>
      </c>
      <c r="R180" s="321">
        <f t="shared" si="208"/>
        <v>0</v>
      </c>
      <c r="S180" s="321">
        <f t="shared" si="209"/>
        <v>575.75</v>
      </c>
      <c r="T180" s="321">
        <f t="shared" si="210"/>
        <v>170</v>
      </c>
      <c r="U180" s="321">
        <f t="shared" ref="U180:V180" si="215">M180-Q180</f>
        <v>250.75</v>
      </c>
      <c r="V180" s="321">
        <f t="shared" si="215"/>
        <v>155</v>
      </c>
      <c r="W180" s="2643"/>
      <c r="X180" s="2664"/>
      <c r="Y180" s="2176"/>
      <c r="Z180" s="13"/>
      <c r="AA180" s="13"/>
      <c r="AB180" s="13"/>
      <c r="AC180" s="13"/>
    </row>
    <row r="181" spans="1:29" ht="15.75" customHeight="1">
      <c r="A181" s="319">
        <v>6</v>
      </c>
      <c r="B181" s="385" t="s">
        <v>2543</v>
      </c>
      <c r="C181" s="343" t="s">
        <v>2383</v>
      </c>
      <c r="D181" s="386">
        <v>4.74</v>
      </c>
      <c r="E181" s="342">
        <v>7</v>
      </c>
      <c r="F181" s="319">
        <f t="shared" si="198"/>
        <v>0.2</v>
      </c>
      <c r="G181" s="319"/>
      <c r="H181" s="319">
        <f t="shared" si="199"/>
        <v>0</v>
      </c>
      <c r="I181" s="319"/>
      <c r="J181" s="319">
        <f t="shared" si="200"/>
        <v>0</v>
      </c>
      <c r="K181" s="321">
        <f t="shared" si="201"/>
        <v>650</v>
      </c>
      <c r="L181" s="321">
        <f t="shared" si="202"/>
        <v>200</v>
      </c>
      <c r="M181" s="321">
        <f t="shared" si="203"/>
        <v>295</v>
      </c>
      <c r="N181" s="321">
        <f t="shared" si="204"/>
        <v>155</v>
      </c>
      <c r="O181" s="321">
        <f t="shared" si="205"/>
        <v>99</v>
      </c>
      <c r="P181" s="321">
        <f t="shared" si="206"/>
        <v>40</v>
      </c>
      <c r="Q181" s="321">
        <f t="shared" si="207"/>
        <v>59</v>
      </c>
      <c r="R181" s="321">
        <f t="shared" si="208"/>
        <v>0</v>
      </c>
      <c r="S181" s="321">
        <f t="shared" si="209"/>
        <v>551</v>
      </c>
      <c r="T181" s="321">
        <f t="shared" si="210"/>
        <v>160</v>
      </c>
      <c r="U181" s="321">
        <f t="shared" ref="U181:V181" si="216">M181-Q181</f>
        <v>236</v>
      </c>
      <c r="V181" s="321">
        <f t="shared" si="216"/>
        <v>155</v>
      </c>
      <c r="W181" s="2643"/>
      <c r="X181" s="2664"/>
      <c r="Y181" s="2176"/>
      <c r="Z181" s="13"/>
      <c r="AA181" s="13"/>
      <c r="AB181" s="13"/>
      <c r="AC181" s="13"/>
    </row>
    <row r="182" spans="1:29" ht="15.75" customHeight="1">
      <c r="A182" s="319">
        <v>7</v>
      </c>
      <c r="B182" s="323" t="s">
        <v>2544</v>
      </c>
      <c r="C182" s="343" t="s">
        <v>2383</v>
      </c>
      <c r="D182" s="320">
        <v>6.56</v>
      </c>
      <c r="E182" s="342">
        <v>6</v>
      </c>
      <c r="F182" s="319">
        <f t="shared" si="198"/>
        <v>0.3</v>
      </c>
      <c r="G182" s="319"/>
      <c r="H182" s="319">
        <f t="shared" si="199"/>
        <v>0</v>
      </c>
      <c r="I182" s="319"/>
      <c r="J182" s="319">
        <f t="shared" si="200"/>
        <v>0</v>
      </c>
      <c r="K182" s="321">
        <f t="shared" si="201"/>
        <v>650</v>
      </c>
      <c r="L182" s="321">
        <f t="shared" si="202"/>
        <v>200</v>
      </c>
      <c r="M182" s="321">
        <f t="shared" si="203"/>
        <v>350</v>
      </c>
      <c r="N182" s="321">
        <f t="shared" si="204"/>
        <v>100</v>
      </c>
      <c r="O182" s="321">
        <f t="shared" si="205"/>
        <v>165</v>
      </c>
      <c r="P182" s="321">
        <f t="shared" si="206"/>
        <v>60</v>
      </c>
      <c r="Q182" s="321">
        <f t="shared" si="207"/>
        <v>105</v>
      </c>
      <c r="R182" s="321">
        <f t="shared" si="208"/>
        <v>0</v>
      </c>
      <c r="S182" s="321">
        <f t="shared" si="209"/>
        <v>485</v>
      </c>
      <c r="T182" s="321">
        <f t="shared" si="210"/>
        <v>140</v>
      </c>
      <c r="U182" s="321">
        <f t="shared" ref="U182:V182" si="217">M182-Q182</f>
        <v>245</v>
      </c>
      <c r="V182" s="321">
        <f t="shared" si="217"/>
        <v>100</v>
      </c>
      <c r="W182" s="2643"/>
      <c r="X182" s="2664"/>
      <c r="Y182" s="2176"/>
      <c r="Z182" s="13"/>
      <c r="AA182" s="13"/>
      <c r="AB182" s="13"/>
      <c r="AC182" s="13"/>
    </row>
    <row r="183" spans="1:29" ht="15.75" customHeight="1">
      <c r="A183" s="319">
        <v>8</v>
      </c>
      <c r="B183" s="323" t="s">
        <v>2545</v>
      </c>
      <c r="C183" s="343" t="s">
        <v>2383</v>
      </c>
      <c r="D183" s="320">
        <v>4.74</v>
      </c>
      <c r="E183" s="342">
        <v>26</v>
      </c>
      <c r="F183" s="319">
        <f t="shared" si="198"/>
        <v>0.2</v>
      </c>
      <c r="G183" s="319"/>
      <c r="H183" s="319">
        <f t="shared" si="199"/>
        <v>0</v>
      </c>
      <c r="I183" s="319"/>
      <c r="J183" s="319">
        <f t="shared" si="200"/>
        <v>0</v>
      </c>
      <c r="K183" s="321">
        <f t="shared" si="201"/>
        <v>650</v>
      </c>
      <c r="L183" s="321">
        <f t="shared" si="202"/>
        <v>200</v>
      </c>
      <c r="M183" s="321">
        <f t="shared" si="203"/>
        <v>295</v>
      </c>
      <c r="N183" s="321">
        <f t="shared" si="204"/>
        <v>155</v>
      </c>
      <c r="O183" s="321">
        <f t="shared" si="205"/>
        <v>99</v>
      </c>
      <c r="P183" s="321">
        <f t="shared" si="206"/>
        <v>40</v>
      </c>
      <c r="Q183" s="321">
        <f t="shared" si="207"/>
        <v>59</v>
      </c>
      <c r="R183" s="321">
        <f t="shared" si="208"/>
        <v>0</v>
      </c>
      <c r="S183" s="321">
        <f t="shared" si="209"/>
        <v>551</v>
      </c>
      <c r="T183" s="321">
        <f t="shared" si="210"/>
        <v>160</v>
      </c>
      <c r="U183" s="321">
        <f t="shared" ref="U183:V183" si="218">M183-Q183</f>
        <v>236</v>
      </c>
      <c r="V183" s="321">
        <f t="shared" si="218"/>
        <v>155</v>
      </c>
      <c r="W183" s="2643"/>
      <c r="X183" s="2664"/>
      <c r="Y183" s="2176"/>
      <c r="Z183" s="13"/>
      <c r="AA183" s="13"/>
      <c r="AB183" s="13"/>
      <c r="AC183" s="13"/>
    </row>
    <row r="184" spans="1:29" ht="15.75" customHeight="1">
      <c r="A184" s="2965" t="s">
        <v>2421</v>
      </c>
      <c r="B184" s="2783"/>
      <c r="C184" s="368"/>
      <c r="D184" s="328"/>
      <c r="E184" s="369"/>
      <c r="F184" s="367"/>
      <c r="G184" s="370"/>
      <c r="H184" s="370"/>
      <c r="I184" s="367"/>
      <c r="J184" s="367"/>
      <c r="K184" s="371">
        <f t="shared" ref="K184:V184" si="219">SUM(K176:K183)</f>
        <v>5200</v>
      </c>
      <c r="L184" s="371">
        <f t="shared" si="219"/>
        <v>1600</v>
      </c>
      <c r="M184" s="371">
        <f t="shared" si="219"/>
        <v>2415</v>
      </c>
      <c r="N184" s="371">
        <f t="shared" si="219"/>
        <v>1185</v>
      </c>
      <c r="O184" s="371">
        <f t="shared" si="219"/>
        <v>585.75</v>
      </c>
      <c r="P184" s="371">
        <f t="shared" si="219"/>
        <v>230</v>
      </c>
      <c r="Q184" s="371">
        <f t="shared" si="219"/>
        <v>355.75</v>
      </c>
      <c r="R184" s="371">
        <f t="shared" si="219"/>
        <v>0</v>
      </c>
      <c r="S184" s="371">
        <f t="shared" si="219"/>
        <v>4614.25</v>
      </c>
      <c r="T184" s="371">
        <f t="shared" si="219"/>
        <v>1370</v>
      </c>
      <c r="U184" s="371">
        <f t="shared" si="219"/>
        <v>2059.25</v>
      </c>
      <c r="V184" s="371">
        <f t="shared" si="219"/>
        <v>1185</v>
      </c>
      <c r="W184" s="2651"/>
      <c r="X184" s="2668"/>
      <c r="Y184" s="1876"/>
      <c r="Z184" s="13"/>
      <c r="AA184" s="13"/>
      <c r="AB184" s="13"/>
      <c r="AC184" s="13"/>
    </row>
    <row r="185" spans="1:29" ht="15.75" customHeight="1">
      <c r="A185" s="310"/>
      <c r="B185" s="310"/>
      <c r="C185" s="345"/>
      <c r="D185" s="346"/>
      <c r="E185" s="347"/>
      <c r="F185" s="319"/>
      <c r="G185" s="310"/>
      <c r="H185" s="310"/>
      <c r="I185" s="310"/>
      <c r="J185" s="310"/>
      <c r="K185" s="331">
        <f>K184-SUM(L184:N184)</f>
        <v>0</v>
      </c>
      <c r="L185" s="331"/>
      <c r="M185" s="331"/>
      <c r="N185" s="331"/>
      <c r="O185" s="331">
        <f>O184-SUM(P184:R184)</f>
        <v>0</v>
      </c>
      <c r="P185" s="331"/>
      <c r="Q185" s="331"/>
      <c r="R185" s="331"/>
      <c r="S185" s="331">
        <f>S184-SUM(T184:V184)</f>
        <v>0</v>
      </c>
      <c r="T185" s="310"/>
      <c r="U185" s="310"/>
      <c r="V185" s="310"/>
      <c r="W185" s="345"/>
      <c r="X185" s="2664"/>
      <c r="Y185" s="2176"/>
      <c r="Z185" s="13"/>
      <c r="AA185" s="13"/>
      <c r="AB185" s="13"/>
      <c r="AC185" s="13"/>
    </row>
    <row r="186" spans="1:29" ht="15.75" customHeight="1">
      <c r="A186" s="309" t="s">
        <v>2546</v>
      </c>
      <c r="B186" s="309" t="s">
        <v>1228</v>
      </c>
      <c r="C186" s="345"/>
      <c r="D186" s="346"/>
      <c r="E186" s="347"/>
      <c r="F186" s="319"/>
      <c r="G186" s="310"/>
      <c r="H186" s="310"/>
      <c r="I186" s="310"/>
      <c r="J186" s="310"/>
      <c r="K186" s="310"/>
      <c r="L186" s="310"/>
      <c r="M186" s="310"/>
      <c r="N186" s="310"/>
      <c r="O186" s="310"/>
      <c r="P186" s="310"/>
      <c r="Q186" s="310"/>
      <c r="R186" s="313"/>
      <c r="S186" s="310"/>
      <c r="T186" s="310"/>
      <c r="U186" s="310"/>
      <c r="V186" s="310"/>
      <c r="W186" s="345"/>
      <c r="X186" s="2664"/>
      <c r="Y186" s="2176"/>
      <c r="Z186" s="13"/>
      <c r="AA186" s="13"/>
      <c r="AB186" s="13"/>
      <c r="AC186" s="13"/>
    </row>
    <row r="187" spans="1:29" ht="15.75" customHeight="1">
      <c r="A187" s="307"/>
      <c r="B187" s="315" t="s">
        <v>2547</v>
      </c>
      <c r="C187" s="336"/>
      <c r="D187" s="341"/>
      <c r="E187" s="342"/>
      <c r="F187" s="319"/>
      <c r="G187" s="315"/>
      <c r="H187" s="350"/>
      <c r="I187" s="2896" t="s">
        <v>1532</v>
      </c>
      <c r="J187" s="2179"/>
      <c r="K187" s="2966" t="s">
        <v>2354</v>
      </c>
      <c r="L187" s="2782"/>
      <c r="M187" s="2782"/>
      <c r="N187" s="2783"/>
      <c r="O187" s="2966" t="s">
        <v>2355</v>
      </c>
      <c r="P187" s="2782"/>
      <c r="Q187" s="2782"/>
      <c r="R187" s="2783"/>
      <c r="S187" s="2966" t="s">
        <v>2356</v>
      </c>
      <c r="T187" s="2782"/>
      <c r="U187" s="2782"/>
      <c r="V187" s="2783"/>
      <c r="W187" s="2967"/>
      <c r="X187" s="2664"/>
      <c r="Y187" s="2176"/>
      <c r="Z187" s="13"/>
      <c r="AA187" s="13"/>
      <c r="AB187" s="13"/>
      <c r="AC187" s="13"/>
    </row>
    <row r="188" spans="1:29" ht="38.25">
      <c r="A188" s="307"/>
      <c r="B188" s="315" t="s">
        <v>2548</v>
      </c>
      <c r="C188" s="336"/>
      <c r="D188" s="337" t="s">
        <v>2425</v>
      </c>
      <c r="E188" s="338"/>
      <c r="F188" s="319"/>
      <c r="G188" s="314"/>
      <c r="H188" s="339"/>
      <c r="I188" s="2779"/>
      <c r="J188" s="340"/>
      <c r="K188" s="307" t="s">
        <v>1911</v>
      </c>
      <c r="L188" s="307" t="s">
        <v>2364</v>
      </c>
      <c r="M188" s="307" t="s">
        <v>2365</v>
      </c>
      <c r="N188" s="307" t="s">
        <v>2366</v>
      </c>
      <c r="O188" s="307" t="s">
        <v>1911</v>
      </c>
      <c r="P188" s="307" t="s">
        <v>2364</v>
      </c>
      <c r="Q188" s="307" t="s">
        <v>2365</v>
      </c>
      <c r="R188" s="307" t="s">
        <v>2366</v>
      </c>
      <c r="S188" s="307" t="s">
        <v>1911</v>
      </c>
      <c r="T188" s="307" t="s">
        <v>2364</v>
      </c>
      <c r="U188" s="307" t="s">
        <v>2365</v>
      </c>
      <c r="V188" s="307" t="s">
        <v>2366</v>
      </c>
      <c r="W188" s="2968"/>
      <c r="X188" s="2664"/>
      <c r="Y188" s="2176"/>
      <c r="Z188" s="13"/>
      <c r="AA188" s="13"/>
      <c r="AB188" s="13"/>
      <c r="AC188" s="13"/>
    </row>
    <row r="189" spans="1:29" ht="15.75" customHeight="1">
      <c r="A189" s="307"/>
      <c r="B189" s="315" t="s">
        <v>2549</v>
      </c>
      <c r="C189" s="336"/>
      <c r="D189" s="341"/>
      <c r="E189" s="342"/>
      <c r="F189" s="319"/>
      <c r="G189" s="315"/>
      <c r="H189" s="315"/>
      <c r="I189" s="310" t="s">
        <v>467</v>
      </c>
      <c r="J189" s="310"/>
      <c r="K189" s="310" t="s">
        <v>468</v>
      </c>
      <c r="L189" s="310" t="s">
        <v>469</v>
      </c>
      <c r="M189" s="310" t="s">
        <v>470</v>
      </c>
      <c r="N189" s="310" t="s">
        <v>471</v>
      </c>
      <c r="O189" s="310" t="s">
        <v>1536</v>
      </c>
      <c r="P189" s="310" t="s">
        <v>2368</v>
      </c>
      <c r="Q189" s="310" t="s">
        <v>474</v>
      </c>
      <c r="R189" s="311" t="s">
        <v>475</v>
      </c>
      <c r="S189" s="310" t="s">
        <v>625</v>
      </c>
      <c r="T189" s="310" t="s">
        <v>534</v>
      </c>
      <c r="U189" s="310" t="s">
        <v>535</v>
      </c>
      <c r="V189" s="310" t="s">
        <v>536</v>
      </c>
      <c r="W189" s="345"/>
      <c r="X189" s="2664"/>
      <c r="Y189" s="2176"/>
      <c r="Z189" s="13"/>
      <c r="AA189" s="13"/>
      <c r="AB189" s="13"/>
      <c r="AC189" s="13"/>
    </row>
    <row r="190" spans="1:29" ht="15.75" customHeight="1">
      <c r="A190" s="307"/>
      <c r="B190" s="315" t="s">
        <v>2380</v>
      </c>
      <c r="C190" s="336"/>
      <c r="D190" s="341"/>
      <c r="E190" s="342"/>
      <c r="F190" s="319"/>
      <c r="G190" s="315"/>
      <c r="H190" s="315"/>
      <c r="I190" s="307"/>
      <c r="J190" s="307"/>
      <c r="K190" s="307"/>
      <c r="L190" s="307"/>
      <c r="M190" s="307"/>
      <c r="N190" s="307"/>
      <c r="O190" s="307"/>
      <c r="P190" s="307"/>
      <c r="Q190" s="307"/>
      <c r="R190" s="307"/>
      <c r="S190" s="307"/>
      <c r="T190" s="307"/>
      <c r="U190" s="307"/>
      <c r="V190" s="307"/>
      <c r="W190" s="2608"/>
      <c r="X190" s="2664"/>
      <c r="Y190" s="2176"/>
      <c r="Z190" s="13"/>
      <c r="AA190" s="13"/>
      <c r="AB190" s="13"/>
      <c r="AC190" s="13"/>
    </row>
    <row r="191" spans="1:29" ht="15.75" customHeight="1">
      <c r="A191" s="307"/>
      <c r="B191" s="315" t="s">
        <v>2550</v>
      </c>
      <c r="C191" s="336"/>
      <c r="D191" s="341"/>
      <c r="E191" s="342"/>
      <c r="F191" s="319"/>
      <c r="G191" s="315"/>
      <c r="H191" s="315"/>
      <c r="I191" s="307"/>
      <c r="J191" s="307"/>
      <c r="K191" s="307"/>
      <c r="L191" s="307"/>
      <c r="M191" s="307"/>
      <c r="N191" s="307"/>
      <c r="O191" s="307"/>
      <c r="P191" s="307"/>
      <c r="Q191" s="307"/>
      <c r="R191" s="307"/>
      <c r="S191" s="307"/>
      <c r="T191" s="307"/>
      <c r="U191" s="307"/>
      <c r="V191" s="307"/>
      <c r="W191" s="2608"/>
      <c r="X191" s="2664"/>
      <c r="Y191" s="2176"/>
      <c r="Z191" s="13"/>
      <c r="AA191" s="13"/>
      <c r="AB191" s="13"/>
      <c r="AC191" s="13"/>
    </row>
    <row r="192" spans="1:29" ht="15.75" customHeight="1">
      <c r="A192" s="307"/>
      <c r="B192" s="315" t="s">
        <v>2374</v>
      </c>
      <c r="C192" s="336"/>
      <c r="D192" s="341"/>
      <c r="E192" s="342"/>
      <c r="F192" s="319"/>
      <c r="G192" s="315"/>
      <c r="H192" s="315"/>
      <c r="I192" s="307"/>
      <c r="J192" s="307"/>
      <c r="K192" s="307"/>
      <c r="L192" s="307"/>
      <c r="M192" s="307"/>
      <c r="N192" s="307"/>
      <c r="O192" s="307"/>
      <c r="P192" s="307"/>
      <c r="Q192" s="307"/>
      <c r="R192" s="307"/>
      <c r="S192" s="307"/>
      <c r="T192" s="307"/>
      <c r="U192" s="307"/>
      <c r="V192" s="307"/>
      <c r="W192" s="2608"/>
      <c r="X192" s="2664"/>
      <c r="Y192" s="2176"/>
      <c r="Z192" s="13"/>
      <c r="AA192" s="13"/>
      <c r="AB192" s="13"/>
      <c r="AC192" s="13"/>
    </row>
    <row r="193" spans="1:29" ht="15.75" customHeight="1">
      <c r="A193" s="312" t="s">
        <v>258</v>
      </c>
      <c r="B193" s="349" t="s">
        <v>2551</v>
      </c>
      <c r="C193" s="348"/>
      <c r="D193" s="328"/>
      <c r="E193" s="334"/>
      <c r="F193" s="319"/>
      <c r="G193" s="349"/>
      <c r="H193" s="349"/>
      <c r="I193" s="312"/>
      <c r="J193" s="312"/>
      <c r="K193" s="318"/>
      <c r="L193" s="318"/>
      <c r="M193" s="318"/>
      <c r="N193" s="318"/>
      <c r="O193" s="318"/>
      <c r="P193" s="318"/>
      <c r="Q193" s="318"/>
      <c r="R193" s="318"/>
      <c r="S193" s="318"/>
      <c r="T193" s="318"/>
      <c r="U193" s="318"/>
      <c r="V193" s="331"/>
      <c r="W193" s="2642"/>
      <c r="X193" s="2664"/>
      <c r="Y193" s="2176"/>
      <c r="Z193" s="13"/>
      <c r="AA193" s="13"/>
      <c r="AB193" s="13"/>
      <c r="AC193" s="13"/>
    </row>
    <row r="194" spans="1:29" ht="15.75" customHeight="1">
      <c r="A194" s="319">
        <v>1</v>
      </c>
      <c r="B194" s="323" t="s">
        <v>2552</v>
      </c>
      <c r="C194" s="343" t="s">
        <v>2383</v>
      </c>
      <c r="D194" s="378">
        <v>3.66</v>
      </c>
      <c r="E194" s="342">
        <v>7</v>
      </c>
      <c r="F194" s="319">
        <f t="shared" ref="F194:F207" si="220">IF(E194=1, 0.75, IF(OR(E194=2, E194=14, E194=21), 0.7, IF(OR(E194=3, E194=17), 0.65, IF(E194=4, 0.4, IF(OR(E194=5, E194=6, E194=25), 0.3, IF(OR(E194=7, E194=8, E194=9, E194=26), 0.2, IF(OR(E194=10, E194=15, E194=18), 0.15, IF(OR(E194=11, E194=12, E194=16, E194=19, E194=20), 0.1, IF(E194=24, 0.35, IF(E194=27, 0.5, 0))))))))))</f>
        <v>0.2</v>
      </c>
      <c r="G194" s="319"/>
      <c r="H194" s="319">
        <f t="shared" ref="H194:H207" si="221">IF(G194="A", 1, IF(G194="B", 0.7, IF(G194="C", 0.6, 0)))</f>
        <v>0</v>
      </c>
      <c r="I194" s="319"/>
      <c r="J194" s="319">
        <f t="shared" ref="J194:J207" si="222">IF(I194="D", 1, IF(OR(I194="E", I194="F"), 0.1, 0))</f>
        <v>0</v>
      </c>
      <c r="K194" s="321">
        <f t="shared" ref="K194:K207" si="223">L194+M194+N194</f>
        <v>650</v>
      </c>
      <c r="L194" s="321">
        <f t="shared" ref="L194:L207" si="224">IF(C194="N1", 270, IF(C194="N2", 350, IF(C194="N3", 200, 0)))</f>
        <v>200</v>
      </c>
      <c r="M194" s="321">
        <f t="shared" ref="M194:M207" si="225">IF(AND(C194="N1", D194&gt;=6.2),260, IF(AND(C194="N1",D194&gt;=5.76),240,IF(AND(C194="N1",D194&gt;=4.4),220,IF(AND(C194="N1", D194&gt;=4.32), 200,IF(AND(C194="N1", D194&gt;=3.33),175,IF(AND(C194="N1", D194&gt;=2.34),165, IF(AND(C194="N2",D194&gt;=6.2),200, IF(AND(C194="N2",5.76&lt;=D194),185,IF(AND(C194="N2",4.4&lt;=D194),170,IF(AND(C194="N2",4.32&lt;=D194), 155, IF(AND(C194="N2",3.33&lt;=D194),135,IF(AND(C194="N2",2.34&lt;=D194),125, IF(AND(C194="N3",D194&gt;=6.2),350, IF(AND(C194="N3",5.76&lt;=D194),325,IF(AND(C194="N3",4.4&lt;=D194),295,IF(AND(C194="N3",4.32&lt;=D194),270,IF(AND(C194="N3",3.33&lt;=D194),235,IF(AND(C194="N3",2.34&lt;=D194), 225, "SAI THÔNG TIN"))))))))))))))))))</f>
        <v>235</v>
      </c>
      <c r="N194" s="321">
        <f t="shared" ref="N194:N207" si="226">IF(AND(C194="N1", D194&gt;=6.2),120, IF(AND(C194="N1",D194&gt;=5.76),140,IF(AND(C194="N1",4.4&lt;=D194),160,IF(AND(C194="N1",4.32&lt;=D194), 180,IF(AND(C194="N1",3.33&lt;=D194),205,IF(AND(C194="N1",2.34&lt;=D194),215, IF(AND(C194="N2",D194&gt;=6.2),100, IF(AND(C194="N2",5.76&lt;=D194),115,IF(AND(C194="N2",4.4&lt;=D194),130,IF(AND(C194="N2",4.32&lt;=D194), 145, IF(AND(C194="N2",3.33&lt;=D194),165,IF(AND(C194="N2",2.34&lt;=D194),175, IF(AND(C194="N3",D194&gt;=6.2),100, IF(AND(C194="N3",5.76&lt;=D194),125,IF(AND(C194="N3",4.4&lt;=D194),155,IF(AND(C194="N3",4.32&lt;=D194),180,IF(AND(C194="N3",3.33&lt;=D194),215,IF(AND(C194="N3",2.34&lt;=D194), 225, "SAI THÔNG TIN"))))))))))))))))))</f>
        <v>215</v>
      </c>
      <c r="O194" s="321">
        <f t="shared" ref="O194:O207" si="227">P194+Q194+R194</f>
        <v>87</v>
      </c>
      <c r="P194" s="321">
        <f t="shared" ref="P194:P207" si="228">L194-T194</f>
        <v>40</v>
      </c>
      <c r="Q194" s="321">
        <f t="shared" ref="Q194:Q207" si="229">IF(OR(G194="A", I194="D"), M194, IF(G194="C", 0.6*M194, IF(OR(I194="E", I194="F"), 0.1*M194, IF(G194="B", 0, F194*M194))))</f>
        <v>47</v>
      </c>
      <c r="R194" s="321">
        <f t="shared" ref="R194:R207" si="230">IF(OR(G194="A", I194="D"), N194, IF(G194="C", 0.6*N194, IF(I194="E", 0.1*N194, IF(G194="B", 0.7*N194, 0))))</f>
        <v>0</v>
      </c>
      <c r="S194" s="321">
        <f t="shared" ref="S194:S207" si="231">T194+U194+V194</f>
        <v>563</v>
      </c>
      <c r="T194" s="321">
        <f t="shared" ref="T194:T207" si="232">L194*(1-F194)*(1-H194)*(1-J196)</f>
        <v>160</v>
      </c>
      <c r="U194" s="321">
        <f t="shared" ref="U194:V194" si="233">M194-Q194</f>
        <v>188</v>
      </c>
      <c r="V194" s="321">
        <f t="shared" si="233"/>
        <v>215</v>
      </c>
      <c r="W194" s="2643"/>
      <c r="X194" s="2664">
        <v>300</v>
      </c>
      <c r="Y194" s="2176"/>
      <c r="Z194" s="13"/>
      <c r="AA194" s="13"/>
      <c r="AB194" s="13"/>
      <c r="AC194" s="13"/>
    </row>
    <row r="195" spans="1:29" ht="15.75" customHeight="1">
      <c r="A195" s="319">
        <v>2</v>
      </c>
      <c r="B195" s="323" t="s">
        <v>2553</v>
      </c>
      <c r="C195" s="343" t="s">
        <v>2386</v>
      </c>
      <c r="D195" s="378">
        <v>3.66</v>
      </c>
      <c r="E195" s="342"/>
      <c r="F195" s="319">
        <f t="shared" si="220"/>
        <v>0</v>
      </c>
      <c r="G195" s="319"/>
      <c r="H195" s="319">
        <f t="shared" si="221"/>
        <v>0</v>
      </c>
      <c r="I195" s="319"/>
      <c r="J195" s="319">
        <f t="shared" si="222"/>
        <v>0</v>
      </c>
      <c r="K195" s="321">
        <f t="shared" si="223"/>
        <v>650</v>
      </c>
      <c r="L195" s="321">
        <f t="shared" si="224"/>
        <v>270</v>
      </c>
      <c r="M195" s="321">
        <f t="shared" si="225"/>
        <v>175</v>
      </c>
      <c r="N195" s="321">
        <f t="shared" si="226"/>
        <v>205</v>
      </c>
      <c r="O195" s="321">
        <f t="shared" si="227"/>
        <v>0</v>
      </c>
      <c r="P195" s="321">
        <f t="shared" si="228"/>
        <v>0</v>
      </c>
      <c r="Q195" s="321">
        <f t="shared" si="229"/>
        <v>0</v>
      </c>
      <c r="R195" s="321">
        <f t="shared" si="230"/>
        <v>0</v>
      </c>
      <c r="S195" s="321">
        <f t="shared" si="231"/>
        <v>650</v>
      </c>
      <c r="T195" s="321">
        <f t="shared" si="232"/>
        <v>270</v>
      </c>
      <c r="U195" s="321">
        <f t="shared" ref="U195:V195" si="234">M195-Q195</f>
        <v>175</v>
      </c>
      <c r="V195" s="321">
        <f t="shared" si="234"/>
        <v>205</v>
      </c>
      <c r="W195" s="2643"/>
      <c r="X195" s="2664">
        <v>150</v>
      </c>
      <c r="Y195" s="2176"/>
      <c r="Z195" s="13"/>
      <c r="AA195" s="13"/>
      <c r="AB195" s="13"/>
      <c r="AC195" s="13"/>
    </row>
    <row r="196" spans="1:29" ht="15.75" customHeight="1">
      <c r="A196" s="319">
        <v>3</v>
      </c>
      <c r="B196" s="323" t="s">
        <v>2554</v>
      </c>
      <c r="C196" s="343" t="s">
        <v>2386</v>
      </c>
      <c r="D196" s="378">
        <v>2.67</v>
      </c>
      <c r="E196" s="342"/>
      <c r="F196" s="319">
        <f t="shared" si="220"/>
        <v>0</v>
      </c>
      <c r="G196" s="319"/>
      <c r="H196" s="319">
        <f t="shared" si="221"/>
        <v>0</v>
      </c>
      <c r="I196" s="319"/>
      <c r="J196" s="319">
        <f t="shared" si="222"/>
        <v>0</v>
      </c>
      <c r="K196" s="321">
        <f t="shared" si="223"/>
        <v>650</v>
      </c>
      <c r="L196" s="321">
        <f t="shared" si="224"/>
        <v>270</v>
      </c>
      <c r="M196" s="321">
        <f t="shared" si="225"/>
        <v>165</v>
      </c>
      <c r="N196" s="321">
        <f t="shared" si="226"/>
        <v>215</v>
      </c>
      <c r="O196" s="321">
        <f t="shared" si="227"/>
        <v>0</v>
      </c>
      <c r="P196" s="321">
        <f t="shared" si="228"/>
        <v>0</v>
      </c>
      <c r="Q196" s="321">
        <f t="shared" si="229"/>
        <v>0</v>
      </c>
      <c r="R196" s="321">
        <f t="shared" si="230"/>
        <v>0</v>
      </c>
      <c r="S196" s="321">
        <f t="shared" si="231"/>
        <v>650</v>
      </c>
      <c r="T196" s="321">
        <f t="shared" si="232"/>
        <v>270</v>
      </c>
      <c r="U196" s="321">
        <f t="shared" ref="U196:V196" si="235">M196-Q196</f>
        <v>165</v>
      </c>
      <c r="V196" s="321">
        <f t="shared" si="235"/>
        <v>215</v>
      </c>
      <c r="W196" s="2643"/>
      <c r="X196" s="2664">
        <v>330</v>
      </c>
      <c r="Y196" s="2176"/>
      <c r="Z196" s="13"/>
      <c r="AA196" s="13"/>
      <c r="AB196" s="13"/>
      <c r="AC196" s="13"/>
    </row>
    <row r="197" spans="1:29" ht="15.75" customHeight="1">
      <c r="A197" s="319">
        <v>4</v>
      </c>
      <c r="B197" s="323" t="s">
        <v>2555</v>
      </c>
      <c r="C197" s="343" t="s">
        <v>2386</v>
      </c>
      <c r="D197" s="378">
        <v>6.56</v>
      </c>
      <c r="E197" s="342">
        <v>6</v>
      </c>
      <c r="F197" s="319">
        <f t="shared" si="220"/>
        <v>0.3</v>
      </c>
      <c r="G197" s="319"/>
      <c r="H197" s="319">
        <f t="shared" si="221"/>
        <v>0</v>
      </c>
      <c r="I197" s="319"/>
      <c r="J197" s="319">
        <f t="shared" si="222"/>
        <v>0</v>
      </c>
      <c r="K197" s="321">
        <f t="shared" si="223"/>
        <v>650</v>
      </c>
      <c r="L197" s="321">
        <f t="shared" si="224"/>
        <v>270</v>
      </c>
      <c r="M197" s="321">
        <f t="shared" si="225"/>
        <v>260</v>
      </c>
      <c r="N197" s="321">
        <f t="shared" si="226"/>
        <v>120</v>
      </c>
      <c r="O197" s="321">
        <f t="shared" si="227"/>
        <v>159</v>
      </c>
      <c r="P197" s="321">
        <f t="shared" si="228"/>
        <v>81</v>
      </c>
      <c r="Q197" s="321">
        <f t="shared" si="229"/>
        <v>78</v>
      </c>
      <c r="R197" s="321">
        <f t="shared" si="230"/>
        <v>0</v>
      </c>
      <c r="S197" s="321">
        <f t="shared" si="231"/>
        <v>491</v>
      </c>
      <c r="T197" s="321">
        <f t="shared" si="232"/>
        <v>189</v>
      </c>
      <c r="U197" s="321">
        <f t="shared" ref="U197:V197" si="236">M197-Q197</f>
        <v>182</v>
      </c>
      <c r="V197" s="321">
        <f t="shared" si="236"/>
        <v>120</v>
      </c>
      <c r="W197" s="2643"/>
      <c r="X197" s="2664">
        <v>330</v>
      </c>
      <c r="Y197" s="2176"/>
      <c r="Z197" s="13"/>
      <c r="AA197" s="13"/>
      <c r="AB197" s="13"/>
      <c r="AC197" s="13"/>
    </row>
    <row r="198" spans="1:29" ht="15.75" customHeight="1">
      <c r="A198" s="319">
        <v>5</v>
      </c>
      <c r="B198" s="323" t="s">
        <v>2556</v>
      </c>
      <c r="C198" s="343" t="s">
        <v>2386</v>
      </c>
      <c r="D198" s="378">
        <v>4.4000000000000004</v>
      </c>
      <c r="E198" s="342"/>
      <c r="F198" s="319">
        <f t="shared" si="220"/>
        <v>0</v>
      </c>
      <c r="G198" s="319"/>
      <c r="H198" s="319">
        <f t="shared" si="221"/>
        <v>0</v>
      </c>
      <c r="I198" s="319"/>
      <c r="J198" s="319">
        <f t="shared" si="222"/>
        <v>0</v>
      </c>
      <c r="K198" s="321">
        <f t="shared" si="223"/>
        <v>650</v>
      </c>
      <c r="L198" s="321">
        <f t="shared" si="224"/>
        <v>270</v>
      </c>
      <c r="M198" s="321">
        <f t="shared" si="225"/>
        <v>220</v>
      </c>
      <c r="N198" s="321">
        <f t="shared" si="226"/>
        <v>160</v>
      </c>
      <c r="O198" s="321">
        <f t="shared" si="227"/>
        <v>0</v>
      </c>
      <c r="P198" s="321">
        <f t="shared" si="228"/>
        <v>0</v>
      </c>
      <c r="Q198" s="321">
        <f t="shared" si="229"/>
        <v>0</v>
      </c>
      <c r="R198" s="321">
        <f t="shared" si="230"/>
        <v>0</v>
      </c>
      <c r="S198" s="321">
        <f t="shared" si="231"/>
        <v>650</v>
      </c>
      <c r="T198" s="321">
        <f t="shared" si="232"/>
        <v>270</v>
      </c>
      <c r="U198" s="321">
        <f t="shared" ref="U198:V198" si="237">M198-Q198</f>
        <v>220</v>
      </c>
      <c r="V198" s="321">
        <f t="shared" si="237"/>
        <v>160</v>
      </c>
      <c r="W198" s="2643"/>
      <c r="X198" s="2664">
        <v>300</v>
      </c>
      <c r="Y198" s="2176"/>
      <c r="Z198" s="13"/>
      <c r="AA198" s="13"/>
      <c r="AB198" s="13"/>
      <c r="AC198" s="13"/>
    </row>
    <row r="199" spans="1:29" ht="15.75" customHeight="1">
      <c r="A199" s="319">
        <v>6</v>
      </c>
      <c r="B199" s="323" t="s">
        <v>2557</v>
      </c>
      <c r="C199" s="343" t="s">
        <v>2386</v>
      </c>
      <c r="D199" s="378">
        <v>4.9800000000000004</v>
      </c>
      <c r="E199" s="342"/>
      <c r="F199" s="319">
        <f t="shared" si="220"/>
        <v>0</v>
      </c>
      <c r="G199" s="319"/>
      <c r="H199" s="319">
        <f t="shared" si="221"/>
        <v>0</v>
      </c>
      <c r="I199" s="319"/>
      <c r="J199" s="319">
        <f t="shared" si="222"/>
        <v>0</v>
      </c>
      <c r="K199" s="321">
        <f t="shared" si="223"/>
        <v>650</v>
      </c>
      <c r="L199" s="321">
        <f t="shared" si="224"/>
        <v>270</v>
      </c>
      <c r="M199" s="321">
        <f t="shared" si="225"/>
        <v>220</v>
      </c>
      <c r="N199" s="321">
        <f t="shared" si="226"/>
        <v>160</v>
      </c>
      <c r="O199" s="321">
        <f t="shared" si="227"/>
        <v>0</v>
      </c>
      <c r="P199" s="321">
        <f t="shared" si="228"/>
        <v>0</v>
      </c>
      <c r="Q199" s="321">
        <f t="shared" si="229"/>
        <v>0</v>
      </c>
      <c r="R199" s="321">
        <f t="shared" si="230"/>
        <v>0</v>
      </c>
      <c r="S199" s="321">
        <f t="shared" si="231"/>
        <v>650</v>
      </c>
      <c r="T199" s="321">
        <f t="shared" si="232"/>
        <v>270</v>
      </c>
      <c r="U199" s="321">
        <f t="shared" ref="U199:V199" si="238">M199-Q199</f>
        <v>220</v>
      </c>
      <c r="V199" s="321">
        <f t="shared" si="238"/>
        <v>160</v>
      </c>
      <c r="W199" s="2643"/>
      <c r="X199" s="2664">
        <v>250</v>
      </c>
      <c r="Y199" s="2176"/>
      <c r="Z199" s="13"/>
      <c r="AA199" s="13"/>
      <c r="AB199" s="13"/>
      <c r="AC199" s="13"/>
    </row>
    <row r="200" spans="1:29" ht="15.75" customHeight="1">
      <c r="A200" s="319">
        <v>7</v>
      </c>
      <c r="B200" s="323" t="s">
        <v>2558</v>
      </c>
      <c r="C200" s="343" t="s">
        <v>2386</v>
      </c>
      <c r="D200" s="378">
        <v>3.66</v>
      </c>
      <c r="E200" s="342"/>
      <c r="F200" s="319">
        <f t="shared" si="220"/>
        <v>0</v>
      </c>
      <c r="G200" s="319"/>
      <c r="H200" s="319">
        <f t="shared" si="221"/>
        <v>0</v>
      </c>
      <c r="I200" s="319"/>
      <c r="J200" s="319">
        <f t="shared" si="222"/>
        <v>0</v>
      </c>
      <c r="K200" s="321">
        <f t="shared" si="223"/>
        <v>650</v>
      </c>
      <c r="L200" s="321">
        <f t="shared" si="224"/>
        <v>270</v>
      </c>
      <c r="M200" s="321">
        <f t="shared" si="225"/>
        <v>175</v>
      </c>
      <c r="N200" s="321">
        <f t="shared" si="226"/>
        <v>205</v>
      </c>
      <c r="O200" s="321">
        <f t="shared" si="227"/>
        <v>0</v>
      </c>
      <c r="P200" s="321">
        <f t="shared" si="228"/>
        <v>0</v>
      </c>
      <c r="Q200" s="321">
        <f t="shared" si="229"/>
        <v>0</v>
      </c>
      <c r="R200" s="321">
        <f t="shared" si="230"/>
        <v>0</v>
      </c>
      <c r="S200" s="321">
        <f t="shared" si="231"/>
        <v>650</v>
      </c>
      <c r="T200" s="321">
        <f t="shared" si="232"/>
        <v>270</v>
      </c>
      <c r="U200" s="321">
        <f t="shared" ref="U200:V200" si="239">M200-Q200</f>
        <v>175</v>
      </c>
      <c r="V200" s="321">
        <f t="shared" si="239"/>
        <v>205</v>
      </c>
      <c r="W200" s="2643"/>
      <c r="X200" s="2664">
        <v>300</v>
      </c>
      <c r="Y200" s="2176"/>
      <c r="Z200" s="13"/>
      <c r="AA200" s="13"/>
      <c r="AB200" s="13"/>
      <c r="AC200" s="13"/>
    </row>
    <row r="201" spans="1:29" ht="15.75" customHeight="1">
      <c r="A201" s="319">
        <v>8</v>
      </c>
      <c r="B201" s="323" t="s">
        <v>2559</v>
      </c>
      <c r="C201" s="343" t="s">
        <v>2386</v>
      </c>
      <c r="D201" s="378">
        <v>4.4000000000000004</v>
      </c>
      <c r="E201" s="342">
        <v>7</v>
      </c>
      <c r="F201" s="319">
        <f t="shared" si="220"/>
        <v>0.2</v>
      </c>
      <c r="G201" s="319"/>
      <c r="H201" s="319">
        <f t="shared" si="221"/>
        <v>0</v>
      </c>
      <c r="I201" s="319"/>
      <c r="J201" s="319">
        <f t="shared" si="222"/>
        <v>0</v>
      </c>
      <c r="K201" s="321">
        <f t="shared" si="223"/>
        <v>650</v>
      </c>
      <c r="L201" s="321">
        <f t="shared" si="224"/>
        <v>270</v>
      </c>
      <c r="M201" s="321">
        <f t="shared" si="225"/>
        <v>220</v>
      </c>
      <c r="N201" s="321">
        <f t="shared" si="226"/>
        <v>160</v>
      </c>
      <c r="O201" s="321">
        <f t="shared" si="227"/>
        <v>98</v>
      </c>
      <c r="P201" s="321">
        <f t="shared" si="228"/>
        <v>54</v>
      </c>
      <c r="Q201" s="321">
        <f t="shared" si="229"/>
        <v>44</v>
      </c>
      <c r="R201" s="321">
        <f t="shared" si="230"/>
        <v>0</v>
      </c>
      <c r="S201" s="321">
        <f t="shared" si="231"/>
        <v>552</v>
      </c>
      <c r="T201" s="321">
        <f t="shared" si="232"/>
        <v>216</v>
      </c>
      <c r="U201" s="321">
        <f t="shared" ref="U201:V201" si="240">M201-Q201</f>
        <v>176</v>
      </c>
      <c r="V201" s="321">
        <f t="shared" si="240"/>
        <v>160</v>
      </c>
      <c r="W201" s="2643"/>
      <c r="X201" s="2664">
        <v>200</v>
      </c>
      <c r="Y201" s="2176"/>
      <c r="Z201" s="13"/>
      <c r="AA201" s="13"/>
      <c r="AB201" s="13"/>
      <c r="AC201" s="13"/>
    </row>
    <row r="202" spans="1:29" ht="15.75" customHeight="1">
      <c r="A202" s="319">
        <v>9</v>
      </c>
      <c r="B202" s="323" t="s">
        <v>2560</v>
      </c>
      <c r="C202" s="343" t="s">
        <v>2386</v>
      </c>
      <c r="D202" s="378">
        <v>4.9800000000000004</v>
      </c>
      <c r="E202" s="342"/>
      <c r="F202" s="319">
        <f t="shared" si="220"/>
        <v>0</v>
      </c>
      <c r="G202" s="319"/>
      <c r="H202" s="319">
        <f t="shared" si="221"/>
        <v>0</v>
      </c>
      <c r="I202" s="319"/>
      <c r="J202" s="319">
        <f t="shared" si="222"/>
        <v>0</v>
      </c>
      <c r="K202" s="321">
        <f t="shared" si="223"/>
        <v>650</v>
      </c>
      <c r="L202" s="321">
        <f t="shared" si="224"/>
        <v>270</v>
      </c>
      <c r="M202" s="321">
        <f t="shared" si="225"/>
        <v>220</v>
      </c>
      <c r="N202" s="321">
        <f t="shared" si="226"/>
        <v>160</v>
      </c>
      <c r="O202" s="321">
        <f t="shared" si="227"/>
        <v>0</v>
      </c>
      <c r="P202" s="321">
        <f t="shared" si="228"/>
        <v>0</v>
      </c>
      <c r="Q202" s="321">
        <f t="shared" si="229"/>
        <v>0</v>
      </c>
      <c r="R202" s="321">
        <f t="shared" si="230"/>
        <v>0</v>
      </c>
      <c r="S202" s="321">
        <f t="shared" si="231"/>
        <v>650</v>
      </c>
      <c r="T202" s="321">
        <f t="shared" si="232"/>
        <v>270</v>
      </c>
      <c r="U202" s="321">
        <f t="shared" ref="U202:V202" si="241">M202-Q202</f>
        <v>220</v>
      </c>
      <c r="V202" s="321">
        <f t="shared" si="241"/>
        <v>160</v>
      </c>
      <c r="W202" s="2643"/>
      <c r="X202" s="2664">
        <v>250</v>
      </c>
      <c r="Y202" s="2176"/>
      <c r="Z202" s="13"/>
      <c r="AA202" s="13"/>
      <c r="AB202" s="13"/>
      <c r="AC202" s="13"/>
    </row>
    <row r="203" spans="1:29" ht="15.75" customHeight="1">
      <c r="A203" s="319">
        <v>10</v>
      </c>
      <c r="B203" s="323" t="s">
        <v>2561</v>
      </c>
      <c r="C203" s="343" t="s">
        <v>2386</v>
      </c>
      <c r="D203" s="378">
        <v>3</v>
      </c>
      <c r="E203" s="342"/>
      <c r="F203" s="319">
        <f t="shared" si="220"/>
        <v>0</v>
      </c>
      <c r="G203" s="319"/>
      <c r="H203" s="319">
        <f t="shared" si="221"/>
        <v>0</v>
      </c>
      <c r="I203" s="319"/>
      <c r="J203" s="319">
        <f t="shared" si="222"/>
        <v>0</v>
      </c>
      <c r="K203" s="321">
        <f t="shared" si="223"/>
        <v>650</v>
      </c>
      <c r="L203" s="321">
        <f t="shared" si="224"/>
        <v>270</v>
      </c>
      <c r="M203" s="321">
        <f t="shared" si="225"/>
        <v>165</v>
      </c>
      <c r="N203" s="321">
        <f t="shared" si="226"/>
        <v>215</v>
      </c>
      <c r="O203" s="321">
        <f t="shared" si="227"/>
        <v>0</v>
      </c>
      <c r="P203" s="321">
        <f t="shared" si="228"/>
        <v>0</v>
      </c>
      <c r="Q203" s="321">
        <f t="shared" si="229"/>
        <v>0</v>
      </c>
      <c r="R203" s="321">
        <f t="shared" si="230"/>
        <v>0</v>
      </c>
      <c r="S203" s="321">
        <f t="shared" si="231"/>
        <v>650</v>
      </c>
      <c r="T203" s="321">
        <f t="shared" si="232"/>
        <v>270</v>
      </c>
      <c r="U203" s="321">
        <f t="shared" ref="U203:V203" si="242">M203-Q203</f>
        <v>165</v>
      </c>
      <c r="V203" s="321">
        <f t="shared" si="242"/>
        <v>215</v>
      </c>
      <c r="W203" s="2643"/>
      <c r="X203" s="2664">
        <v>150</v>
      </c>
      <c r="Y203" s="2176"/>
      <c r="Z203" s="13"/>
      <c r="AA203" s="13"/>
      <c r="AB203" s="13"/>
      <c r="AC203" s="13"/>
    </row>
    <row r="204" spans="1:29" ht="15.75" customHeight="1">
      <c r="A204" s="319">
        <v>11</v>
      </c>
      <c r="B204" s="323" t="s">
        <v>2562</v>
      </c>
      <c r="C204" s="343" t="s">
        <v>2386</v>
      </c>
      <c r="D204" s="378">
        <v>2.67</v>
      </c>
      <c r="E204" s="342">
        <v>15</v>
      </c>
      <c r="F204" s="319">
        <f t="shared" si="220"/>
        <v>0.15</v>
      </c>
      <c r="G204" s="319"/>
      <c r="H204" s="319">
        <f t="shared" si="221"/>
        <v>0</v>
      </c>
      <c r="I204" s="319"/>
      <c r="J204" s="319">
        <f t="shared" si="222"/>
        <v>0</v>
      </c>
      <c r="K204" s="321">
        <f t="shared" si="223"/>
        <v>650</v>
      </c>
      <c r="L204" s="321">
        <f t="shared" si="224"/>
        <v>270</v>
      </c>
      <c r="M204" s="321">
        <f t="shared" si="225"/>
        <v>165</v>
      </c>
      <c r="N204" s="321">
        <f t="shared" si="226"/>
        <v>215</v>
      </c>
      <c r="O204" s="321">
        <f t="shared" si="227"/>
        <v>65.25</v>
      </c>
      <c r="P204" s="321">
        <f t="shared" si="228"/>
        <v>40.5</v>
      </c>
      <c r="Q204" s="321">
        <f t="shared" si="229"/>
        <v>24.75</v>
      </c>
      <c r="R204" s="321">
        <f t="shared" si="230"/>
        <v>0</v>
      </c>
      <c r="S204" s="321">
        <f t="shared" si="231"/>
        <v>584.75</v>
      </c>
      <c r="T204" s="321">
        <f t="shared" si="232"/>
        <v>229.5</v>
      </c>
      <c r="U204" s="321">
        <f t="shared" ref="U204:V204" si="243">M204-Q204</f>
        <v>140.25</v>
      </c>
      <c r="V204" s="321">
        <f t="shared" si="243"/>
        <v>215</v>
      </c>
      <c r="W204" s="2643"/>
      <c r="X204" s="2664">
        <v>150</v>
      </c>
      <c r="Y204" s="2176"/>
      <c r="Z204" s="13"/>
      <c r="AA204" s="13"/>
      <c r="AB204" s="13"/>
      <c r="AC204" s="13"/>
    </row>
    <row r="205" spans="1:29" ht="15.75" customHeight="1">
      <c r="A205" s="319">
        <v>12</v>
      </c>
      <c r="B205" s="387" t="s">
        <v>2563</v>
      </c>
      <c r="C205" s="343" t="s">
        <v>2386</v>
      </c>
      <c r="D205" s="378">
        <v>5.76</v>
      </c>
      <c r="E205" s="342">
        <v>10</v>
      </c>
      <c r="F205" s="319">
        <f t="shared" si="220"/>
        <v>0.15</v>
      </c>
      <c r="G205" s="319"/>
      <c r="H205" s="319">
        <f t="shared" si="221"/>
        <v>0</v>
      </c>
      <c r="I205" s="319"/>
      <c r="J205" s="319">
        <f t="shared" si="222"/>
        <v>0</v>
      </c>
      <c r="K205" s="321">
        <f t="shared" si="223"/>
        <v>650</v>
      </c>
      <c r="L205" s="321">
        <f t="shared" si="224"/>
        <v>270</v>
      </c>
      <c r="M205" s="321">
        <f t="shared" si="225"/>
        <v>240</v>
      </c>
      <c r="N205" s="321">
        <f t="shared" si="226"/>
        <v>140</v>
      </c>
      <c r="O205" s="321">
        <f t="shared" si="227"/>
        <v>76.5</v>
      </c>
      <c r="P205" s="321">
        <f t="shared" si="228"/>
        <v>40.5</v>
      </c>
      <c r="Q205" s="321">
        <f t="shared" si="229"/>
        <v>36</v>
      </c>
      <c r="R205" s="321">
        <f t="shared" si="230"/>
        <v>0</v>
      </c>
      <c r="S205" s="321">
        <f t="shared" si="231"/>
        <v>573.5</v>
      </c>
      <c r="T205" s="321">
        <f t="shared" si="232"/>
        <v>229.5</v>
      </c>
      <c r="U205" s="321">
        <f t="shared" ref="U205:V205" si="244">M205-Q205</f>
        <v>204</v>
      </c>
      <c r="V205" s="321">
        <f t="shared" si="244"/>
        <v>140</v>
      </c>
      <c r="W205" s="2654"/>
      <c r="X205" s="2664">
        <v>310</v>
      </c>
      <c r="Y205" s="2176"/>
      <c r="Z205" s="13"/>
      <c r="AA205" s="13"/>
      <c r="AB205" s="13"/>
      <c r="AC205" s="13"/>
    </row>
    <row r="206" spans="1:29" ht="15.75" customHeight="1">
      <c r="A206" s="319">
        <v>13</v>
      </c>
      <c r="B206" s="387" t="s">
        <v>2564</v>
      </c>
      <c r="C206" s="343" t="s">
        <v>2386</v>
      </c>
      <c r="D206" s="378">
        <v>5.42</v>
      </c>
      <c r="E206" s="342"/>
      <c r="F206" s="319">
        <f t="shared" si="220"/>
        <v>0</v>
      </c>
      <c r="G206" s="319"/>
      <c r="H206" s="319">
        <f t="shared" si="221"/>
        <v>0</v>
      </c>
      <c r="I206" s="319"/>
      <c r="J206" s="319">
        <f t="shared" si="222"/>
        <v>0</v>
      </c>
      <c r="K206" s="321">
        <f t="shared" si="223"/>
        <v>650</v>
      </c>
      <c r="L206" s="321">
        <f t="shared" si="224"/>
        <v>270</v>
      </c>
      <c r="M206" s="321">
        <f t="shared" si="225"/>
        <v>220</v>
      </c>
      <c r="N206" s="321">
        <f t="shared" si="226"/>
        <v>160</v>
      </c>
      <c r="O206" s="321">
        <f t="shared" si="227"/>
        <v>0</v>
      </c>
      <c r="P206" s="321">
        <f t="shared" si="228"/>
        <v>0</v>
      </c>
      <c r="Q206" s="321">
        <f t="shared" si="229"/>
        <v>0</v>
      </c>
      <c r="R206" s="321">
        <f t="shared" si="230"/>
        <v>0</v>
      </c>
      <c r="S206" s="321">
        <f t="shared" si="231"/>
        <v>650</v>
      </c>
      <c r="T206" s="321">
        <f t="shared" si="232"/>
        <v>270</v>
      </c>
      <c r="U206" s="321">
        <f t="shared" ref="U206:V206" si="245">M206-Q206</f>
        <v>220</v>
      </c>
      <c r="V206" s="321">
        <f t="shared" si="245"/>
        <v>160</v>
      </c>
      <c r="W206" s="2655"/>
      <c r="X206" s="2664">
        <v>310</v>
      </c>
      <c r="Y206" s="2176"/>
      <c r="Z206" s="13"/>
      <c r="AA206" s="13"/>
      <c r="AB206" s="13"/>
      <c r="AC206" s="13"/>
    </row>
    <row r="207" spans="1:29" ht="15.75" customHeight="1">
      <c r="A207" s="319">
        <v>14</v>
      </c>
      <c r="B207" s="387" t="s">
        <v>2565</v>
      </c>
      <c r="C207" s="343" t="s">
        <v>2386</v>
      </c>
      <c r="D207" s="378">
        <v>4.4400000000000004</v>
      </c>
      <c r="E207" s="342">
        <v>10</v>
      </c>
      <c r="F207" s="319">
        <f t="shared" si="220"/>
        <v>0.15</v>
      </c>
      <c r="G207" s="319"/>
      <c r="H207" s="319">
        <f t="shared" si="221"/>
        <v>0</v>
      </c>
      <c r="I207" s="319"/>
      <c r="J207" s="319">
        <f t="shared" si="222"/>
        <v>0</v>
      </c>
      <c r="K207" s="321">
        <f t="shared" si="223"/>
        <v>650</v>
      </c>
      <c r="L207" s="321">
        <f t="shared" si="224"/>
        <v>270</v>
      </c>
      <c r="M207" s="321">
        <f t="shared" si="225"/>
        <v>220</v>
      </c>
      <c r="N207" s="321">
        <f t="shared" si="226"/>
        <v>160</v>
      </c>
      <c r="O207" s="321">
        <f t="shared" si="227"/>
        <v>73.5</v>
      </c>
      <c r="P207" s="321">
        <f t="shared" si="228"/>
        <v>40.5</v>
      </c>
      <c r="Q207" s="321">
        <f t="shared" si="229"/>
        <v>33</v>
      </c>
      <c r="R207" s="321">
        <f t="shared" si="230"/>
        <v>0</v>
      </c>
      <c r="S207" s="321">
        <f t="shared" si="231"/>
        <v>576.5</v>
      </c>
      <c r="T207" s="321">
        <f t="shared" si="232"/>
        <v>229.5</v>
      </c>
      <c r="U207" s="321">
        <f t="shared" ref="U207:V207" si="246">M207-Q207</f>
        <v>187</v>
      </c>
      <c r="V207" s="321">
        <f t="shared" si="246"/>
        <v>160</v>
      </c>
      <c r="W207" s="2655"/>
      <c r="X207" s="2664">
        <v>350</v>
      </c>
      <c r="Y207" s="2176"/>
      <c r="Z207" s="13"/>
      <c r="AA207" s="13"/>
      <c r="AB207" s="13"/>
      <c r="AC207" s="13"/>
    </row>
    <row r="208" spans="1:29" ht="15.75" customHeight="1">
      <c r="A208" s="2925" t="s">
        <v>2421</v>
      </c>
      <c r="B208" s="2783"/>
      <c r="C208" s="388"/>
      <c r="D208" s="389"/>
      <c r="E208" s="390"/>
      <c r="F208" s="319"/>
      <c r="G208" s="332"/>
      <c r="H208" s="332"/>
      <c r="I208" s="312"/>
      <c r="J208" s="312"/>
      <c r="K208" s="391">
        <f t="shared" ref="K208:V208" si="247">SUM(K194:K207)</f>
        <v>9100</v>
      </c>
      <c r="L208" s="391">
        <f t="shared" si="247"/>
        <v>3710</v>
      </c>
      <c r="M208" s="391">
        <f t="shared" si="247"/>
        <v>2900</v>
      </c>
      <c r="N208" s="391">
        <f t="shared" si="247"/>
        <v>2490</v>
      </c>
      <c r="O208" s="391">
        <f t="shared" si="247"/>
        <v>559.25</v>
      </c>
      <c r="P208" s="391">
        <f t="shared" si="247"/>
        <v>296.5</v>
      </c>
      <c r="Q208" s="391">
        <f t="shared" si="247"/>
        <v>262.75</v>
      </c>
      <c r="R208" s="391">
        <f t="shared" si="247"/>
        <v>0</v>
      </c>
      <c r="S208" s="391">
        <f t="shared" si="247"/>
        <v>8540.75</v>
      </c>
      <c r="T208" s="391">
        <f t="shared" si="247"/>
        <v>3413.5</v>
      </c>
      <c r="U208" s="391">
        <f t="shared" si="247"/>
        <v>2637.25</v>
      </c>
      <c r="V208" s="391">
        <f t="shared" si="247"/>
        <v>2490</v>
      </c>
      <c r="W208" s="2642"/>
      <c r="X208" s="2668"/>
      <c r="Y208" s="2176"/>
      <c r="Z208" s="13"/>
      <c r="AA208" s="13"/>
      <c r="AB208" s="13"/>
      <c r="AC208" s="13"/>
    </row>
    <row r="209" spans="1:29" ht="15.75" customHeight="1">
      <c r="A209" s="310"/>
      <c r="B209" s="310"/>
      <c r="C209" s="345"/>
      <c r="D209" s="346"/>
      <c r="E209" s="347"/>
      <c r="F209" s="319"/>
      <c r="G209" s="310"/>
      <c r="H209" s="310"/>
      <c r="I209" s="310"/>
      <c r="J209" s="310"/>
      <c r="K209" s="392">
        <f>K208-SUM(L208:N208)</f>
        <v>0</v>
      </c>
      <c r="L209" s="331"/>
      <c r="M209" s="331"/>
      <c r="N209" s="331"/>
      <c r="O209" s="392">
        <f>O208-SUM(P208:R208)</f>
        <v>0</v>
      </c>
      <c r="P209" s="331"/>
      <c r="Q209" s="331"/>
      <c r="R209" s="331"/>
      <c r="S209" s="392">
        <f>S208-SUM(T208:V208)</f>
        <v>0</v>
      </c>
      <c r="T209" s="310"/>
      <c r="U209" s="310"/>
      <c r="V209" s="310"/>
      <c r="W209" s="345"/>
      <c r="X209" s="2664"/>
      <c r="Y209" s="2176"/>
      <c r="Z209" s="13"/>
      <c r="AA209" s="13"/>
      <c r="AB209" s="13"/>
      <c r="AC209" s="13"/>
    </row>
    <row r="210" spans="1:29" ht="15.75" customHeight="1">
      <c r="A210" s="309" t="s">
        <v>2566</v>
      </c>
      <c r="B210" s="309" t="s">
        <v>1373</v>
      </c>
      <c r="C210" s="345"/>
      <c r="D210" s="346"/>
      <c r="E210" s="347"/>
      <c r="F210" s="319"/>
      <c r="G210" s="310"/>
      <c r="H210" s="310"/>
      <c r="I210" s="310"/>
      <c r="J210" s="310"/>
      <c r="K210" s="310"/>
      <c r="L210" s="310"/>
      <c r="M210" s="310"/>
      <c r="N210" s="310"/>
      <c r="O210" s="310"/>
      <c r="P210" s="310"/>
      <c r="Q210" s="310"/>
      <c r="R210" s="313"/>
      <c r="S210" s="310"/>
      <c r="T210" s="310"/>
      <c r="U210" s="310"/>
      <c r="V210" s="310"/>
      <c r="W210" s="345"/>
      <c r="X210" s="2664"/>
      <c r="Y210" s="2176"/>
      <c r="Z210" s="13"/>
      <c r="AA210" s="13"/>
      <c r="AB210" s="13"/>
      <c r="AC210" s="13"/>
    </row>
    <row r="211" spans="1:29" ht="15.75" customHeight="1">
      <c r="A211" s="307"/>
      <c r="B211" s="315" t="s">
        <v>2567</v>
      </c>
      <c r="C211" s="336"/>
      <c r="D211" s="341"/>
      <c r="E211" s="342"/>
      <c r="F211" s="319"/>
      <c r="G211" s="315"/>
      <c r="H211" s="350"/>
      <c r="I211" s="2896" t="s">
        <v>1532</v>
      </c>
      <c r="J211" s="2179"/>
      <c r="K211" s="2966" t="s">
        <v>2354</v>
      </c>
      <c r="L211" s="2782"/>
      <c r="M211" s="2782"/>
      <c r="N211" s="2783"/>
      <c r="O211" s="2966" t="s">
        <v>2355</v>
      </c>
      <c r="P211" s="2782"/>
      <c r="Q211" s="2782"/>
      <c r="R211" s="2783"/>
      <c r="S211" s="2966" t="s">
        <v>2356</v>
      </c>
      <c r="T211" s="2782"/>
      <c r="U211" s="2782"/>
      <c r="V211" s="2783"/>
      <c r="W211" s="2967" t="s">
        <v>32</v>
      </c>
      <c r="X211" s="2664"/>
      <c r="Y211" s="2176"/>
      <c r="Z211" s="13"/>
      <c r="AA211" s="13"/>
      <c r="AB211" s="13"/>
      <c r="AC211" s="13"/>
    </row>
    <row r="212" spans="1:29" ht="38.25">
      <c r="A212" s="307"/>
      <c r="B212" s="315" t="s">
        <v>2378</v>
      </c>
      <c r="C212" s="336"/>
      <c r="D212" s="337" t="s">
        <v>2425</v>
      </c>
      <c r="E212" s="338"/>
      <c r="F212" s="319"/>
      <c r="G212" s="314"/>
      <c r="H212" s="339"/>
      <c r="I212" s="2779"/>
      <c r="J212" s="340"/>
      <c r="K212" s="307" t="s">
        <v>1911</v>
      </c>
      <c r="L212" s="307" t="s">
        <v>2364</v>
      </c>
      <c r="M212" s="307" t="s">
        <v>2365</v>
      </c>
      <c r="N212" s="307" t="s">
        <v>2366</v>
      </c>
      <c r="O212" s="307" t="s">
        <v>1911</v>
      </c>
      <c r="P212" s="307" t="s">
        <v>2364</v>
      </c>
      <c r="Q212" s="307" t="s">
        <v>2365</v>
      </c>
      <c r="R212" s="307" t="s">
        <v>2366</v>
      </c>
      <c r="S212" s="307" t="s">
        <v>1911</v>
      </c>
      <c r="T212" s="307" t="s">
        <v>2364</v>
      </c>
      <c r="U212" s="307" t="s">
        <v>2365</v>
      </c>
      <c r="V212" s="307" t="s">
        <v>2366</v>
      </c>
      <c r="W212" s="2968"/>
      <c r="X212" s="2664"/>
      <c r="Y212" s="2176"/>
      <c r="Z212" s="13"/>
      <c r="AA212" s="13"/>
      <c r="AB212" s="13"/>
      <c r="AC212" s="13"/>
    </row>
    <row r="213" spans="1:29" ht="15.75" customHeight="1">
      <c r="A213" s="307"/>
      <c r="B213" s="315" t="s">
        <v>2568</v>
      </c>
      <c r="C213" s="336"/>
      <c r="D213" s="341"/>
      <c r="E213" s="342"/>
      <c r="F213" s="319"/>
      <c r="G213" s="315"/>
      <c r="H213" s="315"/>
      <c r="I213" s="310" t="s">
        <v>467</v>
      </c>
      <c r="J213" s="310"/>
      <c r="K213" s="310" t="s">
        <v>468</v>
      </c>
      <c r="L213" s="310" t="s">
        <v>469</v>
      </c>
      <c r="M213" s="310" t="s">
        <v>470</v>
      </c>
      <c r="N213" s="310" t="s">
        <v>471</v>
      </c>
      <c r="O213" s="310" t="s">
        <v>1536</v>
      </c>
      <c r="P213" s="310" t="s">
        <v>2368</v>
      </c>
      <c r="Q213" s="310" t="s">
        <v>474</v>
      </c>
      <c r="R213" s="311" t="s">
        <v>475</v>
      </c>
      <c r="S213" s="310" t="s">
        <v>625</v>
      </c>
      <c r="T213" s="310" t="s">
        <v>534</v>
      </c>
      <c r="U213" s="310" t="s">
        <v>535</v>
      </c>
      <c r="V213" s="310" t="s">
        <v>536</v>
      </c>
      <c r="W213" s="345" t="s">
        <v>537</v>
      </c>
      <c r="X213" s="2664"/>
      <c r="Y213" s="2176"/>
      <c r="Z213" s="13"/>
      <c r="AA213" s="13"/>
      <c r="AB213" s="13"/>
      <c r="AC213" s="13"/>
    </row>
    <row r="214" spans="1:29" ht="15.75" customHeight="1">
      <c r="A214" s="307"/>
      <c r="B214" s="315" t="s">
        <v>2380</v>
      </c>
      <c r="C214" s="336"/>
      <c r="D214" s="341"/>
      <c r="E214" s="342"/>
      <c r="F214" s="319"/>
      <c r="G214" s="315"/>
      <c r="H214" s="315"/>
      <c r="I214" s="307"/>
      <c r="J214" s="307"/>
      <c r="K214" s="307"/>
      <c r="L214" s="307"/>
      <c r="M214" s="307"/>
      <c r="N214" s="307"/>
      <c r="O214" s="307"/>
      <c r="P214" s="307"/>
      <c r="Q214" s="307"/>
      <c r="R214" s="307"/>
      <c r="S214" s="307"/>
      <c r="T214" s="307"/>
      <c r="U214" s="307"/>
      <c r="V214" s="307"/>
      <c r="W214" s="2608"/>
      <c r="X214" s="2664"/>
      <c r="Y214" s="2176"/>
      <c r="Z214" s="13"/>
      <c r="AA214" s="13"/>
      <c r="AB214" s="13"/>
      <c r="AC214" s="13"/>
    </row>
    <row r="215" spans="1:29" ht="15.75" customHeight="1">
      <c r="A215" s="307"/>
      <c r="B215" s="315" t="s">
        <v>2569</v>
      </c>
      <c r="C215" s="336"/>
      <c r="D215" s="341"/>
      <c r="E215" s="342"/>
      <c r="F215" s="319"/>
      <c r="G215" s="315"/>
      <c r="H215" s="315"/>
      <c r="I215" s="307"/>
      <c r="J215" s="307"/>
      <c r="K215" s="307"/>
      <c r="L215" s="307"/>
      <c r="M215" s="307"/>
      <c r="N215" s="307"/>
      <c r="O215" s="307"/>
      <c r="P215" s="307"/>
      <c r="Q215" s="307"/>
      <c r="R215" s="307"/>
      <c r="S215" s="307"/>
      <c r="T215" s="307"/>
      <c r="U215" s="307"/>
      <c r="V215" s="307"/>
      <c r="W215" s="2608"/>
      <c r="X215" s="2664"/>
      <c r="Y215" s="2176"/>
      <c r="Z215" s="13"/>
      <c r="AA215" s="13"/>
      <c r="AB215" s="13"/>
      <c r="AC215" s="13"/>
    </row>
    <row r="216" spans="1:29" ht="15.75" customHeight="1">
      <c r="A216" s="307"/>
      <c r="B216" s="315" t="s">
        <v>2374</v>
      </c>
      <c r="C216" s="336"/>
      <c r="D216" s="341"/>
      <c r="E216" s="342"/>
      <c r="F216" s="319"/>
      <c r="G216" s="315"/>
      <c r="H216" s="315"/>
      <c r="I216" s="307"/>
      <c r="J216" s="307"/>
      <c r="K216" s="307"/>
      <c r="L216" s="307"/>
      <c r="M216" s="307"/>
      <c r="N216" s="307"/>
      <c r="O216" s="307"/>
      <c r="P216" s="307"/>
      <c r="Q216" s="307"/>
      <c r="R216" s="307"/>
      <c r="S216" s="307"/>
      <c r="T216" s="307"/>
      <c r="U216" s="307"/>
      <c r="V216" s="307"/>
      <c r="W216" s="2608"/>
      <c r="X216" s="2664"/>
      <c r="Y216" s="2176"/>
      <c r="Z216" s="13"/>
      <c r="AA216" s="13"/>
      <c r="AB216" s="13"/>
      <c r="AC216" s="13"/>
    </row>
    <row r="217" spans="1:29" ht="15.75" customHeight="1">
      <c r="A217" s="319">
        <v>1</v>
      </c>
      <c r="B217" s="323" t="s">
        <v>2570</v>
      </c>
      <c r="C217" s="393" t="s">
        <v>2383</v>
      </c>
      <c r="D217" s="378">
        <v>4.32</v>
      </c>
      <c r="E217" s="394">
        <v>2</v>
      </c>
      <c r="F217" s="319">
        <f t="shared" ref="F217:F224" si="248">IF(E217=1, 0.75, IF(OR(E217=2, E217=14, E217=21), 0.7, IF(OR(E217=3, E217=17), 0.65, IF(E217=4, 0.4, IF(OR(E217=5, E217=6, E217=25), 0.3, IF(OR(E217=7, E217=8, E217=9, E217=26), 0.2, IF(OR(E217=10, E217=15, E217=18), 0.15, IF(OR(E217=11, E217=12, E217=16, E217=19, E217=20), 0.1, IF(E217=24, 0.35, IF(E217=27, 0.5, 0))))))))))</f>
        <v>0.7</v>
      </c>
      <c r="G217" s="319"/>
      <c r="H217" s="319">
        <f t="shared" ref="H217:H224" si="249">IF(G217="A", 1, IF(G217="B", 0.7, IF(G217="C", 0.6, 0)))</f>
        <v>0</v>
      </c>
      <c r="I217" s="319"/>
      <c r="J217" s="319">
        <f t="shared" ref="J217:J224" si="250">IF(I217="D", 1, IF(OR(I217="E", I217="F"), 0.1, 0))</f>
        <v>0</v>
      </c>
      <c r="K217" s="321">
        <f t="shared" ref="K217:K224" si="251">L217+M217+N217</f>
        <v>650</v>
      </c>
      <c r="L217" s="321">
        <f t="shared" ref="L217:L224" si="252">IF(C217="N1", 270, IF(C217="N2", 350, IF(C217="N3", 200, 0)))</f>
        <v>200</v>
      </c>
      <c r="M217" s="321">
        <f t="shared" ref="M217:M224" si="253">IF(AND(C217="N1", D217&gt;=6.2),260, IF(AND(C217="N1",D217&gt;=5.76),240,IF(AND(C217="N1",D217&gt;=4.4),220,IF(AND(C217="N1", D217&gt;=4.32), 200,IF(AND(C217="N1", D217&gt;=3.33),175,IF(AND(C217="N1", D217&gt;=2.34),165, IF(AND(C217="N2",D217&gt;=6.2),200, IF(AND(C217="N2",5.76&lt;=D217),185,IF(AND(C217="N2",4.4&lt;=D217),170,IF(AND(C217="N2",4.32&lt;=D217), 155, IF(AND(C217="N2",3.33&lt;=D217),135,IF(AND(C217="N2",2.34&lt;=D217),125, IF(AND(C217="N3",D217&gt;=6.2),350, IF(AND(C217="N3",5.76&lt;=D217),325,IF(AND(C217="N3",4.4&lt;=D217),295,IF(AND(C217="N3",4.32&lt;=D217),270,IF(AND(C217="N3",3.33&lt;=D217),235,IF(AND(C217="N3",2.34&lt;=D217), 225, "SAI THÔNG TIN"))))))))))))))))))</f>
        <v>270</v>
      </c>
      <c r="N217" s="321">
        <f t="shared" ref="N217:N224" si="254">IF(AND(C217="N1", D217&gt;=6.2),120, IF(AND(C217="N1",D217&gt;=5.76),140,IF(AND(C217="N1",4.4&lt;=D217),160,IF(AND(C217="N1",4.32&lt;=D217), 180,IF(AND(C217="N1",3.33&lt;=D217),205,IF(AND(C217="N1",2.34&lt;=D217),215, IF(AND(C217="N2",D217&gt;=6.2),100, IF(AND(C217="N2",5.76&lt;=D217),115,IF(AND(C217="N2",4.4&lt;=D217),130,IF(AND(C217="N2",4.32&lt;=D217), 145, IF(AND(C217="N2",3.33&lt;=D217),165,IF(AND(C217="N2",2.34&lt;=D217),175, IF(AND(C217="N3",D217&gt;=6.2),100, IF(AND(C217="N3",5.76&lt;=D217),125,IF(AND(C217="N3",4.4&lt;=D217),155,IF(AND(C217="N3",4.32&lt;=D217),180,IF(AND(C217="N3",3.33&lt;=D217),215,IF(AND(C217="N3",2.34&lt;=D217), 225, "SAI THÔNG TIN"))))))))))))))))))</f>
        <v>180</v>
      </c>
      <c r="O217" s="321">
        <f t="shared" ref="O217:O224" si="255">P217+Q217+R217</f>
        <v>329</v>
      </c>
      <c r="P217" s="321">
        <f t="shared" ref="P217:P224" si="256">L217-T217</f>
        <v>140</v>
      </c>
      <c r="Q217" s="321">
        <f t="shared" ref="Q217:Q224" si="257">IF(OR(G217="A", I217="D"), M217, IF(G217="C", 0.6*M217, IF(OR(I217="E", I217="F"), 0.1*M217, IF(G217="B", 0, F217*M217))))</f>
        <v>189</v>
      </c>
      <c r="R217" s="321">
        <f t="shared" ref="R217:R224" si="258">IF(OR(G217="A", I217="D"), N217, IF(G217="C", 0.6*N217, IF(I217="E", 0.1*N217, IF(G217="B", 0.7*N217, 0))))</f>
        <v>0</v>
      </c>
      <c r="S217" s="321">
        <f t="shared" ref="S217:S224" si="259">T217+U217+V217</f>
        <v>321</v>
      </c>
      <c r="T217" s="321">
        <f t="shared" ref="T217:T224" si="260">L217*(1-F217)*(1-H217)*(1-J219)</f>
        <v>60.000000000000007</v>
      </c>
      <c r="U217" s="321">
        <f t="shared" ref="U217:V217" si="261">M217-Q217</f>
        <v>81</v>
      </c>
      <c r="V217" s="321">
        <f t="shared" si="261"/>
        <v>180</v>
      </c>
      <c r="W217" s="2656"/>
      <c r="X217" s="2664"/>
      <c r="Y217" s="2176"/>
      <c r="Z217" s="13"/>
      <c r="AA217" s="13"/>
      <c r="AB217" s="13"/>
      <c r="AC217" s="13"/>
    </row>
    <row r="218" spans="1:29" ht="15.75" customHeight="1">
      <c r="A218" s="319">
        <v>2</v>
      </c>
      <c r="B218" s="323" t="s">
        <v>2571</v>
      </c>
      <c r="C218" s="2186" t="s">
        <v>2391</v>
      </c>
      <c r="D218" s="378">
        <v>3.66</v>
      </c>
      <c r="E218" s="2187">
        <v>6</v>
      </c>
      <c r="F218" s="319">
        <f t="shared" si="248"/>
        <v>0.3</v>
      </c>
      <c r="G218" s="319"/>
      <c r="H218" s="319">
        <f t="shared" si="249"/>
        <v>0</v>
      </c>
      <c r="I218" s="319"/>
      <c r="J218" s="319">
        <f t="shared" si="250"/>
        <v>0</v>
      </c>
      <c r="K218" s="321">
        <f t="shared" si="251"/>
        <v>650</v>
      </c>
      <c r="L218" s="321">
        <f t="shared" si="252"/>
        <v>350</v>
      </c>
      <c r="M218" s="321">
        <f t="shared" si="253"/>
        <v>135</v>
      </c>
      <c r="N218" s="321">
        <f t="shared" si="254"/>
        <v>165</v>
      </c>
      <c r="O218" s="321">
        <f t="shared" si="255"/>
        <v>145.50000000000003</v>
      </c>
      <c r="P218" s="321">
        <f t="shared" si="256"/>
        <v>105.00000000000003</v>
      </c>
      <c r="Q218" s="321">
        <f t="shared" si="257"/>
        <v>40.5</v>
      </c>
      <c r="R218" s="321">
        <f t="shared" si="258"/>
        <v>0</v>
      </c>
      <c r="S218" s="321">
        <f t="shared" si="259"/>
        <v>504.5</v>
      </c>
      <c r="T218" s="321">
        <f t="shared" si="260"/>
        <v>244.99999999999997</v>
      </c>
      <c r="U218" s="321">
        <f t="shared" ref="U218:V218" si="262">M218-Q218</f>
        <v>94.5</v>
      </c>
      <c r="V218" s="321">
        <f t="shared" si="262"/>
        <v>165</v>
      </c>
      <c r="W218" s="2657"/>
      <c r="X218" s="2664"/>
      <c r="Y218" s="2176"/>
      <c r="Z218" s="13"/>
      <c r="AA218" s="13"/>
      <c r="AB218" s="13"/>
      <c r="AC218" s="13"/>
    </row>
    <row r="219" spans="1:29" ht="15.75" customHeight="1">
      <c r="A219" s="319">
        <v>3</v>
      </c>
      <c r="B219" s="323" t="s">
        <v>2572</v>
      </c>
      <c r="C219" s="2186" t="s">
        <v>2383</v>
      </c>
      <c r="D219" s="378">
        <v>4.32</v>
      </c>
      <c r="E219" s="2187">
        <v>6</v>
      </c>
      <c r="F219" s="319">
        <f t="shared" si="248"/>
        <v>0.3</v>
      </c>
      <c r="G219" s="319"/>
      <c r="H219" s="319">
        <f t="shared" si="249"/>
        <v>0</v>
      </c>
      <c r="I219" s="319"/>
      <c r="J219" s="319">
        <f t="shared" si="250"/>
        <v>0</v>
      </c>
      <c r="K219" s="321">
        <f t="shared" si="251"/>
        <v>650</v>
      </c>
      <c r="L219" s="321">
        <f t="shared" si="252"/>
        <v>200</v>
      </c>
      <c r="M219" s="321">
        <f t="shared" si="253"/>
        <v>270</v>
      </c>
      <c r="N219" s="321">
        <f t="shared" si="254"/>
        <v>180</v>
      </c>
      <c r="O219" s="321">
        <f t="shared" si="255"/>
        <v>141</v>
      </c>
      <c r="P219" s="321">
        <f t="shared" si="256"/>
        <v>60</v>
      </c>
      <c r="Q219" s="321">
        <f t="shared" si="257"/>
        <v>81</v>
      </c>
      <c r="R219" s="321">
        <f t="shared" si="258"/>
        <v>0</v>
      </c>
      <c r="S219" s="321">
        <f t="shared" si="259"/>
        <v>509</v>
      </c>
      <c r="T219" s="321">
        <f t="shared" si="260"/>
        <v>140</v>
      </c>
      <c r="U219" s="321">
        <f t="shared" ref="U219:V219" si="263">M219-Q219</f>
        <v>189</v>
      </c>
      <c r="V219" s="321">
        <f t="shared" si="263"/>
        <v>180</v>
      </c>
      <c r="W219" s="2657"/>
      <c r="X219" s="2664"/>
      <c r="Y219" s="2176"/>
      <c r="Z219" s="13"/>
      <c r="AA219" s="13"/>
      <c r="AB219" s="13"/>
      <c r="AC219" s="13"/>
    </row>
    <row r="220" spans="1:29" ht="15.75" customHeight="1">
      <c r="A220" s="319">
        <v>4</v>
      </c>
      <c r="B220" s="323" t="s">
        <v>2573</v>
      </c>
      <c r="C220" s="2186" t="s">
        <v>2386</v>
      </c>
      <c r="D220" s="378">
        <v>2.67</v>
      </c>
      <c r="E220" s="2187">
        <v>23</v>
      </c>
      <c r="F220" s="319">
        <f t="shared" si="248"/>
        <v>0</v>
      </c>
      <c r="G220" s="319"/>
      <c r="H220" s="319">
        <f t="shared" si="249"/>
        <v>0</v>
      </c>
      <c r="I220" s="319"/>
      <c r="J220" s="319">
        <f t="shared" si="250"/>
        <v>0</v>
      </c>
      <c r="K220" s="321">
        <f t="shared" si="251"/>
        <v>650</v>
      </c>
      <c r="L220" s="321">
        <f t="shared" si="252"/>
        <v>270</v>
      </c>
      <c r="M220" s="321">
        <f t="shared" si="253"/>
        <v>165</v>
      </c>
      <c r="N220" s="321">
        <f t="shared" si="254"/>
        <v>215</v>
      </c>
      <c r="O220" s="321">
        <f t="shared" si="255"/>
        <v>0</v>
      </c>
      <c r="P220" s="321">
        <f t="shared" si="256"/>
        <v>0</v>
      </c>
      <c r="Q220" s="321">
        <f t="shared" si="257"/>
        <v>0</v>
      </c>
      <c r="R220" s="321">
        <f t="shared" si="258"/>
        <v>0</v>
      </c>
      <c r="S220" s="321">
        <f t="shared" si="259"/>
        <v>650</v>
      </c>
      <c r="T220" s="321">
        <f t="shared" si="260"/>
        <v>270</v>
      </c>
      <c r="U220" s="321">
        <f t="shared" ref="U220:V220" si="264">M220-Q220</f>
        <v>165</v>
      </c>
      <c r="V220" s="321">
        <f t="shared" si="264"/>
        <v>215</v>
      </c>
      <c r="W220" s="2657"/>
      <c r="X220" s="2664"/>
      <c r="Y220" s="2176"/>
      <c r="Z220" s="13"/>
      <c r="AA220" s="13"/>
      <c r="AB220" s="13"/>
      <c r="AC220" s="13"/>
    </row>
    <row r="221" spans="1:29" ht="15.75" customHeight="1">
      <c r="A221" s="319">
        <v>5</v>
      </c>
      <c r="B221" s="323" t="s">
        <v>2574</v>
      </c>
      <c r="C221" s="2186" t="s">
        <v>2383</v>
      </c>
      <c r="D221" s="378">
        <v>3.99</v>
      </c>
      <c r="E221" s="2188">
        <v>6</v>
      </c>
      <c r="F221" s="319">
        <f t="shared" si="248"/>
        <v>0.3</v>
      </c>
      <c r="G221" s="319"/>
      <c r="H221" s="319">
        <f t="shared" si="249"/>
        <v>0</v>
      </c>
      <c r="I221" s="319"/>
      <c r="J221" s="319">
        <f t="shared" si="250"/>
        <v>0</v>
      </c>
      <c r="K221" s="321">
        <f t="shared" si="251"/>
        <v>650</v>
      </c>
      <c r="L221" s="321">
        <f t="shared" si="252"/>
        <v>200</v>
      </c>
      <c r="M221" s="321">
        <f t="shared" si="253"/>
        <v>235</v>
      </c>
      <c r="N221" s="321">
        <f t="shared" si="254"/>
        <v>215</v>
      </c>
      <c r="O221" s="321">
        <f t="shared" si="255"/>
        <v>130.5</v>
      </c>
      <c r="P221" s="321">
        <f t="shared" si="256"/>
        <v>60</v>
      </c>
      <c r="Q221" s="321">
        <f t="shared" si="257"/>
        <v>70.5</v>
      </c>
      <c r="R221" s="321">
        <f t="shared" si="258"/>
        <v>0</v>
      </c>
      <c r="S221" s="321">
        <f t="shared" si="259"/>
        <v>519.5</v>
      </c>
      <c r="T221" s="321">
        <f t="shared" si="260"/>
        <v>140</v>
      </c>
      <c r="U221" s="321">
        <f t="shared" ref="U221:V221" si="265">M221-Q221</f>
        <v>164.5</v>
      </c>
      <c r="V221" s="321">
        <f t="shared" si="265"/>
        <v>215</v>
      </c>
      <c r="W221" s="2657"/>
      <c r="X221" s="2664"/>
      <c r="Y221" s="2176"/>
      <c r="Z221" s="13"/>
      <c r="AA221" s="13"/>
      <c r="AB221" s="13"/>
      <c r="AC221" s="13"/>
    </row>
    <row r="222" spans="1:29" ht="15.75" customHeight="1">
      <c r="A222" s="319">
        <v>6</v>
      </c>
      <c r="B222" s="323" t="s">
        <v>2575</v>
      </c>
      <c r="C222" s="2186" t="s">
        <v>2386</v>
      </c>
      <c r="D222" s="378">
        <v>2.67</v>
      </c>
      <c r="E222" s="2187">
        <v>1</v>
      </c>
      <c r="F222" s="319">
        <f t="shared" si="248"/>
        <v>0.75</v>
      </c>
      <c r="G222" s="319"/>
      <c r="H222" s="319">
        <f t="shared" si="249"/>
        <v>0</v>
      </c>
      <c r="I222" s="319"/>
      <c r="J222" s="319">
        <f t="shared" si="250"/>
        <v>0</v>
      </c>
      <c r="K222" s="321">
        <f t="shared" si="251"/>
        <v>650</v>
      </c>
      <c r="L222" s="321">
        <f t="shared" si="252"/>
        <v>270</v>
      </c>
      <c r="M222" s="321">
        <f t="shared" si="253"/>
        <v>165</v>
      </c>
      <c r="N222" s="321">
        <f t="shared" si="254"/>
        <v>215</v>
      </c>
      <c r="O222" s="321">
        <f t="shared" si="255"/>
        <v>326.25</v>
      </c>
      <c r="P222" s="321">
        <f t="shared" si="256"/>
        <v>202.5</v>
      </c>
      <c r="Q222" s="321">
        <f t="shared" si="257"/>
        <v>123.75</v>
      </c>
      <c r="R222" s="321">
        <f t="shared" si="258"/>
        <v>0</v>
      </c>
      <c r="S222" s="321">
        <f t="shared" si="259"/>
        <v>323.75</v>
      </c>
      <c r="T222" s="321">
        <f t="shared" si="260"/>
        <v>67.5</v>
      </c>
      <c r="U222" s="321">
        <f t="shared" ref="U222:V222" si="266">M222-Q222</f>
        <v>41.25</v>
      </c>
      <c r="V222" s="321">
        <f t="shared" si="266"/>
        <v>215</v>
      </c>
      <c r="W222" s="2657"/>
      <c r="X222" s="2664"/>
      <c r="Y222" s="2176"/>
      <c r="Z222" s="13"/>
      <c r="AA222" s="13"/>
      <c r="AB222" s="13"/>
      <c r="AC222" s="13"/>
    </row>
    <row r="223" spans="1:29" ht="15.75" customHeight="1">
      <c r="A223" s="319">
        <v>7</v>
      </c>
      <c r="B223" s="323" t="s">
        <v>2576</v>
      </c>
      <c r="C223" s="2186" t="s">
        <v>2383</v>
      </c>
      <c r="D223" s="378">
        <v>4.4000000000000004</v>
      </c>
      <c r="E223" s="2188"/>
      <c r="F223" s="319">
        <f t="shared" si="248"/>
        <v>0</v>
      </c>
      <c r="G223" s="319"/>
      <c r="H223" s="319">
        <f t="shared" si="249"/>
        <v>0</v>
      </c>
      <c r="I223" s="319"/>
      <c r="J223" s="319">
        <f t="shared" si="250"/>
        <v>0</v>
      </c>
      <c r="K223" s="321">
        <f t="shared" si="251"/>
        <v>650</v>
      </c>
      <c r="L223" s="321">
        <f t="shared" si="252"/>
        <v>200</v>
      </c>
      <c r="M223" s="321">
        <f t="shared" si="253"/>
        <v>295</v>
      </c>
      <c r="N223" s="321">
        <f t="shared" si="254"/>
        <v>155</v>
      </c>
      <c r="O223" s="321">
        <f t="shared" si="255"/>
        <v>0</v>
      </c>
      <c r="P223" s="321">
        <f t="shared" si="256"/>
        <v>0</v>
      </c>
      <c r="Q223" s="321">
        <f t="shared" si="257"/>
        <v>0</v>
      </c>
      <c r="R223" s="321">
        <f t="shared" si="258"/>
        <v>0</v>
      </c>
      <c r="S223" s="321">
        <f t="shared" si="259"/>
        <v>650</v>
      </c>
      <c r="T223" s="321">
        <f t="shared" si="260"/>
        <v>200</v>
      </c>
      <c r="U223" s="321">
        <f t="shared" ref="U223:V223" si="267">M223-Q223</f>
        <v>295</v>
      </c>
      <c r="V223" s="321">
        <f t="shared" si="267"/>
        <v>155</v>
      </c>
      <c r="W223" s="2658"/>
      <c r="X223" s="2664"/>
      <c r="Y223" s="2176"/>
      <c r="Z223" s="13"/>
      <c r="AA223" s="13"/>
      <c r="AB223" s="13"/>
      <c r="AC223" s="13"/>
    </row>
    <row r="224" spans="1:29" ht="15.75" customHeight="1">
      <c r="A224" s="319">
        <v>8</v>
      </c>
      <c r="B224" s="323" t="s">
        <v>2577</v>
      </c>
      <c r="C224" s="2186" t="s">
        <v>2386</v>
      </c>
      <c r="D224" s="396">
        <v>4.74</v>
      </c>
      <c r="E224" s="342">
        <v>1</v>
      </c>
      <c r="F224" s="319">
        <f t="shared" si="248"/>
        <v>0.75</v>
      </c>
      <c r="G224" s="319"/>
      <c r="H224" s="319">
        <f t="shared" si="249"/>
        <v>0</v>
      </c>
      <c r="I224" s="319"/>
      <c r="J224" s="319">
        <f t="shared" si="250"/>
        <v>0</v>
      </c>
      <c r="K224" s="321">
        <f t="shared" si="251"/>
        <v>650</v>
      </c>
      <c r="L224" s="321">
        <f t="shared" si="252"/>
        <v>270</v>
      </c>
      <c r="M224" s="321">
        <f t="shared" si="253"/>
        <v>220</v>
      </c>
      <c r="N224" s="321">
        <f t="shared" si="254"/>
        <v>160</v>
      </c>
      <c r="O224" s="321">
        <f t="shared" si="255"/>
        <v>367.5</v>
      </c>
      <c r="P224" s="321">
        <f t="shared" si="256"/>
        <v>202.5</v>
      </c>
      <c r="Q224" s="321">
        <f t="shared" si="257"/>
        <v>165</v>
      </c>
      <c r="R224" s="321">
        <f t="shared" si="258"/>
        <v>0</v>
      </c>
      <c r="S224" s="321">
        <f t="shared" si="259"/>
        <v>282.5</v>
      </c>
      <c r="T224" s="321">
        <f t="shared" si="260"/>
        <v>67.5</v>
      </c>
      <c r="U224" s="321">
        <f t="shared" ref="U224:V224" si="268">M224-Q224</f>
        <v>55</v>
      </c>
      <c r="V224" s="321">
        <f t="shared" si="268"/>
        <v>160</v>
      </c>
      <c r="W224" s="2657"/>
      <c r="X224" s="2664"/>
      <c r="Y224" s="2176"/>
      <c r="Z224" s="13"/>
      <c r="AA224" s="13"/>
      <c r="AB224" s="13"/>
      <c r="AC224" s="13"/>
    </row>
    <row r="225" spans="1:29" ht="15.75" customHeight="1">
      <c r="A225" s="2965" t="s">
        <v>2421</v>
      </c>
      <c r="B225" s="2783"/>
      <c r="C225" s="368"/>
      <c r="D225" s="328"/>
      <c r="E225" s="369"/>
      <c r="F225" s="367"/>
      <c r="G225" s="370"/>
      <c r="H225" s="370"/>
      <c r="I225" s="370"/>
      <c r="J225" s="370"/>
      <c r="K225" s="397">
        <f t="shared" ref="K225:V225" si="269">SUM(K217:K224)</f>
        <v>5200</v>
      </c>
      <c r="L225" s="397">
        <f t="shared" si="269"/>
        <v>1960</v>
      </c>
      <c r="M225" s="397">
        <f t="shared" si="269"/>
        <v>1755</v>
      </c>
      <c r="N225" s="397">
        <f t="shared" si="269"/>
        <v>1485</v>
      </c>
      <c r="O225" s="397">
        <f t="shared" si="269"/>
        <v>1439.75</v>
      </c>
      <c r="P225" s="397">
        <f t="shared" si="269"/>
        <v>770</v>
      </c>
      <c r="Q225" s="397">
        <f t="shared" si="269"/>
        <v>669.75</v>
      </c>
      <c r="R225" s="397">
        <f t="shared" si="269"/>
        <v>0</v>
      </c>
      <c r="S225" s="397">
        <f t="shared" si="269"/>
        <v>3760.25</v>
      </c>
      <c r="T225" s="397">
        <f t="shared" si="269"/>
        <v>1190</v>
      </c>
      <c r="U225" s="397">
        <f t="shared" si="269"/>
        <v>1085.25</v>
      </c>
      <c r="V225" s="397">
        <f t="shared" si="269"/>
        <v>1485</v>
      </c>
      <c r="W225" s="2652"/>
      <c r="X225" s="2668"/>
      <c r="Y225" s="1876"/>
      <c r="Z225" s="13"/>
      <c r="AA225" s="13"/>
      <c r="AB225" s="13"/>
      <c r="AC225" s="13"/>
    </row>
    <row r="226" spans="1:29" ht="15.75" customHeight="1">
      <c r="A226" s="319"/>
      <c r="B226" s="323"/>
      <c r="C226" s="327"/>
      <c r="D226" s="320"/>
      <c r="E226" s="398"/>
      <c r="F226" s="319"/>
      <c r="G226" s="323"/>
      <c r="H226" s="323"/>
      <c r="I226" s="319"/>
      <c r="J226" s="319"/>
      <c r="K226" s="392">
        <f>K225-SUM(L225:N225)</f>
        <v>0</v>
      </c>
      <c r="L226" s="331"/>
      <c r="M226" s="331"/>
      <c r="N226" s="331"/>
      <c r="O226" s="392">
        <f>O225-SUM(P225:R225)</f>
        <v>0</v>
      </c>
      <c r="P226" s="331"/>
      <c r="Q226" s="331"/>
      <c r="R226" s="331"/>
      <c r="S226" s="392">
        <f>S225-SUM(T225:V225)</f>
        <v>0</v>
      </c>
      <c r="T226" s="322"/>
      <c r="U226" s="322"/>
      <c r="V226" s="322"/>
      <c r="W226" s="2643"/>
      <c r="X226" s="2664"/>
      <c r="Y226" s="2176"/>
      <c r="Z226" s="13"/>
      <c r="AA226" s="13"/>
      <c r="AB226" s="13"/>
      <c r="AC226" s="13"/>
    </row>
    <row r="227" spans="1:29" ht="15.75" customHeight="1">
      <c r="A227" s="312">
        <v>11</v>
      </c>
      <c r="B227" s="312" t="s">
        <v>2578</v>
      </c>
      <c r="C227" s="333"/>
      <c r="D227" s="328"/>
      <c r="E227" s="334"/>
      <c r="F227" s="319"/>
      <c r="G227" s="312"/>
      <c r="H227" s="312"/>
      <c r="I227" s="319"/>
      <c r="J227" s="319"/>
      <c r="K227" s="318"/>
      <c r="L227" s="322"/>
      <c r="M227" s="322"/>
      <c r="N227" s="322"/>
      <c r="O227" s="318"/>
      <c r="P227" s="322"/>
      <c r="Q227" s="322"/>
      <c r="R227" s="322"/>
      <c r="S227" s="318"/>
      <c r="T227" s="322"/>
      <c r="U227" s="322"/>
      <c r="V227" s="322"/>
      <c r="W227" s="2643"/>
      <c r="X227" s="2664"/>
      <c r="Y227" s="2176"/>
      <c r="Z227" s="13"/>
      <c r="AA227" s="13"/>
      <c r="AB227" s="13"/>
      <c r="AC227" s="13"/>
    </row>
    <row r="228" spans="1:29">
      <c r="A228" s="307"/>
      <c r="B228" s="315" t="s">
        <v>2579</v>
      </c>
      <c r="C228" s="336"/>
      <c r="D228" s="341"/>
      <c r="E228" s="342"/>
      <c r="F228" s="319"/>
      <c r="G228" s="315"/>
      <c r="H228" s="350"/>
      <c r="I228" s="2896" t="s">
        <v>1532</v>
      </c>
      <c r="J228" s="2179"/>
      <c r="K228" s="2966" t="s">
        <v>2354</v>
      </c>
      <c r="L228" s="2782"/>
      <c r="M228" s="2782"/>
      <c r="N228" s="2783"/>
      <c r="O228" s="2966" t="s">
        <v>2355</v>
      </c>
      <c r="P228" s="2782"/>
      <c r="Q228" s="2782"/>
      <c r="R228" s="2783"/>
      <c r="S228" s="2966" t="s">
        <v>2356</v>
      </c>
      <c r="T228" s="2782"/>
      <c r="U228" s="2782"/>
      <c r="V228" s="2783"/>
      <c r="W228" s="2967" t="s">
        <v>32</v>
      </c>
      <c r="X228" s="2664"/>
      <c r="Y228" s="2176"/>
      <c r="Z228" s="13"/>
      <c r="AA228" s="13"/>
      <c r="AB228" s="13"/>
      <c r="AC228" s="13"/>
    </row>
    <row r="229" spans="1:29" ht="38.25">
      <c r="A229" s="307"/>
      <c r="B229" s="315" t="s">
        <v>2580</v>
      </c>
      <c r="C229" s="336"/>
      <c r="D229" s="337" t="s">
        <v>2425</v>
      </c>
      <c r="E229" s="338"/>
      <c r="F229" s="319"/>
      <c r="G229" s="314"/>
      <c r="H229" s="339"/>
      <c r="I229" s="2779"/>
      <c r="J229" s="340"/>
      <c r="K229" s="307" t="s">
        <v>1911</v>
      </c>
      <c r="L229" s="307" t="s">
        <v>2364</v>
      </c>
      <c r="M229" s="307" t="s">
        <v>2365</v>
      </c>
      <c r="N229" s="307" t="s">
        <v>2366</v>
      </c>
      <c r="O229" s="307" t="s">
        <v>1911</v>
      </c>
      <c r="P229" s="307" t="s">
        <v>2364</v>
      </c>
      <c r="Q229" s="307" t="s">
        <v>2365</v>
      </c>
      <c r="R229" s="307" t="s">
        <v>2366</v>
      </c>
      <c r="S229" s="307" t="s">
        <v>1911</v>
      </c>
      <c r="T229" s="307" t="s">
        <v>2364</v>
      </c>
      <c r="U229" s="307" t="s">
        <v>2365</v>
      </c>
      <c r="V229" s="307" t="s">
        <v>2366</v>
      </c>
      <c r="W229" s="2968"/>
      <c r="X229" s="2664"/>
      <c r="Y229" s="2176"/>
      <c r="Z229" s="13"/>
      <c r="AA229" s="13"/>
      <c r="AB229" s="13"/>
      <c r="AC229" s="13"/>
    </row>
    <row r="230" spans="1:29" ht="15.75" customHeight="1">
      <c r="A230" s="307"/>
      <c r="B230" s="315" t="s">
        <v>2581</v>
      </c>
      <c r="C230" s="336"/>
      <c r="D230" s="341"/>
      <c r="E230" s="342"/>
      <c r="F230" s="319"/>
      <c r="G230" s="315"/>
      <c r="H230" s="315"/>
      <c r="I230" s="310" t="s">
        <v>467</v>
      </c>
      <c r="J230" s="310"/>
      <c r="K230" s="310" t="s">
        <v>468</v>
      </c>
      <c r="L230" s="310" t="s">
        <v>469</v>
      </c>
      <c r="M230" s="310" t="s">
        <v>470</v>
      </c>
      <c r="N230" s="310" t="s">
        <v>471</v>
      </c>
      <c r="O230" s="310" t="s">
        <v>1536</v>
      </c>
      <c r="P230" s="310" t="s">
        <v>2368</v>
      </c>
      <c r="Q230" s="310" t="s">
        <v>474</v>
      </c>
      <c r="R230" s="311" t="s">
        <v>475</v>
      </c>
      <c r="S230" s="310" t="s">
        <v>625</v>
      </c>
      <c r="T230" s="310" t="s">
        <v>534</v>
      </c>
      <c r="U230" s="310" t="s">
        <v>535</v>
      </c>
      <c r="V230" s="310" t="s">
        <v>536</v>
      </c>
      <c r="W230" s="345" t="s">
        <v>537</v>
      </c>
      <c r="X230" s="2664"/>
      <c r="Y230" s="2176"/>
      <c r="Z230" s="13"/>
      <c r="AA230" s="13"/>
      <c r="AB230" s="13"/>
      <c r="AC230" s="13"/>
    </row>
    <row r="231" spans="1:29" ht="21" customHeight="1">
      <c r="A231" s="307"/>
      <c r="B231" s="315" t="s">
        <v>2380</v>
      </c>
      <c r="C231" s="336"/>
      <c r="D231" s="341"/>
      <c r="E231" s="342"/>
      <c r="F231" s="319"/>
      <c r="G231" s="315"/>
      <c r="H231" s="315"/>
      <c r="I231" s="307"/>
      <c r="J231" s="307"/>
      <c r="K231" s="307"/>
      <c r="L231" s="307"/>
      <c r="M231" s="307"/>
      <c r="N231" s="307"/>
      <c r="O231" s="307"/>
      <c r="P231" s="307"/>
      <c r="Q231" s="307"/>
      <c r="R231" s="307"/>
      <c r="S231" s="307"/>
      <c r="T231" s="307"/>
      <c r="U231" s="307"/>
      <c r="V231" s="307"/>
      <c r="W231" s="2608"/>
      <c r="X231" s="2664"/>
      <c r="Y231" s="2176"/>
      <c r="Z231" s="13"/>
      <c r="AA231" s="13"/>
      <c r="AB231" s="13"/>
      <c r="AC231" s="13"/>
    </row>
    <row r="232" spans="1:29" ht="15.75" customHeight="1">
      <c r="A232" s="307"/>
      <c r="B232" s="315" t="s">
        <v>2582</v>
      </c>
      <c r="C232" s="336"/>
      <c r="D232" s="341"/>
      <c r="E232" s="342"/>
      <c r="F232" s="319"/>
      <c r="G232" s="315"/>
      <c r="H232" s="315"/>
      <c r="I232" s="307"/>
      <c r="J232" s="307"/>
      <c r="K232" s="307"/>
      <c r="L232" s="307"/>
      <c r="M232" s="307"/>
      <c r="N232" s="307"/>
      <c r="O232" s="307"/>
      <c r="P232" s="307"/>
      <c r="Q232" s="307"/>
      <c r="R232" s="307"/>
      <c r="S232" s="307"/>
      <c r="T232" s="307"/>
      <c r="U232" s="307"/>
      <c r="V232" s="307"/>
      <c r="W232" s="2608"/>
      <c r="X232" s="2664"/>
      <c r="Y232" s="2176"/>
      <c r="Z232" s="13"/>
      <c r="AA232" s="13"/>
      <c r="AB232" s="13"/>
      <c r="AC232" s="13"/>
    </row>
    <row r="233" spans="1:29" ht="15.75" customHeight="1">
      <c r="A233" s="307"/>
      <c r="B233" s="315" t="s">
        <v>2583</v>
      </c>
      <c r="C233" s="336"/>
      <c r="D233" s="341"/>
      <c r="E233" s="342"/>
      <c r="F233" s="319"/>
      <c r="G233" s="315"/>
      <c r="H233" s="315"/>
      <c r="I233" s="307"/>
      <c r="J233" s="307"/>
      <c r="K233" s="307"/>
      <c r="L233" s="307"/>
      <c r="M233" s="307"/>
      <c r="N233" s="307"/>
      <c r="O233" s="307"/>
      <c r="P233" s="307"/>
      <c r="Q233" s="307"/>
      <c r="R233" s="307"/>
      <c r="S233" s="307"/>
      <c r="T233" s="307"/>
      <c r="U233" s="307"/>
      <c r="V233" s="307"/>
      <c r="W233" s="2608"/>
      <c r="X233" s="2664"/>
      <c r="Y233" s="2176"/>
      <c r="Z233" s="13"/>
      <c r="AA233" s="13"/>
      <c r="AB233" s="13"/>
      <c r="AC233" s="13"/>
    </row>
    <row r="234" spans="1:29" ht="15.75" customHeight="1">
      <c r="A234" s="312" t="s">
        <v>258</v>
      </c>
      <c r="B234" s="349" t="s">
        <v>554</v>
      </c>
      <c r="C234" s="348"/>
      <c r="D234" s="328"/>
      <c r="E234" s="334"/>
      <c r="F234" s="319"/>
      <c r="G234" s="349"/>
      <c r="H234" s="349"/>
      <c r="I234" s="312"/>
      <c r="J234" s="312"/>
      <c r="K234" s="351"/>
      <c r="L234" s="351"/>
      <c r="M234" s="351"/>
      <c r="N234" s="351"/>
      <c r="O234" s="351"/>
      <c r="P234" s="351"/>
      <c r="Q234" s="351"/>
      <c r="R234" s="351"/>
      <c r="S234" s="351"/>
      <c r="T234" s="351"/>
      <c r="U234" s="351"/>
      <c r="V234" s="351"/>
      <c r="W234" s="2644"/>
      <c r="X234" s="2664"/>
      <c r="Y234" s="2176"/>
      <c r="Z234" s="13"/>
      <c r="AA234" s="13"/>
      <c r="AB234" s="13"/>
      <c r="AC234" s="13"/>
    </row>
    <row r="235" spans="1:29" ht="15.75" customHeight="1">
      <c r="A235" s="312">
        <v>1</v>
      </c>
      <c r="B235" s="323" t="s">
        <v>2584</v>
      </c>
      <c r="C235" s="343" t="s">
        <v>2386</v>
      </c>
      <c r="D235" s="320">
        <v>6.56</v>
      </c>
      <c r="E235" s="399">
        <v>4</v>
      </c>
      <c r="F235" s="319">
        <f t="shared" ref="F235:F244" si="270">IF(E235=1, 0.75, IF(OR(E235=2, E235=14, E235=21), 0.7, IF(OR(E235=3, E235=17), 0.65, IF(E235=4, 0.4, IF(OR(E235=5, E235=6, E235=25), 0.3, IF(OR(E235=7, E235=8, E235=9, E235=26), 0.2, IF(OR(E235=10, E235=15, E235=18), 0.15, IF(OR(E235=11, E235=12, E235=16, E235=19, E235=20), 0.1, IF(E235=24, 0.35, IF(E235=27, 0.5, 0))))))))))</f>
        <v>0.4</v>
      </c>
      <c r="G235" s="319"/>
      <c r="H235" s="319">
        <f t="shared" ref="H235:H244" si="271">IF(G235="A", 1, IF(G235="B", 0.7, IF(G235="C", 0.6, 0)))</f>
        <v>0</v>
      </c>
      <c r="I235" s="319"/>
      <c r="J235" s="319">
        <f t="shared" ref="J235:J244" si="272">IF(I235="D", 1, IF(OR(I235="E", I235="F"), 0.1, 0))</f>
        <v>0</v>
      </c>
      <c r="K235" s="321">
        <f t="shared" ref="K235:K244" si="273">L235+M235+N235</f>
        <v>650</v>
      </c>
      <c r="L235" s="321">
        <f t="shared" ref="L235:L244" si="274">IF(C235="N1", 270, IF(C235="N2", 350, IF(C235="N3", 200, 0)))</f>
        <v>270</v>
      </c>
      <c r="M235" s="321">
        <f t="shared" ref="M235:M244" si="275">IF(AND(C235="N1", D235&gt;=6.2),260, IF(AND(C235="N1",D235&gt;=5.76),240,IF(AND(C235="N1",D235&gt;=4.4),220,IF(AND(C235="N1", D235&gt;=4.32), 200,IF(AND(C235="N1", D235&gt;=3.33),175,IF(AND(C235="N1", D235&gt;=2.34),165, IF(AND(C235="N2",D235&gt;=6.2),200, IF(AND(C235="N2",5.76&lt;=D235),185,IF(AND(C235="N2",4.4&lt;=D235),170,IF(AND(C235="N2",4.32&lt;=D235), 155, IF(AND(C235="N2",3.33&lt;=D235),135,IF(AND(C235="N2",2.34&lt;=D235),125, IF(AND(C235="N3",D235&gt;=6.2),350, IF(AND(C235="N3",5.76&lt;=D235),325,IF(AND(C235="N3",4.4&lt;=D235),295,IF(AND(C235="N3",4.32&lt;=D235),270,IF(AND(C235="N3",3.33&lt;=D235),235,IF(AND(C235="N3",2.34&lt;=D235), 225, "SAI THÔNG TIN"))))))))))))))))))</f>
        <v>260</v>
      </c>
      <c r="N235" s="321">
        <f t="shared" ref="N235:N244" si="276">IF(AND(C235="N1", D235&gt;=6.2),120, IF(AND(C235="N1",D235&gt;=5.76),140,IF(AND(C235="N1",4.4&lt;=D235),160,IF(AND(C235="N1",4.32&lt;=D235), 180,IF(AND(C235="N1",3.33&lt;=D235),205,IF(AND(C235="N1",2.34&lt;=D235),215, IF(AND(C235="N2",D235&gt;=6.2),100, IF(AND(C235="N2",5.76&lt;=D235),115,IF(AND(C235="N2",4.4&lt;=D235),130,IF(AND(C235="N2",4.32&lt;=D235), 145, IF(AND(C235="N2",3.33&lt;=D235),165,IF(AND(C235="N2",2.34&lt;=D235),175, IF(AND(C235="N3",D235&gt;=6.2),100, IF(AND(C235="N3",5.76&lt;=D235),125,IF(AND(C235="N3",4.4&lt;=D235),155,IF(AND(C235="N3",4.32&lt;=D235),180,IF(AND(C235="N3",3.33&lt;=D235),215,IF(AND(C235="N3",2.34&lt;=D235), 225, "SAI THÔNG TIN"))))))))))))))))))</f>
        <v>120</v>
      </c>
      <c r="O235" s="321">
        <f t="shared" ref="O235:O244" si="277">P235+Q235+R235</f>
        <v>212</v>
      </c>
      <c r="P235" s="321">
        <f t="shared" ref="P235:P244" si="278">L235-T235</f>
        <v>108</v>
      </c>
      <c r="Q235" s="321">
        <f t="shared" ref="Q235:Q244" si="279">IF(OR(G235="A", I235="D"), M235, IF(G235="C", 0.6*M235, IF(OR(I235="E", I235="F"), 0.1*M235, IF(G235="B", 0, F235*M235))))</f>
        <v>104</v>
      </c>
      <c r="R235" s="321">
        <f t="shared" ref="R235:R244" si="280">IF(OR(G235="A", I235="D"), N235, IF(G235="C", 0.6*N235, IF(I235="E", 0.1*N235, IF(G235="B", 0.7*N235, 0))))</f>
        <v>0</v>
      </c>
      <c r="S235" s="321">
        <f t="shared" ref="S235:S244" si="281">T235+U235+V235</f>
        <v>438</v>
      </c>
      <c r="T235" s="321">
        <f t="shared" ref="T235:T244" si="282">L235*(1-F235)*(1-H235)*(1-J237)</f>
        <v>162</v>
      </c>
      <c r="U235" s="321">
        <f t="shared" ref="U235:V235" si="283">M235-Q235</f>
        <v>156</v>
      </c>
      <c r="V235" s="321">
        <f t="shared" si="283"/>
        <v>120</v>
      </c>
      <c r="W235" s="1090"/>
      <c r="X235" s="2664"/>
      <c r="Y235" s="2176"/>
      <c r="Z235" s="13"/>
      <c r="AA235" s="13"/>
      <c r="AB235" s="13"/>
      <c r="AC235" s="13"/>
    </row>
    <row r="236" spans="1:29" ht="15.75" customHeight="1">
      <c r="A236" s="312">
        <v>2</v>
      </c>
      <c r="B236" s="323" t="s">
        <v>2585</v>
      </c>
      <c r="C236" s="343" t="s">
        <v>2391</v>
      </c>
      <c r="D236" s="320">
        <v>4.7</v>
      </c>
      <c r="E236" s="2182">
        <v>5</v>
      </c>
      <c r="F236" s="319">
        <f t="shared" si="270"/>
        <v>0.3</v>
      </c>
      <c r="G236" s="319"/>
      <c r="H236" s="319">
        <f t="shared" si="271"/>
        <v>0</v>
      </c>
      <c r="I236" s="319"/>
      <c r="J236" s="319">
        <f t="shared" si="272"/>
        <v>0</v>
      </c>
      <c r="K236" s="321">
        <f t="shared" si="273"/>
        <v>650</v>
      </c>
      <c r="L236" s="321">
        <f t="shared" si="274"/>
        <v>350</v>
      </c>
      <c r="M236" s="321">
        <f t="shared" si="275"/>
        <v>170</v>
      </c>
      <c r="N236" s="321">
        <f t="shared" si="276"/>
        <v>130</v>
      </c>
      <c r="O236" s="321">
        <f t="shared" si="277"/>
        <v>156.00000000000003</v>
      </c>
      <c r="P236" s="321">
        <f t="shared" si="278"/>
        <v>105.00000000000003</v>
      </c>
      <c r="Q236" s="321">
        <f t="shared" si="279"/>
        <v>51</v>
      </c>
      <c r="R236" s="321">
        <f t="shared" si="280"/>
        <v>0</v>
      </c>
      <c r="S236" s="321">
        <f t="shared" si="281"/>
        <v>494</v>
      </c>
      <c r="T236" s="321">
        <f t="shared" si="282"/>
        <v>244.99999999999997</v>
      </c>
      <c r="U236" s="321">
        <f t="shared" ref="U236:V236" si="284">M236-Q236</f>
        <v>119</v>
      </c>
      <c r="V236" s="321">
        <f t="shared" si="284"/>
        <v>130</v>
      </c>
      <c r="W236" s="1090"/>
      <c r="X236" s="2664"/>
      <c r="Y236" s="2176"/>
      <c r="Z236" s="13"/>
      <c r="AA236" s="13"/>
      <c r="AB236" s="13"/>
      <c r="AC236" s="13"/>
    </row>
    <row r="237" spans="1:29" ht="15.75" customHeight="1">
      <c r="A237" s="319">
        <v>3</v>
      </c>
      <c r="B237" s="323" t="s">
        <v>2586</v>
      </c>
      <c r="C237" s="343" t="s">
        <v>2383</v>
      </c>
      <c r="D237" s="320">
        <v>5.42</v>
      </c>
      <c r="E237" s="2182">
        <v>5</v>
      </c>
      <c r="F237" s="319">
        <f t="shared" si="270"/>
        <v>0.3</v>
      </c>
      <c r="G237" s="319"/>
      <c r="H237" s="319">
        <f t="shared" si="271"/>
        <v>0</v>
      </c>
      <c r="I237" s="319"/>
      <c r="J237" s="319">
        <f t="shared" si="272"/>
        <v>0</v>
      </c>
      <c r="K237" s="321">
        <f t="shared" si="273"/>
        <v>650</v>
      </c>
      <c r="L237" s="321">
        <f t="shared" si="274"/>
        <v>200</v>
      </c>
      <c r="M237" s="321">
        <f t="shared" si="275"/>
        <v>295</v>
      </c>
      <c r="N237" s="321">
        <f t="shared" si="276"/>
        <v>155</v>
      </c>
      <c r="O237" s="321">
        <f t="shared" si="277"/>
        <v>148.5</v>
      </c>
      <c r="P237" s="321">
        <f t="shared" si="278"/>
        <v>60</v>
      </c>
      <c r="Q237" s="321">
        <f t="shared" si="279"/>
        <v>88.5</v>
      </c>
      <c r="R237" s="321">
        <f t="shared" si="280"/>
        <v>0</v>
      </c>
      <c r="S237" s="321">
        <f t="shared" si="281"/>
        <v>501.5</v>
      </c>
      <c r="T237" s="321">
        <f t="shared" si="282"/>
        <v>140</v>
      </c>
      <c r="U237" s="321">
        <f t="shared" ref="U237:V237" si="285">M237-Q237</f>
        <v>206.5</v>
      </c>
      <c r="V237" s="321">
        <f t="shared" si="285"/>
        <v>155</v>
      </c>
      <c r="W237" s="2659"/>
      <c r="X237" s="2664"/>
      <c r="Y237" s="2176"/>
      <c r="Z237" s="13"/>
      <c r="AA237" s="13"/>
      <c r="AB237" s="13"/>
      <c r="AC237" s="13"/>
    </row>
    <row r="238" spans="1:29" ht="15.75" customHeight="1">
      <c r="A238" s="319">
        <v>4</v>
      </c>
      <c r="B238" s="2602" t="s">
        <v>2587</v>
      </c>
      <c r="C238" s="343" t="s">
        <v>2391</v>
      </c>
      <c r="D238" s="320">
        <v>4.6500000000000004</v>
      </c>
      <c r="E238" s="2182">
        <v>27</v>
      </c>
      <c r="F238" s="319">
        <f t="shared" si="270"/>
        <v>0.5</v>
      </c>
      <c r="G238" s="319"/>
      <c r="H238" s="319">
        <f t="shared" si="271"/>
        <v>0</v>
      </c>
      <c r="I238" s="319"/>
      <c r="J238" s="319">
        <f t="shared" si="272"/>
        <v>0</v>
      </c>
      <c r="K238" s="321">
        <f t="shared" si="273"/>
        <v>650</v>
      </c>
      <c r="L238" s="2603">
        <f t="shared" si="274"/>
        <v>350</v>
      </c>
      <c r="M238" s="2603">
        <f t="shared" si="275"/>
        <v>170</v>
      </c>
      <c r="N238" s="2603">
        <f t="shared" si="276"/>
        <v>130</v>
      </c>
      <c r="O238" s="2603">
        <f t="shared" si="277"/>
        <v>435</v>
      </c>
      <c r="P238" s="2603">
        <f t="shared" si="278"/>
        <v>350</v>
      </c>
      <c r="Q238" s="2603">
        <f t="shared" si="279"/>
        <v>85</v>
      </c>
      <c r="R238" s="2603">
        <f t="shared" si="280"/>
        <v>0</v>
      </c>
      <c r="S238" s="2603">
        <f t="shared" si="281"/>
        <v>215</v>
      </c>
      <c r="T238" s="2603">
        <f t="shared" si="282"/>
        <v>0</v>
      </c>
      <c r="U238" s="2603">
        <f t="shared" ref="U238:V238" si="286">M238-Q238</f>
        <v>85</v>
      </c>
      <c r="V238" s="2603">
        <f t="shared" si="286"/>
        <v>130</v>
      </c>
      <c r="W238" s="2659"/>
      <c r="X238" s="2664"/>
      <c r="Y238" s="2176"/>
      <c r="Z238" s="13"/>
      <c r="AA238" s="13"/>
      <c r="AB238" s="13"/>
      <c r="AC238" s="13"/>
    </row>
    <row r="239" spans="1:29" ht="15.75" customHeight="1">
      <c r="A239" s="319">
        <v>5</v>
      </c>
      <c r="B239" s="323" t="s">
        <v>2588</v>
      </c>
      <c r="C239" s="343" t="s">
        <v>2383</v>
      </c>
      <c r="D239" s="320">
        <v>4.4000000000000004</v>
      </c>
      <c r="E239" s="2182"/>
      <c r="F239" s="319">
        <f t="shared" si="270"/>
        <v>0</v>
      </c>
      <c r="G239" s="319"/>
      <c r="H239" s="319">
        <f t="shared" si="271"/>
        <v>0</v>
      </c>
      <c r="I239" s="319"/>
      <c r="J239" s="319">
        <f t="shared" si="272"/>
        <v>0</v>
      </c>
      <c r="K239" s="321">
        <f t="shared" si="273"/>
        <v>650</v>
      </c>
      <c r="L239" s="321">
        <f t="shared" si="274"/>
        <v>200</v>
      </c>
      <c r="M239" s="321">
        <f t="shared" si="275"/>
        <v>295</v>
      </c>
      <c r="N239" s="321">
        <f t="shared" si="276"/>
        <v>155</v>
      </c>
      <c r="O239" s="321">
        <f t="shared" si="277"/>
        <v>0</v>
      </c>
      <c r="P239" s="321">
        <f t="shared" si="278"/>
        <v>0</v>
      </c>
      <c r="Q239" s="321">
        <f t="shared" si="279"/>
        <v>0</v>
      </c>
      <c r="R239" s="321">
        <f t="shared" si="280"/>
        <v>0</v>
      </c>
      <c r="S239" s="321">
        <f t="shared" si="281"/>
        <v>650</v>
      </c>
      <c r="T239" s="321">
        <f t="shared" si="282"/>
        <v>200</v>
      </c>
      <c r="U239" s="321">
        <f t="shared" ref="U239:V239" si="287">M239-Q239</f>
        <v>295</v>
      </c>
      <c r="V239" s="321">
        <f t="shared" si="287"/>
        <v>155</v>
      </c>
      <c r="W239" s="2659"/>
      <c r="X239" s="2664"/>
      <c r="Y239" s="2176"/>
      <c r="Z239" s="13"/>
      <c r="AA239" s="13"/>
      <c r="AB239" s="13"/>
      <c r="AC239" s="13"/>
    </row>
    <row r="240" spans="1:29" ht="15.75" customHeight="1">
      <c r="A240" s="319">
        <v>6</v>
      </c>
      <c r="B240" s="323" t="s">
        <v>2589</v>
      </c>
      <c r="C240" s="343" t="s">
        <v>2386</v>
      </c>
      <c r="D240" s="320">
        <v>3.66</v>
      </c>
      <c r="E240" s="2182">
        <v>20</v>
      </c>
      <c r="F240" s="319">
        <f t="shared" si="270"/>
        <v>0.1</v>
      </c>
      <c r="G240" s="319"/>
      <c r="H240" s="319">
        <f t="shared" si="271"/>
        <v>0</v>
      </c>
      <c r="I240" s="319" t="s">
        <v>215</v>
      </c>
      <c r="J240" s="319">
        <f t="shared" si="272"/>
        <v>1</v>
      </c>
      <c r="K240" s="321">
        <f t="shared" si="273"/>
        <v>650</v>
      </c>
      <c r="L240" s="321">
        <f t="shared" si="274"/>
        <v>270</v>
      </c>
      <c r="M240" s="321">
        <f t="shared" si="275"/>
        <v>175</v>
      </c>
      <c r="N240" s="321">
        <f t="shared" si="276"/>
        <v>205</v>
      </c>
      <c r="O240" s="321">
        <f t="shared" si="277"/>
        <v>407</v>
      </c>
      <c r="P240" s="321">
        <f t="shared" si="278"/>
        <v>27</v>
      </c>
      <c r="Q240" s="321">
        <f t="shared" si="279"/>
        <v>175</v>
      </c>
      <c r="R240" s="321">
        <f t="shared" si="280"/>
        <v>205</v>
      </c>
      <c r="S240" s="321">
        <f t="shared" si="281"/>
        <v>243</v>
      </c>
      <c r="T240" s="321">
        <f t="shared" si="282"/>
        <v>243</v>
      </c>
      <c r="U240" s="321">
        <f t="shared" ref="U240:V240" si="288">M240-Q240</f>
        <v>0</v>
      </c>
      <c r="V240" s="321">
        <f t="shared" si="288"/>
        <v>0</v>
      </c>
      <c r="W240" s="2659"/>
      <c r="X240" s="2664"/>
      <c r="Y240" s="2176"/>
      <c r="Z240" s="13"/>
      <c r="AA240" s="13"/>
      <c r="AB240" s="13"/>
      <c r="AC240" s="13"/>
    </row>
    <row r="241" spans="1:29" ht="15.75" customHeight="1">
      <c r="A241" s="319">
        <v>7</v>
      </c>
      <c r="B241" s="323" t="s">
        <v>2590</v>
      </c>
      <c r="C241" s="343" t="s">
        <v>2391</v>
      </c>
      <c r="D241" s="320">
        <v>4.9800000000000004</v>
      </c>
      <c r="E241" s="2182"/>
      <c r="F241" s="319">
        <f t="shared" si="270"/>
        <v>0</v>
      </c>
      <c r="G241" s="319"/>
      <c r="H241" s="319">
        <f t="shared" si="271"/>
        <v>0</v>
      </c>
      <c r="I241" s="319"/>
      <c r="J241" s="319">
        <f t="shared" si="272"/>
        <v>0</v>
      </c>
      <c r="K241" s="321">
        <f t="shared" si="273"/>
        <v>650</v>
      </c>
      <c r="L241" s="321">
        <f t="shared" si="274"/>
        <v>350</v>
      </c>
      <c r="M241" s="321">
        <f t="shared" si="275"/>
        <v>170</v>
      </c>
      <c r="N241" s="321">
        <f t="shared" si="276"/>
        <v>130</v>
      </c>
      <c r="O241" s="321">
        <f t="shared" si="277"/>
        <v>0</v>
      </c>
      <c r="P241" s="321">
        <f t="shared" si="278"/>
        <v>0</v>
      </c>
      <c r="Q241" s="321">
        <f t="shared" si="279"/>
        <v>0</v>
      </c>
      <c r="R241" s="321">
        <f t="shared" si="280"/>
        <v>0</v>
      </c>
      <c r="S241" s="321">
        <f t="shared" si="281"/>
        <v>650</v>
      </c>
      <c r="T241" s="321">
        <f t="shared" si="282"/>
        <v>350</v>
      </c>
      <c r="U241" s="321">
        <f t="shared" ref="U241:V241" si="289">M241-Q241</f>
        <v>170</v>
      </c>
      <c r="V241" s="321">
        <f t="shared" si="289"/>
        <v>130</v>
      </c>
      <c r="W241" s="2659"/>
      <c r="X241" s="2664"/>
      <c r="Y241" s="2176"/>
      <c r="Z241" s="13"/>
      <c r="AA241" s="13"/>
      <c r="AB241" s="13"/>
      <c r="AC241" s="13"/>
    </row>
    <row r="242" spans="1:29" ht="15.75" customHeight="1">
      <c r="A242" s="319">
        <v>8</v>
      </c>
      <c r="B242" s="323" t="s">
        <v>2591</v>
      </c>
      <c r="C242" s="343" t="s">
        <v>2386</v>
      </c>
      <c r="D242" s="320">
        <v>3.99</v>
      </c>
      <c r="E242" s="2182"/>
      <c r="F242" s="319">
        <f t="shared" si="270"/>
        <v>0</v>
      </c>
      <c r="G242" s="319"/>
      <c r="H242" s="319">
        <f t="shared" si="271"/>
        <v>0</v>
      </c>
      <c r="I242" s="319"/>
      <c r="J242" s="319">
        <f t="shared" si="272"/>
        <v>0</v>
      </c>
      <c r="K242" s="321">
        <f t="shared" si="273"/>
        <v>650</v>
      </c>
      <c r="L242" s="321">
        <f t="shared" si="274"/>
        <v>270</v>
      </c>
      <c r="M242" s="321">
        <f t="shared" si="275"/>
        <v>175</v>
      </c>
      <c r="N242" s="321">
        <f t="shared" si="276"/>
        <v>205</v>
      </c>
      <c r="O242" s="321">
        <f t="shared" si="277"/>
        <v>0</v>
      </c>
      <c r="P242" s="321">
        <f t="shared" si="278"/>
        <v>0</v>
      </c>
      <c r="Q242" s="321">
        <f t="shared" si="279"/>
        <v>0</v>
      </c>
      <c r="R242" s="321">
        <f t="shared" si="280"/>
        <v>0</v>
      </c>
      <c r="S242" s="321">
        <f t="shared" si="281"/>
        <v>650</v>
      </c>
      <c r="T242" s="321">
        <f t="shared" si="282"/>
        <v>270</v>
      </c>
      <c r="U242" s="321">
        <f t="shared" ref="U242:V242" si="290">M242-Q242</f>
        <v>175</v>
      </c>
      <c r="V242" s="321">
        <f t="shared" si="290"/>
        <v>205</v>
      </c>
      <c r="W242" s="2659"/>
      <c r="X242" s="2664"/>
      <c r="Y242" s="2176"/>
      <c r="Z242" s="13"/>
      <c r="AA242" s="13"/>
      <c r="AB242" s="13"/>
      <c r="AC242" s="13"/>
    </row>
    <row r="243" spans="1:29" ht="15.75" customHeight="1">
      <c r="A243" s="319">
        <v>9</v>
      </c>
      <c r="B243" s="323" t="s">
        <v>2592</v>
      </c>
      <c r="C243" s="343" t="s">
        <v>2386</v>
      </c>
      <c r="D243" s="320">
        <v>4.4000000000000004</v>
      </c>
      <c r="E243" s="2182">
        <v>10</v>
      </c>
      <c r="F243" s="319">
        <f t="shared" si="270"/>
        <v>0.15</v>
      </c>
      <c r="G243" s="319"/>
      <c r="H243" s="319">
        <f t="shared" si="271"/>
        <v>0</v>
      </c>
      <c r="I243" s="319"/>
      <c r="J243" s="319">
        <f t="shared" si="272"/>
        <v>0</v>
      </c>
      <c r="K243" s="321">
        <f t="shared" si="273"/>
        <v>650</v>
      </c>
      <c r="L243" s="321">
        <f t="shared" si="274"/>
        <v>270</v>
      </c>
      <c r="M243" s="321">
        <f t="shared" si="275"/>
        <v>220</v>
      </c>
      <c r="N243" s="321">
        <f t="shared" si="276"/>
        <v>160</v>
      </c>
      <c r="O243" s="321">
        <f t="shared" si="277"/>
        <v>73.5</v>
      </c>
      <c r="P243" s="321">
        <f t="shared" si="278"/>
        <v>40.5</v>
      </c>
      <c r="Q243" s="321">
        <f t="shared" si="279"/>
        <v>33</v>
      </c>
      <c r="R243" s="321">
        <f t="shared" si="280"/>
        <v>0</v>
      </c>
      <c r="S243" s="321">
        <f t="shared" si="281"/>
        <v>576.5</v>
      </c>
      <c r="T243" s="321">
        <f t="shared" si="282"/>
        <v>229.5</v>
      </c>
      <c r="U243" s="321">
        <f t="shared" ref="U243:V243" si="291">M243-Q243</f>
        <v>187</v>
      </c>
      <c r="V243" s="321">
        <f t="shared" si="291"/>
        <v>160</v>
      </c>
      <c r="W243" s="2659"/>
      <c r="X243" s="2664"/>
      <c r="Y243" s="2176"/>
      <c r="Z243" s="13"/>
      <c r="AA243" s="13"/>
      <c r="AB243" s="13"/>
      <c r="AC243" s="13"/>
    </row>
    <row r="244" spans="1:29" ht="15.75" customHeight="1">
      <c r="A244" s="319">
        <v>10</v>
      </c>
      <c r="B244" s="323" t="s">
        <v>2593</v>
      </c>
      <c r="C244" s="343" t="s">
        <v>2386</v>
      </c>
      <c r="D244" s="320">
        <v>3</v>
      </c>
      <c r="E244" s="2182">
        <v>15</v>
      </c>
      <c r="F244" s="319">
        <f t="shared" si="270"/>
        <v>0.15</v>
      </c>
      <c r="G244" s="319"/>
      <c r="H244" s="319">
        <f t="shared" si="271"/>
        <v>0</v>
      </c>
      <c r="I244" s="319"/>
      <c r="J244" s="319">
        <f t="shared" si="272"/>
        <v>0</v>
      </c>
      <c r="K244" s="321">
        <f t="shared" si="273"/>
        <v>650</v>
      </c>
      <c r="L244" s="321">
        <f t="shared" si="274"/>
        <v>270</v>
      </c>
      <c r="M244" s="321">
        <f t="shared" si="275"/>
        <v>165</v>
      </c>
      <c r="N244" s="321">
        <f t="shared" si="276"/>
        <v>215</v>
      </c>
      <c r="O244" s="321">
        <f t="shared" si="277"/>
        <v>65.25</v>
      </c>
      <c r="P244" s="321">
        <f t="shared" si="278"/>
        <v>40.5</v>
      </c>
      <c r="Q244" s="321">
        <f t="shared" si="279"/>
        <v>24.75</v>
      </c>
      <c r="R244" s="321">
        <f t="shared" si="280"/>
        <v>0</v>
      </c>
      <c r="S244" s="321">
        <f t="shared" si="281"/>
        <v>584.75</v>
      </c>
      <c r="T244" s="321">
        <f t="shared" si="282"/>
        <v>229.5</v>
      </c>
      <c r="U244" s="321">
        <f t="shared" ref="U244:V244" si="292">M244-Q244</f>
        <v>140.25</v>
      </c>
      <c r="V244" s="321">
        <f t="shared" si="292"/>
        <v>215</v>
      </c>
      <c r="W244" s="2659"/>
      <c r="X244" s="2664"/>
      <c r="Y244" s="2176"/>
      <c r="Z244" s="13"/>
      <c r="AA244" s="13"/>
      <c r="AB244" s="13"/>
      <c r="AC244" s="13"/>
    </row>
    <row r="245" spans="1:29" ht="15.75" customHeight="1">
      <c r="A245" s="2965" t="s">
        <v>2421</v>
      </c>
      <c r="B245" s="2783"/>
      <c r="C245" s="368"/>
      <c r="D245" s="328"/>
      <c r="E245" s="369"/>
      <c r="F245" s="367"/>
      <c r="G245" s="370"/>
      <c r="H245" s="370"/>
      <c r="I245" s="367"/>
      <c r="J245" s="367"/>
      <c r="K245" s="401">
        <f t="shared" ref="K245:V245" si="293">SUM(K235:K244)</f>
        <v>6500</v>
      </c>
      <c r="L245" s="401">
        <f t="shared" si="293"/>
        <v>2800</v>
      </c>
      <c r="M245" s="401">
        <f t="shared" si="293"/>
        <v>2095</v>
      </c>
      <c r="N245" s="401">
        <f t="shared" si="293"/>
        <v>1605</v>
      </c>
      <c r="O245" s="401">
        <f t="shared" si="293"/>
        <v>1497.25</v>
      </c>
      <c r="P245" s="401">
        <f t="shared" si="293"/>
        <v>731</v>
      </c>
      <c r="Q245" s="401">
        <f t="shared" si="293"/>
        <v>561.25</v>
      </c>
      <c r="R245" s="401">
        <f t="shared" si="293"/>
        <v>205</v>
      </c>
      <c r="S245" s="401">
        <f t="shared" si="293"/>
        <v>5002.75</v>
      </c>
      <c r="T245" s="401">
        <f t="shared" si="293"/>
        <v>2069</v>
      </c>
      <c r="U245" s="401">
        <f t="shared" si="293"/>
        <v>1533.75</v>
      </c>
      <c r="V245" s="401">
        <f t="shared" si="293"/>
        <v>1400</v>
      </c>
      <c r="W245" s="2660"/>
      <c r="X245" s="2668"/>
      <c r="Y245" s="1876"/>
      <c r="Z245" s="13"/>
      <c r="AA245" s="13"/>
      <c r="AB245" s="13"/>
      <c r="AC245" s="13"/>
    </row>
    <row r="246" spans="1:29" ht="15.75" customHeight="1">
      <c r="A246" s="310"/>
      <c r="B246" s="310"/>
      <c r="C246" s="345"/>
      <c r="D246" s="346"/>
      <c r="E246" s="347"/>
      <c r="F246" s="319"/>
      <c r="G246" s="310"/>
      <c r="H246" s="310"/>
      <c r="I246" s="310"/>
      <c r="J246" s="310"/>
      <c r="K246" s="331">
        <f>K245-SUM(L245:N245)</f>
        <v>0</v>
      </c>
      <c r="L246" s="331"/>
      <c r="M246" s="331"/>
      <c r="N246" s="331"/>
      <c r="O246" s="331">
        <f>O245-SUM(P245:R245)</f>
        <v>0</v>
      </c>
      <c r="P246" s="331"/>
      <c r="Q246" s="331"/>
      <c r="R246" s="331"/>
      <c r="S246" s="331">
        <f>S245-SUM(T245:V245)</f>
        <v>0</v>
      </c>
      <c r="T246" s="310"/>
      <c r="U246" s="310"/>
      <c r="V246" s="310"/>
      <c r="W246" s="345"/>
      <c r="X246" s="2664"/>
      <c r="Y246" s="2176"/>
      <c r="Z246" s="13"/>
      <c r="AA246" s="13"/>
      <c r="AB246" s="13"/>
      <c r="AC246" s="13"/>
    </row>
    <row r="247" spans="1:29" ht="15.75" customHeight="1">
      <c r="A247" s="309" t="s">
        <v>2594</v>
      </c>
      <c r="B247" s="309" t="s">
        <v>2595</v>
      </c>
      <c r="C247" s="345"/>
      <c r="D247" s="346"/>
      <c r="E247" s="347"/>
      <c r="F247" s="319"/>
      <c r="G247" s="310"/>
      <c r="H247" s="310"/>
      <c r="I247" s="310"/>
      <c r="J247" s="310"/>
      <c r="K247" s="310"/>
      <c r="L247" s="310"/>
      <c r="M247" s="310"/>
      <c r="N247" s="310"/>
      <c r="O247" s="310"/>
      <c r="P247" s="310"/>
      <c r="Q247" s="310"/>
      <c r="R247" s="313"/>
      <c r="S247" s="310"/>
      <c r="T247" s="310"/>
      <c r="U247" s="310"/>
      <c r="V247" s="310"/>
      <c r="W247" s="345"/>
      <c r="X247" s="2664"/>
      <c r="Y247" s="2176"/>
      <c r="Z247" s="13"/>
      <c r="AA247" s="13"/>
      <c r="AB247" s="13"/>
      <c r="AC247" s="13"/>
    </row>
    <row r="248" spans="1:29" ht="15.75" customHeight="1">
      <c r="A248" s="307"/>
      <c r="B248" s="315" t="s">
        <v>2596</v>
      </c>
      <c r="C248" s="336"/>
      <c r="D248" s="341"/>
      <c r="E248" s="342"/>
      <c r="F248" s="319"/>
      <c r="G248" s="315"/>
      <c r="H248" s="350"/>
      <c r="I248" s="2896" t="s">
        <v>2597</v>
      </c>
      <c r="J248" s="2179"/>
      <c r="K248" s="2966" t="s">
        <v>2354</v>
      </c>
      <c r="L248" s="2782"/>
      <c r="M248" s="2782"/>
      <c r="N248" s="2783"/>
      <c r="O248" s="2966" t="s">
        <v>2355</v>
      </c>
      <c r="P248" s="2782"/>
      <c r="Q248" s="2782"/>
      <c r="R248" s="2783"/>
      <c r="S248" s="2966" t="s">
        <v>2356</v>
      </c>
      <c r="T248" s="2782"/>
      <c r="U248" s="2782"/>
      <c r="V248" s="2783"/>
      <c r="W248" s="2967" t="s">
        <v>32</v>
      </c>
      <c r="X248" s="2664"/>
      <c r="Y248" s="2176"/>
      <c r="Z248" s="13"/>
      <c r="AA248" s="13"/>
      <c r="AB248" s="13"/>
      <c r="AC248" s="13"/>
    </row>
    <row r="249" spans="1:29" ht="75" customHeight="1">
      <c r="A249" s="307"/>
      <c r="B249" s="315" t="s">
        <v>2598</v>
      </c>
      <c r="C249" s="336"/>
      <c r="D249" s="337" t="s">
        <v>2599</v>
      </c>
      <c r="E249" s="338"/>
      <c r="F249" s="319"/>
      <c r="G249" s="314"/>
      <c r="H249" s="339"/>
      <c r="I249" s="2779"/>
      <c r="J249" s="340"/>
      <c r="K249" s="307" t="s">
        <v>1911</v>
      </c>
      <c r="L249" s="307" t="s">
        <v>2364</v>
      </c>
      <c r="M249" s="307" t="s">
        <v>2365</v>
      </c>
      <c r="N249" s="307" t="s">
        <v>2366</v>
      </c>
      <c r="O249" s="307" t="s">
        <v>1911</v>
      </c>
      <c r="P249" s="307" t="s">
        <v>2364</v>
      </c>
      <c r="Q249" s="307" t="s">
        <v>2365</v>
      </c>
      <c r="R249" s="307" t="s">
        <v>2366</v>
      </c>
      <c r="S249" s="307" t="s">
        <v>1911</v>
      </c>
      <c r="T249" s="307" t="s">
        <v>2364</v>
      </c>
      <c r="U249" s="307" t="s">
        <v>2365</v>
      </c>
      <c r="V249" s="307" t="s">
        <v>2366</v>
      </c>
      <c r="W249" s="2968"/>
      <c r="X249" s="2664"/>
      <c r="Y249" s="2176"/>
      <c r="Z249" s="13"/>
      <c r="AA249" s="13"/>
      <c r="AB249" s="13"/>
      <c r="AC249" s="13"/>
    </row>
    <row r="250" spans="1:29" ht="15.75" customHeight="1">
      <c r="A250" s="307"/>
      <c r="B250" s="315" t="s">
        <v>2600</v>
      </c>
      <c r="C250" s="336"/>
      <c r="D250" s="341"/>
      <c r="E250" s="342"/>
      <c r="F250" s="319"/>
      <c r="G250" s="315"/>
      <c r="H250" s="315"/>
      <c r="I250" s="310" t="s">
        <v>467</v>
      </c>
      <c r="J250" s="310"/>
      <c r="K250" s="310" t="s">
        <v>468</v>
      </c>
      <c r="L250" s="310" t="s">
        <v>469</v>
      </c>
      <c r="M250" s="310" t="s">
        <v>470</v>
      </c>
      <c r="N250" s="310" t="s">
        <v>471</v>
      </c>
      <c r="O250" s="310" t="s">
        <v>1536</v>
      </c>
      <c r="P250" s="310" t="s">
        <v>2368</v>
      </c>
      <c r="Q250" s="310" t="s">
        <v>474</v>
      </c>
      <c r="R250" s="311" t="s">
        <v>475</v>
      </c>
      <c r="S250" s="310" t="s">
        <v>625</v>
      </c>
      <c r="T250" s="310" t="s">
        <v>534</v>
      </c>
      <c r="U250" s="310" t="s">
        <v>535</v>
      </c>
      <c r="V250" s="310" t="s">
        <v>536</v>
      </c>
      <c r="W250" s="345" t="s">
        <v>537</v>
      </c>
      <c r="X250" s="2664"/>
      <c r="Y250" s="2176"/>
      <c r="Z250" s="13"/>
      <c r="AA250" s="13"/>
      <c r="AB250" s="13"/>
      <c r="AC250" s="13"/>
    </row>
    <row r="251" spans="1:29" ht="15.75" customHeight="1">
      <c r="A251" s="307"/>
      <c r="B251" s="315" t="s">
        <v>2380</v>
      </c>
      <c r="C251" s="336"/>
      <c r="D251" s="337"/>
      <c r="E251" s="338"/>
      <c r="F251" s="319"/>
      <c r="G251" s="307"/>
      <c r="H251" s="307"/>
      <c r="I251" s="307"/>
      <c r="J251" s="307"/>
      <c r="K251" s="307"/>
      <c r="L251" s="307"/>
      <c r="M251" s="307"/>
      <c r="N251" s="307"/>
      <c r="O251" s="307"/>
      <c r="P251" s="307"/>
      <c r="Q251" s="307"/>
      <c r="R251" s="307"/>
      <c r="S251" s="307"/>
      <c r="T251" s="307"/>
      <c r="U251" s="307"/>
      <c r="V251" s="307"/>
      <c r="W251" s="2608"/>
      <c r="X251" s="2664"/>
      <c r="Y251" s="2176"/>
      <c r="Z251" s="13"/>
      <c r="AA251" s="13"/>
      <c r="AB251" s="13"/>
      <c r="AC251" s="13"/>
    </row>
    <row r="252" spans="1:29" ht="15.75" customHeight="1">
      <c r="A252" s="307"/>
      <c r="B252" s="315" t="s">
        <v>2601</v>
      </c>
      <c r="C252" s="336"/>
      <c r="D252" s="337"/>
      <c r="E252" s="338"/>
      <c r="F252" s="319"/>
      <c r="G252" s="307"/>
      <c r="H252" s="307"/>
      <c r="I252" s="307"/>
      <c r="J252" s="307"/>
      <c r="K252" s="307"/>
      <c r="L252" s="307"/>
      <c r="M252" s="307"/>
      <c r="N252" s="307"/>
      <c r="O252" s="307"/>
      <c r="P252" s="307"/>
      <c r="Q252" s="307"/>
      <c r="R252" s="307"/>
      <c r="S252" s="307"/>
      <c r="T252" s="307"/>
      <c r="U252" s="307"/>
      <c r="V252" s="307"/>
      <c r="W252" s="2608"/>
      <c r="X252" s="2664"/>
      <c r="Y252" s="2176"/>
      <c r="Z252" s="13"/>
      <c r="AA252" s="13"/>
      <c r="AB252" s="13"/>
      <c r="AC252" s="13"/>
    </row>
    <row r="253" spans="1:29" ht="15.75" customHeight="1">
      <c r="A253" s="307"/>
      <c r="B253" s="315" t="s">
        <v>2374</v>
      </c>
      <c r="C253" s="336"/>
      <c r="D253" s="337"/>
      <c r="E253" s="338"/>
      <c r="F253" s="319"/>
      <c r="G253" s="307"/>
      <c r="H253" s="307"/>
      <c r="I253" s="307"/>
      <c r="J253" s="307"/>
      <c r="K253" s="307"/>
      <c r="L253" s="307"/>
      <c r="M253" s="307"/>
      <c r="N253" s="307"/>
      <c r="O253" s="307"/>
      <c r="P253" s="307"/>
      <c r="Q253" s="307"/>
      <c r="R253" s="307"/>
      <c r="S253" s="307"/>
      <c r="T253" s="307"/>
      <c r="U253" s="307"/>
      <c r="V253" s="307"/>
      <c r="W253" s="2608"/>
      <c r="X253" s="2664"/>
      <c r="Y253" s="2176"/>
      <c r="Z253" s="13"/>
      <c r="AA253" s="13"/>
      <c r="AB253" s="13"/>
      <c r="AC253" s="13"/>
    </row>
    <row r="254" spans="1:29" ht="15.75" customHeight="1">
      <c r="A254" s="312" t="s">
        <v>258</v>
      </c>
      <c r="B254" s="403" t="s">
        <v>1457</v>
      </c>
      <c r="C254" s="348"/>
      <c r="D254" s="328"/>
      <c r="E254" s="334"/>
      <c r="F254" s="319"/>
      <c r="G254" s="312"/>
      <c r="H254" s="312"/>
      <c r="I254" s="312"/>
      <c r="J254" s="312"/>
      <c r="K254" s="351"/>
      <c r="L254" s="351"/>
      <c r="M254" s="351"/>
      <c r="N254" s="351"/>
      <c r="O254" s="351"/>
      <c r="P254" s="351"/>
      <c r="Q254" s="351"/>
      <c r="R254" s="351"/>
      <c r="S254" s="351"/>
      <c r="T254" s="351"/>
      <c r="U254" s="351"/>
      <c r="V254" s="351"/>
      <c r="W254" s="2644"/>
      <c r="X254" s="2664"/>
      <c r="Y254" s="2176"/>
      <c r="Z254" s="13"/>
      <c r="AA254" s="13"/>
      <c r="AB254" s="13"/>
      <c r="AC254" s="13"/>
    </row>
    <row r="255" spans="1:29" ht="15.75" customHeight="1">
      <c r="A255" s="312">
        <v>1</v>
      </c>
      <c r="B255" s="404" t="s">
        <v>2602</v>
      </c>
      <c r="C255" s="393" t="s">
        <v>2386</v>
      </c>
      <c r="D255" s="405">
        <v>5.0999999999999996</v>
      </c>
      <c r="E255" s="406">
        <v>6</v>
      </c>
      <c r="F255" s="319">
        <f t="shared" ref="F255:F258" si="294">IF(E255=1, 0.75, IF(OR(E255=2, E255=14, E255=21), 0.7, IF(OR(E255=3, E255=17), 0.65, IF(E255=4, 0.4, IF(OR(E255=5, E255=6, E255=25), 0.3, IF(OR(E255=7, E255=8, E255=9, E255=26), 0.2, IF(OR(E255=10, E255=15, E255=18), 0.15, IF(OR(E255=11, E255=12, E255=16, E255=19, E255=20), 0.1, IF(E255=24, 0.35, IF(E255=27, 0.5, 0))))))))))</f>
        <v>0.3</v>
      </c>
      <c r="G255" s="319"/>
      <c r="H255" s="319">
        <f t="shared" ref="H255:H268" si="295">IF(G255="A", 1, IF(G255="B", 0.7, IF(G255="C", 0.6, 0)))</f>
        <v>0</v>
      </c>
      <c r="I255" s="319"/>
      <c r="J255" s="319">
        <f t="shared" ref="J255:J268" si="296">IF(I255="D", 1, IF(OR(I255="E", I255="F"), 0.1, 0))</f>
        <v>0</v>
      </c>
      <c r="K255" s="321">
        <f t="shared" ref="K255:K270" si="297">L255+M255+N255</f>
        <v>650</v>
      </c>
      <c r="L255" s="321">
        <f t="shared" ref="L255:L270" si="298">IF(C255="N1", 270, IF(C255="N2", 350, IF(C255="N3", 200, 0)))</f>
        <v>270</v>
      </c>
      <c r="M255" s="321">
        <f t="shared" ref="M255:M270" si="299">IF(AND(C255="N1", D255&gt;=6.2),260, IF(AND(C255="N1",D255&gt;=5.76),240,IF(AND(C255="N1",D255&gt;=4.4),220,IF(AND(C255="N1", D255&gt;=4.32), 200,IF(AND(C255="N1", D255&gt;=3.33),175,IF(AND(C255="N1", D255&gt;=2.34),165, IF(AND(C255="N2",D255&gt;=6.2),200, IF(AND(C255="N2",5.76&lt;=D255),185,IF(AND(C255="N2",4.4&lt;=D255),170,IF(AND(C255="N2",4.32&lt;=D255), 155, IF(AND(C255="N2",3.33&lt;=D255),135,IF(AND(C255="N2",2.34&lt;=D255),125, IF(AND(C255="N3",D255&gt;=6.2),350, IF(AND(C255="N3",5.76&lt;=D255),325,IF(AND(C255="N3",4.4&lt;=D255),295,IF(AND(C255="N3",4.32&lt;=D255),270,IF(AND(C255="N3",3.33&lt;=D255),235,IF(AND(C255="N3",2.34&lt;=D255), 225, "SAI THÔNG TIN"))))))))))))))))))</f>
        <v>220</v>
      </c>
      <c r="N255" s="321">
        <f t="shared" ref="N255:N270" si="300">IF(AND(C255="N1", D255&gt;=6.2),120, IF(AND(C255="N1",D255&gt;=5.76),140,IF(AND(C255="N1",4.4&lt;=D255),160,IF(AND(C255="N1",4.32&lt;=D255), 180,IF(AND(C255="N1",3.33&lt;=D255),205,IF(AND(C255="N1",2.34&lt;=D255),215, IF(AND(C255="N2",D255&gt;=6.2),100, IF(AND(C255="N2",5.76&lt;=D255),115,IF(AND(C255="N2",4.4&lt;=D255),130,IF(AND(C255="N2",4.32&lt;=D255), 145, IF(AND(C255="N2",3.33&lt;=D255),165,IF(AND(C255="N2",2.34&lt;=D255),175, IF(AND(C255="N3",D255&gt;=6.2),100, IF(AND(C255="N3",5.76&lt;=D255),125,IF(AND(C255="N3",4.4&lt;=D255),155,IF(AND(C255="N3",4.32&lt;=D255),180,IF(AND(C255="N3",3.33&lt;=D255),215,IF(AND(C255="N3",2.34&lt;=D255), 225, "SAI THÔNG TIN"))))))))))))))))))</f>
        <v>160</v>
      </c>
      <c r="O255" s="321">
        <f t="shared" ref="O255:O270" si="301">P255+Q255+R255</f>
        <v>147</v>
      </c>
      <c r="P255" s="321">
        <f t="shared" ref="P255:P270" si="302">L255-T255</f>
        <v>81</v>
      </c>
      <c r="Q255" s="321">
        <f t="shared" ref="Q255:Q270" si="303">IF(OR(G255="A", I255="D"), M255, IF(G255="C", 0.6*M255, IF(OR(I255="E", I255="F"), 0.1*M255, IF(G255="B", 0, F255*M255))))</f>
        <v>66</v>
      </c>
      <c r="R255" s="321">
        <f t="shared" ref="R255:R270" si="304">IF(OR(G255="A", I255="D"), N255, IF(G255="C", 0.6*N255, IF(I255="E", 0.1*N255, IF(G255="B", 0.7*N255, 0))))</f>
        <v>0</v>
      </c>
      <c r="S255" s="321">
        <f t="shared" ref="S255:S270" si="305">T255+U255+V255</f>
        <v>503</v>
      </c>
      <c r="T255" s="321">
        <f t="shared" ref="T255:T270" si="306">L255*(1-F255)*(1-H255)*(1-J257)</f>
        <v>189</v>
      </c>
      <c r="U255" s="321">
        <f t="shared" ref="U255:V255" si="307">M255-Q255</f>
        <v>154</v>
      </c>
      <c r="V255" s="321">
        <f t="shared" si="307"/>
        <v>160</v>
      </c>
      <c r="W255" s="1090"/>
      <c r="X255" s="2664"/>
      <c r="Y255" s="2176"/>
      <c r="Z255" s="13"/>
      <c r="AA255" s="13"/>
      <c r="AB255" s="13"/>
      <c r="AC255" s="13"/>
    </row>
    <row r="256" spans="1:29" ht="15.75" customHeight="1">
      <c r="A256" s="312">
        <v>2</v>
      </c>
      <c r="B256" s="404" t="s">
        <v>2603</v>
      </c>
      <c r="C256" s="2186" t="s">
        <v>2386</v>
      </c>
      <c r="D256" s="405">
        <v>3.66</v>
      </c>
      <c r="E256" s="2189">
        <v>2</v>
      </c>
      <c r="F256" s="319">
        <f t="shared" si="294"/>
        <v>0.7</v>
      </c>
      <c r="G256" s="319"/>
      <c r="H256" s="319">
        <f t="shared" si="295"/>
        <v>0</v>
      </c>
      <c r="I256" s="319"/>
      <c r="J256" s="319">
        <f t="shared" si="296"/>
        <v>0</v>
      </c>
      <c r="K256" s="321">
        <f t="shared" si="297"/>
        <v>650</v>
      </c>
      <c r="L256" s="321">
        <f t="shared" si="298"/>
        <v>270</v>
      </c>
      <c r="M256" s="321">
        <f t="shared" si="299"/>
        <v>175</v>
      </c>
      <c r="N256" s="321">
        <f t="shared" si="300"/>
        <v>205</v>
      </c>
      <c r="O256" s="321">
        <f t="shared" si="301"/>
        <v>311.5</v>
      </c>
      <c r="P256" s="321">
        <f t="shared" si="302"/>
        <v>189</v>
      </c>
      <c r="Q256" s="321">
        <f t="shared" si="303"/>
        <v>122.49999999999999</v>
      </c>
      <c r="R256" s="321">
        <f t="shared" si="304"/>
        <v>0</v>
      </c>
      <c r="S256" s="321">
        <f t="shared" si="305"/>
        <v>338.5</v>
      </c>
      <c r="T256" s="321">
        <f t="shared" si="306"/>
        <v>81.000000000000014</v>
      </c>
      <c r="U256" s="321">
        <f t="shared" ref="U256:V256" si="308">M256-Q256</f>
        <v>52.500000000000014</v>
      </c>
      <c r="V256" s="321">
        <f t="shared" si="308"/>
        <v>205</v>
      </c>
      <c r="W256" s="1090"/>
      <c r="X256" s="2664"/>
      <c r="Y256" s="2176"/>
      <c r="Z256" s="13"/>
      <c r="AA256" s="13"/>
      <c r="AB256" s="13"/>
      <c r="AC256" s="13"/>
    </row>
    <row r="257" spans="1:29" ht="15.75" customHeight="1">
      <c r="A257" s="312">
        <v>3</v>
      </c>
      <c r="B257" s="404" t="s">
        <v>2604</v>
      </c>
      <c r="C257" s="2186" t="s">
        <v>2383</v>
      </c>
      <c r="D257" s="405">
        <v>4.4000000000000004</v>
      </c>
      <c r="E257" s="2189">
        <v>19</v>
      </c>
      <c r="F257" s="319">
        <f t="shared" si="294"/>
        <v>0.1</v>
      </c>
      <c r="G257" s="319"/>
      <c r="H257" s="319">
        <f t="shared" si="295"/>
        <v>0</v>
      </c>
      <c r="I257" s="319"/>
      <c r="J257" s="319">
        <f t="shared" si="296"/>
        <v>0</v>
      </c>
      <c r="K257" s="321">
        <f t="shared" si="297"/>
        <v>650</v>
      </c>
      <c r="L257" s="321">
        <f t="shared" si="298"/>
        <v>200</v>
      </c>
      <c r="M257" s="321">
        <f t="shared" si="299"/>
        <v>295</v>
      </c>
      <c r="N257" s="321">
        <f t="shared" si="300"/>
        <v>155</v>
      </c>
      <c r="O257" s="321">
        <f t="shared" si="301"/>
        <v>49.5</v>
      </c>
      <c r="P257" s="321">
        <f t="shared" si="302"/>
        <v>20</v>
      </c>
      <c r="Q257" s="321">
        <f t="shared" si="303"/>
        <v>29.5</v>
      </c>
      <c r="R257" s="321">
        <f t="shared" si="304"/>
        <v>0</v>
      </c>
      <c r="S257" s="321">
        <f t="shared" si="305"/>
        <v>600.5</v>
      </c>
      <c r="T257" s="321">
        <f t="shared" si="306"/>
        <v>180</v>
      </c>
      <c r="U257" s="321">
        <f t="shared" ref="U257:V257" si="309">M257-Q257</f>
        <v>265.5</v>
      </c>
      <c r="V257" s="321">
        <f t="shared" si="309"/>
        <v>155</v>
      </c>
      <c r="W257" s="2661"/>
      <c r="X257" s="2664"/>
      <c r="Y257" s="2176"/>
      <c r="Z257" s="13"/>
      <c r="AA257" s="13"/>
      <c r="AB257" s="13"/>
      <c r="AC257" s="13"/>
    </row>
    <row r="258" spans="1:29" ht="15.75" customHeight="1">
      <c r="A258" s="312">
        <v>4</v>
      </c>
      <c r="B258" s="404" t="s">
        <v>2605</v>
      </c>
      <c r="C258" s="2186" t="s">
        <v>2391</v>
      </c>
      <c r="D258" s="405">
        <v>3.66</v>
      </c>
      <c r="E258" s="2189">
        <v>10</v>
      </c>
      <c r="F258" s="319">
        <f t="shared" si="294"/>
        <v>0.15</v>
      </c>
      <c r="G258" s="319"/>
      <c r="H258" s="319">
        <f t="shared" si="295"/>
        <v>0</v>
      </c>
      <c r="I258" s="319"/>
      <c r="J258" s="319">
        <f t="shared" si="296"/>
        <v>0</v>
      </c>
      <c r="K258" s="321">
        <f t="shared" si="297"/>
        <v>650</v>
      </c>
      <c r="L258" s="321">
        <f t="shared" si="298"/>
        <v>350</v>
      </c>
      <c r="M258" s="321">
        <f t="shared" si="299"/>
        <v>135</v>
      </c>
      <c r="N258" s="321">
        <f t="shared" si="300"/>
        <v>165</v>
      </c>
      <c r="O258" s="321">
        <f t="shared" si="301"/>
        <v>72.75</v>
      </c>
      <c r="P258" s="321">
        <f t="shared" si="302"/>
        <v>52.5</v>
      </c>
      <c r="Q258" s="321">
        <f t="shared" si="303"/>
        <v>20.25</v>
      </c>
      <c r="R258" s="321">
        <f t="shared" si="304"/>
        <v>0</v>
      </c>
      <c r="S258" s="321">
        <f t="shared" si="305"/>
        <v>577.25</v>
      </c>
      <c r="T258" s="321">
        <f t="shared" si="306"/>
        <v>297.5</v>
      </c>
      <c r="U258" s="321">
        <f t="shared" ref="U258:V258" si="310">M258-Q258</f>
        <v>114.75</v>
      </c>
      <c r="V258" s="321">
        <f t="shared" si="310"/>
        <v>165</v>
      </c>
      <c r="W258" s="1090"/>
      <c r="X258" s="2664"/>
      <c r="Y258" s="2176"/>
      <c r="Z258" s="13"/>
      <c r="AA258" s="13"/>
      <c r="AB258" s="13"/>
      <c r="AC258" s="13"/>
    </row>
    <row r="259" spans="1:29" ht="15.75" customHeight="1">
      <c r="A259" s="312">
        <v>5</v>
      </c>
      <c r="B259" s="404" t="s">
        <v>2606</v>
      </c>
      <c r="C259" s="2186" t="s">
        <v>2386</v>
      </c>
      <c r="D259" s="405">
        <v>3.33</v>
      </c>
      <c r="E259" s="2190"/>
      <c r="F259" s="319"/>
      <c r="G259" s="319"/>
      <c r="H259" s="319">
        <f t="shared" si="295"/>
        <v>0</v>
      </c>
      <c r="I259" s="319"/>
      <c r="J259" s="319">
        <f t="shared" si="296"/>
        <v>0</v>
      </c>
      <c r="K259" s="321">
        <f t="shared" si="297"/>
        <v>650</v>
      </c>
      <c r="L259" s="321">
        <f t="shared" si="298"/>
        <v>270</v>
      </c>
      <c r="M259" s="321">
        <f t="shared" si="299"/>
        <v>175</v>
      </c>
      <c r="N259" s="321">
        <f t="shared" si="300"/>
        <v>205</v>
      </c>
      <c r="O259" s="321">
        <f t="shared" si="301"/>
        <v>0</v>
      </c>
      <c r="P259" s="321">
        <f t="shared" si="302"/>
        <v>0</v>
      </c>
      <c r="Q259" s="321">
        <f t="shared" si="303"/>
        <v>0</v>
      </c>
      <c r="R259" s="321">
        <f t="shared" si="304"/>
        <v>0</v>
      </c>
      <c r="S259" s="321">
        <f t="shared" si="305"/>
        <v>650</v>
      </c>
      <c r="T259" s="321">
        <f t="shared" si="306"/>
        <v>270</v>
      </c>
      <c r="U259" s="321">
        <f t="shared" ref="U259:V259" si="311">M259-Q259</f>
        <v>175</v>
      </c>
      <c r="V259" s="321">
        <f t="shared" si="311"/>
        <v>205</v>
      </c>
      <c r="W259" s="1090"/>
      <c r="X259" s="2664"/>
      <c r="Y259" s="2176"/>
      <c r="Z259" s="13"/>
      <c r="AA259" s="13"/>
      <c r="AB259" s="13"/>
      <c r="AC259" s="13"/>
    </row>
    <row r="260" spans="1:29" ht="15.75" customHeight="1">
      <c r="A260" s="312">
        <v>6</v>
      </c>
      <c r="B260" s="404" t="s">
        <v>2607</v>
      </c>
      <c r="C260" s="2186" t="s">
        <v>2383</v>
      </c>
      <c r="D260" s="405">
        <v>3.33</v>
      </c>
      <c r="E260" s="2189">
        <v>10</v>
      </c>
      <c r="F260" s="319">
        <f t="shared" ref="F260:F268" si="312">IF(E260=1, 0.75, IF(OR(E260=2, E260=14, E260=21), 0.7, IF(OR(E260=3, E260=17), 0.65, IF(E260=4, 0.4, IF(OR(E260=5, E260=6, E260=25), 0.3, IF(OR(E260=7, E260=8, E260=9, E260=26), 0.2, IF(OR(E260=10, E260=15, E260=18), 0.15, IF(OR(E260=11, E260=12, E260=16, E260=19, E260=20), 0.1, IF(E260=24, 0.35, IF(E260=27, 0.5, 0))))))))))</f>
        <v>0.15</v>
      </c>
      <c r="G260" s="319"/>
      <c r="H260" s="319">
        <f t="shared" si="295"/>
        <v>0</v>
      </c>
      <c r="I260" s="319"/>
      <c r="J260" s="319">
        <f t="shared" si="296"/>
        <v>0</v>
      </c>
      <c r="K260" s="321">
        <f t="shared" si="297"/>
        <v>650</v>
      </c>
      <c r="L260" s="321">
        <f t="shared" si="298"/>
        <v>200</v>
      </c>
      <c r="M260" s="321">
        <f t="shared" si="299"/>
        <v>235</v>
      </c>
      <c r="N260" s="321">
        <f t="shared" si="300"/>
        <v>215</v>
      </c>
      <c r="O260" s="321">
        <f t="shared" si="301"/>
        <v>65.25</v>
      </c>
      <c r="P260" s="321">
        <f t="shared" si="302"/>
        <v>30</v>
      </c>
      <c r="Q260" s="321">
        <f t="shared" si="303"/>
        <v>35.25</v>
      </c>
      <c r="R260" s="321">
        <f t="shared" si="304"/>
        <v>0</v>
      </c>
      <c r="S260" s="321">
        <f t="shared" si="305"/>
        <v>584.75</v>
      </c>
      <c r="T260" s="321">
        <f t="shared" si="306"/>
        <v>170</v>
      </c>
      <c r="U260" s="321">
        <f t="shared" ref="U260:V260" si="313">M260-Q260</f>
        <v>199.75</v>
      </c>
      <c r="V260" s="321">
        <f t="shared" si="313"/>
        <v>215</v>
      </c>
      <c r="W260" s="2661"/>
      <c r="X260" s="2664"/>
      <c r="Y260" s="2176"/>
      <c r="Z260" s="13"/>
      <c r="AA260" s="13"/>
      <c r="AB260" s="13"/>
      <c r="AC260" s="13"/>
    </row>
    <row r="261" spans="1:29" ht="15.75" customHeight="1">
      <c r="A261" s="312">
        <v>7</v>
      </c>
      <c r="B261" s="404" t="s">
        <v>2608</v>
      </c>
      <c r="C261" s="2186" t="s">
        <v>2391</v>
      </c>
      <c r="D261" s="405">
        <v>4.4000000000000004</v>
      </c>
      <c r="E261" s="2189">
        <v>7</v>
      </c>
      <c r="F261" s="319">
        <f t="shared" si="312"/>
        <v>0.2</v>
      </c>
      <c r="G261" s="319"/>
      <c r="H261" s="319">
        <f t="shared" si="295"/>
        <v>0</v>
      </c>
      <c r="I261" s="319"/>
      <c r="J261" s="319">
        <f t="shared" si="296"/>
        <v>0</v>
      </c>
      <c r="K261" s="321">
        <f t="shared" si="297"/>
        <v>650</v>
      </c>
      <c r="L261" s="321">
        <f t="shared" si="298"/>
        <v>350</v>
      </c>
      <c r="M261" s="321">
        <f t="shared" si="299"/>
        <v>170</v>
      </c>
      <c r="N261" s="321">
        <f t="shared" si="300"/>
        <v>130</v>
      </c>
      <c r="O261" s="321">
        <f t="shared" si="301"/>
        <v>104</v>
      </c>
      <c r="P261" s="321">
        <f t="shared" si="302"/>
        <v>70</v>
      </c>
      <c r="Q261" s="321">
        <f t="shared" si="303"/>
        <v>34</v>
      </c>
      <c r="R261" s="321">
        <f t="shared" si="304"/>
        <v>0</v>
      </c>
      <c r="S261" s="321">
        <f t="shared" si="305"/>
        <v>546</v>
      </c>
      <c r="T261" s="321">
        <f t="shared" si="306"/>
        <v>280</v>
      </c>
      <c r="U261" s="321">
        <f t="shared" ref="U261:V261" si="314">M261-Q261</f>
        <v>136</v>
      </c>
      <c r="V261" s="321">
        <f t="shared" si="314"/>
        <v>130</v>
      </c>
      <c r="W261" s="2662"/>
      <c r="X261" s="2664"/>
      <c r="Y261" s="2176"/>
      <c r="Z261" s="13"/>
      <c r="AA261" s="13"/>
      <c r="AB261" s="13"/>
      <c r="AC261" s="13"/>
    </row>
    <row r="262" spans="1:29" ht="15.75" customHeight="1">
      <c r="A262" s="312">
        <v>8</v>
      </c>
      <c r="B262" s="404" t="s">
        <v>2609</v>
      </c>
      <c r="C262" s="2186" t="s">
        <v>2391</v>
      </c>
      <c r="D262" s="405">
        <v>4.74</v>
      </c>
      <c r="E262" s="2189">
        <v>20</v>
      </c>
      <c r="F262" s="319">
        <f t="shared" si="312"/>
        <v>0.1</v>
      </c>
      <c r="G262" s="319"/>
      <c r="H262" s="319">
        <f t="shared" si="295"/>
        <v>0</v>
      </c>
      <c r="I262" s="319"/>
      <c r="J262" s="319">
        <f t="shared" si="296"/>
        <v>0</v>
      </c>
      <c r="K262" s="321">
        <f t="shared" si="297"/>
        <v>650</v>
      </c>
      <c r="L262" s="321">
        <f t="shared" si="298"/>
        <v>350</v>
      </c>
      <c r="M262" s="321">
        <f t="shared" si="299"/>
        <v>170</v>
      </c>
      <c r="N262" s="321">
        <f t="shared" si="300"/>
        <v>130</v>
      </c>
      <c r="O262" s="321">
        <f t="shared" si="301"/>
        <v>52</v>
      </c>
      <c r="P262" s="321">
        <f t="shared" si="302"/>
        <v>35</v>
      </c>
      <c r="Q262" s="321">
        <f t="shared" si="303"/>
        <v>17</v>
      </c>
      <c r="R262" s="321">
        <f t="shared" si="304"/>
        <v>0</v>
      </c>
      <c r="S262" s="321">
        <f t="shared" si="305"/>
        <v>598</v>
      </c>
      <c r="T262" s="321">
        <f t="shared" si="306"/>
        <v>315</v>
      </c>
      <c r="U262" s="321">
        <f t="shared" ref="U262:V262" si="315">M262-Q262</f>
        <v>153</v>
      </c>
      <c r="V262" s="321">
        <f t="shared" si="315"/>
        <v>130</v>
      </c>
      <c r="W262" s="2661"/>
      <c r="X262" s="2664"/>
      <c r="Y262" s="2176"/>
      <c r="Z262" s="13"/>
      <c r="AA262" s="13"/>
      <c r="AB262" s="13"/>
      <c r="AC262" s="13"/>
    </row>
    <row r="263" spans="1:29" ht="15.75" customHeight="1">
      <c r="A263" s="312">
        <v>9</v>
      </c>
      <c r="B263" s="404" t="s">
        <v>2610</v>
      </c>
      <c r="C263" s="2186" t="s">
        <v>2386</v>
      </c>
      <c r="D263" s="405" t="s">
        <v>2387</v>
      </c>
      <c r="E263" s="2190"/>
      <c r="F263" s="319">
        <f t="shared" si="312"/>
        <v>0</v>
      </c>
      <c r="G263" s="319"/>
      <c r="H263" s="319">
        <f t="shared" si="295"/>
        <v>0</v>
      </c>
      <c r="I263" s="319"/>
      <c r="J263" s="319">
        <f t="shared" si="296"/>
        <v>0</v>
      </c>
      <c r="K263" s="321">
        <f t="shared" si="297"/>
        <v>650</v>
      </c>
      <c r="L263" s="321">
        <f t="shared" si="298"/>
        <v>270</v>
      </c>
      <c r="M263" s="321">
        <f t="shared" si="299"/>
        <v>260</v>
      </c>
      <c r="N263" s="321">
        <f t="shared" si="300"/>
        <v>120</v>
      </c>
      <c r="O263" s="321">
        <f t="shared" si="301"/>
        <v>0</v>
      </c>
      <c r="P263" s="321">
        <f t="shared" si="302"/>
        <v>0</v>
      </c>
      <c r="Q263" s="321">
        <f t="shared" si="303"/>
        <v>0</v>
      </c>
      <c r="R263" s="321">
        <f t="shared" si="304"/>
        <v>0</v>
      </c>
      <c r="S263" s="321">
        <f t="shared" si="305"/>
        <v>650</v>
      </c>
      <c r="T263" s="321">
        <f t="shared" si="306"/>
        <v>270</v>
      </c>
      <c r="U263" s="321">
        <f t="shared" ref="U263:V263" si="316">M263-Q263</f>
        <v>260</v>
      </c>
      <c r="V263" s="321">
        <f t="shared" si="316"/>
        <v>120</v>
      </c>
      <c r="W263" s="2661"/>
      <c r="X263" s="2664"/>
      <c r="Y263" s="2176"/>
      <c r="Z263" s="13"/>
      <c r="AA263" s="13"/>
      <c r="AB263" s="13"/>
      <c r="AC263" s="13"/>
    </row>
    <row r="264" spans="1:29" ht="15.75" customHeight="1">
      <c r="A264" s="312">
        <v>10</v>
      </c>
      <c r="B264" s="408" t="s">
        <v>2611</v>
      </c>
      <c r="C264" s="2186" t="s">
        <v>2386</v>
      </c>
      <c r="D264" s="405">
        <v>3.33</v>
      </c>
      <c r="E264" s="2189">
        <v>10</v>
      </c>
      <c r="F264" s="319">
        <f t="shared" si="312"/>
        <v>0.15</v>
      </c>
      <c r="G264" s="319"/>
      <c r="H264" s="319">
        <f t="shared" si="295"/>
        <v>0</v>
      </c>
      <c r="I264" s="319"/>
      <c r="J264" s="319">
        <f t="shared" si="296"/>
        <v>0</v>
      </c>
      <c r="K264" s="321">
        <f t="shared" si="297"/>
        <v>650</v>
      </c>
      <c r="L264" s="321">
        <f t="shared" si="298"/>
        <v>270</v>
      </c>
      <c r="M264" s="321">
        <f t="shared" si="299"/>
        <v>175</v>
      </c>
      <c r="N264" s="321">
        <f t="shared" si="300"/>
        <v>205</v>
      </c>
      <c r="O264" s="321">
        <f t="shared" si="301"/>
        <v>66.75</v>
      </c>
      <c r="P264" s="321">
        <f t="shared" si="302"/>
        <v>40.5</v>
      </c>
      <c r="Q264" s="321">
        <f t="shared" si="303"/>
        <v>26.25</v>
      </c>
      <c r="R264" s="321">
        <f t="shared" si="304"/>
        <v>0</v>
      </c>
      <c r="S264" s="321">
        <f t="shared" si="305"/>
        <v>583.25</v>
      </c>
      <c r="T264" s="321">
        <f t="shared" si="306"/>
        <v>229.5</v>
      </c>
      <c r="U264" s="321">
        <f t="shared" ref="U264:V264" si="317">M264-Q264</f>
        <v>148.75</v>
      </c>
      <c r="V264" s="321">
        <f t="shared" si="317"/>
        <v>205</v>
      </c>
      <c r="W264" s="2661"/>
      <c r="X264" s="2669"/>
      <c r="Y264" s="1952"/>
      <c r="Z264" s="13"/>
      <c r="AA264" s="13"/>
      <c r="AB264" s="13"/>
      <c r="AC264" s="13"/>
    </row>
    <row r="265" spans="1:29" ht="15.75" customHeight="1">
      <c r="A265" s="312">
        <v>11</v>
      </c>
      <c r="B265" s="404" t="s">
        <v>2612</v>
      </c>
      <c r="C265" s="2186" t="s">
        <v>2383</v>
      </c>
      <c r="D265" s="405">
        <v>5.0999999999999996</v>
      </c>
      <c r="E265" s="2190"/>
      <c r="F265" s="319">
        <f t="shared" si="312"/>
        <v>0</v>
      </c>
      <c r="G265" s="319"/>
      <c r="H265" s="319">
        <f t="shared" si="295"/>
        <v>0</v>
      </c>
      <c r="I265" s="319"/>
      <c r="J265" s="319">
        <f t="shared" si="296"/>
        <v>0</v>
      </c>
      <c r="K265" s="321">
        <f t="shared" si="297"/>
        <v>650</v>
      </c>
      <c r="L265" s="321">
        <f t="shared" si="298"/>
        <v>200</v>
      </c>
      <c r="M265" s="321">
        <f t="shared" si="299"/>
        <v>295</v>
      </c>
      <c r="N265" s="321">
        <f t="shared" si="300"/>
        <v>155</v>
      </c>
      <c r="O265" s="321">
        <f t="shared" si="301"/>
        <v>0</v>
      </c>
      <c r="P265" s="321">
        <f t="shared" si="302"/>
        <v>0</v>
      </c>
      <c r="Q265" s="321">
        <f t="shared" si="303"/>
        <v>0</v>
      </c>
      <c r="R265" s="321">
        <f t="shared" si="304"/>
        <v>0</v>
      </c>
      <c r="S265" s="321">
        <f t="shared" si="305"/>
        <v>650</v>
      </c>
      <c r="T265" s="321">
        <f t="shared" si="306"/>
        <v>200</v>
      </c>
      <c r="U265" s="321">
        <f t="shared" ref="U265:V265" si="318">M265-Q265</f>
        <v>295</v>
      </c>
      <c r="V265" s="321">
        <f t="shared" si="318"/>
        <v>155</v>
      </c>
      <c r="W265" s="2662"/>
      <c r="X265" s="2669"/>
      <c r="Y265" s="1952"/>
      <c r="Z265" s="13"/>
      <c r="AA265" s="13"/>
      <c r="AB265" s="13"/>
      <c r="AC265" s="13"/>
    </row>
    <row r="266" spans="1:29" ht="15.75" customHeight="1">
      <c r="A266" s="312">
        <v>12</v>
      </c>
      <c r="B266" s="404" t="s">
        <v>2613</v>
      </c>
      <c r="C266" s="2186" t="s">
        <v>2383</v>
      </c>
      <c r="D266" s="405">
        <v>4.4000000000000004</v>
      </c>
      <c r="E266" s="2190"/>
      <c r="F266" s="319">
        <f t="shared" si="312"/>
        <v>0</v>
      </c>
      <c r="G266" s="319"/>
      <c r="H266" s="319">
        <f t="shared" si="295"/>
        <v>0</v>
      </c>
      <c r="I266" s="319"/>
      <c r="J266" s="319">
        <f t="shared" si="296"/>
        <v>0</v>
      </c>
      <c r="K266" s="321">
        <f t="shared" si="297"/>
        <v>650</v>
      </c>
      <c r="L266" s="321">
        <f t="shared" si="298"/>
        <v>200</v>
      </c>
      <c r="M266" s="321">
        <f t="shared" si="299"/>
        <v>295</v>
      </c>
      <c r="N266" s="321">
        <f t="shared" si="300"/>
        <v>155</v>
      </c>
      <c r="O266" s="321">
        <f t="shared" si="301"/>
        <v>0</v>
      </c>
      <c r="P266" s="321">
        <f t="shared" si="302"/>
        <v>0</v>
      </c>
      <c r="Q266" s="321">
        <f t="shared" si="303"/>
        <v>0</v>
      </c>
      <c r="R266" s="321">
        <f t="shared" si="304"/>
        <v>0</v>
      </c>
      <c r="S266" s="321">
        <f t="shared" si="305"/>
        <v>650</v>
      </c>
      <c r="T266" s="321">
        <f t="shared" si="306"/>
        <v>200</v>
      </c>
      <c r="U266" s="321">
        <f t="shared" ref="U266:V266" si="319">M266-Q266</f>
        <v>295</v>
      </c>
      <c r="V266" s="321">
        <f t="shared" si="319"/>
        <v>155</v>
      </c>
      <c r="W266" s="2661"/>
      <c r="X266" s="2669"/>
      <c r="Y266" s="1952"/>
      <c r="Z266" s="13"/>
      <c r="AA266" s="13"/>
      <c r="AB266" s="13"/>
      <c r="AC266" s="13"/>
    </row>
    <row r="267" spans="1:29" ht="15.75" customHeight="1">
      <c r="A267" s="312">
        <v>13</v>
      </c>
      <c r="B267" s="404" t="s">
        <v>2614</v>
      </c>
      <c r="C267" s="2186" t="s">
        <v>2391</v>
      </c>
      <c r="D267" s="405">
        <v>3.66</v>
      </c>
      <c r="E267" s="2190"/>
      <c r="F267" s="319">
        <f t="shared" si="312"/>
        <v>0</v>
      </c>
      <c r="G267" s="319"/>
      <c r="H267" s="319">
        <f t="shared" si="295"/>
        <v>0</v>
      </c>
      <c r="I267" s="319"/>
      <c r="J267" s="319">
        <f t="shared" si="296"/>
        <v>0</v>
      </c>
      <c r="K267" s="321">
        <f t="shared" si="297"/>
        <v>650</v>
      </c>
      <c r="L267" s="321">
        <f t="shared" si="298"/>
        <v>350</v>
      </c>
      <c r="M267" s="321">
        <f t="shared" si="299"/>
        <v>135</v>
      </c>
      <c r="N267" s="321">
        <f t="shared" si="300"/>
        <v>165</v>
      </c>
      <c r="O267" s="321">
        <f t="shared" si="301"/>
        <v>0</v>
      </c>
      <c r="P267" s="321">
        <f t="shared" si="302"/>
        <v>0</v>
      </c>
      <c r="Q267" s="321">
        <f t="shared" si="303"/>
        <v>0</v>
      </c>
      <c r="R267" s="321">
        <f t="shared" si="304"/>
        <v>0</v>
      </c>
      <c r="S267" s="321">
        <f t="shared" si="305"/>
        <v>650</v>
      </c>
      <c r="T267" s="321">
        <f t="shared" si="306"/>
        <v>350</v>
      </c>
      <c r="U267" s="321">
        <f t="shared" ref="U267:V267" si="320">M267-Q267</f>
        <v>135</v>
      </c>
      <c r="V267" s="321">
        <f t="shared" si="320"/>
        <v>165</v>
      </c>
      <c r="W267" s="2661"/>
      <c r="X267" s="2669"/>
      <c r="Y267" s="1952"/>
      <c r="Z267" s="13"/>
      <c r="AA267" s="13"/>
      <c r="AB267" s="13"/>
      <c r="AC267" s="13"/>
    </row>
    <row r="268" spans="1:29" ht="15.75" customHeight="1">
      <c r="A268" s="312">
        <v>14</v>
      </c>
      <c r="B268" s="408" t="s">
        <v>2615</v>
      </c>
      <c r="C268" s="2186" t="s">
        <v>2386</v>
      </c>
      <c r="D268" s="405">
        <v>2.67</v>
      </c>
      <c r="E268" s="2189">
        <v>19</v>
      </c>
      <c r="F268" s="319">
        <f t="shared" si="312"/>
        <v>0.1</v>
      </c>
      <c r="G268" s="319"/>
      <c r="H268" s="319">
        <f t="shared" si="295"/>
        <v>0</v>
      </c>
      <c r="I268" s="319"/>
      <c r="J268" s="319">
        <f t="shared" si="296"/>
        <v>0</v>
      </c>
      <c r="K268" s="321">
        <f t="shared" si="297"/>
        <v>650</v>
      </c>
      <c r="L268" s="321">
        <f t="shared" si="298"/>
        <v>270</v>
      </c>
      <c r="M268" s="321">
        <f t="shared" si="299"/>
        <v>165</v>
      </c>
      <c r="N268" s="321">
        <f t="shared" si="300"/>
        <v>215</v>
      </c>
      <c r="O268" s="321">
        <f t="shared" si="301"/>
        <v>43.5</v>
      </c>
      <c r="P268" s="321">
        <f t="shared" si="302"/>
        <v>27</v>
      </c>
      <c r="Q268" s="321">
        <f t="shared" si="303"/>
        <v>16.5</v>
      </c>
      <c r="R268" s="321">
        <f t="shared" si="304"/>
        <v>0</v>
      </c>
      <c r="S268" s="321">
        <f t="shared" si="305"/>
        <v>606.5</v>
      </c>
      <c r="T268" s="321">
        <f t="shared" si="306"/>
        <v>243</v>
      </c>
      <c r="U268" s="321">
        <f t="shared" ref="U268:V268" si="321">M268-Q268</f>
        <v>148.5</v>
      </c>
      <c r="V268" s="321">
        <f t="shared" si="321"/>
        <v>215</v>
      </c>
      <c r="W268" s="2661"/>
      <c r="X268" s="2669"/>
      <c r="Y268" s="1952"/>
      <c r="Z268" s="13"/>
      <c r="AA268" s="13"/>
      <c r="AB268" s="13"/>
      <c r="AC268" s="13"/>
    </row>
    <row r="269" spans="1:29" ht="15.75" customHeight="1">
      <c r="A269" s="312">
        <v>15</v>
      </c>
      <c r="B269" s="409" t="s">
        <v>2616</v>
      </c>
      <c r="C269" s="2186" t="s">
        <v>2386</v>
      </c>
      <c r="D269" s="378">
        <v>2.34</v>
      </c>
      <c r="E269" s="2189"/>
      <c r="F269" s="319"/>
      <c r="G269" s="319"/>
      <c r="H269" s="319">
        <v>0</v>
      </c>
      <c r="I269" s="319"/>
      <c r="J269" s="319">
        <v>0</v>
      </c>
      <c r="K269" s="321">
        <f t="shared" si="297"/>
        <v>650</v>
      </c>
      <c r="L269" s="321">
        <f t="shared" si="298"/>
        <v>270</v>
      </c>
      <c r="M269" s="321">
        <f t="shared" si="299"/>
        <v>165</v>
      </c>
      <c r="N269" s="321">
        <f t="shared" si="300"/>
        <v>215</v>
      </c>
      <c r="O269" s="321">
        <f t="shared" si="301"/>
        <v>0</v>
      </c>
      <c r="P269" s="321">
        <f t="shared" si="302"/>
        <v>0</v>
      </c>
      <c r="Q269" s="321">
        <f t="shared" si="303"/>
        <v>0</v>
      </c>
      <c r="R269" s="321">
        <f t="shared" si="304"/>
        <v>0</v>
      </c>
      <c r="S269" s="321">
        <f t="shared" si="305"/>
        <v>650</v>
      </c>
      <c r="T269" s="321">
        <f t="shared" si="306"/>
        <v>270</v>
      </c>
      <c r="U269" s="321">
        <f t="shared" ref="U269:V269" si="322">M269-Q269</f>
        <v>165</v>
      </c>
      <c r="V269" s="321">
        <f t="shared" si="322"/>
        <v>215</v>
      </c>
      <c r="W269" s="2661"/>
      <c r="X269" s="2669"/>
      <c r="Y269" s="1952"/>
      <c r="Z269" s="13"/>
      <c r="AA269" s="13"/>
      <c r="AB269" s="13"/>
      <c r="AC269" s="13"/>
    </row>
    <row r="270" spans="1:29" ht="15.75" customHeight="1">
      <c r="A270" s="312">
        <v>16</v>
      </c>
      <c r="B270" s="409" t="s">
        <v>2617</v>
      </c>
      <c r="C270" s="2186" t="s">
        <v>2386</v>
      </c>
      <c r="D270" s="378">
        <v>2.34</v>
      </c>
      <c r="E270" s="2189"/>
      <c r="F270" s="319">
        <f>IF(E270=1, 0.75, IF(OR(E270=2, E270=14, E270=21), 0.7, IF(OR(E270=3, E270=17), 0.65, IF(E270=4, 0.4, IF(OR(E270=5, E270=6, E270=25), 0.3, IF(OR(E270=7, E270=8, E270=9, E270=26), 0.2, IF(OR(E270=10, E270=15, E270=18), 0.15, IF(OR(E270=11, E270=12, E270=16, E270=19, E270=20), 0.1, IF(E270=24, 0.35, IF(E270=27, 0.5, 0))))))))))</f>
        <v>0</v>
      </c>
      <c r="G270" s="319"/>
      <c r="H270" s="319">
        <f>IF(G270="A", 1, IF(G270="B", 0.7, IF(G270="C", 0.6, 0)))</f>
        <v>0</v>
      </c>
      <c r="I270" s="319"/>
      <c r="J270" s="319">
        <f>IF(I270="D", 1, IF(OR(I270="E", I270="F"), 0.1, 0))</f>
        <v>0</v>
      </c>
      <c r="K270" s="321">
        <f t="shared" si="297"/>
        <v>650</v>
      </c>
      <c r="L270" s="321">
        <f t="shared" si="298"/>
        <v>270</v>
      </c>
      <c r="M270" s="321">
        <f t="shared" si="299"/>
        <v>165</v>
      </c>
      <c r="N270" s="321">
        <f t="shared" si="300"/>
        <v>215</v>
      </c>
      <c r="O270" s="321">
        <f t="shared" si="301"/>
        <v>0</v>
      </c>
      <c r="P270" s="321">
        <f t="shared" si="302"/>
        <v>0</v>
      </c>
      <c r="Q270" s="321">
        <f t="shared" si="303"/>
        <v>0</v>
      </c>
      <c r="R270" s="321">
        <f t="shared" si="304"/>
        <v>0</v>
      </c>
      <c r="S270" s="321">
        <f t="shared" si="305"/>
        <v>650</v>
      </c>
      <c r="T270" s="321">
        <f t="shared" si="306"/>
        <v>270</v>
      </c>
      <c r="U270" s="321">
        <f t="shared" ref="U270:V270" si="323">M270-Q270</f>
        <v>165</v>
      </c>
      <c r="V270" s="321">
        <f t="shared" si="323"/>
        <v>215</v>
      </c>
      <c r="W270" s="2661"/>
      <c r="X270" s="2669"/>
      <c r="Y270" s="1952"/>
      <c r="Z270" s="13"/>
      <c r="AA270" s="13"/>
      <c r="AB270" s="13"/>
      <c r="AC270" s="13"/>
    </row>
    <row r="271" spans="1:29" ht="21" customHeight="1">
      <c r="A271" s="2965" t="s">
        <v>2421</v>
      </c>
      <c r="B271" s="2783"/>
      <c r="C271" s="368"/>
      <c r="D271" s="328"/>
      <c r="E271" s="369"/>
      <c r="F271" s="367"/>
      <c r="G271" s="370"/>
      <c r="H271" s="370"/>
      <c r="I271" s="367"/>
      <c r="J271" s="367"/>
      <c r="K271" s="401">
        <f t="shared" ref="K271:V271" si="324">SUM(K255:K270)</f>
        <v>10400</v>
      </c>
      <c r="L271" s="401">
        <f t="shared" si="324"/>
        <v>4360</v>
      </c>
      <c r="M271" s="401">
        <f t="shared" si="324"/>
        <v>3230</v>
      </c>
      <c r="N271" s="401">
        <f t="shared" si="324"/>
        <v>2810</v>
      </c>
      <c r="O271" s="401">
        <f t="shared" si="324"/>
        <v>912.25</v>
      </c>
      <c r="P271" s="401">
        <f t="shared" si="324"/>
        <v>545</v>
      </c>
      <c r="Q271" s="401">
        <f t="shared" si="324"/>
        <v>367.25</v>
      </c>
      <c r="R271" s="401">
        <f t="shared" si="324"/>
        <v>0</v>
      </c>
      <c r="S271" s="401">
        <f t="shared" si="324"/>
        <v>9487.75</v>
      </c>
      <c r="T271" s="401">
        <f t="shared" si="324"/>
        <v>3815</v>
      </c>
      <c r="U271" s="401">
        <f t="shared" si="324"/>
        <v>2862.75</v>
      </c>
      <c r="V271" s="401">
        <f t="shared" si="324"/>
        <v>2810</v>
      </c>
      <c r="W271" s="2660"/>
      <c r="X271" s="2668"/>
      <c r="Y271" s="1952"/>
      <c r="Z271" s="13"/>
      <c r="AA271" s="13"/>
      <c r="AB271" s="13"/>
      <c r="AC271" s="13"/>
    </row>
    <row r="272" spans="1:29" ht="21" customHeight="1">
      <c r="A272" s="384">
        <v>13</v>
      </c>
      <c r="B272" s="317" t="s">
        <v>2618</v>
      </c>
      <c r="C272" s="410"/>
      <c r="D272" s="411"/>
      <c r="E272" s="412"/>
      <c r="F272" s="411"/>
      <c r="G272" s="411"/>
      <c r="H272" s="411"/>
      <c r="I272" s="411"/>
      <c r="J272" s="411"/>
      <c r="K272" s="331">
        <f>K271-SUM(L271:N271)</f>
        <v>0</v>
      </c>
      <c r="L272" s="331"/>
      <c r="M272" s="331"/>
      <c r="N272" s="331"/>
      <c r="O272" s="331">
        <f>O271-SUM(P271:R271)</f>
        <v>0</v>
      </c>
      <c r="P272" s="331"/>
      <c r="Q272" s="331"/>
      <c r="R272" s="331"/>
      <c r="S272" s="331">
        <f>S271-SUM(T271:V271)</f>
        <v>0</v>
      </c>
      <c r="T272" s="331"/>
      <c r="U272" s="331"/>
      <c r="V272" s="331"/>
      <c r="W272" s="2663"/>
      <c r="X272" s="2669"/>
      <c r="Y272" s="1952"/>
      <c r="Z272" s="13"/>
      <c r="AA272" s="13"/>
      <c r="AB272" s="13"/>
      <c r="AC272" s="13"/>
    </row>
    <row r="273" spans="1:29" ht="12" customHeight="1">
      <c r="A273" s="384"/>
      <c r="B273" s="384"/>
      <c r="C273" s="410"/>
      <c r="D273" s="411"/>
      <c r="E273" s="412"/>
      <c r="F273" s="411"/>
      <c r="G273" s="411"/>
      <c r="H273" s="411"/>
      <c r="I273" s="411"/>
      <c r="J273" s="411"/>
      <c r="K273" s="331"/>
      <c r="L273" s="331"/>
      <c r="M273" s="331"/>
      <c r="N273" s="331"/>
      <c r="O273" s="331"/>
      <c r="P273" s="331"/>
      <c r="Q273" s="331"/>
      <c r="R273" s="331"/>
      <c r="S273" s="331"/>
      <c r="T273" s="331"/>
      <c r="U273" s="331"/>
      <c r="V273" s="331"/>
      <c r="W273" s="2663"/>
      <c r="X273" s="2669"/>
      <c r="Y273" s="1952"/>
      <c r="Z273" s="13"/>
      <c r="AA273" s="13"/>
      <c r="AB273" s="13"/>
      <c r="AC273" s="13"/>
    </row>
    <row r="274" spans="1:29" ht="12" customHeight="1">
      <c r="A274" s="384"/>
      <c r="B274" s="384"/>
      <c r="C274" s="410"/>
      <c r="D274" s="411"/>
      <c r="E274" s="412"/>
      <c r="F274" s="411"/>
      <c r="G274" s="411"/>
      <c r="H274" s="411"/>
      <c r="I274" s="411"/>
      <c r="J274" s="411"/>
      <c r="K274" s="331"/>
      <c r="L274" s="331"/>
      <c r="M274" s="331"/>
      <c r="N274" s="331"/>
      <c r="O274" s="331"/>
      <c r="P274" s="331"/>
      <c r="Q274" s="331"/>
      <c r="R274" s="331"/>
      <c r="S274" s="331"/>
      <c r="T274" s="331"/>
      <c r="U274" s="331"/>
      <c r="V274" s="331"/>
      <c r="W274" s="2663"/>
      <c r="X274" s="2669"/>
      <c r="Y274" s="1952"/>
      <c r="Z274" s="13"/>
      <c r="AA274" s="13"/>
      <c r="AB274" s="13"/>
      <c r="AC274" s="13"/>
    </row>
    <row r="275" spans="1:29" ht="12" customHeight="1">
      <c r="A275" s="384"/>
      <c r="B275" s="384"/>
      <c r="C275" s="410"/>
      <c r="D275" s="411"/>
      <c r="E275" s="412"/>
      <c r="F275" s="411"/>
      <c r="G275" s="411"/>
      <c r="H275" s="411"/>
      <c r="I275" s="411"/>
      <c r="J275" s="411"/>
      <c r="K275" s="331"/>
      <c r="L275" s="331"/>
      <c r="M275" s="331"/>
      <c r="N275" s="331"/>
      <c r="O275" s="331"/>
      <c r="P275" s="331"/>
      <c r="Q275" s="331"/>
      <c r="R275" s="331"/>
      <c r="S275" s="331"/>
      <c r="T275" s="331"/>
      <c r="U275" s="331"/>
      <c r="V275" s="331"/>
      <c r="W275" s="2663"/>
      <c r="X275" s="2669"/>
      <c r="Y275" s="1952"/>
      <c r="Z275" s="13"/>
      <c r="AA275" s="13"/>
      <c r="AB275" s="13"/>
      <c r="AC275" s="13"/>
    </row>
    <row r="276" spans="1:29" ht="12" customHeight="1">
      <c r="A276" s="384"/>
      <c r="B276" s="384"/>
      <c r="C276" s="410"/>
      <c r="D276" s="411"/>
      <c r="E276" s="412"/>
      <c r="F276" s="411"/>
      <c r="G276" s="411"/>
      <c r="H276" s="411"/>
      <c r="I276" s="411"/>
      <c r="J276" s="411"/>
      <c r="K276" s="331"/>
      <c r="L276" s="331"/>
      <c r="M276" s="331"/>
      <c r="N276" s="331"/>
      <c r="O276" s="331"/>
      <c r="P276" s="331"/>
      <c r="Q276" s="331"/>
      <c r="R276" s="331"/>
      <c r="S276" s="331"/>
      <c r="T276" s="331"/>
      <c r="U276" s="331"/>
      <c r="V276" s="331"/>
      <c r="W276" s="2663"/>
      <c r="X276" s="2669"/>
      <c r="Y276" s="1952"/>
      <c r="Z276" s="13"/>
      <c r="AA276" s="13"/>
      <c r="AB276" s="13"/>
      <c r="AC276" s="13"/>
    </row>
    <row r="277" spans="1:29" ht="12" customHeight="1">
      <c r="A277" s="384"/>
      <c r="B277" s="384"/>
      <c r="C277" s="410"/>
      <c r="D277" s="411"/>
      <c r="E277" s="412"/>
      <c r="F277" s="411"/>
      <c r="G277" s="411"/>
      <c r="H277" s="411"/>
      <c r="I277" s="411"/>
      <c r="J277" s="411"/>
      <c r="K277" s="331"/>
      <c r="L277" s="331"/>
      <c r="M277" s="331"/>
      <c r="N277" s="331"/>
      <c r="O277" s="331"/>
      <c r="P277" s="331"/>
      <c r="Q277" s="331"/>
      <c r="R277" s="331"/>
      <c r="S277" s="331"/>
      <c r="T277" s="331"/>
      <c r="U277" s="331"/>
      <c r="V277" s="331"/>
      <c r="W277" s="2663"/>
      <c r="X277" s="2669"/>
      <c r="Y277" s="1952"/>
      <c r="Z277" s="13"/>
      <c r="AA277" s="13"/>
      <c r="AB277" s="13"/>
      <c r="AC277" s="13"/>
    </row>
    <row r="278" spans="1:29" ht="12" customHeight="1">
      <c r="A278" s="384"/>
      <c r="B278" s="384"/>
      <c r="C278" s="410"/>
      <c r="D278" s="411"/>
      <c r="E278" s="412"/>
      <c r="F278" s="411"/>
      <c r="G278" s="411"/>
      <c r="H278" s="411"/>
      <c r="I278" s="411"/>
      <c r="J278" s="411"/>
      <c r="K278" s="331"/>
      <c r="L278" s="331"/>
      <c r="M278" s="331"/>
      <c r="N278" s="331"/>
      <c r="O278" s="331"/>
      <c r="P278" s="331"/>
      <c r="Q278" s="331"/>
      <c r="R278" s="331"/>
      <c r="S278" s="331"/>
      <c r="T278" s="331"/>
      <c r="U278" s="331"/>
      <c r="V278" s="331"/>
      <c r="W278" s="2663"/>
      <c r="X278" s="2669"/>
      <c r="Y278" s="1952"/>
      <c r="Z278" s="13"/>
      <c r="AA278" s="13"/>
      <c r="AB278" s="13"/>
      <c r="AC278" s="13"/>
    </row>
    <row r="279" spans="1:29" ht="12" customHeight="1">
      <c r="A279" s="384"/>
      <c r="B279" s="384"/>
      <c r="C279" s="410"/>
      <c r="D279" s="411"/>
      <c r="E279" s="412"/>
      <c r="F279" s="411"/>
      <c r="G279" s="411"/>
      <c r="H279" s="411"/>
      <c r="I279" s="411"/>
      <c r="J279" s="411"/>
      <c r="K279" s="331"/>
      <c r="L279" s="331"/>
      <c r="M279" s="331"/>
      <c r="N279" s="331"/>
      <c r="O279" s="331"/>
      <c r="P279" s="331"/>
      <c r="Q279" s="331"/>
      <c r="R279" s="331"/>
      <c r="S279" s="331"/>
      <c r="T279" s="331"/>
      <c r="U279" s="331"/>
      <c r="V279" s="331"/>
      <c r="W279" s="2663"/>
      <c r="X279" s="2669"/>
      <c r="Y279" s="1952"/>
      <c r="Z279" s="13"/>
      <c r="AA279" s="13"/>
      <c r="AB279" s="13"/>
      <c r="AC279" s="13"/>
    </row>
    <row r="280" spans="1:29" ht="12" customHeight="1">
      <c r="A280" s="384"/>
      <c r="B280" s="384"/>
      <c r="C280" s="410"/>
      <c r="D280" s="411"/>
      <c r="E280" s="412"/>
      <c r="F280" s="411"/>
      <c r="G280" s="411"/>
      <c r="H280" s="411"/>
      <c r="I280" s="411"/>
      <c r="J280" s="411"/>
      <c r="K280" s="331"/>
      <c r="L280" s="331"/>
      <c r="M280" s="331"/>
      <c r="N280" s="331"/>
      <c r="O280" s="331"/>
      <c r="P280" s="331"/>
      <c r="Q280" s="331"/>
      <c r="R280" s="331"/>
      <c r="S280" s="331"/>
      <c r="T280" s="331"/>
      <c r="U280" s="331"/>
      <c r="V280" s="331"/>
      <c r="W280" s="2663"/>
      <c r="X280" s="2669"/>
      <c r="Y280" s="1952"/>
      <c r="Z280" s="13"/>
      <c r="AA280" s="13"/>
      <c r="AB280" s="13"/>
      <c r="AC280" s="13"/>
    </row>
    <row r="281" spans="1:29" ht="21" customHeight="1">
      <c r="A281" s="384">
        <v>14</v>
      </c>
      <c r="B281" s="317" t="s">
        <v>2619</v>
      </c>
      <c r="C281" s="410"/>
      <c r="D281" s="411"/>
      <c r="E281" s="412"/>
      <c r="F281" s="411"/>
      <c r="G281" s="411"/>
      <c r="H281" s="411"/>
      <c r="I281" s="411"/>
      <c r="J281" s="411"/>
      <c r="K281" s="331"/>
      <c r="L281" s="331"/>
      <c r="M281" s="331"/>
      <c r="N281" s="331"/>
      <c r="O281" s="331"/>
      <c r="P281" s="331"/>
      <c r="Q281" s="331"/>
      <c r="R281" s="331"/>
      <c r="S281" s="331"/>
      <c r="T281" s="331"/>
      <c r="U281" s="331"/>
      <c r="V281" s="331"/>
      <c r="W281" s="2663"/>
      <c r="X281" s="2669"/>
      <c r="Y281" s="1952"/>
      <c r="Z281" s="13"/>
      <c r="AA281" s="13"/>
      <c r="AB281" s="13"/>
      <c r="AC281" s="13"/>
    </row>
    <row r="282" spans="1:29" ht="21" customHeight="1">
      <c r="A282" s="384"/>
      <c r="B282" s="413" t="s">
        <v>2620</v>
      </c>
      <c r="C282" s="414" t="s">
        <v>2383</v>
      </c>
      <c r="D282" s="411">
        <v>4.9800000000000004</v>
      </c>
      <c r="E282" s="2189">
        <v>2</v>
      </c>
      <c r="F282" s="319">
        <f>IF(E282=1, 0.75, IF(OR(E282=2, E282=14, E282=21), 0.7, IF(OR(E282=3, E282=17), 0.65, IF(E282=4, 0.4, IF(OR(E282=5, E282=6, E282=25), 0.3, IF(OR(E282=7, E282=8, E282=9, E282=26), 0.2, IF(OR(E282=10, E282=15, E282=18), 0.15, IF(OR(E282=11, E282=12, E282=16, E282=19, E282=20), 0.1, IF(E282=24, 0.35, IF(E282=27, 0.5, 0))))))))))</f>
        <v>0.7</v>
      </c>
      <c r="G282" s="411"/>
      <c r="H282" s="411">
        <v>0</v>
      </c>
      <c r="I282" s="411"/>
      <c r="J282" s="411">
        <v>0</v>
      </c>
      <c r="K282" s="415">
        <f>L282+M282+N282</f>
        <v>650</v>
      </c>
      <c r="L282" s="416">
        <f>IF(C282="N1", 270, IF(C282="N2", 350, IF(C282="N3", 200, 0)))</f>
        <v>200</v>
      </c>
      <c r="M282" s="416">
        <f>IF(AND(C282="N1", D282&gt;=6.2),260, IF(AND(C282="N1",D282&gt;=5.76),240,IF(AND(C282="N1",D282&gt;=4.4),220,IF(AND(C282="N1", D282&gt;=4.32), 200,IF(AND(C282="N1", D282&gt;=3.33),175,IF(AND(C282="N1", D282&gt;=2.34),165, IF(AND(C282="N2",D282&gt;=6.2),200, IF(AND(C282="N2",5.76&lt;=D282),185,IF(AND(C282="N2",4.4&lt;=D282),170,IF(AND(C282="N2",4.32&lt;=D282), 155, IF(AND(C282="N2",3.33&lt;=D282),135,IF(AND(C282="N2",2.34&lt;=D282),125, IF(AND(C282="N3",D282&gt;=6.2),350, IF(AND(C282="N3",5.76&lt;=D282),325,IF(AND(C282="N3",4.4&lt;=D282),295,IF(AND(C282="N3",4.32&lt;=D282),270,IF(AND(C282="N3",3.33&lt;=D282),235,IF(AND(C282="N3",2.34&lt;=D282), 225, "SAI THÔNG TIN"))))))))))))))))))</f>
        <v>295</v>
      </c>
      <c r="N282" s="416">
        <f>IF(AND(C282="N1", D282&gt;=6.2),120, IF(AND(C282="N1",D282&gt;=5.76),140,IF(AND(C282="N1",4.4&lt;=D282),160,IF(AND(C282="N1",4.32&lt;=D282), 180,IF(AND(C282="N1",3.33&lt;=D282),205,IF(AND(C282="N1",2.34&lt;=D282),215, IF(AND(C282="N2",D282&gt;=6.2),100, IF(AND(C282="N2",5.76&lt;=D282),115,IF(AND(C282="N2",4.4&lt;=D282),130,IF(AND(C282="N2",4.32&lt;=D282), 145, IF(AND(C282="N2",3.33&lt;=D282),165,IF(AND(C282="N2",2.34&lt;=D282),175, IF(AND(C282="N3",D282&gt;=6.2),100, IF(AND(C282="N3",5.76&lt;=D282),125,IF(AND(C282="N3",4.4&lt;=D282),155,IF(AND(C282="N3",4.32&lt;=D282),180,IF(AND(C282="N3",3.33&lt;=D282),215,IF(AND(C282="N3",2.34&lt;=D282), 225, "SAI THÔNG TIN"))))))))))))))))))</f>
        <v>155</v>
      </c>
      <c r="O282" s="416">
        <f>P282+Q282+R282</f>
        <v>501.5</v>
      </c>
      <c r="P282" s="416">
        <f>L282-T282</f>
        <v>140</v>
      </c>
      <c r="Q282" s="416">
        <f>IF(OR(G282="A", I282="D"), M282, IF(G282="C", 0.6*M282, IF(OR(I282="E", I282="F"), 0.1*M282, IF(G282="B", 0, F282*M282))))</f>
        <v>206.5</v>
      </c>
      <c r="R282" s="416">
        <f>N282</f>
        <v>155</v>
      </c>
      <c r="S282" s="416">
        <f>T282+U282+V282</f>
        <v>148.5</v>
      </c>
      <c r="T282" s="416">
        <f>L282*(1-F282)*(1-H282)*(1-J284)</f>
        <v>60.000000000000007</v>
      </c>
      <c r="U282" s="416">
        <f t="shared" ref="U282:V282" si="325">M282-Q282</f>
        <v>88.5</v>
      </c>
      <c r="V282" s="416">
        <f t="shared" si="325"/>
        <v>0</v>
      </c>
      <c r="W282" s="2663"/>
      <c r="X282" s="2668"/>
      <c r="Y282" s="1952"/>
      <c r="Z282" s="13"/>
      <c r="AA282" s="13"/>
      <c r="AB282" s="13"/>
      <c r="AC282" s="13"/>
    </row>
    <row r="283" spans="1:29" ht="11.25" customHeight="1">
      <c r="A283" s="384"/>
      <c r="B283" s="384"/>
      <c r="C283" s="410"/>
      <c r="D283" s="411"/>
      <c r="E283" s="412"/>
      <c r="F283" s="411"/>
      <c r="G283" s="411"/>
      <c r="H283" s="411"/>
      <c r="I283" s="411"/>
      <c r="J283" s="411"/>
      <c r="K283" s="331">
        <f>K282-SUM(L282:N282)</f>
        <v>0</v>
      </c>
      <c r="L283" s="331"/>
      <c r="M283" s="331"/>
      <c r="N283" s="331"/>
      <c r="O283" s="331">
        <f>O282-SUM(P282:R282)</f>
        <v>0</v>
      </c>
      <c r="P283" s="331"/>
      <c r="Q283" s="331"/>
      <c r="R283" s="331"/>
      <c r="S283" s="331">
        <f>S282-SUM(T282:V282)</f>
        <v>0</v>
      </c>
      <c r="T283" s="331"/>
      <c r="U283" s="331"/>
      <c r="V283" s="331"/>
      <c r="W283" s="2663"/>
      <c r="X283" s="2669"/>
      <c r="Y283" s="1952"/>
      <c r="Z283" s="13"/>
      <c r="AA283" s="13"/>
      <c r="AB283" s="13"/>
      <c r="AC283" s="13"/>
    </row>
    <row r="284" spans="1:29" ht="11.25" customHeight="1">
      <c r="A284" s="384"/>
      <c r="B284" s="384"/>
      <c r="C284" s="410"/>
      <c r="D284" s="411"/>
      <c r="E284" s="412"/>
      <c r="F284" s="411"/>
      <c r="G284" s="411"/>
      <c r="H284" s="411"/>
      <c r="I284" s="411"/>
      <c r="J284" s="411"/>
      <c r="K284" s="331"/>
      <c r="L284" s="331"/>
      <c r="M284" s="331"/>
      <c r="N284" s="331"/>
      <c r="O284" s="331"/>
      <c r="P284" s="331"/>
      <c r="Q284" s="331"/>
      <c r="R284" s="331"/>
      <c r="S284" s="331"/>
      <c r="T284" s="331"/>
      <c r="U284" s="331"/>
      <c r="V284" s="331"/>
      <c r="W284" s="2663"/>
      <c r="X284" s="2669"/>
      <c r="Y284" s="1952"/>
      <c r="Z284" s="13"/>
      <c r="AA284" s="13"/>
      <c r="AB284" s="13"/>
      <c r="AC284" s="13"/>
    </row>
    <row r="285" spans="1:29" ht="11.25" customHeight="1">
      <c r="A285" s="384"/>
      <c r="B285" s="384"/>
      <c r="C285" s="410"/>
      <c r="D285" s="411"/>
      <c r="E285" s="412"/>
      <c r="F285" s="411"/>
      <c r="G285" s="411"/>
      <c r="H285" s="411"/>
      <c r="I285" s="411"/>
      <c r="J285" s="411"/>
      <c r="K285" s="331"/>
      <c r="L285" s="331"/>
      <c r="M285" s="331"/>
      <c r="N285" s="331"/>
      <c r="O285" s="331"/>
      <c r="P285" s="331"/>
      <c r="Q285" s="331"/>
      <c r="R285" s="331"/>
      <c r="S285" s="331"/>
      <c r="T285" s="331"/>
      <c r="U285" s="331"/>
      <c r="V285" s="331"/>
      <c r="W285" s="2663"/>
      <c r="X285" s="2669"/>
      <c r="Y285" s="1952"/>
      <c r="Z285" s="13"/>
      <c r="AA285" s="13"/>
      <c r="AB285" s="13"/>
      <c r="AC285" s="13"/>
    </row>
    <row r="286" spans="1:29" ht="11.25" customHeight="1">
      <c r="A286" s="384"/>
      <c r="B286" s="384"/>
      <c r="C286" s="410"/>
      <c r="D286" s="411"/>
      <c r="E286" s="412"/>
      <c r="F286" s="411"/>
      <c r="G286" s="411"/>
      <c r="H286" s="411"/>
      <c r="I286" s="411"/>
      <c r="J286" s="411"/>
      <c r="K286" s="331"/>
      <c r="L286" s="331"/>
      <c r="M286" s="331"/>
      <c r="N286" s="331"/>
      <c r="O286" s="331"/>
      <c r="P286" s="331"/>
      <c r="Q286" s="331"/>
      <c r="R286" s="331"/>
      <c r="S286" s="331"/>
      <c r="T286" s="331"/>
      <c r="U286" s="331"/>
      <c r="V286" s="331"/>
      <c r="W286" s="2663"/>
      <c r="X286" s="2669"/>
      <c r="Y286" s="1952"/>
      <c r="Z286" s="13"/>
      <c r="AA286" s="13"/>
      <c r="AB286" s="13"/>
      <c r="AC286" s="13"/>
    </row>
    <row r="287" spans="1:29" ht="38.25" customHeight="1">
      <c r="A287" s="312"/>
      <c r="B287" s="312" t="s">
        <v>2621</v>
      </c>
      <c r="C287" s="333"/>
      <c r="D287" s="312"/>
      <c r="E287" s="334"/>
      <c r="F287" s="312"/>
      <c r="G287" s="312"/>
      <c r="H287" s="312"/>
      <c r="I287" s="312"/>
      <c r="J287" s="312"/>
      <c r="K287" s="417">
        <f t="shared" ref="K287:V287" si="326">K47+K64+K86+K106+K120+K145+K166+K184+K208+K225+K245+K271+K282</f>
        <v>102050</v>
      </c>
      <c r="L287" s="417">
        <f t="shared" si="326"/>
        <v>36120</v>
      </c>
      <c r="M287" s="417">
        <f t="shared" si="326"/>
        <v>40475</v>
      </c>
      <c r="N287" s="417">
        <f t="shared" si="326"/>
        <v>25455</v>
      </c>
      <c r="O287" s="417">
        <f t="shared" si="326"/>
        <v>14548.25</v>
      </c>
      <c r="P287" s="417">
        <f t="shared" si="326"/>
        <v>6217</v>
      </c>
      <c r="Q287" s="417">
        <f t="shared" si="326"/>
        <v>6430.25</v>
      </c>
      <c r="R287" s="417">
        <f t="shared" si="326"/>
        <v>1901</v>
      </c>
      <c r="S287" s="417">
        <f t="shared" si="326"/>
        <v>87501.75</v>
      </c>
      <c r="T287" s="417">
        <f t="shared" si="326"/>
        <v>29903</v>
      </c>
      <c r="U287" s="417">
        <f t="shared" si="326"/>
        <v>34044.75</v>
      </c>
      <c r="V287" s="417">
        <f t="shared" si="326"/>
        <v>23554</v>
      </c>
      <c r="W287" s="2642"/>
      <c r="X287" s="2670"/>
      <c r="Y287" s="1952"/>
      <c r="Z287" s="13"/>
      <c r="AA287" s="13"/>
      <c r="AB287" s="13"/>
      <c r="AC287" s="13"/>
    </row>
    <row r="288" spans="1:29" ht="24.75" customHeight="1">
      <c r="A288" s="2192"/>
      <c r="B288" s="2192"/>
      <c r="C288" s="2192"/>
      <c r="D288" s="2192"/>
      <c r="E288" s="2192"/>
      <c r="F288" s="2192"/>
      <c r="G288" s="2192"/>
      <c r="H288" s="2192"/>
      <c r="I288" s="2192"/>
      <c r="J288" s="2192"/>
      <c r="K288" s="2193"/>
      <c r="L288" s="2193"/>
      <c r="M288" s="2193"/>
      <c r="N288" s="2193"/>
      <c r="O288" s="2193"/>
      <c r="P288" s="2193"/>
      <c r="Q288" s="2193"/>
      <c r="R288" s="2193"/>
      <c r="S288" s="2193"/>
      <c r="T288" s="2193"/>
      <c r="U288" s="2193"/>
      <c r="V288" s="2193"/>
      <c r="W288" s="2194"/>
      <c r="X288" s="2191"/>
      <c r="Y288" s="1952"/>
      <c r="Z288" s="13"/>
      <c r="AA288" s="13"/>
      <c r="AB288" s="13"/>
      <c r="AC288" s="13"/>
    </row>
    <row r="289" spans="1:29" ht="15.75" customHeight="1">
      <c r="A289" s="2195"/>
      <c r="B289" s="1874"/>
      <c r="C289" s="1874"/>
      <c r="D289" s="1934"/>
      <c r="E289" s="1934"/>
      <c r="F289" s="1874"/>
      <c r="G289" s="1874"/>
      <c r="H289" s="1874"/>
      <c r="I289" s="1874"/>
      <c r="J289" s="1874"/>
      <c r="K289" s="13"/>
      <c r="L289" s="1939"/>
      <c r="M289" s="1939"/>
      <c r="N289" s="1939"/>
      <c r="O289" s="1939"/>
      <c r="P289" s="2972" t="s">
        <v>2622</v>
      </c>
      <c r="Q289" s="2796"/>
      <c r="R289" s="2796"/>
      <c r="S289" s="2796"/>
      <c r="T289" s="2796"/>
      <c r="U289" s="2796"/>
      <c r="V289" s="2796"/>
      <c r="W289" s="2796"/>
      <c r="X289" s="2176"/>
      <c r="Y289" s="2176"/>
      <c r="Z289" s="13"/>
      <c r="AA289" s="13"/>
      <c r="AB289" s="13"/>
      <c r="AC289" s="13"/>
    </row>
    <row r="290" spans="1:29" ht="15.75" customHeight="1">
      <c r="A290" s="1872"/>
      <c r="B290" s="1873"/>
      <c r="C290" s="1873"/>
      <c r="D290" s="1935"/>
      <c r="E290" s="1935"/>
      <c r="F290" s="1873"/>
      <c r="G290" s="1873"/>
      <c r="H290" s="1873"/>
      <c r="I290" s="1874"/>
      <c r="J290" s="1874"/>
      <c r="K290" s="2176"/>
      <c r="L290" s="1964"/>
      <c r="M290" s="1964"/>
      <c r="N290" s="1964"/>
      <c r="O290" s="1964"/>
      <c r="P290" s="2860" t="s">
        <v>2623</v>
      </c>
      <c r="Q290" s="2796"/>
      <c r="R290" s="2796"/>
      <c r="S290" s="2796"/>
      <c r="T290" s="2796"/>
      <c r="U290" s="2796"/>
      <c r="V290" s="2796"/>
      <c r="W290" s="2796"/>
      <c r="X290" s="2176"/>
      <c r="Y290" s="2176"/>
      <c r="Z290" s="13"/>
      <c r="AA290" s="13"/>
      <c r="AB290" s="13"/>
      <c r="AC290" s="13"/>
    </row>
    <row r="291" spans="1:29" ht="15.75" customHeight="1">
      <c r="A291" s="1872"/>
      <c r="B291" s="1874"/>
      <c r="C291" s="1874"/>
      <c r="D291" s="1934"/>
      <c r="E291" s="1934"/>
      <c r="F291" s="1874"/>
      <c r="G291" s="1874"/>
      <c r="H291" s="1874"/>
      <c r="I291" s="1874"/>
      <c r="J291" s="1874"/>
      <c r="K291" s="1936"/>
      <c r="L291" s="13"/>
      <c r="M291" s="13"/>
      <c r="N291" s="13"/>
      <c r="O291" s="13"/>
      <c r="P291" s="13"/>
      <c r="Q291" s="13"/>
      <c r="R291" s="13"/>
      <c r="S291" s="13"/>
      <c r="T291" s="13"/>
      <c r="U291" s="13"/>
      <c r="V291" s="13"/>
      <c r="W291" s="13"/>
      <c r="X291" s="2176"/>
      <c r="Y291" s="2176"/>
      <c r="Z291" s="13"/>
      <c r="AA291" s="13"/>
      <c r="AB291" s="13"/>
      <c r="AC291" s="13"/>
    </row>
    <row r="292" spans="1:29" ht="15.75" customHeight="1">
      <c r="A292" s="1872"/>
      <c r="B292" s="2196"/>
      <c r="C292" s="2196"/>
      <c r="D292" s="2197"/>
      <c r="E292" s="2197"/>
      <c r="F292" s="2196"/>
      <c r="G292" s="2196"/>
      <c r="H292" s="2196"/>
      <c r="I292" s="2196"/>
      <c r="J292" s="2196"/>
      <c r="K292" s="2176"/>
      <c r="L292" s="2176"/>
      <c r="M292" s="2176"/>
      <c r="N292" s="2176"/>
      <c r="O292" s="2176"/>
      <c r="P292" s="2176"/>
      <c r="Q292" s="2176"/>
      <c r="R292" s="2176"/>
      <c r="S292" s="2176"/>
      <c r="T292" s="2176"/>
      <c r="U292" s="2176"/>
      <c r="V292" s="2176"/>
      <c r="W292" s="2176"/>
      <c r="X292" s="2176"/>
      <c r="Y292" s="2176"/>
      <c r="Z292" s="13"/>
      <c r="AA292" s="13"/>
      <c r="AB292" s="13"/>
      <c r="AC292" s="13"/>
    </row>
    <row r="293" spans="1:29" ht="15.75" customHeight="1">
      <c r="A293" s="1933"/>
      <c r="B293" s="2196"/>
      <c r="C293" s="2196"/>
      <c r="D293" s="2197"/>
      <c r="E293" s="2197"/>
      <c r="F293" s="2196"/>
      <c r="G293" s="2196"/>
      <c r="H293" s="2196"/>
      <c r="I293" s="2196"/>
      <c r="J293" s="2196"/>
      <c r="K293" s="2176"/>
      <c r="L293" s="2176"/>
      <c r="M293" s="2176"/>
      <c r="N293" s="2176"/>
      <c r="O293" s="2176"/>
      <c r="P293" s="2176"/>
      <c r="Q293" s="2176"/>
      <c r="R293" s="2176"/>
      <c r="S293" s="2176"/>
      <c r="T293" s="2176"/>
      <c r="U293" s="2176"/>
      <c r="V293" s="2176"/>
      <c r="W293" s="2176"/>
      <c r="X293" s="2176"/>
      <c r="Y293" s="2176"/>
      <c r="Z293" s="13"/>
      <c r="AA293" s="13"/>
      <c r="AB293" s="13"/>
      <c r="AC293" s="13"/>
    </row>
    <row r="294" spans="1:29" ht="15.75" customHeight="1">
      <c r="A294" s="1933"/>
      <c r="B294" s="2196"/>
      <c r="C294" s="2196"/>
      <c r="D294" s="2197"/>
      <c r="E294" s="2197"/>
      <c r="F294" s="2196"/>
      <c r="G294" s="2196"/>
      <c r="H294" s="2196"/>
      <c r="I294" s="2196"/>
      <c r="J294" s="2196"/>
      <c r="K294" s="2176"/>
      <c r="L294" s="2176"/>
      <c r="M294" s="2176"/>
      <c r="N294" s="2176"/>
      <c r="O294" s="2176"/>
      <c r="P294" s="2176"/>
      <c r="Q294" s="2176"/>
      <c r="R294" s="2176"/>
      <c r="S294" s="2176"/>
      <c r="T294" s="2176"/>
      <c r="U294" s="2176"/>
      <c r="V294" s="2176"/>
      <c r="W294" s="2176"/>
      <c r="X294" s="2176"/>
      <c r="Y294" s="2176"/>
      <c r="Z294" s="13"/>
      <c r="AA294" s="13"/>
      <c r="AB294" s="13"/>
      <c r="AC294" s="13"/>
    </row>
    <row r="295" spans="1:29" ht="15.75" customHeight="1">
      <c r="A295" s="1933"/>
      <c r="B295" s="2196"/>
      <c r="C295" s="2196"/>
      <c r="D295" s="2197"/>
      <c r="E295" s="2197"/>
      <c r="F295" s="2196"/>
      <c r="G295" s="2196"/>
      <c r="H295" s="2196"/>
      <c r="I295" s="2196"/>
      <c r="J295" s="2196"/>
      <c r="K295" s="2176"/>
      <c r="L295" s="2176"/>
      <c r="M295" s="2176"/>
      <c r="N295" s="2176"/>
      <c r="O295" s="2176"/>
      <c r="P295" s="2176"/>
      <c r="Q295" s="2176"/>
      <c r="R295" s="2176"/>
      <c r="S295" s="2176"/>
      <c r="T295" s="2176"/>
      <c r="U295" s="2176"/>
      <c r="V295" s="2176"/>
      <c r="W295" s="2176"/>
      <c r="X295" s="2176"/>
      <c r="Y295" s="2176"/>
      <c r="Z295" s="13"/>
      <c r="AA295" s="13"/>
      <c r="AB295" s="13"/>
      <c r="AC295" s="13"/>
    </row>
    <row r="296" spans="1:29" ht="15.75" customHeight="1">
      <c r="A296" s="1933"/>
      <c r="B296" s="2196"/>
      <c r="C296" s="2196"/>
      <c r="D296" s="2197"/>
      <c r="E296" s="2197"/>
      <c r="F296" s="2196"/>
      <c r="G296" s="2196"/>
      <c r="H296" s="2196"/>
      <c r="I296" s="2196"/>
      <c r="J296" s="2196"/>
      <c r="K296" s="2176"/>
      <c r="L296" s="2176"/>
      <c r="M296" s="2176"/>
      <c r="N296" s="2176"/>
      <c r="O296" s="2176"/>
      <c r="P296" s="2176"/>
      <c r="Q296" s="2176"/>
      <c r="R296" s="2176"/>
      <c r="S296" s="2176"/>
      <c r="T296" s="2176"/>
      <c r="U296" s="2176"/>
      <c r="V296" s="2176"/>
      <c r="W296" s="2176"/>
      <c r="X296" s="2176"/>
      <c r="Y296" s="2176"/>
      <c r="Z296" s="13"/>
      <c r="AA296" s="13"/>
      <c r="AB296" s="13"/>
      <c r="AC296" s="13"/>
    </row>
    <row r="297" spans="1:29" ht="15.75" customHeight="1">
      <c r="A297" s="1933"/>
      <c r="B297" s="2196"/>
      <c r="C297" s="2196"/>
      <c r="D297" s="2197"/>
      <c r="E297" s="2197"/>
      <c r="F297" s="2196"/>
      <c r="G297" s="2196"/>
      <c r="H297" s="2196"/>
      <c r="I297" s="2196"/>
      <c r="J297" s="2196"/>
      <c r="K297" s="2176"/>
      <c r="L297" s="2176"/>
      <c r="M297" s="2176"/>
      <c r="N297" s="2176"/>
      <c r="O297" s="2176"/>
      <c r="P297" s="2176"/>
      <c r="Q297" s="2176"/>
      <c r="R297" s="2176"/>
      <c r="S297" s="2176"/>
      <c r="T297" s="2176"/>
      <c r="U297" s="2176"/>
      <c r="V297" s="2176"/>
      <c r="W297" s="2176"/>
      <c r="X297" s="2176"/>
      <c r="Y297" s="2176"/>
      <c r="Z297" s="13"/>
      <c r="AA297" s="13"/>
      <c r="AB297" s="13"/>
      <c r="AC297" s="13"/>
    </row>
    <row r="298" spans="1:29" ht="15.75" customHeight="1">
      <c r="A298" s="1933"/>
      <c r="B298" s="2196"/>
      <c r="C298" s="2196"/>
      <c r="D298" s="2197"/>
      <c r="E298" s="2197"/>
      <c r="F298" s="2196"/>
      <c r="G298" s="2196"/>
      <c r="H298" s="2196"/>
      <c r="I298" s="2196"/>
      <c r="J298" s="2196"/>
      <c r="K298" s="2176"/>
      <c r="L298" s="2176"/>
      <c r="M298" s="2176"/>
      <c r="N298" s="2176"/>
      <c r="O298" s="2176"/>
      <c r="P298" s="2176"/>
      <c r="Q298" s="2176"/>
      <c r="R298" s="2176"/>
      <c r="S298" s="2176"/>
      <c r="T298" s="2176"/>
      <c r="U298" s="2176"/>
      <c r="V298" s="2176"/>
      <c r="W298" s="2176"/>
      <c r="X298" s="2176"/>
      <c r="Y298" s="2176"/>
      <c r="Z298" s="13"/>
      <c r="AA298" s="13"/>
      <c r="AB298" s="13"/>
      <c r="AC298" s="13"/>
    </row>
    <row r="299" spans="1:29" ht="15.75" customHeight="1">
      <c r="A299" s="1933"/>
      <c r="B299" s="2196"/>
      <c r="C299" s="2196"/>
      <c r="D299" s="2197"/>
      <c r="E299" s="2197"/>
      <c r="F299" s="2196"/>
      <c r="G299" s="2196"/>
      <c r="H299" s="2196"/>
      <c r="I299" s="2196"/>
      <c r="J299" s="2196"/>
      <c r="K299" s="2176"/>
      <c r="L299" s="2176"/>
      <c r="M299" s="2176"/>
      <c r="N299" s="2176"/>
      <c r="O299" s="2176"/>
      <c r="P299" s="2176"/>
      <c r="Q299" s="2176"/>
      <c r="R299" s="2176"/>
      <c r="S299" s="2176"/>
      <c r="T299" s="2176"/>
      <c r="U299" s="2176"/>
      <c r="V299" s="2176"/>
      <c r="W299" s="2176"/>
      <c r="X299" s="2176"/>
      <c r="Y299" s="2176"/>
      <c r="Z299" s="13"/>
      <c r="AA299" s="13"/>
      <c r="AB299" s="13"/>
      <c r="AC299" s="13"/>
    </row>
    <row r="300" spans="1:29" ht="15.75" customHeight="1">
      <c r="A300" s="1933"/>
      <c r="B300" s="2196"/>
      <c r="C300" s="2196"/>
      <c r="D300" s="2197"/>
      <c r="E300" s="2197"/>
      <c r="F300" s="2196"/>
      <c r="G300" s="2196"/>
      <c r="H300" s="2196"/>
      <c r="I300" s="2196"/>
      <c r="J300" s="2196"/>
      <c r="K300" s="2176"/>
      <c r="L300" s="2176"/>
      <c r="M300" s="2176"/>
      <c r="N300" s="2176"/>
      <c r="O300" s="2176"/>
      <c r="P300" s="2176"/>
      <c r="Q300" s="2176"/>
      <c r="R300" s="2176"/>
      <c r="S300" s="2176"/>
      <c r="T300" s="2176"/>
      <c r="U300" s="2176"/>
      <c r="V300" s="2176"/>
      <c r="W300" s="2176"/>
      <c r="X300" s="2176"/>
      <c r="Y300" s="2176"/>
      <c r="Z300" s="13"/>
      <c r="AA300" s="13"/>
      <c r="AB300" s="13"/>
      <c r="AC300" s="13"/>
    </row>
    <row r="301" spans="1:29" ht="15.75" customHeight="1">
      <c r="A301" s="1933"/>
      <c r="B301" s="2196"/>
      <c r="C301" s="2196"/>
      <c r="D301" s="2197"/>
      <c r="E301" s="2197"/>
      <c r="F301" s="2196"/>
      <c r="G301" s="2196"/>
      <c r="H301" s="2196"/>
      <c r="I301" s="2196"/>
      <c r="J301" s="2196"/>
      <c r="K301" s="2176"/>
      <c r="L301" s="2176"/>
      <c r="M301" s="2176"/>
      <c r="N301" s="2176"/>
      <c r="O301" s="2176"/>
      <c r="P301" s="2176"/>
      <c r="Q301" s="2176"/>
      <c r="R301" s="2176"/>
      <c r="S301" s="2176"/>
      <c r="T301" s="2176"/>
      <c r="U301" s="2176"/>
      <c r="V301" s="2176"/>
      <c r="W301" s="2176"/>
      <c r="X301" s="2176"/>
      <c r="Y301" s="2176"/>
      <c r="Z301" s="13"/>
      <c r="AA301" s="13"/>
      <c r="AB301" s="13"/>
      <c r="AC301" s="13"/>
    </row>
    <row r="302" spans="1:29" ht="15.75" customHeight="1">
      <c r="A302" s="1933"/>
      <c r="B302" s="2196"/>
      <c r="C302" s="2196"/>
      <c r="D302" s="2197"/>
      <c r="E302" s="2197"/>
      <c r="F302" s="2196"/>
      <c r="G302" s="2196"/>
      <c r="H302" s="2196"/>
      <c r="I302" s="2196"/>
      <c r="J302" s="2196"/>
      <c r="K302" s="2176"/>
      <c r="L302" s="2176"/>
      <c r="M302" s="2176"/>
      <c r="N302" s="2176"/>
      <c r="O302" s="2176"/>
      <c r="P302" s="2176"/>
      <c r="Q302" s="2176"/>
      <c r="R302" s="2176"/>
      <c r="S302" s="2176"/>
      <c r="T302" s="2176"/>
      <c r="U302" s="2176"/>
      <c r="V302" s="2176"/>
      <c r="W302" s="2176"/>
      <c r="X302" s="2176"/>
      <c r="Y302" s="2176"/>
      <c r="Z302" s="13"/>
      <c r="AA302" s="13"/>
      <c r="AB302" s="13"/>
      <c r="AC302" s="13"/>
    </row>
    <row r="303" spans="1:29" ht="15.75" customHeight="1">
      <c r="A303" s="1933"/>
      <c r="B303" s="2196"/>
      <c r="C303" s="2196"/>
      <c r="D303" s="2197"/>
      <c r="E303" s="2197"/>
      <c r="F303" s="2196"/>
      <c r="G303" s="2196"/>
      <c r="H303" s="2196"/>
      <c r="I303" s="2196"/>
      <c r="J303" s="2196"/>
      <c r="K303" s="2176"/>
      <c r="L303" s="2176"/>
      <c r="M303" s="2176"/>
      <c r="N303" s="2176"/>
      <c r="O303" s="2176"/>
      <c r="P303" s="2176"/>
      <c r="Q303" s="2176"/>
      <c r="R303" s="2176"/>
      <c r="S303" s="2176"/>
      <c r="T303" s="2176"/>
      <c r="U303" s="2176"/>
      <c r="V303" s="2176"/>
      <c r="W303" s="2176"/>
      <c r="X303" s="2176"/>
      <c r="Y303" s="2176"/>
      <c r="Z303" s="13"/>
      <c r="AA303" s="13"/>
      <c r="AB303" s="13"/>
      <c r="AC303" s="13"/>
    </row>
    <row r="304" spans="1:29" ht="15.75" customHeight="1">
      <c r="A304" s="1933"/>
      <c r="B304" s="2196"/>
      <c r="C304" s="2196"/>
      <c r="D304" s="2197"/>
      <c r="E304" s="2197"/>
      <c r="F304" s="2196"/>
      <c r="G304" s="2196"/>
      <c r="H304" s="2196"/>
      <c r="I304" s="2196"/>
      <c r="J304" s="2196"/>
      <c r="K304" s="2176"/>
      <c r="L304" s="2176"/>
      <c r="M304" s="2176"/>
      <c r="N304" s="2176"/>
      <c r="O304" s="2176"/>
      <c r="P304" s="2176"/>
      <c r="Q304" s="2176"/>
      <c r="R304" s="2176"/>
      <c r="S304" s="2176"/>
      <c r="T304" s="2176"/>
      <c r="U304" s="2176"/>
      <c r="V304" s="2176"/>
      <c r="W304" s="2176"/>
      <c r="X304" s="2176"/>
      <c r="Y304" s="2176"/>
      <c r="Z304" s="13"/>
      <c r="AA304" s="13"/>
      <c r="AB304" s="13"/>
      <c r="AC304" s="13"/>
    </row>
    <row r="305" spans="1:29" ht="15.75" customHeight="1">
      <c r="A305" s="1933"/>
      <c r="B305" s="2196"/>
      <c r="C305" s="2196"/>
      <c r="D305" s="2197"/>
      <c r="E305" s="2197"/>
      <c r="F305" s="2196"/>
      <c r="G305" s="2196"/>
      <c r="H305" s="2196"/>
      <c r="I305" s="2196"/>
      <c r="J305" s="2196"/>
      <c r="K305" s="2176"/>
      <c r="L305" s="2176"/>
      <c r="M305" s="2176"/>
      <c r="N305" s="2176"/>
      <c r="O305" s="2176"/>
      <c r="P305" s="2176"/>
      <c r="Q305" s="2176"/>
      <c r="R305" s="2176"/>
      <c r="S305" s="2176"/>
      <c r="T305" s="2176"/>
      <c r="U305" s="2176"/>
      <c r="V305" s="2176"/>
      <c r="W305" s="2176"/>
      <c r="X305" s="2176"/>
      <c r="Y305" s="2176"/>
      <c r="Z305" s="13"/>
      <c r="AA305" s="13"/>
      <c r="AB305" s="13"/>
      <c r="AC305" s="13"/>
    </row>
    <row r="306" spans="1:29" ht="15.75" customHeight="1">
      <c r="A306" s="1933"/>
      <c r="B306" s="2196"/>
      <c r="C306" s="2196"/>
      <c r="D306" s="2197"/>
      <c r="E306" s="2197"/>
      <c r="F306" s="2196"/>
      <c r="G306" s="2196"/>
      <c r="H306" s="2196"/>
      <c r="I306" s="2196"/>
      <c r="J306" s="2196"/>
      <c r="K306" s="2176"/>
      <c r="L306" s="2176"/>
      <c r="M306" s="2176"/>
      <c r="N306" s="2176"/>
      <c r="O306" s="2176"/>
      <c r="P306" s="2176"/>
      <c r="Q306" s="2176"/>
      <c r="R306" s="2176"/>
      <c r="S306" s="2176"/>
      <c r="T306" s="2176"/>
      <c r="U306" s="2176"/>
      <c r="V306" s="2176"/>
      <c r="W306" s="2176"/>
      <c r="X306" s="2176"/>
      <c r="Y306" s="2176"/>
      <c r="Z306" s="13"/>
      <c r="AA306" s="13"/>
      <c r="AB306" s="13"/>
      <c r="AC306" s="13"/>
    </row>
    <row r="307" spans="1:29" ht="15.75" customHeight="1">
      <c r="A307" s="1933"/>
      <c r="B307" s="2196"/>
      <c r="C307" s="2196"/>
      <c r="D307" s="2197"/>
      <c r="E307" s="2197"/>
      <c r="F307" s="2196"/>
      <c r="G307" s="2196"/>
      <c r="H307" s="2196"/>
      <c r="I307" s="2196"/>
      <c r="J307" s="2196"/>
      <c r="K307" s="2176"/>
      <c r="L307" s="2176"/>
      <c r="M307" s="2176"/>
      <c r="N307" s="2176"/>
      <c r="O307" s="2176"/>
      <c r="P307" s="2176"/>
      <c r="Q307" s="2176"/>
      <c r="R307" s="2176"/>
      <c r="S307" s="2176"/>
      <c r="T307" s="2176"/>
      <c r="U307" s="2176"/>
      <c r="V307" s="2176"/>
      <c r="W307" s="2176"/>
      <c r="X307" s="2176"/>
      <c r="Y307" s="2176"/>
      <c r="Z307" s="13"/>
      <c r="AA307" s="13"/>
      <c r="AB307" s="13"/>
      <c r="AC307" s="13"/>
    </row>
    <row r="308" spans="1:29" ht="15.75" customHeight="1">
      <c r="A308" s="1933"/>
      <c r="B308" s="2196"/>
      <c r="C308" s="2196"/>
      <c r="D308" s="2197"/>
      <c r="E308" s="2197"/>
      <c r="F308" s="2196"/>
      <c r="G308" s="2196"/>
      <c r="H308" s="2196"/>
      <c r="I308" s="2196"/>
      <c r="J308" s="2196"/>
      <c r="K308" s="2176"/>
      <c r="L308" s="2176"/>
      <c r="M308" s="2176"/>
      <c r="N308" s="2176"/>
      <c r="O308" s="2176"/>
      <c r="P308" s="2176"/>
      <c r="Q308" s="2176"/>
      <c r="R308" s="2176"/>
      <c r="S308" s="2176"/>
      <c r="T308" s="2176"/>
      <c r="U308" s="2176"/>
      <c r="V308" s="2176"/>
      <c r="W308" s="2176"/>
      <c r="X308" s="2176"/>
      <c r="Y308" s="2176"/>
      <c r="Z308" s="13"/>
      <c r="AA308" s="13"/>
      <c r="AB308" s="13"/>
      <c r="AC308" s="13"/>
    </row>
    <row r="309" spans="1:29" ht="15.75" customHeight="1">
      <c r="A309" s="1933"/>
      <c r="B309" s="2196"/>
      <c r="C309" s="2196"/>
      <c r="D309" s="2197"/>
      <c r="E309" s="2197"/>
      <c r="F309" s="2196"/>
      <c r="G309" s="2196"/>
      <c r="H309" s="2196"/>
      <c r="I309" s="2196"/>
      <c r="J309" s="2196"/>
      <c r="K309" s="2176"/>
      <c r="L309" s="2176"/>
      <c r="M309" s="2176"/>
      <c r="N309" s="2176"/>
      <c r="O309" s="2176"/>
      <c r="P309" s="2176"/>
      <c r="Q309" s="2176"/>
      <c r="R309" s="2176"/>
      <c r="S309" s="2176"/>
      <c r="T309" s="2176"/>
      <c r="U309" s="2176"/>
      <c r="V309" s="2176"/>
      <c r="W309" s="2176"/>
      <c r="X309" s="2176"/>
      <c r="Y309" s="2176"/>
      <c r="Z309" s="13"/>
      <c r="AA309" s="13"/>
      <c r="AB309" s="13"/>
      <c r="AC309" s="13"/>
    </row>
    <row r="310" spans="1:29" ht="15.75" customHeight="1">
      <c r="A310" s="1933"/>
      <c r="B310" s="2196"/>
      <c r="C310" s="2196"/>
      <c r="D310" s="2197"/>
      <c r="E310" s="2197"/>
      <c r="F310" s="2196"/>
      <c r="G310" s="2196"/>
      <c r="H310" s="2196"/>
      <c r="I310" s="2196"/>
      <c r="J310" s="2196"/>
      <c r="K310" s="2176"/>
      <c r="L310" s="2176"/>
      <c r="M310" s="2176"/>
      <c r="N310" s="2176"/>
      <c r="O310" s="2176"/>
      <c r="P310" s="2176"/>
      <c r="Q310" s="2176"/>
      <c r="R310" s="2176"/>
      <c r="S310" s="2176"/>
      <c r="T310" s="2176"/>
      <c r="U310" s="2176"/>
      <c r="V310" s="2176"/>
      <c r="W310" s="2176"/>
      <c r="X310" s="2176"/>
      <c r="Y310" s="2176"/>
      <c r="Z310" s="13"/>
      <c r="AA310" s="13"/>
      <c r="AB310" s="13"/>
      <c r="AC310" s="13"/>
    </row>
    <row r="311" spans="1:29" ht="15.75" customHeight="1">
      <c r="A311" s="1933"/>
      <c r="B311" s="2196"/>
      <c r="C311" s="2196"/>
      <c r="D311" s="2197"/>
      <c r="E311" s="2197"/>
      <c r="F311" s="2196"/>
      <c r="G311" s="2196"/>
      <c r="H311" s="2196"/>
      <c r="I311" s="2196"/>
      <c r="J311" s="2196"/>
      <c r="K311" s="2176"/>
      <c r="L311" s="2176"/>
      <c r="M311" s="2176"/>
      <c r="N311" s="2176"/>
      <c r="O311" s="2176"/>
      <c r="P311" s="2176"/>
      <c r="Q311" s="2176"/>
      <c r="R311" s="2176"/>
      <c r="S311" s="2176"/>
      <c r="T311" s="2176"/>
      <c r="U311" s="2176"/>
      <c r="V311" s="2176"/>
      <c r="W311" s="2176"/>
      <c r="X311" s="2176"/>
      <c r="Y311" s="2176"/>
      <c r="Z311" s="13"/>
      <c r="AA311" s="13"/>
      <c r="AB311" s="13"/>
      <c r="AC311" s="13"/>
    </row>
    <row r="312" spans="1:29" ht="15.75" customHeight="1">
      <c r="A312" s="1933"/>
      <c r="B312" s="2196"/>
      <c r="C312" s="2196"/>
      <c r="D312" s="2197"/>
      <c r="E312" s="2197"/>
      <c r="F312" s="2196"/>
      <c r="G312" s="2196"/>
      <c r="H312" s="2196"/>
      <c r="I312" s="2196"/>
      <c r="J312" s="2196"/>
      <c r="K312" s="2176"/>
      <c r="L312" s="2176"/>
      <c r="M312" s="2176"/>
      <c r="N312" s="2176"/>
      <c r="O312" s="2176"/>
      <c r="P312" s="2176"/>
      <c r="Q312" s="2176"/>
      <c r="R312" s="2176"/>
      <c r="S312" s="2176"/>
      <c r="T312" s="2176"/>
      <c r="U312" s="2176"/>
      <c r="V312" s="2176"/>
      <c r="W312" s="2176"/>
      <c r="X312" s="2176"/>
      <c r="Y312" s="2176"/>
      <c r="Z312" s="13"/>
      <c r="AA312" s="13"/>
      <c r="AB312" s="13"/>
      <c r="AC312" s="13"/>
    </row>
    <row r="313" spans="1:29" ht="15.75" customHeight="1">
      <c r="A313" s="1933"/>
      <c r="B313" s="2196"/>
      <c r="C313" s="2196"/>
      <c r="D313" s="2197"/>
      <c r="E313" s="2197"/>
      <c r="F313" s="2196"/>
      <c r="G313" s="2196"/>
      <c r="H313" s="2196"/>
      <c r="I313" s="2196"/>
      <c r="J313" s="2196"/>
      <c r="K313" s="2176"/>
      <c r="L313" s="2176"/>
      <c r="M313" s="2176"/>
      <c r="N313" s="2176"/>
      <c r="O313" s="2176"/>
      <c r="P313" s="2176"/>
      <c r="Q313" s="2176"/>
      <c r="R313" s="2176"/>
      <c r="S313" s="2176"/>
      <c r="T313" s="2176"/>
      <c r="U313" s="2176"/>
      <c r="V313" s="2176"/>
      <c r="W313" s="2176"/>
      <c r="X313" s="2176"/>
      <c r="Y313" s="2176"/>
      <c r="Z313" s="13"/>
      <c r="AA313" s="13"/>
      <c r="AB313" s="13"/>
      <c r="AC313" s="13"/>
    </row>
    <row r="314" spans="1:29" ht="15.75" customHeight="1">
      <c r="A314" s="1933"/>
      <c r="B314" s="2196"/>
      <c r="C314" s="2196"/>
      <c r="D314" s="2197"/>
      <c r="E314" s="2197"/>
      <c r="F314" s="2196"/>
      <c r="G314" s="2196"/>
      <c r="H314" s="2196"/>
      <c r="I314" s="2196"/>
      <c r="J314" s="2196"/>
      <c r="K314" s="2176"/>
      <c r="L314" s="2176"/>
      <c r="M314" s="2176"/>
      <c r="N314" s="2176"/>
      <c r="O314" s="2176"/>
      <c r="P314" s="2176"/>
      <c r="Q314" s="2176"/>
      <c r="R314" s="2176"/>
      <c r="S314" s="2176"/>
      <c r="T314" s="2176"/>
      <c r="U314" s="2176"/>
      <c r="V314" s="2176"/>
      <c r="W314" s="2176"/>
      <c r="X314" s="2176"/>
      <c r="Y314" s="2176"/>
      <c r="Z314" s="13"/>
      <c r="AA314" s="13"/>
      <c r="AB314" s="13"/>
      <c r="AC314" s="13"/>
    </row>
    <row r="315" spans="1:29" ht="15.75" customHeight="1">
      <c r="A315" s="1933"/>
      <c r="B315" s="2196"/>
      <c r="C315" s="2196"/>
      <c r="D315" s="2197"/>
      <c r="E315" s="2197"/>
      <c r="F315" s="2196"/>
      <c r="G315" s="2196"/>
      <c r="H315" s="2196"/>
      <c r="I315" s="2196"/>
      <c r="J315" s="2196"/>
      <c r="K315" s="2176"/>
      <c r="L315" s="2176"/>
      <c r="M315" s="2176"/>
      <c r="N315" s="2176"/>
      <c r="O315" s="2176"/>
      <c r="P315" s="2176"/>
      <c r="Q315" s="2176"/>
      <c r="R315" s="2176"/>
      <c r="S315" s="2176"/>
      <c r="T315" s="2176"/>
      <c r="U315" s="2176"/>
      <c r="V315" s="2176"/>
      <c r="W315" s="2176"/>
      <c r="X315" s="2176"/>
      <c r="Y315" s="2176"/>
      <c r="Z315" s="13"/>
      <c r="AA315" s="13"/>
      <c r="AB315" s="13"/>
      <c r="AC315" s="13"/>
    </row>
    <row r="316" spans="1:29" ht="15.75" customHeight="1">
      <c r="A316" s="1933"/>
      <c r="B316" s="2196"/>
      <c r="C316" s="2196"/>
      <c r="D316" s="2197"/>
      <c r="E316" s="2197"/>
      <c r="F316" s="2196"/>
      <c r="G316" s="2196"/>
      <c r="H316" s="2196"/>
      <c r="I316" s="2196"/>
      <c r="J316" s="2196"/>
      <c r="K316" s="2176"/>
      <c r="L316" s="2176"/>
      <c r="M316" s="2176"/>
      <c r="N316" s="2176"/>
      <c r="O316" s="2176"/>
      <c r="P316" s="2176"/>
      <c r="Q316" s="2176"/>
      <c r="R316" s="2176"/>
      <c r="S316" s="2176"/>
      <c r="T316" s="2176"/>
      <c r="U316" s="2176"/>
      <c r="V316" s="2176"/>
      <c r="W316" s="2176"/>
      <c r="X316" s="2176"/>
      <c r="Y316" s="2176"/>
      <c r="Z316" s="13"/>
      <c r="AA316" s="13"/>
      <c r="AB316" s="13"/>
      <c r="AC316" s="13"/>
    </row>
    <row r="317" spans="1:29" ht="15.75" customHeight="1">
      <c r="A317" s="1933"/>
      <c r="B317" s="2196"/>
      <c r="C317" s="2196"/>
      <c r="D317" s="2197"/>
      <c r="E317" s="2197"/>
      <c r="F317" s="2196"/>
      <c r="G317" s="2196"/>
      <c r="H317" s="2196"/>
      <c r="I317" s="2196"/>
      <c r="J317" s="2196"/>
      <c r="K317" s="2176"/>
      <c r="L317" s="2176"/>
      <c r="M317" s="2176"/>
      <c r="N317" s="2176"/>
      <c r="O317" s="2176"/>
      <c r="P317" s="2176"/>
      <c r="Q317" s="2176"/>
      <c r="R317" s="2176"/>
      <c r="S317" s="2176"/>
      <c r="T317" s="2176"/>
      <c r="U317" s="2176"/>
      <c r="V317" s="2176"/>
      <c r="W317" s="2176"/>
      <c r="X317" s="2176"/>
      <c r="Y317" s="2176"/>
      <c r="Z317" s="13"/>
      <c r="AA317" s="13"/>
      <c r="AB317" s="13"/>
      <c r="AC317" s="13"/>
    </row>
    <row r="318" spans="1:29" ht="15.75" customHeight="1">
      <c r="A318" s="1933"/>
      <c r="B318" s="2196"/>
      <c r="C318" s="2196"/>
      <c r="D318" s="2197"/>
      <c r="E318" s="2197"/>
      <c r="F318" s="2196"/>
      <c r="G318" s="2196"/>
      <c r="H318" s="2196"/>
      <c r="I318" s="2196"/>
      <c r="J318" s="2196"/>
      <c r="K318" s="2176"/>
      <c r="L318" s="2176"/>
      <c r="M318" s="2176"/>
      <c r="N318" s="2176"/>
      <c r="O318" s="2176"/>
      <c r="P318" s="2176"/>
      <c r="Q318" s="2176"/>
      <c r="R318" s="2176"/>
      <c r="S318" s="2176"/>
      <c r="T318" s="2176"/>
      <c r="U318" s="2176"/>
      <c r="V318" s="2176"/>
      <c r="W318" s="2176"/>
      <c r="X318" s="2176"/>
      <c r="Y318" s="2176"/>
      <c r="Z318" s="13"/>
      <c r="AA318" s="13"/>
      <c r="AB318" s="13"/>
      <c r="AC318" s="13"/>
    </row>
    <row r="319" spans="1:29" ht="15.75" customHeight="1">
      <c r="A319" s="1933"/>
      <c r="B319" s="2196"/>
      <c r="C319" s="2196"/>
      <c r="D319" s="2197"/>
      <c r="E319" s="2197"/>
      <c r="F319" s="2196"/>
      <c r="G319" s="2196"/>
      <c r="H319" s="2196"/>
      <c r="I319" s="2196"/>
      <c r="J319" s="2196"/>
      <c r="K319" s="2176"/>
      <c r="L319" s="2176"/>
      <c r="M319" s="2176"/>
      <c r="N319" s="2176"/>
      <c r="O319" s="2176"/>
      <c r="P319" s="2176"/>
      <c r="Q319" s="2176"/>
      <c r="R319" s="2176"/>
      <c r="S319" s="2176"/>
      <c r="T319" s="2176"/>
      <c r="U319" s="2176"/>
      <c r="V319" s="2176"/>
      <c r="W319" s="2176"/>
      <c r="X319" s="2176"/>
      <c r="Y319" s="2176"/>
      <c r="Z319" s="13"/>
      <c r="AA319" s="13"/>
      <c r="AB319" s="13"/>
      <c r="AC319" s="13"/>
    </row>
    <row r="320" spans="1:29" ht="15.75" customHeight="1">
      <c r="A320" s="1933"/>
      <c r="B320" s="2196"/>
      <c r="C320" s="2196"/>
      <c r="D320" s="2197"/>
      <c r="E320" s="2197"/>
      <c r="F320" s="2196"/>
      <c r="G320" s="2196"/>
      <c r="H320" s="2196"/>
      <c r="I320" s="2196"/>
      <c r="J320" s="2196"/>
      <c r="K320" s="2176"/>
      <c r="L320" s="2176"/>
      <c r="M320" s="2176"/>
      <c r="N320" s="2176"/>
      <c r="O320" s="2176"/>
      <c r="P320" s="2176"/>
      <c r="Q320" s="2176"/>
      <c r="R320" s="2176"/>
      <c r="S320" s="2176"/>
      <c r="T320" s="2176"/>
      <c r="U320" s="2176"/>
      <c r="V320" s="2176"/>
      <c r="W320" s="2176"/>
      <c r="X320" s="2176"/>
      <c r="Y320" s="2176"/>
      <c r="Z320" s="13"/>
      <c r="AA320" s="13"/>
      <c r="AB320" s="13"/>
      <c r="AC320" s="13"/>
    </row>
    <row r="321" spans="1:29" ht="15.75" customHeight="1">
      <c r="A321" s="1933"/>
      <c r="B321" s="2196"/>
      <c r="C321" s="2196"/>
      <c r="D321" s="2197"/>
      <c r="E321" s="2197"/>
      <c r="F321" s="2196"/>
      <c r="G321" s="2196"/>
      <c r="H321" s="2196"/>
      <c r="I321" s="2196"/>
      <c r="J321" s="2196"/>
      <c r="K321" s="2176"/>
      <c r="L321" s="2176"/>
      <c r="M321" s="2176"/>
      <c r="N321" s="2176"/>
      <c r="O321" s="2176"/>
      <c r="P321" s="2176"/>
      <c r="Q321" s="2176"/>
      <c r="R321" s="2176"/>
      <c r="S321" s="2176"/>
      <c r="T321" s="2176"/>
      <c r="U321" s="2176"/>
      <c r="V321" s="2176"/>
      <c r="W321" s="2176"/>
      <c r="X321" s="2176"/>
      <c r="Y321" s="2176"/>
      <c r="Z321" s="13"/>
      <c r="AA321" s="13"/>
      <c r="AB321" s="13"/>
      <c r="AC321" s="13"/>
    </row>
    <row r="322" spans="1:29" ht="15.75" customHeight="1">
      <c r="A322" s="1933"/>
      <c r="B322" s="2196"/>
      <c r="C322" s="2196"/>
      <c r="D322" s="2197"/>
      <c r="E322" s="2197"/>
      <c r="F322" s="2196"/>
      <c r="G322" s="2196"/>
      <c r="H322" s="2196"/>
      <c r="I322" s="2196"/>
      <c r="J322" s="2196"/>
      <c r="K322" s="2176"/>
      <c r="L322" s="2176"/>
      <c r="M322" s="2176"/>
      <c r="N322" s="2176"/>
      <c r="O322" s="2176"/>
      <c r="P322" s="2176"/>
      <c r="Q322" s="2176"/>
      <c r="R322" s="2176"/>
      <c r="S322" s="2176"/>
      <c r="T322" s="2176"/>
      <c r="U322" s="2176"/>
      <c r="V322" s="2176"/>
      <c r="W322" s="2176"/>
      <c r="X322" s="2176"/>
      <c r="Y322" s="2176"/>
      <c r="Z322" s="13"/>
      <c r="AA322" s="13"/>
      <c r="AB322" s="13"/>
      <c r="AC322" s="13"/>
    </row>
    <row r="323" spans="1:29" ht="15.75" customHeight="1">
      <c r="A323" s="1933"/>
      <c r="B323" s="2196"/>
      <c r="C323" s="2196"/>
      <c r="D323" s="2197"/>
      <c r="E323" s="2197"/>
      <c r="F323" s="2196"/>
      <c r="G323" s="2196"/>
      <c r="H323" s="2196"/>
      <c r="I323" s="2196"/>
      <c r="J323" s="2196"/>
      <c r="K323" s="2176"/>
      <c r="L323" s="2176"/>
      <c r="M323" s="2176"/>
      <c r="N323" s="2176"/>
      <c r="O323" s="2176"/>
      <c r="P323" s="2176"/>
      <c r="Q323" s="2176"/>
      <c r="R323" s="2176"/>
      <c r="S323" s="2176"/>
      <c r="T323" s="2176"/>
      <c r="U323" s="2176"/>
      <c r="V323" s="2176"/>
      <c r="W323" s="2176"/>
      <c r="X323" s="2176"/>
      <c r="Y323" s="2176"/>
      <c r="Z323" s="13"/>
      <c r="AA323" s="13"/>
      <c r="AB323" s="13"/>
      <c r="AC323" s="13"/>
    </row>
    <row r="324" spans="1:29" ht="15.75" customHeight="1">
      <c r="A324" s="1933"/>
      <c r="B324" s="2196"/>
      <c r="C324" s="2196"/>
      <c r="D324" s="2197"/>
      <c r="E324" s="2197"/>
      <c r="F324" s="2196"/>
      <c r="G324" s="2196"/>
      <c r="H324" s="2196"/>
      <c r="I324" s="2196"/>
      <c r="J324" s="2196"/>
      <c r="K324" s="2176"/>
      <c r="L324" s="2176"/>
      <c r="M324" s="2176"/>
      <c r="N324" s="2176"/>
      <c r="O324" s="2176"/>
      <c r="P324" s="2176"/>
      <c r="Q324" s="2176"/>
      <c r="R324" s="2176"/>
      <c r="S324" s="2176"/>
      <c r="T324" s="2176"/>
      <c r="U324" s="2176"/>
      <c r="V324" s="2176"/>
      <c r="W324" s="2176"/>
      <c r="X324" s="2176"/>
      <c r="Y324" s="2176"/>
      <c r="Z324" s="13"/>
      <c r="AA324" s="13"/>
      <c r="AB324" s="13"/>
      <c r="AC324" s="13"/>
    </row>
    <row r="325" spans="1:29" ht="15.75" customHeight="1">
      <c r="A325" s="1933"/>
      <c r="B325" s="2196"/>
      <c r="C325" s="2196"/>
      <c r="D325" s="2197"/>
      <c r="E325" s="2197"/>
      <c r="F325" s="2196"/>
      <c r="G325" s="2196"/>
      <c r="H325" s="2196"/>
      <c r="I325" s="2196"/>
      <c r="J325" s="2196"/>
      <c r="K325" s="2176"/>
      <c r="L325" s="2176"/>
      <c r="M325" s="2176"/>
      <c r="N325" s="2176"/>
      <c r="O325" s="2176"/>
      <c r="P325" s="2176"/>
      <c r="Q325" s="2176"/>
      <c r="R325" s="2176"/>
      <c r="S325" s="2176"/>
      <c r="T325" s="2176"/>
      <c r="U325" s="2176"/>
      <c r="V325" s="2176"/>
      <c r="W325" s="2176"/>
      <c r="X325" s="2176"/>
      <c r="Y325" s="2176"/>
      <c r="Z325" s="13"/>
      <c r="AA325" s="13"/>
      <c r="AB325" s="13"/>
      <c r="AC325" s="13"/>
    </row>
    <row r="326" spans="1:29" ht="15.75" customHeight="1">
      <c r="A326" s="1933"/>
      <c r="B326" s="2196"/>
      <c r="C326" s="2196"/>
      <c r="D326" s="2197"/>
      <c r="E326" s="2197"/>
      <c r="F326" s="2196"/>
      <c r="G326" s="2196"/>
      <c r="H326" s="2196"/>
      <c r="I326" s="2196"/>
      <c r="J326" s="2196"/>
      <c r="K326" s="2176"/>
      <c r="L326" s="2176"/>
      <c r="M326" s="2176"/>
      <c r="N326" s="2176"/>
      <c r="O326" s="2176"/>
      <c r="P326" s="2176"/>
      <c r="Q326" s="2176"/>
      <c r="R326" s="2176"/>
      <c r="S326" s="2176"/>
      <c r="T326" s="2176"/>
      <c r="U326" s="2176"/>
      <c r="V326" s="2176"/>
      <c r="W326" s="2176"/>
      <c r="X326" s="2176"/>
      <c r="Y326" s="2176"/>
      <c r="Z326" s="13"/>
      <c r="AA326" s="13"/>
      <c r="AB326" s="13"/>
      <c r="AC326" s="13"/>
    </row>
    <row r="327" spans="1:29" ht="15.75" customHeight="1">
      <c r="A327" s="1933"/>
      <c r="B327" s="2196"/>
      <c r="C327" s="2196"/>
      <c r="D327" s="2197"/>
      <c r="E327" s="2197"/>
      <c r="F327" s="2196"/>
      <c r="G327" s="2196"/>
      <c r="H327" s="2196"/>
      <c r="I327" s="2196"/>
      <c r="J327" s="2196"/>
      <c r="K327" s="2176"/>
      <c r="L327" s="2176"/>
      <c r="M327" s="2176"/>
      <c r="N327" s="2176"/>
      <c r="O327" s="2176"/>
      <c r="P327" s="2176"/>
      <c r="Q327" s="2176"/>
      <c r="R327" s="2176"/>
      <c r="S327" s="2176"/>
      <c r="T327" s="2176"/>
      <c r="U327" s="2176"/>
      <c r="V327" s="2176"/>
      <c r="W327" s="2176"/>
      <c r="X327" s="2176"/>
      <c r="Y327" s="2176"/>
      <c r="Z327" s="13"/>
      <c r="AA327" s="13"/>
      <c r="AB327" s="13"/>
      <c r="AC327" s="13"/>
    </row>
    <row r="328" spans="1:29" ht="15.75" customHeight="1">
      <c r="A328" s="1933"/>
      <c r="B328" s="2196"/>
      <c r="C328" s="2196"/>
      <c r="D328" s="2197"/>
      <c r="E328" s="2197"/>
      <c r="F328" s="2196"/>
      <c r="G328" s="2196"/>
      <c r="H328" s="2196"/>
      <c r="I328" s="2196"/>
      <c r="J328" s="2196"/>
      <c r="K328" s="2176"/>
      <c r="L328" s="2176"/>
      <c r="M328" s="2176"/>
      <c r="N328" s="2176"/>
      <c r="O328" s="2176"/>
      <c r="P328" s="2176"/>
      <c r="Q328" s="2176"/>
      <c r="R328" s="2176"/>
      <c r="S328" s="2176"/>
      <c r="T328" s="2176"/>
      <c r="U328" s="2176"/>
      <c r="V328" s="2176"/>
      <c r="W328" s="2176"/>
      <c r="X328" s="2176"/>
      <c r="Y328" s="2176"/>
      <c r="Z328" s="13"/>
      <c r="AA328" s="13"/>
      <c r="AB328" s="13"/>
      <c r="AC328" s="13"/>
    </row>
    <row r="329" spans="1:29" ht="15.75" customHeight="1">
      <c r="A329" s="1933"/>
      <c r="B329" s="2196"/>
      <c r="C329" s="2196"/>
      <c r="D329" s="2197"/>
      <c r="E329" s="2197"/>
      <c r="F329" s="2196"/>
      <c r="G329" s="2196"/>
      <c r="H329" s="2196"/>
      <c r="I329" s="2196"/>
      <c r="J329" s="2196"/>
      <c r="K329" s="2176"/>
      <c r="L329" s="2176"/>
      <c r="M329" s="2176"/>
      <c r="N329" s="2176"/>
      <c r="O329" s="2176"/>
      <c r="P329" s="2176"/>
      <c r="Q329" s="2176"/>
      <c r="R329" s="2176"/>
      <c r="S329" s="2176"/>
      <c r="T329" s="2176"/>
      <c r="U329" s="2176"/>
      <c r="V329" s="2176"/>
      <c r="W329" s="2176"/>
      <c r="X329" s="2176"/>
      <c r="Y329" s="2176"/>
      <c r="Z329" s="13"/>
      <c r="AA329" s="13"/>
      <c r="AB329" s="13"/>
      <c r="AC329" s="13"/>
    </row>
    <row r="330" spans="1:29" ht="15.75" customHeight="1">
      <c r="A330" s="1933"/>
      <c r="B330" s="2196"/>
      <c r="C330" s="2196"/>
      <c r="D330" s="2197"/>
      <c r="E330" s="2197"/>
      <c r="F330" s="2196"/>
      <c r="G330" s="2196"/>
      <c r="H330" s="2196"/>
      <c r="I330" s="2196"/>
      <c r="J330" s="2196"/>
      <c r="K330" s="2176"/>
      <c r="L330" s="2176"/>
      <c r="M330" s="2176"/>
      <c r="N330" s="2176"/>
      <c r="O330" s="2176"/>
      <c r="P330" s="2176"/>
      <c r="Q330" s="2176"/>
      <c r="R330" s="2176"/>
      <c r="S330" s="2176"/>
      <c r="T330" s="2176"/>
      <c r="U330" s="2176"/>
      <c r="V330" s="2176"/>
      <c r="W330" s="2176"/>
      <c r="X330" s="2176"/>
      <c r="Y330" s="2176"/>
      <c r="Z330" s="13"/>
      <c r="AA330" s="13"/>
      <c r="AB330" s="13"/>
      <c r="AC330" s="13"/>
    </row>
    <row r="331" spans="1:29" ht="15.75" customHeight="1">
      <c r="A331" s="1933"/>
      <c r="B331" s="2196"/>
      <c r="C331" s="2196"/>
      <c r="D331" s="2197"/>
      <c r="E331" s="2197"/>
      <c r="F331" s="2196"/>
      <c r="G331" s="2196"/>
      <c r="H331" s="2196"/>
      <c r="I331" s="2196"/>
      <c r="J331" s="2196"/>
      <c r="K331" s="2176"/>
      <c r="L331" s="2176"/>
      <c r="M331" s="2176"/>
      <c r="N331" s="2176"/>
      <c r="O331" s="2176"/>
      <c r="P331" s="2176"/>
      <c r="Q331" s="2176"/>
      <c r="R331" s="2176"/>
      <c r="S331" s="2176"/>
      <c r="T331" s="2176"/>
      <c r="U331" s="2176"/>
      <c r="V331" s="2176"/>
      <c r="W331" s="2176"/>
      <c r="X331" s="2176"/>
      <c r="Y331" s="2176"/>
      <c r="Z331" s="13"/>
      <c r="AA331" s="13"/>
      <c r="AB331" s="13"/>
      <c r="AC331" s="13"/>
    </row>
    <row r="332" spans="1:29" ht="15.75" customHeight="1">
      <c r="A332" s="1933"/>
      <c r="B332" s="2196"/>
      <c r="C332" s="2196"/>
      <c r="D332" s="2197"/>
      <c r="E332" s="2197"/>
      <c r="F332" s="2196"/>
      <c r="G332" s="2196"/>
      <c r="H332" s="2196"/>
      <c r="I332" s="2196"/>
      <c r="J332" s="2196"/>
      <c r="K332" s="2176"/>
      <c r="L332" s="2176"/>
      <c r="M332" s="2176"/>
      <c r="N332" s="2176"/>
      <c r="O332" s="2176"/>
      <c r="P332" s="2176"/>
      <c r="Q332" s="2176"/>
      <c r="R332" s="2176"/>
      <c r="S332" s="2176"/>
      <c r="T332" s="2176"/>
      <c r="U332" s="2176"/>
      <c r="V332" s="2176"/>
      <c r="W332" s="2176"/>
      <c r="X332" s="2176"/>
      <c r="Y332" s="2176"/>
      <c r="Z332" s="13"/>
      <c r="AA332" s="13"/>
      <c r="AB332" s="13"/>
      <c r="AC332" s="13"/>
    </row>
    <row r="333" spans="1:29" ht="15.75" customHeight="1">
      <c r="A333" s="1933"/>
      <c r="B333" s="2196"/>
      <c r="C333" s="2196"/>
      <c r="D333" s="2197"/>
      <c r="E333" s="2197"/>
      <c r="F333" s="2196"/>
      <c r="G333" s="2196"/>
      <c r="H333" s="2196"/>
      <c r="I333" s="2196"/>
      <c r="J333" s="2196"/>
      <c r="K333" s="2176"/>
      <c r="L333" s="2176"/>
      <c r="M333" s="2176"/>
      <c r="N333" s="2176"/>
      <c r="O333" s="2176"/>
      <c r="P333" s="2176"/>
      <c r="Q333" s="2176"/>
      <c r="R333" s="2176"/>
      <c r="S333" s="2176"/>
      <c r="T333" s="2176"/>
      <c r="U333" s="2176"/>
      <c r="V333" s="2176"/>
      <c r="W333" s="2176"/>
      <c r="X333" s="2176"/>
      <c r="Y333" s="2176"/>
      <c r="Z333" s="13"/>
      <c r="AA333" s="13"/>
      <c r="AB333" s="13"/>
      <c r="AC333" s="13"/>
    </row>
    <row r="334" spans="1:29" ht="15.75" customHeight="1">
      <c r="A334" s="1933"/>
      <c r="B334" s="2196"/>
      <c r="C334" s="2196"/>
      <c r="D334" s="2197"/>
      <c r="E334" s="2197"/>
      <c r="F334" s="2196"/>
      <c r="G334" s="2196"/>
      <c r="H334" s="2196"/>
      <c r="I334" s="2196"/>
      <c r="J334" s="2196"/>
      <c r="K334" s="2176"/>
      <c r="L334" s="2176"/>
      <c r="M334" s="2176"/>
      <c r="N334" s="2176"/>
      <c r="O334" s="2176"/>
      <c r="P334" s="2176"/>
      <c r="Q334" s="2176"/>
      <c r="R334" s="2176"/>
      <c r="S334" s="2176"/>
      <c r="T334" s="2176"/>
      <c r="U334" s="2176"/>
      <c r="V334" s="2176"/>
      <c r="W334" s="2176"/>
      <c r="X334" s="2176"/>
      <c r="Y334" s="2176"/>
      <c r="Z334" s="13"/>
      <c r="AA334" s="13"/>
      <c r="AB334" s="13"/>
      <c r="AC334" s="13"/>
    </row>
    <row r="335" spans="1:29" ht="15.75" customHeight="1">
      <c r="A335" s="1933"/>
      <c r="B335" s="2196"/>
      <c r="C335" s="2196"/>
      <c r="D335" s="2197"/>
      <c r="E335" s="2197"/>
      <c r="F335" s="2196"/>
      <c r="G335" s="2196"/>
      <c r="H335" s="2196"/>
      <c r="I335" s="2196"/>
      <c r="J335" s="2196"/>
      <c r="K335" s="2176"/>
      <c r="L335" s="2176"/>
      <c r="M335" s="2176"/>
      <c r="N335" s="2176"/>
      <c r="O335" s="2176"/>
      <c r="P335" s="2176"/>
      <c r="Q335" s="2176"/>
      <c r="R335" s="2176"/>
      <c r="S335" s="2176"/>
      <c r="T335" s="2176"/>
      <c r="U335" s="2176"/>
      <c r="V335" s="2176"/>
      <c r="W335" s="2176"/>
      <c r="X335" s="2176"/>
      <c r="Y335" s="2176"/>
      <c r="Z335" s="13"/>
      <c r="AA335" s="13"/>
      <c r="AB335" s="13"/>
      <c r="AC335" s="13"/>
    </row>
    <row r="336" spans="1:29" ht="15.75" customHeight="1">
      <c r="A336" s="1933"/>
      <c r="B336" s="2196"/>
      <c r="C336" s="2196"/>
      <c r="D336" s="2197"/>
      <c r="E336" s="2197"/>
      <c r="F336" s="2196"/>
      <c r="G336" s="2196"/>
      <c r="H336" s="2196"/>
      <c r="I336" s="2196"/>
      <c r="J336" s="2196"/>
      <c r="K336" s="2176"/>
      <c r="L336" s="2176"/>
      <c r="M336" s="2176"/>
      <c r="N336" s="2176"/>
      <c r="O336" s="2176"/>
      <c r="P336" s="2176"/>
      <c r="Q336" s="2176"/>
      <c r="R336" s="2176"/>
      <c r="S336" s="2176"/>
      <c r="T336" s="2176"/>
      <c r="U336" s="2176"/>
      <c r="V336" s="2176"/>
      <c r="W336" s="2176"/>
      <c r="X336" s="2176"/>
      <c r="Y336" s="2176"/>
      <c r="Z336" s="13"/>
      <c r="AA336" s="13"/>
      <c r="AB336" s="13"/>
      <c r="AC336" s="13"/>
    </row>
    <row r="337" spans="1:29" ht="15.75" customHeight="1">
      <c r="A337" s="1933"/>
      <c r="B337" s="2196"/>
      <c r="C337" s="2196"/>
      <c r="D337" s="2197"/>
      <c r="E337" s="2197"/>
      <c r="F337" s="2196"/>
      <c r="G337" s="2196"/>
      <c r="H337" s="2196"/>
      <c r="I337" s="2196"/>
      <c r="J337" s="2196"/>
      <c r="K337" s="2176"/>
      <c r="L337" s="2176"/>
      <c r="M337" s="2176"/>
      <c r="N337" s="2176"/>
      <c r="O337" s="2176"/>
      <c r="P337" s="2176"/>
      <c r="Q337" s="2176"/>
      <c r="R337" s="2176"/>
      <c r="S337" s="2176"/>
      <c r="T337" s="2176"/>
      <c r="U337" s="2176"/>
      <c r="V337" s="2176"/>
      <c r="W337" s="2176"/>
      <c r="X337" s="2176"/>
      <c r="Y337" s="2176"/>
      <c r="Z337" s="13"/>
      <c r="AA337" s="13"/>
      <c r="AB337" s="13"/>
      <c r="AC337" s="13"/>
    </row>
    <row r="338" spans="1:29" ht="15.75" customHeight="1">
      <c r="A338" s="1933"/>
      <c r="B338" s="2196"/>
      <c r="C338" s="2196"/>
      <c r="D338" s="2197"/>
      <c r="E338" s="2197"/>
      <c r="F338" s="2196"/>
      <c r="G338" s="2196"/>
      <c r="H338" s="2196"/>
      <c r="I338" s="2196"/>
      <c r="J338" s="2196"/>
      <c r="K338" s="2176"/>
      <c r="L338" s="2176"/>
      <c r="M338" s="2176"/>
      <c r="N338" s="2176"/>
      <c r="O338" s="2176"/>
      <c r="P338" s="2176"/>
      <c r="Q338" s="2176"/>
      <c r="R338" s="2176"/>
      <c r="S338" s="2176"/>
      <c r="T338" s="2176"/>
      <c r="U338" s="2176"/>
      <c r="V338" s="2176"/>
      <c r="W338" s="2176"/>
      <c r="X338" s="2176"/>
      <c r="Y338" s="2176"/>
      <c r="Z338" s="13"/>
      <c r="AA338" s="13"/>
      <c r="AB338" s="13"/>
      <c r="AC338" s="13"/>
    </row>
    <row r="339" spans="1:29" ht="15.75" customHeight="1">
      <c r="A339" s="1933"/>
      <c r="B339" s="2196"/>
      <c r="C339" s="2196"/>
      <c r="D339" s="2197"/>
      <c r="E339" s="2197"/>
      <c r="F339" s="2196"/>
      <c r="G339" s="2196"/>
      <c r="H339" s="2196"/>
      <c r="I339" s="2196"/>
      <c r="J339" s="2196"/>
      <c r="K339" s="2176"/>
      <c r="L339" s="2176"/>
      <c r="M339" s="2176"/>
      <c r="N339" s="2176"/>
      <c r="O339" s="2176"/>
      <c r="P339" s="2176"/>
      <c r="Q339" s="2176"/>
      <c r="R339" s="2176"/>
      <c r="S339" s="2176"/>
      <c r="T339" s="2176"/>
      <c r="U339" s="2176"/>
      <c r="V339" s="2176"/>
      <c r="W339" s="2176"/>
      <c r="X339" s="2176"/>
      <c r="Y339" s="2176"/>
      <c r="Z339" s="13"/>
      <c r="AA339" s="13"/>
      <c r="AB339" s="13"/>
      <c r="AC339" s="13"/>
    </row>
    <row r="340" spans="1:29" ht="15.75" customHeight="1">
      <c r="A340" s="1933"/>
      <c r="B340" s="2196"/>
      <c r="C340" s="2196"/>
      <c r="D340" s="2197"/>
      <c r="E340" s="2197"/>
      <c r="F340" s="2196"/>
      <c r="G340" s="2196"/>
      <c r="H340" s="2196"/>
      <c r="I340" s="2196"/>
      <c r="J340" s="2196"/>
      <c r="K340" s="2176"/>
      <c r="L340" s="2176"/>
      <c r="M340" s="2176"/>
      <c r="N340" s="2176"/>
      <c r="O340" s="2176"/>
      <c r="P340" s="2176"/>
      <c r="Q340" s="2176"/>
      <c r="R340" s="2176"/>
      <c r="S340" s="2176"/>
      <c r="T340" s="2176"/>
      <c r="U340" s="2176"/>
      <c r="V340" s="2176"/>
      <c r="W340" s="2176"/>
      <c r="X340" s="2176"/>
      <c r="Y340" s="2176"/>
      <c r="Z340" s="13"/>
      <c r="AA340" s="13"/>
      <c r="AB340" s="13"/>
      <c r="AC340" s="13"/>
    </row>
    <row r="341" spans="1:29" ht="15.75" customHeight="1">
      <c r="A341" s="1933"/>
      <c r="B341" s="2196"/>
      <c r="C341" s="2196"/>
      <c r="D341" s="2197"/>
      <c r="E341" s="2197"/>
      <c r="F341" s="2196"/>
      <c r="G341" s="2196"/>
      <c r="H341" s="2196"/>
      <c r="I341" s="2196"/>
      <c r="J341" s="2196"/>
      <c r="K341" s="2176"/>
      <c r="L341" s="2176"/>
      <c r="M341" s="2176"/>
      <c r="N341" s="2176"/>
      <c r="O341" s="2176"/>
      <c r="P341" s="2176"/>
      <c r="Q341" s="2176"/>
      <c r="R341" s="2176"/>
      <c r="S341" s="2176"/>
      <c r="T341" s="2176"/>
      <c r="U341" s="2176"/>
      <c r="V341" s="2176"/>
      <c r="W341" s="2176"/>
      <c r="X341" s="2176"/>
      <c r="Y341" s="2176"/>
      <c r="Z341" s="13"/>
      <c r="AA341" s="13"/>
      <c r="AB341" s="13"/>
      <c r="AC341" s="13"/>
    </row>
    <row r="342" spans="1:29" ht="15.75" customHeight="1">
      <c r="A342" s="1933"/>
      <c r="B342" s="2196"/>
      <c r="C342" s="2196"/>
      <c r="D342" s="2197"/>
      <c r="E342" s="2197"/>
      <c r="F342" s="2196"/>
      <c r="G342" s="2196"/>
      <c r="H342" s="2196"/>
      <c r="I342" s="2196"/>
      <c r="J342" s="2196"/>
      <c r="K342" s="2176"/>
      <c r="L342" s="2176"/>
      <c r="M342" s="2176"/>
      <c r="N342" s="2176"/>
      <c r="O342" s="2176"/>
      <c r="P342" s="2176"/>
      <c r="Q342" s="2176"/>
      <c r="R342" s="2176"/>
      <c r="S342" s="2176"/>
      <c r="T342" s="2176"/>
      <c r="U342" s="2176"/>
      <c r="V342" s="2176"/>
      <c r="W342" s="2176"/>
      <c r="X342" s="2176"/>
      <c r="Y342" s="2176"/>
      <c r="Z342" s="13"/>
      <c r="AA342" s="13"/>
      <c r="AB342" s="13"/>
      <c r="AC342" s="13"/>
    </row>
    <row r="343" spans="1:29" ht="15.75" customHeight="1">
      <c r="A343" s="1933"/>
      <c r="B343" s="2196"/>
      <c r="C343" s="2196"/>
      <c r="D343" s="2197"/>
      <c r="E343" s="2197"/>
      <c r="F343" s="2196"/>
      <c r="G343" s="2196"/>
      <c r="H343" s="2196"/>
      <c r="I343" s="2196"/>
      <c r="J343" s="2196"/>
      <c r="K343" s="2176"/>
      <c r="L343" s="2176"/>
      <c r="M343" s="2176"/>
      <c r="N343" s="2176"/>
      <c r="O343" s="2176"/>
      <c r="P343" s="2176"/>
      <c r="Q343" s="2176"/>
      <c r="R343" s="2176"/>
      <c r="S343" s="2176"/>
      <c r="T343" s="2176"/>
      <c r="U343" s="2176"/>
      <c r="V343" s="2176"/>
      <c r="W343" s="2176"/>
      <c r="X343" s="2176"/>
      <c r="Y343" s="2176"/>
      <c r="Z343" s="13"/>
      <c r="AA343" s="13"/>
      <c r="AB343" s="13"/>
      <c r="AC343" s="13"/>
    </row>
    <row r="344" spans="1:29" ht="15.75" customHeight="1">
      <c r="A344" s="1933"/>
      <c r="B344" s="2196"/>
      <c r="C344" s="2196"/>
      <c r="D344" s="2197"/>
      <c r="E344" s="2197"/>
      <c r="F344" s="2196"/>
      <c r="G344" s="2196"/>
      <c r="H344" s="2196"/>
      <c r="I344" s="2196"/>
      <c r="J344" s="2196"/>
      <c r="K344" s="2176"/>
      <c r="L344" s="2176"/>
      <c r="M344" s="2176"/>
      <c r="N344" s="2176"/>
      <c r="O344" s="2176"/>
      <c r="P344" s="2176"/>
      <c r="Q344" s="2176"/>
      <c r="R344" s="2176"/>
      <c r="S344" s="2176"/>
      <c r="T344" s="2176"/>
      <c r="U344" s="2176"/>
      <c r="V344" s="2176"/>
      <c r="W344" s="2176"/>
      <c r="X344" s="2176"/>
      <c r="Y344" s="2176"/>
      <c r="Z344" s="13"/>
      <c r="AA344" s="13"/>
      <c r="AB344" s="13"/>
      <c r="AC344" s="13"/>
    </row>
    <row r="345" spans="1:29" ht="15.75" customHeight="1">
      <c r="A345" s="1933"/>
      <c r="B345" s="2196"/>
      <c r="C345" s="2196"/>
      <c r="D345" s="2197"/>
      <c r="E345" s="2197"/>
      <c r="F345" s="2196"/>
      <c r="G345" s="2196"/>
      <c r="H345" s="2196"/>
      <c r="I345" s="2196"/>
      <c r="J345" s="2196"/>
      <c r="K345" s="2176"/>
      <c r="L345" s="2176"/>
      <c r="M345" s="2176"/>
      <c r="N345" s="2176"/>
      <c r="O345" s="2176"/>
      <c r="P345" s="2176"/>
      <c r="Q345" s="2176"/>
      <c r="R345" s="2176"/>
      <c r="S345" s="2176"/>
      <c r="T345" s="2176"/>
      <c r="U345" s="2176"/>
      <c r="V345" s="2176"/>
      <c r="W345" s="2176"/>
      <c r="X345" s="2176"/>
      <c r="Y345" s="2176"/>
      <c r="Z345" s="13"/>
      <c r="AA345" s="13"/>
      <c r="AB345" s="13"/>
      <c r="AC345" s="13"/>
    </row>
    <row r="346" spans="1:29" ht="15.75" customHeight="1">
      <c r="A346" s="1933"/>
      <c r="B346" s="2196"/>
      <c r="C346" s="2196"/>
      <c r="D346" s="2197"/>
      <c r="E346" s="2197"/>
      <c r="F346" s="2196"/>
      <c r="G346" s="2196"/>
      <c r="H346" s="2196"/>
      <c r="I346" s="2196"/>
      <c r="J346" s="2196"/>
      <c r="K346" s="2176"/>
      <c r="L346" s="2176"/>
      <c r="M346" s="2176"/>
      <c r="N346" s="2176"/>
      <c r="O346" s="2176"/>
      <c r="P346" s="2176"/>
      <c r="Q346" s="2176"/>
      <c r="R346" s="2176"/>
      <c r="S346" s="2176"/>
      <c r="T346" s="2176"/>
      <c r="U346" s="2176"/>
      <c r="V346" s="2176"/>
      <c r="W346" s="2176"/>
      <c r="X346" s="2176"/>
      <c r="Y346" s="2176"/>
      <c r="Z346" s="13"/>
      <c r="AA346" s="13"/>
      <c r="AB346" s="13"/>
      <c r="AC346" s="13"/>
    </row>
    <row r="347" spans="1:29" ht="15.75" customHeight="1">
      <c r="A347" s="1933"/>
      <c r="B347" s="2196"/>
      <c r="C347" s="2196"/>
      <c r="D347" s="2197"/>
      <c r="E347" s="2197"/>
      <c r="F347" s="2196"/>
      <c r="G347" s="2196"/>
      <c r="H347" s="2196"/>
      <c r="I347" s="2196"/>
      <c r="J347" s="2196"/>
      <c r="K347" s="2176"/>
      <c r="L347" s="2176"/>
      <c r="M347" s="2176"/>
      <c r="N347" s="2176"/>
      <c r="O347" s="2176"/>
      <c r="P347" s="2176"/>
      <c r="Q347" s="2176"/>
      <c r="R347" s="2176"/>
      <c r="S347" s="2176"/>
      <c r="T347" s="2176"/>
      <c r="U347" s="2176"/>
      <c r="V347" s="2176"/>
      <c r="W347" s="2176"/>
      <c r="X347" s="2176"/>
      <c r="Y347" s="2176"/>
      <c r="Z347" s="13"/>
      <c r="AA347" s="13"/>
      <c r="AB347" s="13"/>
      <c r="AC347" s="13"/>
    </row>
    <row r="348" spans="1:29" ht="15.75" customHeight="1">
      <c r="A348" s="1933"/>
      <c r="B348" s="2196"/>
      <c r="C348" s="2196"/>
      <c r="D348" s="2197"/>
      <c r="E348" s="2197"/>
      <c r="F348" s="2196"/>
      <c r="G348" s="2196"/>
      <c r="H348" s="2196"/>
      <c r="I348" s="2196"/>
      <c r="J348" s="2196"/>
      <c r="K348" s="2176"/>
      <c r="L348" s="2176"/>
      <c r="M348" s="2176"/>
      <c r="N348" s="2176"/>
      <c r="O348" s="2176"/>
      <c r="P348" s="2176"/>
      <c r="Q348" s="2176"/>
      <c r="R348" s="2176"/>
      <c r="S348" s="2176"/>
      <c r="T348" s="2176"/>
      <c r="U348" s="2176"/>
      <c r="V348" s="2176"/>
      <c r="W348" s="2176"/>
      <c r="X348" s="2176"/>
      <c r="Y348" s="2176"/>
      <c r="Z348" s="13"/>
      <c r="AA348" s="13"/>
      <c r="AB348" s="13"/>
      <c r="AC348" s="13"/>
    </row>
    <row r="349" spans="1:29" ht="15.75" customHeight="1">
      <c r="A349" s="1933"/>
      <c r="B349" s="2196"/>
      <c r="C349" s="2196"/>
      <c r="D349" s="2197"/>
      <c r="E349" s="2197"/>
      <c r="F349" s="2196"/>
      <c r="G349" s="2196"/>
      <c r="H349" s="2196"/>
      <c r="I349" s="2196"/>
      <c r="J349" s="2196"/>
      <c r="K349" s="2176"/>
      <c r="L349" s="2176"/>
      <c r="M349" s="2176"/>
      <c r="N349" s="2176"/>
      <c r="O349" s="2176"/>
      <c r="P349" s="2176"/>
      <c r="Q349" s="2176"/>
      <c r="R349" s="2176"/>
      <c r="S349" s="2176"/>
      <c r="T349" s="2176"/>
      <c r="U349" s="2176"/>
      <c r="V349" s="2176"/>
      <c r="W349" s="2176"/>
      <c r="X349" s="2176"/>
      <c r="Y349" s="2176"/>
      <c r="Z349" s="13"/>
      <c r="AA349" s="13"/>
      <c r="AB349" s="13"/>
      <c r="AC349" s="13"/>
    </row>
    <row r="350" spans="1:29" ht="15.75" customHeight="1">
      <c r="A350" s="1933"/>
      <c r="B350" s="2196"/>
      <c r="C350" s="2196"/>
      <c r="D350" s="2197"/>
      <c r="E350" s="2197"/>
      <c r="F350" s="2196"/>
      <c r="G350" s="2196"/>
      <c r="H350" s="2196"/>
      <c r="I350" s="2196"/>
      <c r="J350" s="2196"/>
      <c r="K350" s="2176"/>
      <c r="L350" s="2176"/>
      <c r="M350" s="2176"/>
      <c r="N350" s="2176"/>
      <c r="O350" s="2176"/>
      <c r="P350" s="2176"/>
      <c r="Q350" s="2176"/>
      <c r="R350" s="2176"/>
      <c r="S350" s="2176"/>
      <c r="T350" s="2176"/>
      <c r="U350" s="2176"/>
      <c r="V350" s="2176"/>
      <c r="W350" s="2176"/>
      <c r="X350" s="2176"/>
      <c r="Y350" s="2176"/>
      <c r="Z350" s="13"/>
      <c r="AA350" s="13"/>
      <c r="AB350" s="13"/>
      <c r="AC350" s="13"/>
    </row>
    <row r="351" spans="1:29" ht="15.75" customHeight="1">
      <c r="A351" s="1933"/>
      <c r="B351" s="2196"/>
      <c r="C351" s="2196"/>
      <c r="D351" s="2197"/>
      <c r="E351" s="2197"/>
      <c r="F351" s="2196"/>
      <c r="G351" s="2196"/>
      <c r="H351" s="2196"/>
      <c r="I351" s="2196"/>
      <c r="J351" s="2196"/>
      <c r="K351" s="2176"/>
      <c r="L351" s="2176"/>
      <c r="M351" s="2176"/>
      <c r="N351" s="2176"/>
      <c r="O351" s="2176"/>
      <c r="P351" s="2176"/>
      <c r="Q351" s="2176"/>
      <c r="R351" s="2176"/>
      <c r="S351" s="2176"/>
      <c r="T351" s="2176"/>
      <c r="U351" s="2176"/>
      <c r="V351" s="2176"/>
      <c r="W351" s="2176"/>
      <c r="X351" s="2176"/>
      <c r="Y351" s="2176"/>
      <c r="Z351" s="13"/>
      <c r="AA351" s="13"/>
      <c r="AB351" s="13"/>
      <c r="AC351" s="13"/>
    </row>
    <row r="352" spans="1:29" ht="15.75" customHeight="1">
      <c r="A352" s="1933"/>
      <c r="B352" s="2196"/>
      <c r="C352" s="2196"/>
      <c r="D352" s="2197"/>
      <c r="E352" s="2197"/>
      <c r="F352" s="2196"/>
      <c r="G352" s="2196"/>
      <c r="H352" s="2196"/>
      <c r="I352" s="2196"/>
      <c r="J352" s="2196"/>
      <c r="K352" s="2176"/>
      <c r="L352" s="2176"/>
      <c r="M352" s="2176"/>
      <c r="N352" s="2176"/>
      <c r="O352" s="2176"/>
      <c r="P352" s="2176"/>
      <c r="Q352" s="2176"/>
      <c r="R352" s="2176"/>
      <c r="S352" s="2176"/>
      <c r="T352" s="2176"/>
      <c r="U352" s="2176"/>
      <c r="V352" s="2176"/>
      <c r="W352" s="2176"/>
      <c r="X352" s="2176"/>
      <c r="Y352" s="2176"/>
      <c r="Z352" s="13"/>
      <c r="AA352" s="13"/>
      <c r="AB352" s="13"/>
      <c r="AC352" s="13"/>
    </row>
    <row r="353" spans="1:29" ht="15.75" customHeight="1">
      <c r="A353" s="1933"/>
      <c r="B353" s="2196"/>
      <c r="C353" s="2196"/>
      <c r="D353" s="2197"/>
      <c r="E353" s="2197"/>
      <c r="F353" s="2196"/>
      <c r="G353" s="2196"/>
      <c r="H353" s="2196"/>
      <c r="I353" s="2196"/>
      <c r="J353" s="2196"/>
      <c r="K353" s="2176"/>
      <c r="L353" s="2176"/>
      <c r="M353" s="2176"/>
      <c r="N353" s="2176"/>
      <c r="O353" s="2176"/>
      <c r="P353" s="2176"/>
      <c r="Q353" s="2176"/>
      <c r="R353" s="2176"/>
      <c r="S353" s="2176"/>
      <c r="T353" s="2176"/>
      <c r="U353" s="2176"/>
      <c r="V353" s="2176"/>
      <c r="W353" s="2176"/>
      <c r="X353" s="2176"/>
      <c r="Y353" s="2176"/>
      <c r="Z353" s="13"/>
      <c r="AA353" s="13"/>
      <c r="AB353" s="13"/>
      <c r="AC353" s="13"/>
    </row>
    <row r="354" spans="1:29" ht="15.75" customHeight="1">
      <c r="A354" s="1933"/>
      <c r="B354" s="2196"/>
      <c r="C354" s="2196"/>
      <c r="D354" s="2197"/>
      <c r="E354" s="2197"/>
      <c r="F354" s="2196"/>
      <c r="G354" s="2196"/>
      <c r="H354" s="2196"/>
      <c r="I354" s="2196"/>
      <c r="J354" s="2196"/>
      <c r="K354" s="2176"/>
      <c r="L354" s="2176"/>
      <c r="M354" s="2176"/>
      <c r="N354" s="2176"/>
      <c r="O354" s="2176"/>
      <c r="P354" s="2176"/>
      <c r="Q354" s="2176"/>
      <c r="R354" s="2176"/>
      <c r="S354" s="2176"/>
      <c r="T354" s="2176"/>
      <c r="U354" s="2176"/>
      <c r="V354" s="2176"/>
      <c r="W354" s="2176"/>
      <c r="X354" s="2176"/>
      <c r="Y354" s="2176"/>
      <c r="Z354" s="13"/>
      <c r="AA354" s="13"/>
      <c r="AB354" s="13"/>
      <c r="AC354" s="13"/>
    </row>
    <row r="355" spans="1:29" ht="15.75" customHeight="1">
      <c r="A355" s="1933"/>
      <c r="B355" s="2196"/>
      <c r="C355" s="2196"/>
      <c r="D355" s="2197"/>
      <c r="E355" s="2197"/>
      <c r="F355" s="2196"/>
      <c r="G355" s="2196"/>
      <c r="H355" s="2196"/>
      <c r="I355" s="2196"/>
      <c r="J355" s="2196"/>
      <c r="K355" s="2176"/>
      <c r="L355" s="2176"/>
      <c r="M355" s="2176"/>
      <c r="N355" s="2176"/>
      <c r="O355" s="2176"/>
      <c r="P355" s="2176"/>
      <c r="Q355" s="2176"/>
      <c r="R355" s="2176"/>
      <c r="S355" s="2176"/>
      <c r="T355" s="2176"/>
      <c r="U355" s="2176"/>
      <c r="V355" s="2176"/>
      <c r="W355" s="2176"/>
      <c r="X355" s="2176"/>
      <c r="Y355" s="2176"/>
      <c r="Z355" s="13"/>
      <c r="AA355" s="13"/>
      <c r="AB355" s="13"/>
      <c r="AC355" s="13"/>
    </row>
    <row r="356" spans="1:29" ht="15.75" customHeight="1">
      <c r="A356" s="1933"/>
      <c r="B356" s="2196"/>
      <c r="C356" s="2196"/>
      <c r="D356" s="2197"/>
      <c r="E356" s="2197"/>
      <c r="F356" s="2196"/>
      <c r="G356" s="2196"/>
      <c r="H356" s="2196"/>
      <c r="I356" s="2196"/>
      <c r="J356" s="2196"/>
      <c r="K356" s="2176"/>
      <c r="L356" s="2176"/>
      <c r="M356" s="2176"/>
      <c r="N356" s="2176"/>
      <c r="O356" s="2176"/>
      <c r="P356" s="2176"/>
      <c r="Q356" s="2176"/>
      <c r="R356" s="2176"/>
      <c r="S356" s="2176"/>
      <c r="T356" s="2176"/>
      <c r="U356" s="2176"/>
      <c r="V356" s="2176"/>
      <c r="W356" s="2176"/>
      <c r="X356" s="2176"/>
      <c r="Y356" s="2176"/>
      <c r="Z356" s="13"/>
      <c r="AA356" s="13"/>
      <c r="AB356" s="13"/>
      <c r="AC356" s="13"/>
    </row>
    <row r="357" spans="1:29" ht="15.75" customHeight="1">
      <c r="A357" s="1933"/>
      <c r="B357" s="2196"/>
      <c r="C357" s="2196"/>
      <c r="D357" s="2197"/>
      <c r="E357" s="2197"/>
      <c r="F357" s="2196"/>
      <c r="G357" s="2196"/>
      <c r="H357" s="2196"/>
      <c r="I357" s="2196"/>
      <c r="J357" s="2196"/>
      <c r="K357" s="2176"/>
      <c r="L357" s="2176"/>
      <c r="M357" s="2176"/>
      <c r="N357" s="2176"/>
      <c r="O357" s="2176"/>
      <c r="P357" s="2176"/>
      <c r="Q357" s="2176"/>
      <c r="R357" s="2176"/>
      <c r="S357" s="2176"/>
      <c r="T357" s="2176"/>
      <c r="U357" s="2176"/>
      <c r="V357" s="2176"/>
      <c r="W357" s="2176"/>
      <c r="X357" s="2176"/>
      <c r="Y357" s="2176"/>
      <c r="Z357" s="13"/>
      <c r="AA357" s="13"/>
      <c r="AB357" s="13"/>
      <c r="AC357" s="13"/>
    </row>
    <row r="358" spans="1:29" ht="15.75" customHeight="1">
      <c r="A358" s="1933"/>
      <c r="B358" s="2196"/>
      <c r="C358" s="2196"/>
      <c r="D358" s="2197"/>
      <c r="E358" s="2197"/>
      <c r="F358" s="2196"/>
      <c r="G358" s="2196"/>
      <c r="H358" s="2196"/>
      <c r="I358" s="2196"/>
      <c r="J358" s="2196"/>
      <c r="K358" s="2176"/>
      <c r="L358" s="2176"/>
      <c r="M358" s="2176"/>
      <c r="N358" s="2176"/>
      <c r="O358" s="2176"/>
      <c r="P358" s="2176"/>
      <c r="Q358" s="2176"/>
      <c r="R358" s="2176"/>
      <c r="S358" s="2176"/>
      <c r="T358" s="2176"/>
      <c r="U358" s="2176"/>
      <c r="V358" s="2176"/>
      <c r="W358" s="2176"/>
      <c r="X358" s="2176"/>
      <c r="Y358" s="2176"/>
      <c r="Z358" s="13"/>
      <c r="AA358" s="13"/>
      <c r="AB358" s="13"/>
      <c r="AC358" s="13"/>
    </row>
    <row r="359" spans="1:29" ht="15.75" customHeight="1">
      <c r="A359" s="1933"/>
      <c r="B359" s="2196"/>
      <c r="C359" s="2196"/>
      <c r="D359" s="2197"/>
      <c r="E359" s="2197"/>
      <c r="F359" s="2196"/>
      <c r="G359" s="2196"/>
      <c r="H359" s="2196"/>
      <c r="I359" s="2196"/>
      <c r="J359" s="2196"/>
      <c r="K359" s="2176"/>
      <c r="L359" s="2176"/>
      <c r="M359" s="2176"/>
      <c r="N359" s="2176"/>
      <c r="O359" s="2176"/>
      <c r="P359" s="2176"/>
      <c r="Q359" s="2176"/>
      <c r="R359" s="2176"/>
      <c r="S359" s="2176"/>
      <c r="T359" s="2176"/>
      <c r="U359" s="2176"/>
      <c r="V359" s="2176"/>
      <c r="W359" s="2176"/>
      <c r="X359" s="2176"/>
      <c r="Y359" s="2176"/>
      <c r="Z359" s="13"/>
      <c r="AA359" s="13"/>
      <c r="AB359" s="13"/>
      <c r="AC359" s="13"/>
    </row>
    <row r="360" spans="1:29" ht="15.75" customHeight="1">
      <c r="A360" s="1933"/>
      <c r="B360" s="2196"/>
      <c r="C360" s="2196"/>
      <c r="D360" s="2197"/>
      <c r="E360" s="2197"/>
      <c r="F360" s="2196"/>
      <c r="G360" s="2196"/>
      <c r="H360" s="2196"/>
      <c r="I360" s="2196"/>
      <c r="J360" s="2196"/>
      <c r="K360" s="2176"/>
      <c r="L360" s="2176"/>
      <c r="M360" s="2176"/>
      <c r="N360" s="2176"/>
      <c r="O360" s="2176"/>
      <c r="P360" s="2176"/>
      <c r="Q360" s="2176"/>
      <c r="R360" s="2176"/>
      <c r="S360" s="2176"/>
      <c r="T360" s="2176"/>
      <c r="U360" s="2176"/>
      <c r="V360" s="2176"/>
      <c r="W360" s="2176"/>
      <c r="X360" s="2176"/>
      <c r="Y360" s="2176"/>
      <c r="Z360" s="13"/>
      <c r="AA360" s="13"/>
      <c r="AB360" s="13"/>
      <c r="AC360" s="13"/>
    </row>
    <row r="361" spans="1:29" ht="15.75" customHeight="1">
      <c r="A361" s="1933"/>
      <c r="B361" s="2196"/>
      <c r="C361" s="2196"/>
      <c r="D361" s="2197"/>
      <c r="E361" s="2197"/>
      <c r="F361" s="2196"/>
      <c r="G361" s="2196"/>
      <c r="H361" s="2196"/>
      <c r="I361" s="2196"/>
      <c r="J361" s="2196"/>
      <c r="K361" s="2176"/>
      <c r="L361" s="2176"/>
      <c r="M361" s="2176"/>
      <c r="N361" s="2176"/>
      <c r="O361" s="2176"/>
      <c r="P361" s="2176"/>
      <c r="Q361" s="2176"/>
      <c r="R361" s="2176"/>
      <c r="S361" s="2176"/>
      <c r="T361" s="2176"/>
      <c r="U361" s="2176"/>
      <c r="V361" s="2176"/>
      <c r="W361" s="2176"/>
      <c r="X361" s="2176"/>
      <c r="Y361" s="2176"/>
      <c r="Z361" s="13"/>
      <c r="AA361" s="13"/>
      <c r="AB361" s="13"/>
      <c r="AC361" s="13"/>
    </row>
    <row r="362" spans="1:29" ht="15.75" customHeight="1">
      <c r="A362" s="1933"/>
      <c r="B362" s="2196"/>
      <c r="C362" s="2196"/>
      <c r="D362" s="2197"/>
      <c r="E362" s="2197"/>
      <c r="F362" s="2196"/>
      <c r="G362" s="2196"/>
      <c r="H362" s="2196"/>
      <c r="I362" s="2196"/>
      <c r="J362" s="2196"/>
      <c r="K362" s="2176"/>
      <c r="L362" s="2176"/>
      <c r="M362" s="2176"/>
      <c r="N362" s="2176"/>
      <c r="O362" s="2176"/>
      <c r="P362" s="2176"/>
      <c r="Q362" s="2176"/>
      <c r="R362" s="2176"/>
      <c r="S362" s="2176"/>
      <c r="T362" s="2176"/>
      <c r="U362" s="2176"/>
      <c r="V362" s="2176"/>
      <c r="W362" s="2176"/>
      <c r="X362" s="2176"/>
      <c r="Y362" s="2176"/>
      <c r="Z362" s="13"/>
      <c r="AA362" s="13"/>
      <c r="AB362" s="13"/>
      <c r="AC362" s="13"/>
    </row>
    <row r="363" spans="1:29" ht="15.75" customHeight="1">
      <c r="A363" s="1933"/>
      <c r="B363" s="2196"/>
      <c r="C363" s="2196"/>
      <c r="D363" s="2197"/>
      <c r="E363" s="2197"/>
      <c r="F363" s="2196"/>
      <c r="G363" s="2196"/>
      <c r="H363" s="2196"/>
      <c r="I363" s="2196"/>
      <c r="J363" s="2196"/>
      <c r="K363" s="2176"/>
      <c r="L363" s="2176"/>
      <c r="M363" s="2176"/>
      <c r="N363" s="2176"/>
      <c r="O363" s="2176"/>
      <c r="P363" s="2176"/>
      <c r="Q363" s="2176"/>
      <c r="R363" s="2176"/>
      <c r="S363" s="2176"/>
      <c r="T363" s="2176"/>
      <c r="U363" s="2176"/>
      <c r="V363" s="2176"/>
      <c r="W363" s="2176"/>
      <c r="X363" s="2176"/>
      <c r="Y363" s="2176"/>
      <c r="Z363" s="13"/>
      <c r="AA363" s="13"/>
      <c r="AB363" s="13"/>
      <c r="AC363" s="13"/>
    </row>
    <row r="364" spans="1:29" ht="15.75" customHeight="1">
      <c r="A364" s="1933"/>
      <c r="B364" s="2196"/>
      <c r="C364" s="2196"/>
      <c r="D364" s="2197"/>
      <c r="E364" s="2197"/>
      <c r="F364" s="2196"/>
      <c r="G364" s="2196"/>
      <c r="H364" s="2196"/>
      <c r="I364" s="2196"/>
      <c r="J364" s="2196"/>
      <c r="K364" s="2176"/>
      <c r="L364" s="2176"/>
      <c r="M364" s="2176"/>
      <c r="N364" s="2176"/>
      <c r="O364" s="2176"/>
      <c r="P364" s="2176"/>
      <c r="Q364" s="2176"/>
      <c r="R364" s="2176"/>
      <c r="S364" s="2176"/>
      <c r="T364" s="2176"/>
      <c r="U364" s="2176"/>
      <c r="V364" s="2176"/>
      <c r="W364" s="2176"/>
      <c r="X364" s="2176"/>
      <c r="Y364" s="2176"/>
      <c r="Z364" s="13"/>
      <c r="AA364" s="13"/>
      <c r="AB364" s="13"/>
      <c r="AC364" s="13"/>
    </row>
    <row r="365" spans="1:29" ht="15.75" customHeight="1">
      <c r="A365" s="1933"/>
      <c r="B365" s="2196"/>
      <c r="C365" s="2196"/>
      <c r="D365" s="2197"/>
      <c r="E365" s="2197"/>
      <c r="F365" s="2196"/>
      <c r="G365" s="2196"/>
      <c r="H365" s="2196"/>
      <c r="I365" s="2196"/>
      <c r="J365" s="2196"/>
      <c r="K365" s="2176"/>
      <c r="L365" s="2176"/>
      <c r="M365" s="2176"/>
      <c r="N365" s="2176"/>
      <c r="O365" s="2176"/>
      <c r="P365" s="2176"/>
      <c r="Q365" s="2176"/>
      <c r="R365" s="2176"/>
      <c r="S365" s="2176"/>
      <c r="T365" s="2176"/>
      <c r="U365" s="2176"/>
      <c r="V365" s="2176"/>
      <c r="W365" s="2176"/>
      <c r="X365" s="2176"/>
      <c r="Y365" s="2176"/>
      <c r="Z365" s="13"/>
      <c r="AA365" s="13"/>
      <c r="AB365" s="13"/>
      <c r="AC365" s="13"/>
    </row>
    <row r="366" spans="1:29" ht="15.75" customHeight="1">
      <c r="A366" s="1933"/>
      <c r="B366" s="2196"/>
      <c r="C366" s="2196"/>
      <c r="D366" s="2197"/>
      <c r="E366" s="2197"/>
      <c r="F366" s="2196"/>
      <c r="G366" s="2196"/>
      <c r="H366" s="2196"/>
      <c r="I366" s="2196"/>
      <c r="J366" s="2196"/>
      <c r="K366" s="2176"/>
      <c r="L366" s="2176"/>
      <c r="M366" s="2176"/>
      <c r="N366" s="2176"/>
      <c r="O366" s="2176"/>
      <c r="P366" s="2176"/>
      <c r="Q366" s="2176"/>
      <c r="R366" s="2176"/>
      <c r="S366" s="2176"/>
      <c r="T366" s="2176"/>
      <c r="U366" s="2176"/>
      <c r="V366" s="2176"/>
      <c r="W366" s="2176"/>
      <c r="X366" s="2176"/>
      <c r="Y366" s="2176"/>
      <c r="Z366" s="13"/>
      <c r="AA366" s="13"/>
      <c r="AB366" s="13"/>
      <c r="AC366" s="13"/>
    </row>
    <row r="367" spans="1:29" ht="15.75" customHeight="1">
      <c r="A367" s="1933"/>
      <c r="B367" s="2196"/>
      <c r="C367" s="2196"/>
      <c r="D367" s="2197"/>
      <c r="E367" s="2197"/>
      <c r="F367" s="2196"/>
      <c r="G367" s="2196"/>
      <c r="H367" s="2196"/>
      <c r="I367" s="2196"/>
      <c r="J367" s="2196"/>
      <c r="K367" s="2176"/>
      <c r="L367" s="2176"/>
      <c r="M367" s="2176"/>
      <c r="N367" s="2176"/>
      <c r="O367" s="2176"/>
      <c r="P367" s="2176"/>
      <c r="Q367" s="2176"/>
      <c r="R367" s="2176"/>
      <c r="S367" s="2176"/>
      <c r="T367" s="2176"/>
      <c r="U367" s="2176"/>
      <c r="V367" s="2176"/>
      <c r="W367" s="2176"/>
      <c r="X367" s="2176"/>
      <c r="Y367" s="2176"/>
      <c r="Z367" s="13"/>
      <c r="AA367" s="13"/>
      <c r="AB367" s="13"/>
      <c r="AC367" s="13"/>
    </row>
    <row r="368" spans="1:29" ht="15.75" customHeight="1">
      <c r="A368" s="1933"/>
      <c r="B368" s="2196"/>
      <c r="C368" s="2196"/>
      <c r="D368" s="2197"/>
      <c r="E368" s="2197"/>
      <c r="F368" s="2196"/>
      <c r="G368" s="2196"/>
      <c r="H368" s="2196"/>
      <c r="I368" s="2196"/>
      <c r="J368" s="2196"/>
      <c r="K368" s="2176"/>
      <c r="L368" s="2176"/>
      <c r="M368" s="2176"/>
      <c r="N368" s="2176"/>
      <c r="O368" s="2176"/>
      <c r="P368" s="2176"/>
      <c r="Q368" s="2176"/>
      <c r="R368" s="2176"/>
      <c r="S368" s="2176"/>
      <c r="T368" s="2176"/>
      <c r="U368" s="2176"/>
      <c r="V368" s="2176"/>
      <c r="W368" s="2176"/>
      <c r="X368" s="2176"/>
      <c r="Y368" s="2176"/>
      <c r="Z368" s="13"/>
      <c r="AA368" s="13"/>
      <c r="AB368" s="13"/>
      <c r="AC368" s="13"/>
    </row>
    <row r="369" spans="1:29" ht="15.75" customHeight="1">
      <c r="A369" s="1933"/>
      <c r="B369" s="2196"/>
      <c r="C369" s="2196"/>
      <c r="D369" s="2197"/>
      <c r="E369" s="2197"/>
      <c r="F369" s="2196"/>
      <c r="G369" s="2196"/>
      <c r="H369" s="2196"/>
      <c r="I369" s="2196"/>
      <c r="J369" s="2196"/>
      <c r="K369" s="2176"/>
      <c r="L369" s="2176"/>
      <c r="M369" s="2176"/>
      <c r="N369" s="2176"/>
      <c r="O369" s="2176"/>
      <c r="P369" s="2176"/>
      <c r="Q369" s="2176"/>
      <c r="R369" s="2176"/>
      <c r="S369" s="2176"/>
      <c r="T369" s="2176"/>
      <c r="U369" s="2176"/>
      <c r="V369" s="2176"/>
      <c r="W369" s="2176"/>
      <c r="X369" s="2176"/>
      <c r="Y369" s="2176"/>
      <c r="Z369" s="13"/>
      <c r="AA369" s="13"/>
      <c r="AB369" s="13"/>
      <c r="AC369" s="13"/>
    </row>
    <row r="370" spans="1:29" ht="15.75" customHeight="1">
      <c r="A370" s="1933"/>
      <c r="B370" s="2196"/>
      <c r="C370" s="2196"/>
      <c r="D370" s="2197"/>
      <c r="E370" s="2197"/>
      <c r="F370" s="2196"/>
      <c r="G370" s="2196"/>
      <c r="H370" s="2196"/>
      <c r="I370" s="2196"/>
      <c r="J370" s="2196"/>
      <c r="K370" s="2176"/>
      <c r="L370" s="2176"/>
      <c r="M370" s="2176"/>
      <c r="N370" s="2176"/>
      <c r="O370" s="2176"/>
      <c r="P370" s="2176"/>
      <c r="Q370" s="2176"/>
      <c r="R370" s="2176"/>
      <c r="S370" s="2176"/>
      <c r="T370" s="2176"/>
      <c r="U370" s="2176"/>
      <c r="V370" s="2176"/>
      <c r="W370" s="2176"/>
      <c r="X370" s="2176"/>
      <c r="Y370" s="2176"/>
      <c r="Z370" s="13"/>
      <c r="AA370" s="13"/>
      <c r="AB370" s="13"/>
      <c r="AC370" s="13"/>
    </row>
    <row r="371" spans="1:29" ht="15.75" customHeight="1">
      <c r="A371" s="1933"/>
      <c r="B371" s="2196"/>
      <c r="C371" s="2196"/>
      <c r="D371" s="2197"/>
      <c r="E371" s="2197"/>
      <c r="F371" s="2196"/>
      <c r="G371" s="2196"/>
      <c r="H371" s="2196"/>
      <c r="I371" s="2196"/>
      <c r="J371" s="2196"/>
      <c r="K371" s="2176"/>
      <c r="L371" s="2176"/>
      <c r="M371" s="2176"/>
      <c r="N371" s="2176"/>
      <c r="O371" s="2176"/>
      <c r="P371" s="2176"/>
      <c r="Q371" s="2176"/>
      <c r="R371" s="2176"/>
      <c r="S371" s="2176"/>
      <c r="T371" s="2176"/>
      <c r="U371" s="2176"/>
      <c r="V371" s="2176"/>
      <c r="W371" s="2176"/>
      <c r="X371" s="2176"/>
      <c r="Y371" s="2176"/>
      <c r="Z371" s="13"/>
      <c r="AA371" s="13"/>
      <c r="AB371" s="13"/>
      <c r="AC371" s="13"/>
    </row>
    <row r="372" spans="1:29" ht="15.75" customHeight="1">
      <c r="A372" s="1933"/>
      <c r="B372" s="2196"/>
      <c r="C372" s="2196"/>
      <c r="D372" s="2197"/>
      <c r="E372" s="2197"/>
      <c r="F372" s="2196"/>
      <c r="G372" s="2196"/>
      <c r="H372" s="2196"/>
      <c r="I372" s="2196"/>
      <c r="J372" s="2196"/>
      <c r="K372" s="2176"/>
      <c r="L372" s="2176"/>
      <c r="M372" s="2176"/>
      <c r="N372" s="2176"/>
      <c r="O372" s="2176"/>
      <c r="P372" s="2176"/>
      <c r="Q372" s="2176"/>
      <c r="R372" s="2176"/>
      <c r="S372" s="2176"/>
      <c r="T372" s="2176"/>
      <c r="U372" s="2176"/>
      <c r="V372" s="2176"/>
      <c r="W372" s="2176"/>
      <c r="X372" s="2176"/>
      <c r="Y372" s="2176"/>
      <c r="Z372" s="13"/>
      <c r="AA372" s="13"/>
      <c r="AB372" s="13"/>
      <c r="AC372" s="13"/>
    </row>
    <row r="373" spans="1:29" ht="15.75" customHeight="1">
      <c r="A373" s="1933"/>
      <c r="B373" s="2196"/>
      <c r="C373" s="2196"/>
      <c r="D373" s="2197"/>
      <c r="E373" s="2197"/>
      <c r="F373" s="2196"/>
      <c r="G373" s="2196"/>
      <c r="H373" s="2196"/>
      <c r="I373" s="2196"/>
      <c r="J373" s="2196"/>
      <c r="K373" s="2176"/>
      <c r="L373" s="2176"/>
      <c r="M373" s="2176"/>
      <c r="N373" s="2176"/>
      <c r="O373" s="2176"/>
      <c r="P373" s="2176"/>
      <c r="Q373" s="2176"/>
      <c r="R373" s="2176"/>
      <c r="S373" s="2176"/>
      <c r="T373" s="2176"/>
      <c r="U373" s="2176"/>
      <c r="V373" s="2176"/>
      <c r="W373" s="2176"/>
      <c r="X373" s="2176"/>
      <c r="Y373" s="2176"/>
      <c r="Z373" s="13"/>
      <c r="AA373" s="13"/>
      <c r="AB373" s="13"/>
      <c r="AC373" s="13"/>
    </row>
    <row r="374" spans="1:29" ht="15.75" customHeight="1">
      <c r="A374" s="1933"/>
      <c r="B374" s="2196"/>
      <c r="C374" s="2196"/>
      <c r="D374" s="2197"/>
      <c r="E374" s="2197"/>
      <c r="F374" s="2196"/>
      <c r="G374" s="2196"/>
      <c r="H374" s="2196"/>
      <c r="I374" s="2196"/>
      <c r="J374" s="2196"/>
      <c r="K374" s="2176"/>
      <c r="L374" s="2176"/>
      <c r="M374" s="2176"/>
      <c r="N374" s="2176"/>
      <c r="O374" s="2176"/>
      <c r="P374" s="2176"/>
      <c r="Q374" s="2176"/>
      <c r="R374" s="2176"/>
      <c r="S374" s="2176"/>
      <c r="T374" s="2176"/>
      <c r="U374" s="2176"/>
      <c r="V374" s="2176"/>
      <c r="W374" s="2176"/>
      <c r="X374" s="2176"/>
      <c r="Y374" s="2176"/>
      <c r="Z374" s="13"/>
      <c r="AA374" s="13"/>
      <c r="AB374" s="13"/>
      <c r="AC374" s="13"/>
    </row>
    <row r="375" spans="1:29" ht="15.75" customHeight="1">
      <c r="A375" s="1933"/>
      <c r="B375" s="2196"/>
      <c r="C375" s="2196"/>
      <c r="D375" s="2197"/>
      <c r="E375" s="2197"/>
      <c r="F375" s="2196"/>
      <c r="G375" s="2196"/>
      <c r="H375" s="2196"/>
      <c r="I375" s="2196"/>
      <c r="J375" s="2196"/>
      <c r="K375" s="2176"/>
      <c r="L375" s="2176"/>
      <c r="M375" s="2176"/>
      <c r="N375" s="2176"/>
      <c r="O375" s="2176"/>
      <c r="P375" s="2176"/>
      <c r="Q375" s="2176"/>
      <c r="R375" s="2176"/>
      <c r="S375" s="2176"/>
      <c r="T375" s="2176"/>
      <c r="U375" s="2176"/>
      <c r="V375" s="2176"/>
      <c r="W375" s="2176"/>
      <c r="X375" s="2176"/>
      <c r="Y375" s="2176"/>
      <c r="Z375" s="13"/>
      <c r="AA375" s="13"/>
      <c r="AB375" s="13"/>
      <c r="AC375" s="13"/>
    </row>
    <row r="376" spans="1:29" ht="15.75" customHeight="1">
      <c r="A376" s="1933"/>
      <c r="B376" s="2196"/>
      <c r="C376" s="2196"/>
      <c r="D376" s="2197"/>
      <c r="E376" s="2197"/>
      <c r="F376" s="2196"/>
      <c r="G376" s="2196"/>
      <c r="H376" s="2196"/>
      <c r="I376" s="2196"/>
      <c r="J376" s="2196"/>
      <c r="K376" s="2176"/>
      <c r="L376" s="2176"/>
      <c r="M376" s="2176"/>
      <c r="N376" s="2176"/>
      <c r="O376" s="2176"/>
      <c r="P376" s="2176"/>
      <c r="Q376" s="2176"/>
      <c r="R376" s="2176"/>
      <c r="S376" s="2176"/>
      <c r="T376" s="2176"/>
      <c r="U376" s="2176"/>
      <c r="V376" s="2176"/>
      <c r="W376" s="2176"/>
      <c r="X376" s="2176"/>
      <c r="Y376" s="2176"/>
      <c r="Z376" s="13"/>
      <c r="AA376" s="13"/>
      <c r="AB376" s="13"/>
      <c r="AC376" s="13"/>
    </row>
    <row r="377" spans="1:29" ht="15.75" customHeight="1">
      <c r="A377" s="1933"/>
      <c r="B377" s="2196"/>
      <c r="C377" s="2196"/>
      <c r="D377" s="2197"/>
      <c r="E377" s="2197"/>
      <c r="F377" s="2196"/>
      <c r="G377" s="2196"/>
      <c r="H377" s="2196"/>
      <c r="I377" s="2196"/>
      <c r="J377" s="2196"/>
      <c r="K377" s="2176"/>
      <c r="L377" s="2176"/>
      <c r="M377" s="2176"/>
      <c r="N377" s="2176"/>
      <c r="O377" s="2176"/>
      <c r="P377" s="2176"/>
      <c r="Q377" s="2176"/>
      <c r="R377" s="2176"/>
      <c r="S377" s="2176"/>
      <c r="T377" s="2176"/>
      <c r="U377" s="2176"/>
      <c r="V377" s="2176"/>
      <c r="W377" s="2176"/>
      <c r="X377" s="2176"/>
      <c r="Y377" s="2176"/>
      <c r="Z377" s="13"/>
      <c r="AA377" s="13"/>
      <c r="AB377" s="13"/>
      <c r="AC377" s="13"/>
    </row>
    <row r="378" spans="1:29" ht="15.75" customHeight="1">
      <c r="A378" s="1933"/>
      <c r="B378" s="2196"/>
      <c r="C378" s="2196"/>
      <c r="D378" s="2197"/>
      <c r="E378" s="2197"/>
      <c r="F378" s="2196"/>
      <c r="G378" s="2196"/>
      <c r="H378" s="2196"/>
      <c r="I378" s="2196"/>
      <c r="J378" s="2196"/>
      <c r="K378" s="2176"/>
      <c r="L378" s="2176"/>
      <c r="M378" s="2176"/>
      <c r="N378" s="2176"/>
      <c r="O378" s="2176"/>
      <c r="P378" s="2176"/>
      <c r="Q378" s="2176"/>
      <c r="R378" s="2176"/>
      <c r="S378" s="2176"/>
      <c r="T378" s="2176"/>
      <c r="U378" s="2176"/>
      <c r="V378" s="2176"/>
      <c r="W378" s="2176"/>
      <c r="X378" s="2176"/>
      <c r="Y378" s="2176"/>
      <c r="Z378" s="13"/>
      <c r="AA378" s="13"/>
      <c r="AB378" s="13"/>
      <c r="AC378" s="13"/>
    </row>
    <row r="379" spans="1:29" ht="15.75" customHeight="1">
      <c r="A379" s="1933"/>
      <c r="B379" s="2196"/>
      <c r="C379" s="2196"/>
      <c r="D379" s="2197"/>
      <c r="E379" s="2197"/>
      <c r="F379" s="2196"/>
      <c r="G379" s="2196"/>
      <c r="H379" s="2196"/>
      <c r="I379" s="2196"/>
      <c r="J379" s="2196"/>
      <c r="K379" s="2176"/>
      <c r="L379" s="2176"/>
      <c r="M379" s="2176"/>
      <c r="N379" s="2176"/>
      <c r="O379" s="2176"/>
      <c r="P379" s="2176"/>
      <c r="Q379" s="2176"/>
      <c r="R379" s="2176"/>
      <c r="S379" s="2176"/>
      <c r="T379" s="2176"/>
      <c r="U379" s="2176"/>
      <c r="V379" s="2176"/>
      <c r="W379" s="2176"/>
      <c r="X379" s="2176"/>
      <c r="Y379" s="2176"/>
      <c r="Z379" s="13"/>
      <c r="AA379" s="13"/>
      <c r="AB379" s="13"/>
      <c r="AC379" s="13"/>
    </row>
    <row r="380" spans="1:29" ht="15.75" customHeight="1">
      <c r="A380" s="1933"/>
      <c r="B380" s="2196"/>
      <c r="C380" s="2196"/>
      <c r="D380" s="2197"/>
      <c r="E380" s="2197"/>
      <c r="F380" s="2196"/>
      <c r="G380" s="2196"/>
      <c r="H380" s="2196"/>
      <c r="I380" s="2196"/>
      <c r="J380" s="2196"/>
      <c r="K380" s="2176"/>
      <c r="L380" s="2176"/>
      <c r="M380" s="2176"/>
      <c r="N380" s="2176"/>
      <c r="O380" s="2176"/>
      <c r="P380" s="2176"/>
      <c r="Q380" s="2176"/>
      <c r="R380" s="2176"/>
      <c r="S380" s="2176"/>
      <c r="T380" s="2176"/>
      <c r="U380" s="2176"/>
      <c r="V380" s="2176"/>
      <c r="W380" s="2176"/>
      <c r="X380" s="2176"/>
      <c r="Y380" s="2176"/>
      <c r="Z380" s="13"/>
      <c r="AA380" s="13"/>
      <c r="AB380" s="13"/>
      <c r="AC380" s="13"/>
    </row>
    <row r="381" spans="1:29" ht="15.75" customHeight="1">
      <c r="A381" s="1933"/>
      <c r="B381" s="2196"/>
      <c r="C381" s="2196"/>
      <c r="D381" s="2197"/>
      <c r="E381" s="2197"/>
      <c r="F381" s="2196"/>
      <c r="G381" s="2196"/>
      <c r="H381" s="2196"/>
      <c r="I381" s="2196"/>
      <c r="J381" s="2196"/>
      <c r="K381" s="2176"/>
      <c r="L381" s="2176"/>
      <c r="M381" s="2176"/>
      <c r="N381" s="2176"/>
      <c r="O381" s="2176"/>
      <c r="P381" s="2176"/>
      <c r="Q381" s="2176"/>
      <c r="R381" s="2176"/>
      <c r="S381" s="2176"/>
      <c r="T381" s="2176"/>
      <c r="U381" s="2176"/>
      <c r="V381" s="2176"/>
      <c r="W381" s="2176"/>
      <c r="X381" s="2176"/>
      <c r="Y381" s="2176"/>
      <c r="Z381" s="13"/>
      <c r="AA381" s="13"/>
      <c r="AB381" s="13"/>
      <c r="AC381" s="13"/>
    </row>
    <row r="382" spans="1:29" ht="15.75" customHeight="1">
      <c r="A382" s="1933"/>
      <c r="B382" s="2196"/>
      <c r="C382" s="2196"/>
      <c r="D382" s="2197"/>
      <c r="E382" s="2197"/>
      <c r="F382" s="2196"/>
      <c r="G382" s="2196"/>
      <c r="H382" s="2196"/>
      <c r="I382" s="2196"/>
      <c r="J382" s="2196"/>
      <c r="K382" s="2176"/>
      <c r="L382" s="2176"/>
      <c r="M382" s="2176"/>
      <c r="N382" s="2176"/>
      <c r="O382" s="2176"/>
      <c r="P382" s="2176"/>
      <c r="Q382" s="2176"/>
      <c r="R382" s="2176"/>
      <c r="S382" s="2176"/>
      <c r="T382" s="2176"/>
      <c r="U382" s="2176"/>
      <c r="V382" s="2176"/>
      <c r="W382" s="2176"/>
      <c r="X382" s="2176"/>
      <c r="Y382" s="2176"/>
      <c r="Z382" s="13"/>
      <c r="AA382" s="13"/>
      <c r="AB382" s="13"/>
      <c r="AC382" s="13"/>
    </row>
    <row r="383" spans="1:29" ht="15.75" customHeight="1">
      <c r="A383" s="1933"/>
      <c r="B383" s="2196"/>
      <c r="C383" s="2196"/>
      <c r="D383" s="2197"/>
      <c r="E383" s="2197"/>
      <c r="F383" s="2196"/>
      <c r="G383" s="2196"/>
      <c r="H383" s="2196"/>
      <c r="I383" s="2196"/>
      <c r="J383" s="2196"/>
      <c r="K383" s="2176"/>
      <c r="L383" s="2176"/>
      <c r="M383" s="2176"/>
      <c r="N383" s="2176"/>
      <c r="O383" s="2176"/>
      <c r="P383" s="2176"/>
      <c r="Q383" s="2176"/>
      <c r="R383" s="2176"/>
      <c r="S383" s="2176"/>
      <c r="T383" s="2176"/>
      <c r="U383" s="2176"/>
      <c r="V383" s="2176"/>
      <c r="W383" s="2176"/>
      <c r="X383" s="2176"/>
      <c r="Y383" s="2176"/>
      <c r="Z383" s="13"/>
      <c r="AA383" s="13"/>
      <c r="AB383" s="13"/>
      <c r="AC383" s="13"/>
    </row>
    <row r="384" spans="1:29" ht="15.75" customHeight="1">
      <c r="A384" s="1933"/>
      <c r="B384" s="2196"/>
      <c r="C384" s="2196"/>
      <c r="D384" s="2197"/>
      <c r="E384" s="2197"/>
      <c r="F384" s="2196"/>
      <c r="G384" s="2196"/>
      <c r="H384" s="2196"/>
      <c r="I384" s="2196"/>
      <c r="J384" s="2196"/>
      <c r="K384" s="2176"/>
      <c r="L384" s="2176"/>
      <c r="M384" s="2176"/>
      <c r="N384" s="2176"/>
      <c r="O384" s="2176"/>
      <c r="P384" s="2176"/>
      <c r="Q384" s="2176"/>
      <c r="R384" s="2176"/>
      <c r="S384" s="2176"/>
      <c r="T384" s="2176"/>
      <c r="U384" s="2176"/>
      <c r="V384" s="2176"/>
      <c r="W384" s="2176"/>
      <c r="X384" s="2176"/>
      <c r="Y384" s="2176"/>
      <c r="Z384" s="13"/>
      <c r="AA384" s="13"/>
      <c r="AB384" s="13"/>
      <c r="AC384" s="13"/>
    </row>
    <row r="385" spans="1:29" ht="15.75" customHeight="1">
      <c r="A385" s="1933"/>
      <c r="B385" s="2196"/>
      <c r="C385" s="2196"/>
      <c r="D385" s="2197"/>
      <c r="E385" s="2197"/>
      <c r="F385" s="2196"/>
      <c r="G385" s="2196"/>
      <c r="H385" s="2196"/>
      <c r="I385" s="2196"/>
      <c r="J385" s="2196"/>
      <c r="K385" s="2176"/>
      <c r="L385" s="2176"/>
      <c r="M385" s="2176"/>
      <c r="N385" s="2176"/>
      <c r="O385" s="2176"/>
      <c r="P385" s="2176"/>
      <c r="Q385" s="2176"/>
      <c r="R385" s="2176"/>
      <c r="S385" s="2176"/>
      <c r="T385" s="2176"/>
      <c r="U385" s="2176"/>
      <c r="V385" s="2176"/>
      <c r="W385" s="2176"/>
      <c r="X385" s="2176"/>
      <c r="Y385" s="2176"/>
      <c r="Z385" s="13"/>
      <c r="AA385" s="13"/>
      <c r="AB385" s="13"/>
      <c r="AC385" s="13"/>
    </row>
    <row r="386" spans="1:29" ht="15.75" customHeight="1">
      <c r="A386" s="1933"/>
      <c r="B386" s="2196"/>
      <c r="C386" s="2196"/>
      <c r="D386" s="2197"/>
      <c r="E386" s="2197"/>
      <c r="F386" s="2196"/>
      <c r="G386" s="2196"/>
      <c r="H386" s="2196"/>
      <c r="I386" s="2196"/>
      <c r="J386" s="2196"/>
      <c r="K386" s="2176"/>
      <c r="L386" s="2176"/>
      <c r="M386" s="2176"/>
      <c r="N386" s="2176"/>
      <c r="O386" s="2176"/>
      <c r="P386" s="2176"/>
      <c r="Q386" s="2176"/>
      <c r="R386" s="2176"/>
      <c r="S386" s="2176"/>
      <c r="T386" s="2176"/>
      <c r="U386" s="2176"/>
      <c r="V386" s="2176"/>
      <c r="W386" s="2176"/>
      <c r="X386" s="2176"/>
      <c r="Y386" s="2176"/>
      <c r="Z386" s="13"/>
      <c r="AA386" s="13"/>
      <c r="AB386" s="13"/>
      <c r="AC386" s="13"/>
    </row>
    <row r="387" spans="1:29" ht="15.75" customHeight="1">
      <c r="A387" s="1933"/>
      <c r="B387" s="2196"/>
      <c r="C387" s="2196"/>
      <c r="D387" s="2197"/>
      <c r="E387" s="2197"/>
      <c r="F387" s="2196"/>
      <c r="G387" s="2196"/>
      <c r="H387" s="2196"/>
      <c r="I387" s="2196"/>
      <c r="J387" s="2196"/>
      <c r="K387" s="2176"/>
      <c r="L387" s="2176"/>
      <c r="M387" s="2176"/>
      <c r="N387" s="2176"/>
      <c r="O387" s="2176"/>
      <c r="P387" s="2176"/>
      <c r="Q387" s="2176"/>
      <c r="R387" s="2176"/>
      <c r="S387" s="2176"/>
      <c r="T387" s="2176"/>
      <c r="U387" s="2176"/>
      <c r="V387" s="2176"/>
      <c r="W387" s="2176"/>
      <c r="X387" s="2176"/>
      <c r="Y387" s="2176"/>
      <c r="Z387" s="13"/>
      <c r="AA387" s="13"/>
      <c r="AB387" s="13"/>
      <c r="AC387" s="13"/>
    </row>
    <row r="388" spans="1:29" ht="15.75" customHeight="1">
      <c r="A388" s="1933"/>
      <c r="B388" s="2196"/>
      <c r="C388" s="2196"/>
      <c r="D388" s="2197"/>
      <c r="E388" s="2197"/>
      <c r="F388" s="2196"/>
      <c r="G388" s="2196"/>
      <c r="H388" s="2196"/>
      <c r="I388" s="2196"/>
      <c r="J388" s="2196"/>
      <c r="K388" s="2176"/>
      <c r="L388" s="2176"/>
      <c r="M388" s="2176"/>
      <c r="N388" s="2176"/>
      <c r="O388" s="2176"/>
      <c r="P388" s="2176"/>
      <c r="Q388" s="2176"/>
      <c r="R388" s="2176"/>
      <c r="S388" s="2176"/>
      <c r="T388" s="2176"/>
      <c r="U388" s="2176"/>
      <c r="V388" s="2176"/>
      <c r="W388" s="2176"/>
      <c r="X388" s="2176"/>
      <c r="Y388" s="2176"/>
      <c r="Z388" s="13"/>
      <c r="AA388" s="13"/>
      <c r="AB388" s="13"/>
      <c r="AC388" s="13"/>
    </row>
    <row r="389" spans="1:29" ht="15.75" customHeight="1">
      <c r="A389" s="1933"/>
      <c r="B389" s="2196"/>
      <c r="C389" s="2196"/>
      <c r="D389" s="2197"/>
      <c r="E389" s="2197"/>
      <c r="F389" s="2196"/>
      <c r="G389" s="2196"/>
      <c r="H389" s="2196"/>
      <c r="I389" s="2196"/>
      <c r="J389" s="2196"/>
      <c r="K389" s="2176"/>
      <c r="L389" s="2176"/>
      <c r="M389" s="2176"/>
      <c r="N389" s="2176"/>
      <c r="O389" s="2176"/>
      <c r="P389" s="2176"/>
      <c r="Q389" s="2176"/>
      <c r="R389" s="2176"/>
      <c r="S389" s="2176"/>
      <c r="T389" s="2176"/>
      <c r="U389" s="2176"/>
      <c r="V389" s="2176"/>
      <c r="W389" s="2176"/>
      <c r="X389" s="2176"/>
      <c r="Y389" s="2176"/>
      <c r="Z389" s="13"/>
      <c r="AA389" s="13"/>
      <c r="AB389" s="13"/>
      <c r="AC389" s="13"/>
    </row>
    <row r="390" spans="1:29" ht="15.75" customHeight="1">
      <c r="A390" s="1933"/>
      <c r="B390" s="2196"/>
      <c r="C390" s="2196"/>
      <c r="D390" s="2197"/>
      <c r="E390" s="2197"/>
      <c r="F390" s="2196"/>
      <c r="G390" s="2196"/>
      <c r="H390" s="2196"/>
      <c r="I390" s="2196"/>
      <c r="J390" s="2196"/>
      <c r="K390" s="2176"/>
      <c r="L390" s="2176"/>
      <c r="M390" s="2176"/>
      <c r="N390" s="2176"/>
      <c r="O390" s="2176"/>
      <c r="P390" s="2176"/>
      <c r="Q390" s="2176"/>
      <c r="R390" s="2176"/>
      <c r="S390" s="2176"/>
      <c r="T390" s="2176"/>
      <c r="U390" s="2176"/>
      <c r="V390" s="2176"/>
      <c r="W390" s="2176"/>
      <c r="X390" s="2176"/>
      <c r="Y390" s="2176"/>
      <c r="Z390" s="13"/>
      <c r="AA390" s="13"/>
      <c r="AB390" s="13"/>
      <c r="AC390" s="13"/>
    </row>
    <row r="391" spans="1:29" ht="15.75" customHeight="1">
      <c r="A391" s="1933"/>
      <c r="B391" s="2196"/>
      <c r="C391" s="2196"/>
      <c r="D391" s="2197"/>
      <c r="E391" s="2197"/>
      <c r="F391" s="2196"/>
      <c r="G391" s="2196"/>
      <c r="H391" s="2196"/>
      <c r="I391" s="2196"/>
      <c r="J391" s="2196"/>
      <c r="K391" s="2176"/>
      <c r="L391" s="2176"/>
      <c r="M391" s="2176"/>
      <c r="N391" s="2176"/>
      <c r="O391" s="2176"/>
      <c r="P391" s="2176"/>
      <c r="Q391" s="2176"/>
      <c r="R391" s="2176"/>
      <c r="S391" s="2176"/>
      <c r="T391" s="2176"/>
      <c r="U391" s="2176"/>
      <c r="V391" s="2176"/>
      <c r="W391" s="2176"/>
      <c r="X391" s="2176"/>
      <c r="Y391" s="2176"/>
      <c r="Z391" s="13"/>
      <c r="AA391" s="13"/>
      <c r="AB391" s="13"/>
      <c r="AC391" s="13"/>
    </row>
    <row r="392" spans="1:29" ht="15.75" customHeight="1">
      <c r="A392" s="1933"/>
      <c r="B392" s="2196"/>
      <c r="C392" s="2196"/>
      <c r="D392" s="2197"/>
      <c r="E392" s="2197"/>
      <c r="F392" s="2196"/>
      <c r="G392" s="2196"/>
      <c r="H392" s="2196"/>
      <c r="I392" s="2196"/>
      <c r="J392" s="2196"/>
      <c r="K392" s="2176"/>
      <c r="L392" s="2176"/>
      <c r="M392" s="2176"/>
      <c r="N392" s="2176"/>
      <c r="O392" s="2176"/>
      <c r="P392" s="2176"/>
      <c r="Q392" s="2176"/>
      <c r="R392" s="2176"/>
      <c r="S392" s="2176"/>
      <c r="T392" s="2176"/>
      <c r="U392" s="2176"/>
      <c r="V392" s="2176"/>
      <c r="W392" s="2176"/>
      <c r="X392" s="2176"/>
      <c r="Y392" s="2176"/>
      <c r="Z392" s="13"/>
      <c r="AA392" s="13"/>
      <c r="AB392" s="13"/>
      <c r="AC392" s="13"/>
    </row>
    <row r="393" spans="1:29" ht="15.75" customHeight="1">
      <c r="A393" s="1933"/>
      <c r="B393" s="2196"/>
      <c r="C393" s="2196"/>
      <c r="D393" s="2197"/>
      <c r="E393" s="2197"/>
      <c r="F393" s="2196"/>
      <c r="G393" s="2196"/>
      <c r="H393" s="2196"/>
      <c r="I393" s="2196"/>
      <c r="J393" s="2196"/>
      <c r="K393" s="2176"/>
      <c r="L393" s="2176"/>
      <c r="M393" s="2176"/>
      <c r="N393" s="2176"/>
      <c r="O393" s="2176"/>
      <c r="P393" s="2176"/>
      <c r="Q393" s="2176"/>
      <c r="R393" s="2176"/>
      <c r="S393" s="2176"/>
      <c r="T393" s="2176"/>
      <c r="U393" s="2176"/>
      <c r="V393" s="2176"/>
      <c r="W393" s="2176"/>
      <c r="X393" s="2176"/>
      <c r="Y393" s="2176"/>
      <c r="Z393" s="13"/>
      <c r="AA393" s="13"/>
      <c r="AB393" s="13"/>
      <c r="AC393" s="13"/>
    </row>
    <row r="394" spans="1:29" ht="15.75" customHeight="1">
      <c r="A394" s="1933"/>
      <c r="B394" s="2196"/>
      <c r="C394" s="2196"/>
      <c r="D394" s="2197"/>
      <c r="E394" s="2197"/>
      <c r="F394" s="2196"/>
      <c r="G394" s="2196"/>
      <c r="H394" s="2196"/>
      <c r="I394" s="2196"/>
      <c r="J394" s="2196"/>
      <c r="K394" s="2176"/>
      <c r="L394" s="2176"/>
      <c r="M394" s="2176"/>
      <c r="N394" s="2176"/>
      <c r="O394" s="2176"/>
      <c r="P394" s="2176"/>
      <c r="Q394" s="2176"/>
      <c r="R394" s="2176"/>
      <c r="S394" s="2176"/>
      <c r="T394" s="2176"/>
      <c r="U394" s="2176"/>
      <c r="V394" s="2176"/>
      <c r="W394" s="2176"/>
      <c r="X394" s="2176"/>
      <c r="Y394" s="2176"/>
      <c r="Z394" s="13"/>
      <c r="AA394" s="13"/>
      <c r="AB394" s="13"/>
      <c r="AC394" s="13"/>
    </row>
    <row r="395" spans="1:29" ht="15.75" customHeight="1">
      <c r="A395" s="1933"/>
      <c r="B395" s="2196"/>
      <c r="C395" s="2196"/>
      <c r="D395" s="2197"/>
      <c r="E395" s="2197"/>
      <c r="F395" s="2196"/>
      <c r="G395" s="2196"/>
      <c r="H395" s="2196"/>
      <c r="I395" s="2196"/>
      <c r="J395" s="2196"/>
      <c r="K395" s="2176"/>
      <c r="L395" s="2176"/>
      <c r="M395" s="2176"/>
      <c r="N395" s="2176"/>
      <c r="O395" s="2176"/>
      <c r="P395" s="2176"/>
      <c r="Q395" s="2176"/>
      <c r="R395" s="2176"/>
      <c r="S395" s="2176"/>
      <c r="T395" s="2176"/>
      <c r="U395" s="2176"/>
      <c r="V395" s="2176"/>
      <c r="W395" s="2176"/>
      <c r="X395" s="2176"/>
      <c r="Y395" s="2176"/>
      <c r="Z395" s="13"/>
      <c r="AA395" s="13"/>
      <c r="AB395" s="13"/>
      <c r="AC395" s="13"/>
    </row>
    <row r="396" spans="1:29" ht="15.75" customHeight="1">
      <c r="A396" s="1933"/>
      <c r="B396" s="2196"/>
      <c r="C396" s="2196"/>
      <c r="D396" s="2197"/>
      <c r="E396" s="2197"/>
      <c r="F396" s="2196"/>
      <c r="G396" s="2196"/>
      <c r="H396" s="2196"/>
      <c r="I396" s="2196"/>
      <c r="J396" s="2196"/>
      <c r="K396" s="2176"/>
      <c r="L396" s="2176"/>
      <c r="M396" s="2176"/>
      <c r="N396" s="2176"/>
      <c r="O396" s="2176"/>
      <c r="P396" s="2176"/>
      <c r="Q396" s="2176"/>
      <c r="R396" s="2176"/>
      <c r="S396" s="2176"/>
      <c r="T396" s="2176"/>
      <c r="U396" s="2176"/>
      <c r="V396" s="2176"/>
      <c r="W396" s="2176"/>
      <c r="X396" s="2176"/>
      <c r="Y396" s="2176"/>
      <c r="Z396" s="13"/>
      <c r="AA396" s="13"/>
      <c r="AB396" s="13"/>
      <c r="AC396" s="13"/>
    </row>
    <row r="397" spans="1:29" ht="15.75" customHeight="1">
      <c r="A397" s="1933"/>
      <c r="B397" s="2196"/>
      <c r="C397" s="2196"/>
      <c r="D397" s="2197"/>
      <c r="E397" s="2197"/>
      <c r="F397" s="2196"/>
      <c r="G397" s="2196"/>
      <c r="H397" s="2196"/>
      <c r="I397" s="2196"/>
      <c r="J397" s="2196"/>
      <c r="K397" s="2176"/>
      <c r="L397" s="2176"/>
      <c r="M397" s="2176"/>
      <c r="N397" s="2176"/>
      <c r="O397" s="2176"/>
      <c r="P397" s="2176"/>
      <c r="Q397" s="2176"/>
      <c r="R397" s="2176"/>
      <c r="S397" s="2176"/>
      <c r="T397" s="2176"/>
      <c r="U397" s="2176"/>
      <c r="V397" s="2176"/>
      <c r="W397" s="2176"/>
      <c r="X397" s="2176"/>
      <c r="Y397" s="2176"/>
      <c r="Z397" s="13"/>
      <c r="AA397" s="13"/>
      <c r="AB397" s="13"/>
      <c r="AC397" s="13"/>
    </row>
    <row r="398" spans="1:29" ht="15.75" customHeight="1">
      <c r="A398" s="1933"/>
      <c r="B398" s="2196"/>
      <c r="C398" s="2196"/>
      <c r="D398" s="2197"/>
      <c r="E398" s="2197"/>
      <c r="F398" s="2196"/>
      <c r="G398" s="2196"/>
      <c r="H398" s="2196"/>
      <c r="I398" s="2196"/>
      <c r="J398" s="2196"/>
      <c r="K398" s="2176"/>
      <c r="L398" s="2176"/>
      <c r="M398" s="2176"/>
      <c r="N398" s="2176"/>
      <c r="O398" s="2176"/>
      <c r="P398" s="2176"/>
      <c r="Q398" s="2176"/>
      <c r="R398" s="2176"/>
      <c r="S398" s="2176"/>
      <c r="T398" s="2176"/>
      <c r="U398" s="2176"/>
      <c r="V398" s="2176"/>
      <c r="W398" s="2176"/>
      <c r="X398" s="2176"/>
      <c r="Y398" s="2176"/>
      <c r="Z398" s="13"/>
      <c r="AA398" s="13"/>
      <c r="AB398" s="13"/>
      <c r="AC398" s="13"/>
    </row>
    <row r="399" spans="1:29" ht="15.75" customHeight="1">
      <c r="A399" s="1933"/>
      <c r="B399" s="2196"/>
      <c r="C399" s="2196"/>
      <c r="D399" s="2197"/>
      <c r="E399" s="2197"/>
      <c r="F399" s="2196"/>
      <c r="G399" s="2196"/>
      <c r="H399" s="2196"/>
      <c r="I399" s="2196"/>
      <c r="J399" s="2196"/>
      <c r="K399" s="2176"/>
      <c r="L399" s="2176"/>
      <c r="M399" s="2176"/>
      <c r="N399" s="2176"/>
      <c r="O399" s="2176"/>
      <c r="P399" s="2176"/>
      <c r="Q399" s="2176"/>
      <c r="R399" s="2176"/>
      <c r="S399" s="2176"/>
      <c r="T399" s="2176"/>
      <c r="U399" s="2176"/>
      <c r="V399" s="2176"/>
      <c r="W399" s="2176"/>
      <c r="X399" s="2176"/>
      <c r="Y399" s="2176"/>
      <c r="Z399" s="13"/>
      <c r="AA399" s="13"/>
      <c r="AB399" s="13"/>
      <c r="AC399" s="13"/>
    </row>
    <row r="400" spans="1:29" ht="15.75" customHeight="1">
      <c r="A400" s="1933"/>
      <c r="B400" s="2196"/>
      <c r="C400" s="2196"/>
      <c r="D400" s="2197"/>
      <c r="E400" s="2197"/>
      <c r="F400" s="2196"/>
      <c r="G400" s="2196"/>
      <c r="H400" s="2196"/>
      <c r="I400" s="2196"/>
      <c r="J400" s="2196"/>
      <c r="K400" s="2176"/>
      <c r="L400" s="2176"/>
      <c r="M400" s="2176"/>
      <c r="N400" s="2176"/>
      <c r="O400" s="2176"/>
      <c r="P400" s="2176"/>
      <c r="Q400" s="2176"/>
      <c r="R400" s="2176"/>
      <c r="S400" s="2176"/>
      <c r="T400" s="2176"/>
      <c r="U400" s="2176"/>
      <c r="V400" s="2176"/>
      <c r="W400" s="2176"/>
      <c r="X400" s="2176"/>
      <c r="Y400" s="2176"/>
      <c r="Z400" s="13"/>
      <c r="AA400" s="13"/>
      <c r="AB400" s="13"/>
      <c r="AC400" s="13"/>
    </row>
    <row r="401" spans="1:29" ht="15.75" customHeight="1">
      <c r="A401" s="1933"/>
      <c r="B401" s="2196"/>
      <c r="C401" s="2196"/>
      <c r="D401" s="2197"/>
      <c r="E401" s="2197"/>
      <c r="F401" s="2196"/>
      <c r="G401" s="2196"/>
      <c r="H401" s="2196"/>
      <c r="I401" s="2196"/>
      <c r="J401" s="2196"/>
      <c r="K401" s="2176"/>
      <c r="L401" s="2176"/>
      <c r="M401" s="2176"/>
      <c r="N401" s="2176"/>
      <c r="O401" s="2176"/>
      <c r="P401" s="2176"/>
      <c r="Q401" s="2176"/>
      <c r="R401" s="2176"/>
      <c r="S401" s="2176"/>
      <c r="T401" s="2176"/>
      <c r="U401" s="2176"/>
      <c r="V401" s="2176"/>
      <c r="W401" s="2176"/>
      <c r="X401" s="2176"/>
      <c r="Y401" s="2176"/>
      <c r="Z401" s="13"/>
      <c r="AA401" s="13"/>
      <c r="AB401" s="13"/>
      <c r="AC401" s="13"/>
    </row>
    <row r="402" spans="1:29" ht="15.75" customHeight="1">
      <c r="A402" s="1933"/>
      <c r="B402" s="2196"/>
      <c r="C402" s="2196"/>
      <c r="D402" s="2197"/>
      <c r="E402" s="2197"/>
      <c r="F402" s="2196"/>
      <c r="G402" s="2196"/>
      <c r="H402" s="2196"/>
      <c r="I402" s="2196"/>
      <c r="J402" s="2196"/>
      <c r="K402" s="2176"/>
      <c r="L402" s="2176"/>
      <c r="M402" s="2176"/>
      <c r="N402" s="2176"/>
      <c r="O402" s="2176"/>
      <c r="P402" s="2176"/>
      <c r="Q402" s="2176"/>
      <c r="R402" s="2176"/>
      <c r="S402" s="2176"/>
      <c r="T402" s="2176"/>
      <c r="U402" s="2176"/>
      <c r="V402" s="2176"/>
      <c r="W402" s="2176"/>
      <c r="X402" s="2176"/>
      <c r="Y402" s="2176"/>
      <c r="Z402" s="13"/>
      <c r="AA402" s="13"/>
      <c r="AB402" s="13"/>
      <c r="AC402" s="13"/>
    </row>
    <row r="403" spans="1:29" ht="15.75" customHeight="1">
      <c r="A403" s="1933"/>
      <c r="B403" s="2196"/>
      <c r="C403" s="2196"/>
      <c r="D403" s="2197"/>
      <c r="E403" s="2197"/>
      <c r="F403" s="2196"/>
      <c r="G403" s="2196"/>
      <c r="H403" s="2196"/>
      <c r="I403" s="2196"/>
      <c r="J403" s="2196"/>
      <c r="K403" s="2176"/>
      <c r="L403" s="2176"/>
      <c r="M403" s="2176"/>
      <c r="N403" s="2176"/>
      <c r="O403" s="2176"/>
      <c r="P403" s="2176"/>
      <c r="Q403" s="2176"/>
      <c r="R403" s="2176"/>
      <c r="S403" s="2176"/>
      <c r="T403" s="2176"/>
      <c r="U403" s="2176"/>
      <c r="V403" s="2176"/>
      <c r="W403" s="2176"/>
      <c r="X403" s="2176"/>
      <c r="Y403" s="2176"/>
      <c r="Z403" s="13"/>
      <c r="AA403" s="13"/>
      <c r="AB403" s="13"/>
      <c r="AC403" s="13"/>
    </row>
    <row r="404" spans="1:29" ht="15.75" customHeight="1">
      <c r="A404" s="1933"/>
      <c r="B404" s="2196"/>
      <c r="C404" s="2196"/>
      <c r="D404" s="2197"/>
      <c r="E404" s="2197"/>
      <c r="F404" s="2196"/>
      <c r="G404" s="2196"/>
      <c r="H404" s="2196"/>
      <c r="I404" s="2196"/>
      <c r="J404" s="2196"/>
      <c r="K404" s="2176"/>
      <c r="L404" s="2176"/>
      <c r="M404" s="2176"/>
      <c r="N404" s="2176"/>
      <c r="O404" s="2176"/>
      <c r="P404" s="2176"/>
      <c r="Q404" s="2176"/>
      <c r="R404" s="2176"/>
      <c r="S404" s="2176"/>
      <c r="T404" s="2176"/>
      <c r="U404" s="2176"/>
      <c r="V404" s="2176"/>
      <c r="W404" s="2176"/>
      <c r="X404" s="2176"/>
      <c r="Y404" s="2176"/>
      <c r="Z404" s="13"/>
      <c r="AA404" s="13"/>
      <c r="AB404" s="13"/>
      <c r="AC404" s="13"/>
    </row>
    <row r="405" spans="1:29" ht="15.75" customHeight="1">
      <c r="A405" s="1933"/>
      <c r="B405" s="2196"/>
      <c r="C405" s="2196"/>
      <c r="D405" s="2197"/>
      <c r="E405" s="2197"/>
      <c r="F405" s="2196"/>
      <c r="G405" s="2196"/>
      <c r="H405" s="2196"/>
      <c r="I405" s="2196"/>
      <c r="J405" s="2196"/>
      <c r="K405" s="2176"/>
      <c r="L405" s="2176"/>
      <c r="M405" s="2176"/>
      <c r="N405" s="2176"/>
      <c r="O405" s="2176"/>
      <c r="P405" s="2176"/>
      <c r="Q405" s="2176"/>
      <c r="R405" s="2176"/>
      <c r="S405" s="2176"/>
      <c r="T405" s="2176"/>
      <c r="U405" s="2176"/>
      <c r="V405" s="2176"/>
      <c r="W405" s="2176"/>
      <c r="X405" s="2176"/>
      <c r="Y405" s="2176"/>
      <c r="Z405" s="13"/>
      <c r="AA405" s="13"/>
      <c r="AB405" s="13"/>
      <c r="AC405" s="13"/>
    </row>
    <row r="406" spans="1:29" ht="15.75" customHeight="1">
      <c r="A406" s="1933"/>
      <c r="B406" s="2196"/>
      <c r="C406" s="2196"/>
      <c r="D406" s="2197"/>
      <c r="E406" s="2197"/>
      <c r="F406" s="2196"/>
      <c r="G406" s="2196"/>
      <c r="H406" s="2196"/>
      <c r="I406" s="2196"/>
      <c r="J406" s="2196"/>
      <c r="K406" s="2176"/>
      <c r="L406" s="2176"/>
      <c r="M406" s="2176"/>
      <c r="N406" s="2176"/>
      <c r="O406" s="2176"/>
      <c r="P406" s="2176"/>
      <c r="Q406" s="2176"/>
      <c r="R406" s="2176"/>
      <c r="S406" s="2176"/>
      <c r="T406" s="2176"/>
      <c r="U406" s="2176"/>
      <c r="V406" s="2176"/>
      <c r="W406" s="2176"/>
      <c r="X406" s="2176"/>
      <c r="Y406" s="2176"/>
      <c r="Z406" s="13"/>
      <c r="AA406" s="13"/>
      <c r="AB406" s="13"/>
      <c r="AC406" s="13"/>
    </row>
    <row r="407" spans="1:29" ht="15.75" customHeight="1">
      <c r="A407" s="1933"/>
      <c r="B407" s="2196"/>
      <c r="C407" s="2196"/>
      <c r="D407" s="2197"/>
      <c r="E407" s="2197"/>
      <c r="F407" s="2196"/>
      <c r="G407" s="2196"/>
      <c r="H407" s="2196"/>
      <c r="I407" s="2196"/>
      <c r="J407" s="2196"/>
      <c r="K407" s="2176"/>
      <c r="L407" s="2176"/>
      <c r="M407" s="2176"/>
      <c r="N407" s="2176"/>
      <c r="O407" s="2176"/>
      <c r="P407" s="2176"/>
      <c r="Q407" s="2176"/>
      <c r="R407" s="2176"/>
      <c r="S407" s="2176"/>
      <c r="T407" s="2176"/>
      <c r="U407" s="2176"/>
      <c r="V407" s="2176"/>
      <c r="W407" s="2176"/>
      <c r="X407" s="2176"/>
      <c r="Y407" s="2176"/>
      <c r="Z407" s="13"/>
      <c r="AA407" s="13"/>
      <c r="AB407" s="13"/>
      <c r="AC407" s="13"/>
    </row>
    <row r="408" spans="1:29" ht="15.75" customHeight="1">
      <c r="A408" s="1933"/>
      <c r="B408" s="2196"/>
      <c r="C408" s="2196"/>
      <c r="D408" s="2197"/>
      <c r="E408" s="2197"/>
      <c r="F408" s="2196"/>
      <c r="G408" s="2196"/>
      <c r="H408" s="2196"/>
      <c r="I408" s="2196"/>
      <c r="J408" s="2196"/>
      <c r="K408" s="2176"/>
      <c r="L408" s="2176"/>
      <c r="M408" s="2176"/>
      <c r="N408" s="2176"/>
      <c r="O408" s="2176"/>
      <c r="P408" s="2176"/>
      <c r="Q408" s="2176"/>
      <c r="R408" s="2176"/>
      <c r="S408" s="2176"/>
      <c r="T408" s="2176"/>
      <c r="U408" s="2176"/>
      <c r="V408" s="2176"/>
      <c r="W408" s="2176"/>
      <c r="X408" s="2176"/>
      <c r="Y408" s="2176"/>
      <c r="Z408" s="13"/>
      <c r="AA408" s="13"/>
      <c r="AB408" s="13"/>
      <c r="AC408" s="13"/>
    </row>
    <row r="409" spans="1:29" ht="15.75" customHeight="1">
      <c r="A409" s="1933"/>
      <c r="B409" s="2196"/>
      <c r="C409" s="2196"/>
      <c r="D409" s="2197"/>
      <c r="E409" s="2197"/>
      <c r="F409" s="2196"/>
      <c r="G409" s="2196"/>
      <c r="H409" s="2196"/>
      <c r="I409" s="2196"/>
      <c r="J409" s="2196"/>
      <c r="K409" s="2176"/>
      <c r="L409" s="2176"/>
      <c r="M409" s="2176"/>
      <c r="N409" s="2176"/>
      <c r="O409" s="2176"/>
      <c r="P409" s="2176"/>
      <c r="Q409" s="2176"/>
      <c r="R409" s="2176"/>
      <c r="S409" s="2176"/>
      <c r="T409" s="2176"/>
      <c r="U409" s="2176"/>
      <c r="V409" s="2176"/>
      <c r="W409" s="2176"/>
      <c r="X409" s="2176"/>
      <c r="Y409" s="2176"/>
      <c r="Z409" s="13"/>
      <c r="AA409" s="13"/>
      <c r="AB409" s="13"/>
      <c r="AC409" s="13"/>
    </row>
    <row r="410" spans="1:29" ht="15.75" customHeight="1">
      <c r="A410" s="1933"/>
      <c r="B410" s="2196"/>
      <c r="C410" s="2196"/>
      <c r="D410" s="2197"/>
      <c r="E410" s="2197"/>
      <c r="F410" s="2196"/>
      <c r="G410" s="2196"/>
      <c r="H410" s="2196"/>
      <c r="I410" s="2196"/>
      <c r="J410" s="2196"/>
      <c r="K410" s="2176"/>
      <c r="L410" s="2176"/>
      <c r="M410" s="2176"/>
      <c r="N410" s="2176"/>
      <c r="O410" s="2176"/>
      <c r="P410" s="2176"/>
      <c r="Q410" s="2176"/>
      <c r="R410" s="2176"/>
      <c r="S410" s="2176"/>
      <c r="T410" s="2176"/>
      <c r="U410" s="2176"/>
      <c r="V410" s="2176"/>
      <c r="W410" s="2176"/>
      <c r="X410" s="2176"/>
      <c r="Y410" s="2176"/>
      <c r="Z410" s="13"/>
      <c r="AA410" s="13"/>
      <c r="AB410" s="13"/>
      <c r="AC410" s="13"/>
    </row>
    <row r="411" spans="1:29" ht="15.75" customHeight="1">
      <c r="A411" s="1933"/>
      <c r="B411" s="2196"/>
      <c r="C411" s="2196"/>
      <c r="D411" s="2197"/>
      <c r="E411" s="2197"/>
      <c r="F411" s="2196"/>
      <c r="G411" s="2196"/>
      <c r="H411" s="2196"/>
      <c r="I411" s="2196"/>
      <c r="J411" s="2196"/>
      <c r="K411" s="2176"/>
      <c r="L411" s="2176"/>
      <c r="M411" s="2176"/>
      <c r="N411" s="2176"/>
      <c r="O411" s="2176"/>
      <c r="P411" s="2176"/>
      <c r="Q411" s="2176"/>
      <c r="R411" s="2176"/>
      <c r="S411" s="2176"/>
      <c r="T411" s="2176"/>
      <c r="U411" s="2176"/>
      <c r="V411" s="2176"/>
      <c r="W411" s="2176"/>
      <c r="X411" s="2176"/>
      <c r="Y411" s="2176"/>
      <c r="Z411" s="13"/>
      <c r="AA411" s="13"/>
      <c r="AB411" s="13"/>
      <c r="AC411" s="13"/>
    </row>
    <row r="412" spans="1:29" ht="15.75" customHeight="1">
      <c r="A412" s="1933"/>
      <c r="B412" s="2196"/>
      <c r="C412" s="2196"/>
      <c r="D412" s="2197"/>
      <c r="E412" s="2197"/>
      <c r="F412" s="2196"/>
      <c r="G412" s="2196"/>
      <c r="H412" s="2196"/>
      <c r="I412" s="2196"/>
      <c r="J412" s="2196"/>
      <c r="K412" s="2176"/>
      <c r="L412" s="2176"/>
      <c r="M412" s="2176"/>
      <c r="N412" s="2176"/>
      <c r="O412" s="2176"/>
      <c r="P412" s="2176"/>
      <c r="Q412" s="2176"/>
      <c r="R412" s="2176"/>
      <c r="S412" s="2176"/>
      <c r="T412" s="2176"/>
      <c r="U412" s="2176"/>
      <c r="V412" s="2176"/>
      <c r="W412" s="2176"/>
      <c r="X412" s="2176"/>
      <c r="Y412" s="2176"/>
      <c r="Z412" s="13"/>
      <c r="AA412" s="13"/>
      <c r="AB412" s="13"/>
      <c r="AC412" s="13"/>
    </row>
    <row r="413" spans="1:29" ht="15.75" customHeight="1">
      <c r="A413" s="1933"/>
      <c r="B413" s="2196"/>
      <c r="C413" s="2196"/>
      <c r="D413" s="2197"/>
      <c r="E413" s="2197"/>
      <c r="F413" s="2196"/>
      <c r="G413" s="2196"/>
      <c r="H413" s="2196"/>
      <c r="I413" s="2196"/>
      <c r="J413" s="2196"/>
      <c r="K413" s="2176"/>
      <c r="L413" s="2176"/>
      <c r="M413" s="2176"/>
      <c r="N413" s="2176"/>
      <c r="O413" s="2176"/>
      <c r="P413" s="2176"/>
      <c r="Q413" s="2176"/>
      <c r="R413" s="2176"/>
      <c r="S413" s="2176"/>
      <c r="T413" s="2176"/>
      <c r="U413" s="2176"/>
      <c r="V413" s="2176"/>
      <c r="W413" s="2176"/>
      <c r="X413" s="2176"/>
      <c r="Y413" s="2176"/>
      <c r="Z413" s="13"/>
      <c r="AA413" s="13"/>
      <c r="AB413" s="13"/>
      <c r="AC413" s="13"/>
    </row>
    <row r="414" spans="1:29" ht="15.75" customHeight="1">
      <c r="A414" s="1933"/>
      <c r="B414" s="2196"/>
      <c r="C414" s="2196"/>
      <c r="D414" s="2197"/>
      <c r="E414" s="2197"/>
      <c r="F414" s="2196"/>
      <c r="G414" s="2196"/>
      <c r="H414" s="2196"/>
      <c r="I414" s="2196"/>
      <c r="J414" s="2196"/>
      <c r="K414" s="2176"/>
      <c r="L414" s="2176"/>
      <c r="M414" s="2176"/>
      <c r="N414" s="2176"/>
      <c r="O414" s="2176"/>
      <c r="P414" s="2176"/>
      <c r="Q414" s="2176"/>
      <c r="R414" s="2176"/>
      <c r="S414" s="2176"/>
      <c r="T414" s="2176"/>
      <c r="U414" s="2176"/>
      <c r="V414" s="2176"/>
      <c r="W414" s="2176"/>
      <c r="X414" s="2176"/>
      <c r="Y414" s="2176"/>
      <c r="Z414" s="13"/>
      <c r="AA414" s="13"/>
      <c r="AB414" s="13"/>
      <c r="AC414" s="13"/>
    </row>
    <row r="415" spans="1:29" ht="15.75" customHeight="1">
      <c r="A415" s="1933"/>
      <c r="B415" s="2196"/>
      <c r="C415" s="2196"/>
      <c r="D415" s="2197"/>
      <c r="E415" s="2197"/>
      <c r="F415" s="2196"/>
      <c r="G415" s="2196"/>
      <c r="H415" s="2196"/>
      <c r="I415" s="2196"/>
      <c r="J415" s="2196"/>
      <c r="K415" s="2176"/>
      <c r="L415" s="2176"/>
      <c r="M415" s="2176"/>
      <c r="N415" s="2176"/>
      <c r="O415" s="2176"/>
      <c r="P415" s="2176"/>
      <c r="Q415" s="2176"/>
      <c r="R415" s="2176"/>
      <c r="S415" s="2176"/>
      <c r="T415" s="2176"/>
      <c r="U415" s="2176"/>
      <c r="V415" s="2176"/>
      <c r="W415" s="2176"/>
      <c r="X415" s="2176"/>
      <c r="Y415" s="2176"/>
      <c r="Z415" s="13"/>
      <c r="AA415" s="13"/>
      <c r="AB415" s="13"/>
      <c r="AC415" s="13"/>
    </row>
    <row r="416" spans="1:29" ht="15.75" customHeight="1">
      <c r="A416" s="1933"/>
      <c r="B416" s="2196"/>
      <c r="C416" s="2196"/>
      <c r="D416" s="2197"/>
      <c r="E416" s="2197"/>
      <c r="F416" s="2196"/>
      <c r="G416" s="2196"/>
      <c r="H416" s="2196"/>
      <c r="I416" s="2196"/>
      <c r="J416" s="2196"/>
      <c r="K416" s="2176"/>
      <c r="L416" s="2176"/>
      <c r="M416" s="2176"/>
      <c r="N416" s="2176"/>
      <c r="O416" s="2176"/>
      <c r="P416" s="2176"/>
      <c r="Q416" s="2176"/>
      <c r="R416" s="2176"/>
      <c r="S416" s="2176"/>
      <c r="T416" s="2176"/>
      <c r="U416" s="2176"/>
      <c r="V416" s="2176"/>
      <c r="W416" s="2176"/>
      <c r="X416" s="2176"/>
      <c r="Y416" s="2176"/>
      <c r="Z416" s="13"/>
      <c r="AA416" s="13"/>
      <c r="AB416" s="13"/>
      <c r="AC416" s="13"/>
    </row>
    <row r="417" spans="1:29" ht="15.75" customHeight="1">
      <c r="A417" s="1933"/>
      <c r="B417" s="2196"/>
      <c r="C417" s="2196"/>
      <c r="D417" s="2197"/>
      <c r="E417" s="2197"/>
      <c r="F417" s="2196"/>
      <c r="G417" s="2196"/>
      <c r="H417" s="2196"/>
      <c r="I417" s="2196"/>
      <c r="J417" s="2196"/>
      <c r="K417" s="2176"/>
      <c r="L417" s="2176"/>
      <c r="M417" s="2176"/>
      <c r="N417" s="2176"/>
      <c r="O417" s="2176"/>
      <c r="P417" s="2176"/>
      <c r="Q417" s="2176"/>
      <c r="R417" s="2176"/>
      <c r="S417" s="2176"/>
      <c r="T417" s="2176"/>
      <c r="U417" s="2176"/>
      <c r="V417" s="2176"/>
      <c r="W417" s="2176"/>
      <c r="X417" s="2176"/>
      <c r="Y417" s="2176"/>
      <c r="Z417" s="13"/>
      <c r="AA417" s="13"/>
      <c r="AB417" s="13"/>
      <c r="AC417" s="13"/>
    </row>
    <row r="418" spans="1:29" ht="15.75" customHeight="1">
      <c r="A418" s="1933"/>
      <c r="B418" s="2196"/>
      <c r="C418" s="2196"/>
      <c r="D418" s="2197"/>
      <c r="E418" s="2197"/>
      <c r="F418" s="2196"/>
      <c r="G418" s="2196"/>
      <c r="H418" s="2196"/>
      <c r="I418" s="2196"/>
      <c r="J418" s="2196"/>
      <c r="K418" s="2176"/>
      <c r="L418" s="2176"/>
      <c r="M418" s="2176"/>
      <c r="N418" s="2176"/>
      <c r="O418" s="2176"/>
      <c r="P418" s="2176"/>
      <c r="Q418" s="2176"/>
      <c r="R418" s="2176"/>
      <c r="S418" s="2176"/>
      <c r="T418" s="2176"/>
      <c r="U418" s="2176"/>
      <c r="V418" s="2176"/>
      <c r="W418" s="2176"/>
      <c r="X418" s="2176"/>
      <c r="Y418" s="2176"/>
      <c r="Z418" s="13"/>
      <c r="AA418" s="13"/>
      <c r="AB418" s="13"/>
      <c r="AC418" s="13"/>
    </row>
    <row r="419" spans="1:29" ht="15.75" customHeight="1">
      <c r="A419" s="1933"/>
      <c r="B419" s="2196"/>
      <c r="C419" s="2196"/>
      <c r="D419" s="2197"/>
      <c r="E419" s="2197"/>
      <c r="F419" s="2196"/>
      <c r="G419" s="2196"/>
      <c r="H419" s="2196"/>
      <c r="I419" s="2196"/>
      <c r="J419" s="2196"/>
      <c r="K419" s="2176"/>
      <c r="L419" s="2176"/>
      <c r="M419" s="2176"/>
      <c r="N419" s="2176"/>
      <c r="O419" s="2176"/>
      <c r="P419" s="2176"/>
      <c r="Q419" s="2176"/>
      <c r="R419" s="2176"/>
      <c r="S419" s="2176"/>
      <c r="T419" s="2176"/>
      <c r="U419" s="2176"/>
      <c r="V419" s="2176"/>
      <c r="W419" s="2176"/>
      <c r="X419" s="2176"/>
      <c r="Y419" s="2176"/>
      <c r="Z419" s="13"/>
      <c r="AA419" s="13"/>
      <c r="AB419" s="13"/>
      <c r="AC419" s="13"/>
    </row>
    <row r="420" spans="1:29" ht="15.75" customHeight="1">
      <c r="A420" s="1933"/>
      <c r="B420" s="2196"/>
      <c r="C420" s="2196"/>
      <c r="D420" s="2197"/>
      <c r="E420" s="2197"/>
      <c r="F420" s="2196"/>
      <c r="G420" s="2196"/>
      <c r="H420" s="2196"/>
      <c r="I420" s="2196"/>
      <c r="J420" s="2196"/>
      <c r="K420" s="2176"/>
      <c r="L420" s="2176"/>
      <c r="M420" s="2176"/>
      <c r="N420" s="2176"/>
      <c r="O420" s="2176"/>
      <c r="P420" s="2176"/>
      <c r="Q420" s="2176"/>
      <c r="R420" s="2176"/>
      <c r="S420" s="2176"/>
      <c r="T420" s="2176"/>
      <c r="U420" s="2176"/>
      <c r="V420" s="2176"/>
      <c r="W420" s="2176"/>
      <c r="X420" s="2176"/>
      <c r="Y420" s="2176"/>
      <c r="Z420" s="13"/>
      <c r="AA420" s="13"/>
      <c r="AB420" s="13"/>
      <c r="AC420" s="13"/>
    </row>
    <row r="421" spans="1:29" ht="15.75" customHeight="1">
      <c r="A421" s="1933"/>
      <c r="B421" s="2196"/>
      <c r="C421" s="2196"/>
      <c r="D421" s="2197"/>
      <c r="E421" s="2197"/>
      <c r="F421" s="2196"/>
      <c r="G421" s="2196"/>
      <c r="H421" s="2196"/>
      <c r="I421" s="2196"/>
      <c r="J421" s="2196"/>
      <c r="K421" s="2176"/>
      <c r="L421" s="2176"/>
      <c r="M421" s="2176"/>
      <c r="N421" s="2176"/>
      <c r="O421" s="2176"/>
      <c r="P421" s="2176"/>
      <c r="Q421" s="2176"/>
      <c r="R421" s="2176"/>
      <c r="S421" s="2176"/>
      <c r="T421" s="2176"/>
      <c r="U421" s="2176"/>
      <c r="V421" s="2176"/>
      <c r="W421" s="2176"/>
      <c r="X421" s="2176"/>
      <c r="Y421" s="2176"/>
      <c r="Z421" s="13"/>
      <c r="AA421" s="13"/>
      <c r="AB421" s="13"/>
      <c r="AC421" s="13"/>
    </row>
    <row r="422" spans="1:29" ht="15.75" customHeight="1">
      <c r="A422" s="1933"/>
      <c r="B422" s="2196"/>
      <c r="C422" s="2196"/>
      <c r="D422" s="2197"/>
      <c r="E422" s="2197"/>
      <c r="F422" s="2196"/>
      <c r="G422" s="2196"/>
      <c r="H422" s="2196"/>
      <c r="I422" s="2196"/>
      <c r="J422" s="2196"/>
      <c r="K422" s="2176"/>
      <c r="L422" s="2176"/>
      <c r="M422" s="2176"/>
      <c r="N422" s="2176"/>
      <c r="O422" s="2176"/>
      <c r="P422" s="2176"/>
      <c r="Q422" s="2176"/>
      <c r="R422" s="2176"/>
      <c r="S422" s="2176"/>
      <c r="T422" s="2176"/>
      <c r="U422" s="2176"/>
      <c r="V422" s="2176"/>
      <c r="W422" s="2176"/>
      <c r="X422" s="2176"/>
      <c r="Y422" s="2176"/>
      <c r="Z422" s="13"/>
      <c r="AA422" s="13"/>
      <c r="AB422" s="13"/>
      <c r="AC422" s="13"/>
    </row>
    <row r="423" spans="1:29" ht="15.75" customHeight="1">
      <c r="A423" s="1933"/>
      <c r="B423" s="2196"/>
      <c r="C423" s="2196"/>
      <c r="D423" s="2197"/>
      <c r="E423" s="2197"/>
      <c r="F423" s="2196"/>
      <c r="G423" s="2196"/>
      <c r="H423" s="2196"/>
      <c r="I423" s="2196"/>
      <c r="J423" s="2196"/>
      <c r="K423" s="2176"/>
      <c r="L423" s="2176"/>
      <c r="M423" s="2176"/>
      <c r="N423" s="2176"/>
      <c r="O423" s="2176"/>
      <c r="P423" s="2176"/>
      <c r="Q423" s="2176"/>
      <c r="R423" s="2176"/>
      <c r="S423" s="2176"/>
      <c r="T423" s="2176"/>
      <c r="U423" s="2176"/>
      <c r="V423" s="2176"/>
      <c r="W423" s="2176"/>
      <c r="X423" s="2176"/>
      <c r="Y423" s="2176"/>
      <c r="Z423" s="13"/>
      <c r="AA423" s="13"/>
      <c r="AB423" s="13"/>
      <c r="AC423" s="13"/>
    </row>
    <row r="424" spans="1:29" ht="15.75" customHeight="1">
      <c r="A424" s="1933"/>
      <c r="B424" s="2196"/>
      <c r="C424" s="2196"/>
      <c r="D424" s="2197"/>
      <c r="E424" s="2197"/>
      <c r="F424" s="2196"/>
      <c r="G424" s="2196"/>
      <c r="H424" s="2196"/>
      <c r="I424" s="2196"/>
      <c r="J424" s="2196"/>
      <c r="K424" s="2176"/>
      <c r="L424" s="2176"/>
      <c r="M424" s="2176"/>
      <c r="N424" s="2176"/>
      <c r="O424" s="2176"/>
      <c r="P424" s="2176"/>
      <c r="Q424" s="2176"/>
      <c r="R424" s="2176"/>
      <c r="S424" s="2176"/>
      <c r="T424" s="2176"/>
      <c r="U424" s="2176"/>
      <c r="V424" s="2176"/>
      <c r="W424" s="2176"/>
      <c r="X424" s="2176"/>
      <c r="Y424" s="2176"/>
      <c r="Z424" s="13"/>
      <c r="AA424" s="13"/>
      <c r="AB424" s="13"/>
      <c r="AC424" s="13"/>
    </row>
    <row r="425" spans="1:29" ht="15.75" customHeight="1">
      <c r="A425" s="1933"/>
      <c r="B425" s="2196"/>
      <c r="C425" s="2196"/>
      <c r="D425" s="2197"/>
      <c r="E425" s="2197"/>
      <c r="F425" s="2196"/>
      <c r="G425" s="2196"/>
      <c r="H425" s="2196"/>
      <c r="I425" s="2196"/>
      <c r="J425" s="2196"/>
      <c r="K425" s="2176"/>
      <c r="L425" s="2176"/>
      <c r="M425" s="2176"/>
      <c r="N425" s="2176"/>
      <c r="O425" s="2176"/>
      <c r="P425" s="2176"/>
      <c r="Q425" s="2176"/>
      <c r="R425" s="2176"/>
      <c r="S425" s="2176"/>
      <c r="T425" s="2176"/>
      <c r="U425" s="2176"/>
      <c r="V425" s="2176"/>
      <c r="W425" s="2176"/>
      <c r="X425" s="2176"/>
      <c r="Y425" s="2176"/>
      <c r="Z425" s="13"/>
      <c r="AA425" s="13"/>
      <c r="AB425" s="13"/>
      <c r="AC425" s="13"/>
    </row>
    <row r="426" spans="1:29" ht="15.75" customHeight="1">
      <c r="A426" s="1933"/>
      <c r="B426" s="2196"/>
      <c r="C426" s="2196"/>
      <c r="D426" s="2197"/>
      <c r="E426" s="2197"/>
      <c r="F426" s="2196"/>
      <c r="G426" s="2196"/>
      <c r="H426" s="2196"/>
      <c r="I426" s="2196"/>
      <c r="J426" s="2196"/>
      <c r="K426" s="2176"/>
      <c r="L426" s="2176"/>
      <c r="M426" s="2176"/>
      <c r="N426" s="2176"/>
      <c r="O426" s="2176"/>
      <c r="P426" s="2176"/>
      <c r="Q426" s="2176"/>
      <c r="R426" s="2176"/>
      <c r="S426" s="2176"/>
      <c r="T426" s="2176"/>
      <c r="U426" s="2176"/>
      <c r="V426" s="2176"/>
      <c r="W426" s="2176"/>
      <c r="X426" s="2176"/>
      <c r="Y426" s="2176"/>
      <c r="Z426" s="13"/>
      <c r="AA426" s="13"/>
      <c r="AB426" s="13"/>
      <c r="AC426" s="13"/>
    </row>
    <row r="427" spans="1:29" ht="15.75" customHeight="1">
      <c r="A427" s="1933"/>
      <c r="B427" s="2196"/>
      <c r="C427" s="2196"/>
      <c r="D427" s="2197"/>
      <c r="E427" s="2197"/>
      <c r="F427" s="2196"/>
      <c r="G427" s="2196"/>
      <c r="H427" s="2196"/>
      <c r="I427" s="2196"/>
      <c r="J427" s="2196"/>
      <c r="K427" s="2176"/>
      <c r="L427" s="2176"/>
      <c r="M427" s="2176"/>
      <c r="N427" s="2176"/>
      <c r="O427" s="2176"/>
      <c r="P427" s="2176"/>
      <c r="Q427" s="2176"/>
      <c r="R427" s="2176"/>
      <c r="S427" s="2176"/>
      <c r="T427" s="2176"/>
      <c r="U427" s="2176"/>
      <c r="V427" s="2176"/>
      <c r="W427" s="2176"/>
      <c r="X427" s="2176"/>
      <c r="Y427" s="2176"/>
      <c r="Z427" s="13"/>
      <c r="AA427" s="13"/>
      <c r="AB427" s="13"/>
      <c r="AC427" s="13"/>
    </row>
    <row r="428" spans="1:29" ht="15.75" customHeight="1">
      <c r="A428" s="1933"/>
      <c r="B428" s="2196"/>
      <c r="C428" s="2196"/>
      <c r="D428" s="2197"/>
      <c r="E428" s="2197"/>
      <c r="F428" s="2196"/>
      <c r="G428" s="2196"/>
      <c r="H428" s="2196"/>
      <c r="I428" s="2196"/>
      <c r="J428" s="2196"/>
      <c r="K428" s="2176"/>
      <c r="L428" s="2176"/>
      <c r="M428" s="2176"/>
      <c r="N428" s="2176"/>
      <c r="O428" s="2176"/>
      <c r="P428" s="2176"/>
      <c r="Q428" s="2176"/>
      <c r="R428" s="2176"/>
      <c r="S428" s="2176"/>
      <c r="T428" s="2176"/>
      <c r="U428" s="2176"/>
      <c r="V428" s="2176"/>
      <c r="W428" s="2176"/>
      <c r="X428" s="2176"/>
      <c r="Y428" s="2176"/>
      <c r="Z428" s="13"/>
      <c r="AA428" s="13"/>
      <c r="AB428" s="13"/>
      <c r="AC428" s="13"/>
    </row>
    <row r="429" spans="1:29" ht="15.75" customHeight="1">
      <c r="A429" s="1933"/>
      <c r="B429" s="2196"/>
      <c r="C429" s="2196"/>
      <c r="D429" s="2197"/>
      <c r="E429" s="2197"/>
      <c r="F429" s="2196"/>
      <c r="G429" s="2196"/>
      <c r="H429" s="2196"/>
      <c r="I429" s="2196"/>
      <c r="J429" s="2196"/>
      <c r="K429" s="2176"/>
      <c r="L429" s="2176"/>
      <c r="M429" s="2176"/>
      <c r="N429" s="2176"/>
      <c r="O429" s="2176"/>
      <c r="P429" s="2176"/>
      <c r="Q429" s="2176"/>
      <c r="R429" s="2176"/>
      <c r="S429" s="2176"/>
      <c r="T429" s="2176"/>
      <c r="U429" s="2176"/>
      <c r="V429" s="2176"/>
      <c r="W429" s="2176"/>
      <c r="X429" s="2176"/>
      <c r="Y429" s="2176"/>
      <c r="Z429" s="13"/>
      <c r="AA429" s="13"/>
      <c r="AB429" s="13"/>
      <c r="AC429" s="13"/>
    </row>
    <row r="430" spans="1:29" ht="15.75" customHeight="1">
      <c r="A430" s="1933"/>
      <c r="B430" s="2196"/>
      <c r="C430" s="2196"/>
      <c r="D430" s="2197"/>
      <c r="E430" s="2197"/>
      <c r="F430" s="2196"/>
      <c r="G430" s="2196"/>
      <c r="H430" s="2196"/>
      <c r="I430" s="2196"/>
      <c r="J430" s="2196"/>
      <c r="K430" s="2176"/>
      <c r="L430" s="2176"/>
      <c r="M430" s="2176"/>
      <c r="N430" s="2176"/>
      <c r="O430" s="2176"/>
      <c r="P430" s="2176"/>
      <c r="Q430" s="2176"/>
      <c r="R430" s="2176"/>
      <c r="S430" s="2176"/>
      <c r="T430" s="2176"/>
      <c r="U430" s="2176"/>
      <c r="V430" s="2176"/>
      <c r="W430" s="2176"/>
      <c r="X430" s="2176"/>
      <c r="Y430" s="2176"/>
      <c r="Z430" s="13"/>
      <c r="AA430" s="13"/>
      <c r="AB430" s="13"/>
      <c r="AC430" s="13"/>
    </row>
    <row r="431" spans="1:29" ht="15.75" customHeight="1">
      <c r="A431" s="1933"/>
      <c r="B431" s="2196"/>
      <c r="C431" s="2196"/>
      <c r="D431" s="2197"/>
      <c r="E431" s="2197"/>
      <c r="F431" s="2196"/>
      <c r="G431" s="2196"/>
      <c r="H431" s="2196"/>
      <c r="I431" s="2196"/>
      <c r="J431" s="2196"/>
      <c r="K431" s="2176"/>
      <c r="L431" s="2176"/>
      <c r="M431" s="2176"/>
      <c r="N431" s="2176"/>
      <c r="O431" s="2176"/>
      <c r="P431" s="2176"/>
      <c r="Q431" s="2176"/>
      <c r="R431" s="2176"/>
      <c r="S431" s="2176"/>
      <c r="T431" s="2176"/>
      <c r="U431" s="2176"/>
      <c r="V431" s="2176"/>
      <c r="W431" s="2176"/>
      <c r="X431" s="2176"/>
      <c r="Y431" s="2176"/>
      <c r="Z431" s="13"/>
      <c r="AA431" s="13"/>
      <c r="AB431" s="13"/>
      <c r="AC431" s="13"/>
    </row>
    <row r="432" spans="1:29" ht="15.75" customHeight="1">
      <c r="A432" s="1933"/>
      <c r="B432" s="2196"/>
      <c r="C432" s="2196"/>
      <c r="D432" s="2197"/>
      <c r="E432" s="2197"/>
      <c r="F432" s="2196"/>
      <c r="G432" s="2196"/>
      <c r="H432" s="2196"/>
      <c r="I432" s="2196"/>
      <c r="J432" s="2196"/>
      <c r="K432" s="2176"/>
      <c r="L432" s="2176"/>
      <c r="M432" s="2176"/>
      <c r="N432" s="2176"/>
      <c r="O432" s="2176"/>
      <c r="P432" s="2176"/>
      <c r="Q432" s="2176"/>
      <c r="R432" s="2176"/>
      <c r="S432" s="2176"/>
      <c r="T432" s="2176"/>
      <c r="U432" s="2176"/>
      <c r="V432" s="2176"/>
      <c r="W432" s="2176"/>
      <c r="X432" s="2176"/>
      <c r="Y432" s="2176"/>
      <c r="Z432" s="13"/>
      <c r="AA432" s="13"/>
      <c r="AB432" s="13"/>
      <c r="AC432" s="13"/>
    </row>
    <row r="433" spans="1:29" ht="15.75" customHeight="1">
      <c r="A433" s="1933"/>
      <c r="B433" s="2196"/>
      <c r="C433" s="2196"/>
      <c r="D433" s="2197"/>
      <c r="E433" s="2197"/>
      <c r="F433" s="2196"/>
      <c r="G433" s="2196"/>
      <c r="H433" s="2196"/>
      <c r="I433" s="2196"/>
      <c r="J433" s="2196"/>
      <c r="K433" s="2176"/>
      <c r="L433" s="2176"/>
      <c r="M433" s="2176"/>
      <c r="N433" s="2176"/>
      <c r="O433" s="2176"/>
      <c r="P433" s="2176"/>
      <c r="Q433" s="2176"/>
      <c r="R433" s="2176"/>
      <c r="S433" s="2176"/>
      <c r="T433" s="2176"/>
      <c r="U433" s="2176"/>
      <c r="V433" s="2176"/>
      <c r="W433" s="2176"/>
      <c r="X433" s="2176"/>
      <c r="Y433" s="2176"/>
      <c r="Z433" s="13"/>
      <c r="AA433" s="13"/>
      <c r="AB433" s="13"/>
      <c r="AC433" s="13"/>
    </row>
    <row r="434" spans="1:29" ht="15.75" customHeight="1">
      <c r="A434" s="1933"/>
      <c r="B434" s="2196"/>
      <c r="C434" s="2196"/>
      <c r="D434" s="2197"/>
      <c r="E434" s="2197"/>
      <c r="F434" s="2196"/>
      <c r="G434" s="2196"/>
      <c r="H434" s="2196"/>
      <c r="I434" s="2196"/>
      <c r="J434" s="2196"/>
      <c r="K434" s="2176"/>
      <c r="L434" s="2176"/>
      <c r="M434" s="2176"/>
      <c r="N434" s="2176"/>
      <c r="O434" s="2176"/>
      <c r="P434" s="2176"/>
      <c r="Q434" s="2176"/>
      <c r="R434" s="2176"/>
      <c r="S434" s="2176"/>
      <c r="T434" s="2176"/>
      <c r="U434" s="2176"/>
      <c r="V434" s="2176"/>
      <c r="W434" s="2176"/>
      <c r="X434" s="2176"/>
      <c r="Y434" s="2176"/>
      <c r="Z434" s="13"/>
      <c r="AA434" s="13"/>
      <c r="AB434" s="13"/>
      <c r="AC434" s="13"/>
    </row>
    <row r="435" spans="1:29" ht="15.75" customHeight="1">
      <c r="A435" s="1933"/>
      <c r="B435" s="2196"/>
      <c r="C435" s="2196"/>
      <c r="D435" s="2197"/>
      <c r="E435" s="2197"/>
      <c r="F435" s="2196"/>
      <c r="G435" s="2196"/>
      <c r="H435" s="2196"/>
      <c r="I435" s="2196"/>
      <c r="J435" s="2196"/>
      <c r="K435" s="2176"/>
      <c r="L435" s="2176"/>
      <c r="M435" s="2176"/>
      <c r="N435" s="2176"/>
      <c r="O435" s="2176"/>
      <c r="P435" s="2176"/>
      <c r="Q435" s="2176"/>
      <c r="R435" s="2176"/>
      <c r="S435" s="2176"/>
      <c r="T435" s="2176"/>
      <c r="U435" s="2176"/>
      <c r="V435" s="2176"/>
      <c r="W435" s="2176"/>
      <c r="X435" s="2176"/>
      <c r="Y435" s="2176"/>
      <c r="Z435" s="13"/>
      <c r="AA435" s="13"/>
      <c r="AB435" s="13"/>
      <c r="AC435" s="13"/>
    </row>
    <row r="436" spans="1:29" ht="15.75" customHeight="1">
      <c r="A436" s="1933"/>
      <c r="B436" s="2196"/>
      <c r="C436" s="2196"/>
      <c r="D436" s="2197"/>
      <c r="E436" s="2197"/>
      <c r="F436" s="2196"/>
      <c r="G436" s="2196"/>
      <c r="H436" s="2196"/>
      <c r="I436" s="2196"/>
      <c r="J436" s="2196"/>
      <c r="K436" s="2176"/>
      <c r="L436" s="2176"/>
      <c r="M436" s="2176"/>
      <c r="N436" s="2176"/>
      <c r="O436" s="2176"/>
      <c r="P436" s="2176"/>
      <c r="Q436" s="2176"/>
      <c r="R436" s="2176"/>
      <c r="S436" s="2176"/>
      <c r="T436" s="2176"/>
      <c r="U436" s="2176"/>
      <c r="V436" s="2176"/>
      <c r="W436" s="2176"/>
      <c r="X436" s="2176"/>
      <c r="Y436" s="2176"/>
      <c r="Z436" s="13"/>
      <c r="AA436" s="13"/>
      <c r="AB436" s="13"/>
      <c r="AC436" s="13"/>
    </row>
    <row r="437" spans="1:29" ht="15.75" customHeight="1">
      <c r="A437" s="1933"/>
      <c r="B437" s="2196"/>
      <c r="C437" s="2196"/>
      <c r="D437" s="2197"/>
      <c r="E437" s="2197"/>
      <c r="F437" s="2196"/>
      <c r="G437" s="2196"/>
      <c r="H437" s="2196"/>
      <c r="I437" s="2196"/>
      <c r="J437" s="2196"/>
      <c r="K437" s="2176"/>
      <c r="L437" s="2176"/>
      <c r="M437" s="2176"/>
      <c r="N437" s="2176"/>
      <c r="O437" s="2176"/>
      <c r="P437" s="2176"/>
      <c r="Q437" s="2176"/>
      <c r="R437" s="2176"/>
      <c r="S437" s="2176"/>
      <c r="T437" s="2176"/>
      <c r="U437" s="2176"/>
      <c r="V437" s="2176"/>
      <c r="W437" s="2176"/>
      <c r="X437" s="2176"/>
      <c r="Y437" s="2176"/>
      <c r="Z437" s="13"/>
      <c r="AA437" s="13"/>
      <c r="AB437" s="13"/>
      <c r="AC437" s="13"/>
    </row>
    <row r="438" spans="1:29" ht="15.75" customHeight="1">
      <c r="A438" s="1933"/>
      <c r="B438" s="2196"/>
      <c r="C438" s="2196"/>
      <c r="D438" s="2197"/>
      <c r="E438" s="2197"/>
      <c r="F438" s="2196"/>
      <c r="G438" s="2196"/>
      <c r="H438" s="2196"/>
      <c r="I438" s="2196"/>
      <c r="J438" s="2196"/>
      <c r="K438" s="2176"/>
      <c r="L438" s="2176"/>
      <c r="M438" s="2176"/>
      <c r="N438" s="2176"/>
      <c r="O438" s="2176"/>
      <c r="P438" s="2176"/>
      <c r="Q438" s="2176"/>
      <c r="R438" s="2176"/>
      <c r="S438" s="2176"/>
      <c r="T438" s="2176"/>
      <c r="U438" s="2176"/>
      <c r="V438" s="2176"/>
      <c r="W438" s="2176"/>
      <c r="X438" s="2176"/>
      <c r="Y438" s="2176"/>
      <c r="Z438" s="13"/>
      <c r="AA438" s="13"/>
      <c r="AB438" s="13"/>
      <c r="AC438" s="13"/>
    </row>
    <row r="439" spans="1:29" ht="15.75" customHeight="1">
      <c r="A439" s="1933"/>
      <c r="B439" s="2196"/>
      <c r="C439" s="2196"/>
      <c r="D439" s="2197"/>
      <c r="E439" s="2197"/>
      <c r="F439" s="2196"/>
      <c r="G439" s="2196"/>
      <c r="H439" s="2196"/>
      <c r="I439" s="2196"/>
      <c r="J439" s="2196"/>
      <c r="K439" s="2176"/>
      <c r="L439" s="2176"/>
      <c r="M439" s="2176"/>
      <c r="N439" s="2176"/>
      <c r="O439" s="2176"/>
      <c r="P439" s="2176"/>
      <c r="Q439" s="2176"/>
      <c r="R439" s="2176"/>
      <c r="S439" s="2176"/>
      <c r="T439" s="2176"/>
      <c r="U439" s="2176"/>
      <c r="V439" s="2176"/>
      <c r="W439" s="2176"/>
      <c r="X439" s="2176"/>
      <c r="Y439" s="2176"/>
      <c r="Z439" s="13"/>
      <c r="AA439" s="13"/>
      <c r="AB439" s="13"/>
      <c r="AC439" s="13"/>
    </row>
    <row r="440" spans="1:29" ht="15.75" customHeight="1">
      <c r="A440" s="1933"/>
      <c r="B440" s="2196"/>
      <c r="C440" s="2196"/>
      <c r="D440" s="2197"/>
      <c r="E440" s="2197"/>
      <c r="F440" s="2196"/>
      <c r="G440" s="2196"/>
      <c r="H440" s="2196"/>
      <c r="I440" s="2196"/>
      <c r="J440" s="2196"/>
      <c r="K440" s="2176"/>
      <c r="L440" s="2176"/>
      <c r="M440" s="2176"/>
      <c r="N440" s="2176"/>
      <c r="O440" s="2176"/>
      <c r="P440" s="2176"/>
      <c r="Q440" s="2176"/>
      <c r="R440" s="2176"/>
      <c r="S440" s="2176"/>
      <c r="T440" s="2176"/>
      <c r="U440" s="2176"/>
      <c r="V440" s="2176"/>
      <c r="W440" s="2176"/>
      <c r="X440" s="2176"/>
      <c r="Y440" s="2176"/>
      <c r="Z440" s="13"/>
      <c r="AA440" s="13"/>
      <c r="AB440" s="13"/>
      <c r="AC440" s="13"/>
    </row>
    <row r="441" spans="1:29" ht="15.75" customHeight="1">
      <c r="A441" s="1933"/>
      <c r="B441" s="2196"/>
      <c r="C441" s="2196"/>
      <c r="D441" s="2197"/>
      <c r="E441" s="2197"/>
      <c r="F441" s="2196"/>
      <c r="G441" s="2196"/>
      <c r="H441" s="2196"/>
      <c r="I441" s="2196"/>
      <c r="J441" s="2196"/>
      <c r="K441" s="2176"/>
      <c r="L441" s="2176"/>
      <c r="M441" s="2176"/>
      <c r="N441" s="2176"/>
      <c r="O441" s="2176"/>
      <c r="P441" s="2176"/>
      <c r="Q441" s="2176"/>
      <c r="R441" s="2176"/>
      <c r="S441" s="2176"/>
      <c r="T441" s="2176"/>
      <c r="U441" s="2176"/>
      <c r="V441" s="2176"/>
      <c r="W441" s="2176"/>
      <c r="X441" s="2176"/>
      <c r="Y441" s="2176"/>
      <c r="Z441" s="13"/>
      <c r="AA441" s="13"/>
      <c r="AB441" s="13"/>
      <c r="AC441" s="13"/>
    </row>
    <row r="442" spans="1:29" ht="15.75" customHeight="1">
      <c r="A442" s="1933"/>
      <c r="B442" s="2196"/>
      <c r="C442" s="2196"/>
      <c r="D442" s="2197"/>
      <c r="E442" s="2197"/>
      <c r="F442" s="2196"/>
      <c r="G442" s="2196"/>
      <c r="H442" s="2196"/>
      <c r="I442" s="2196"/>
      <c r="J442" s="2196"/>
      <c r="K442" s="2176"/>
      <c r="L442" s="2176"/>
      <c r="M442" s="2176"/>
      <c r="N442" s="2176"/>
      <c r="O442" s="2176"/>
      <c r="P442" s="2176"/>
      <c r="Q442" s="2176"/>
      <c r="R442" s="2176"/>
      <c r="S442" s="2176"/>
      <c r="T442" s="2176"/>
      <c r="U442" s="2176"/>
      <c r="V442" s="2176"/>
      <c r="W442" s="2176"/>
      <c r="X442" s="2176"/>
      <c r="Y442" s="2176"/>
      <c r="Z442" s="13"/>
      <c r="AA442" s="13"/>
      <c r="AB442" s="13"/>
      <c r="AC442" s="13"/>
    </row>
    <row r="443" spans="1:29" ht="15.75" customHeight="1">
      <c r="A443" s="1933"/>
      <c r="B443" s="2196"/>
      <c r="C443" s="2196"/>
      <c r="D443" s="2197"/>
      <c r="E443" s="2197"/>
      <c r="F443" s="2196"/>
      <c r="G443" s="2196"/>
      <c r="H443" s="2196"/>
      <c r="I443" s="2196"/>
      <c r="J443" s="2196"/>
      <c r="K443" s="2176"/>
      <c r="L443" s="2176"/>
      <c r="M443" s="2176"/>
      <c r="N443" s="2176"/>
      <c r="O443" s="2176"/>
      <c r="P443" s="2176"/>
      <c r="Q443" s="2176"/>
      <c r="R443" s="2176"/>
      <c r="S443" s="2176"/>
      <c r="T443" s="2176"/>
      <c r="U443" s="2176"/>
      <c r="V443" s="2176"/>
      <c r="W443" s="2176"/>
      <c r="X443" s="2176"/>
      <c r="Y443" s="2176"/>
      <c r="Z443" s="13"/>
      <c r="AA443" s="13"/>
      <c r="AB443" s="13"/>
      <c r="AC443" s="13"/>
    </row>
    <row r="444" spans="1:29" ht="15.75" customHeight="1">
      <c r="A444" s="1933"/>
      <c r="B444" s="2196"/>
      <c r="C444" s="2196"/>
      <c r="D444" s="2197"/>
      <c r="E444" s="2197"/>
      <c r="F444" s="2196"/>
      <c r="G444" s="2196"/>
      <c r="H444" s="2196"/>
      <c r="I444" s="2196"/>
      <c r="J444" s="2196"/>
      <c r="K444" s="2176"/>
      <c r="L444" s="2176"/>
      <c r="M444" s="2176"/>
      <c r="N444" s="2176"/>
      <c r="O444" s="2176"/>
      <c r="P444" s="2176"/>
      <c r="Q444" s="2176"/>
      <c r="R444" s="2176"/>
      <c r="S444" s="2176"/>
      <c r="T444" s="2176"/>
      <c r="U444" s="2176"/>
      <c r="V444" s="2176"/>
      <c r="W444" s="2176"/>
      <c r="X444" s="2176"/>
      <c r="Y444" s="2176"/>
      <c r="Z444" s="13"/>
      <c r="AA444" s="13"/>
      <c r="AB444" s="13"/>
      <c r="AC444" s="13"/>
    </row>
    <row r="445" spans="1:29" ht="15.75" customHeight="1">
      <c r="A445" s="1933"/>
      <c r="B445" s="2196"/>
      <c r="C445" s="2196"/>
      <c r="D445" s="2197"/>
      <c r="E445" s="2197"/>
      <c r="F445" s="2196"/>
      <c r="G445" s="2196"/>
      <c r="H445" s="2196"/>
      <c r="I445" s="2196"/>
      <c r="J445" s="2196"/>
      <c r="K445" s="2176"/>
      <c r="L445" s="2176"/>
      <c r="M445" s="2176"/>
      <c r="N445" s="2176"/>
      <c r="O445" s="2176"/>
      <c r="P445" s="2176"/>
      <c r="Q445" s="2176"/>
      <c r="R445" s="2176"/>
      <c r="S445" s="2176"/>
      <c r="T445" s="2176"/>
      <c r="U445" s="2176"/>
      <c r="V445" s="2176"/>
      <c r="W445" s="2176"/>
      <c r="X445" s="2176"/>
      <c r="Y445" s="2176"/>
      <c r="Z445" s="13"/>
      <c r="AA445" s="13"/>
      <c r="AB445" s="13"/>
      <c r="AC445" s="13"/>
    </row>
    <row r="446" spans="1:29" ht="15.75" customHeight="1">
      <c r="A446" s="1933"/>
      <c r="B446" s="2196"/>
      <c r="C446" s="2196"/>
      <c r="D446" s="2197"/>
      <c r="E446" s="2197"/>
      <c r="F446" s="2196"/>
      <c r="G446" s="2196"/>
      <c r="H446" s="2196"/>
      <c r="I446" s="2196"/>
      <c r="J446" s="2196"/>
      <c r="K446" s="2176"/>
      <c r="L446" s="2176"/>
      <c r="M446" s="2176"/>
      <c r="N446" s="2176"/>
      <c r="O446" s="2176"/>
      <c r="P446" s="2176"/>
      <c r="Q446" s="2176"/>
      <c r="R446" s="2176"/>
      <c r="S446" s="2176"/>
      <c r="T446" s="2176"/>
      <c r="U446" s="2176"/>
      <c r="V446" s="2176"/>
      <c r="W446" s="2176"/>
      <c r="X446" s="2176"/>
      <c r="Y446" s="2176"/>
      <c r="Z446" s="13"/>
      <c r="AA446" s="13"/>
      <c r="AB446" s="13"/>
      <c r="AC446" s="13"/>
    </row>
    <row r="447" spans="1:29" ht="15.75" customHeight="1">
      <c r="A447" s="1933"/>
      <c r="B447" s="2196"/>
      <c r="C447" s="2196"/>
      <c r="D447" s="2197"/>
      <c r="E447" s="2197"/>
      <c r="F447" s="2196"/>
      <c r="G447" s="2196"/>
      <c r="H447" s="2196"/>
      <c r="I447" s="2196"/>
      <c r="J447" s="2196"/>
      <c r="K447" s="2176"/>
      <c r="L447" s="2176"/>
      <c r="M447" s="2176"/>
      <c r="N447" s="2176"/>
      <c r="O447" s="2176"/>
      <c r="P447" s="2176"/>
      <c r="Q447" s="2176"/>
      <c r="R447" s="2176"/>
      <c r="S447" s="2176"/>
      <c r="T447" s="2176"/>
      <c r="U447" s="2176"/>
      <c r="V447" s="2176"/>
      <c r="W447" s="2176"/>
      <c r="X447" s="2176"/>
      <c r="Y447" s="2176"/>
      <c r="Z447" s="13"/>
      <c r="AA447" s="13"/>
      <c r="AB447" s="13"/>
      <c r="AC447" s="13"/>
    </row>
    <row r="448" spans="1:29" ht="15.75" customHeight="1">
      <c r="A448" s="1933"/>
      <c r="B448" s="2196"/>
      <c r="C448" s="2196"/>
      <c r="D448" s="2197"/>
      <c r="E448" s="2197"/>
      <c r="F448" s="2196"/>
      <c r="G448" s="2196"/>
      <c r="H448" s="2196"/>
      <c r="I448" s="2196"/>
      <c r="J448" s="2196"/>
      <c r="K448" s="2176"/>
      <c r="L448" s="2176"/>
      <c r="M448" s="2176"/>
      <c r="N448" s="2176"/>
      <c r="O448" s="2176"/>
      <c r="P448" s="2176"/>
      <c r="Q448" s="2176"/>
      <c r="R448" s="2176"/>
      <c r="S448" s="2176"/>
      <c r="T448" s="2176"/>
      <c r="U448" s="2176"/>
      <c r="V448" s="2176"/>
      <c r="W448" s="2176"/>
      <c r="X448" s="2176"/>
      <c r="Y448" s="2176"/>
      <c r="Z448" s="13"/>
      <c r="AA448" s="13"/>
      <c r="AB448" s="13"/>
      <c r="AC448" s="13"/>
    </row>
    <row r="449" spans="1:29" ht="15.75" customHeight="1">
      <c r="A449" s="1933"/>
      <c r="B449" s="2196"/>
      <c r="C449" s="2196"/>
      <c r="D449" s="2197"/>
      <c r="E449" s="2197"/>
      <c r="F449" s="2196"/>
      <c r="G449" s="2196"/>
      <c r="H449" s="2196"/>
      <c r="I449" s="2196"/>
      <c r="J449" s="2196"/>
      <c r="K449" s="2176"/>
      <c r="L449" s="2176"/>
      <c r="M449" s="2176"/>
      <c r="N449" s="2176"/>
      <c r="O449" s="2176"/>
      <c r="P449" s="2176"/>
      <c r="Q449" s="2176"/>
      <c r="R449" s="2176"/>
      <c r="S449" s="2176"/>
      <c r="T449" s="2176"/>
      <c r="U449" s="2176"/>
      <c r="V449" s="2176"/>
      <c r="W449" s="2176"/>
      <c r="X449" s="2176"/>
      <c r="Y449" s="2176"/>
      <c r="Z449" s="13"/>
      <c r="AA449" s="13"/>
      <c r="AB449" s="13"/>
      <c r="AC449" s="13"/>
    </row>
    <row r="450" spans="1:29" ht="15.75" customHeight="1">
      <c r="A450" s="1933"/>
      <c r="B450" s="2196"/>
      <c r="C450" s="2196"/>
      <c r="D450" s="2197"/>
      <c r="E450" s="2197"/>
      <c r="F450" s="2196"/>
      <c r="G450" s="2196"/>
      <c r="H450" s="2196"/>
      <c r="I450" s="2196"/>
      <c r="J450" s="2196"/>
      <c r="K450" s="2176"/>
      <c r="L450" s="2176"/>
      <c r="M450" s="2176"/>
      <c r="N450" s="2176"/>
      <c r="O450" s="2176"/>
      <c r="P450" s="2176"/>
      <c r="Q450" s="2176"/>
      <c r="R450" s="2176"/>
      <c r="S450" s="2176"/>
      <c r="T450" s="2176"/>
      <c r="U450" s="2176"/>
      <c r="V450" s="2176"/>
      <c r="W450" s="2176"/>
      <c r="X450" s="2176"/>
      <c r="Y450" s="2176"/>
      <c r="Z450" s="13"/>
      <c r="AA450" s="13"/>
      <c r="AB450" s="13"/>
      <c r="AC450" s="13"/>
    </row>
    <row r="451" spans="1:29" ht="15.75" customHeight="1">
      <c r="A451" s="1933"/>
      <c r="B451" s="2196"/>
      <c r="C451" s="2196"/>
      <c r="D451" s="2197"/>
      <c r="E451" s="2197"/>
      <c r="F451" s="2196"/>
      <c r="G451" s="2196"/>
      <c r="H451" s="2196"/>
      <c r="I451" s="2196"/>
      <c r="J451" s="2196"/>
      <c r="K451" s="2176"/>
      <c r="L451" s="2176"/>
      <c r="M451" s="2176"/>
      <c r="N451" s="2176"/>
      <c r="O451" s="2176"/>
      <c r="P451" s="2176"/>
      <c r="Q451" s="2176"/>
      <c r="R451" s="2176"/>
      <c r="S451" s="2176"/>
      <c r="T451" s="2176"/>
      <c r="U451" s="2176"/>
      <c r="V451" s="2176"/>
      <c r="W451" s="2176"/>
      <c r="X451" s="2176"/>
      <c r="Y451" s="2176"/>
      <c r="Z451" s="13"/>
      <c r="AA451" s="13"/>
      <c r="AB451" s="13"/>
      <c r="AC451" s="13"/>
    </row>
    <row r="452" spans="1:29" ht="15.75" customHeight="1">
      <c r="A452" s="1933"/>
      <c r="B452" s="2196"/>
      <c r="C452" s="2196"/>
      <c r="D452" s="2197"/>
      <c r="E452" s="2197"/>
      <c r="F452" s="2196"/>
      <c r="G452" s="2196"/>
      <c r="H452" s="2196"/>
      <c r="I452" s="2196"/>
      <c r="J452" s="2196"/>
      <c r="K452" s="2176"/>
      <c r="L452" s="2176"/>
      <c r="M452" s="2176"/>
      <c r="N452" s="2176"/>
      <c r="O452" s="2176"/>
      <c r="P452" s="2176"/>
      <c r="Q452" s="2176"/>
      <c r="R452" s="2176"/>
      <c r="S452" s="2176"/>
      <c r="T452" s="2176"/>
      <c r="U452" s="2176"/>
      <c r="V452" s="2176"/>
      <c r="W452" s="2176"/>
      <c r="X452" s="2176"/>
      <c r="Y452" s="2176"/>
      <c r="Z452" s="13"/>
      <c r="AA452" s="13"/>
      <c r="AB452" s="13"/>
      <c r="AC452" s="13"/>
    </row>
    <row r="453" spans="1:29" ht="15.75" customHeight="1">
      <c r="A453" s="1933"/>
      <c r="B453" s="2196"/>
      <c r="C453" s="2196"/>
      <c r="D453" s="2197"/>
      <c r="E453" s="2197"/>
      <c r="F453" s="2196"/>
      <c r="G453" s="2196"/>
      <c r="H453" s="2196"/>
      <c r="I453" s="2196"/>
      <c r="J453" s="2196"/>
      <c r="K453" s="2176"/>
      <c r="L453" s="2176"/>
      <c r="M453" s="2176"/>
      <c r="N453" s="2176"/>
      <c r="O453" s="2176"/>
      <c r="P453" s="2176"/>
      <c r="Q453" s="2176"/>
      <c r="R453" s="2176"/>
      <c r="S453" s="2176"/>
      <c r="T453" s="2176"/>
      <c r="U453" s="2176"/>
      <c r="V453" s="2176"/>
      <c r="W453" s="2176"/>
      <c r="X453" s="2176"/>
      <c r="Y453" s="2176"/>
      <c r="Z453" s="13"/>
      <c r="AA453" s="13"/>
      <c r="AB453" s="13"/>
      <c r="AC453" s="13"/>
    </row>
    <row r="454" spans="1:29" ht="15.75" customHeight="1">
      <c r="A454" s="1933"/>
      <c r="B454" s="2196"/>
      <c r="C454" s="2196"/>
      <c r="D454" s="2197"/>
      <c r="E454" s="2197"/>
      <c r="F454" s="2196"/>
      <c r="G454" s="2196"/>
      <c r="H454" s="2196"/>
      <c r="I454" s="2196"/>
      <c r="J454" s="2196"/>
      <c r="K454" s="2176"/>
      <c r="L454" s="2176"/>
      <c r="M454" s="2176"/>
      <c r="N454" s="2176"/>
      <c r="O454" s="2176"/>
      <c r="P454" s="2176"/>
      <c r="Q454" s="2176"/>
      <c r="R454" s="2176"/>
      <c r="S454" s="2176"/>
      <c r="T454" s="2176"/>
      <c r="U454" s="2176"/>
      <c r="V454" s="2176"/>
      <c r="W454" s="2176"/>
      <c r="X454" s="2176"/>
      <c r="Y454" s="2176"/>
      <c r="Z454" s="13"/>
      <c r="AA454" s="13"/>
      <c r="AB454" s="13"/>
      <c r="AC454" s="13"/>
    </row>
    <row r="455" spans="1:29" ht="15.75" customHeight="1">
      <c r="A455" s="1933"/>
      <c r="B455" s="2196"/>
      <c r="C455" s="2196"/>
      <c r="D455" s="2197"/>
      <c r="E455" s="2197"/>
      <c r="F455" s="2196"/>
      <c r="G455" s="2196"/>
      <c r="H455" s="2196"/>
      <c r="I455" s="2196"/>
      <c r="J455" s="2196"/>
      <c r="K455" s="2176"/>
      <c r="L455" s="2176"/>
      <c r="M455" s="2176"/>
      <c r="N455" s="2176"/>
      <c r="O455" s="2176"/>
      <c r="P455" s="2176"/>
      <c r="Q455" s="2176"/>
      <c r="R455" s="2176"/>
      <c r="S455" s="2176"/>
      <c r="T455" s="2176"/>
      <c r="U455" s="2176"/>
      <c r="V455" s="2176"/>
      <c r="W455" s="2176"/>
      <c r="X455" s="2176"/>
      <c r="Y455" s="2176"/>
      <c r="Z455" s="13"/>
      <c r="AA455" s="13"/>
      <c r="AB455" s="13"/>
      <c r="AC455" s="13"/>
    </row>
    <row r="456" spans="1:29" ht="15.75" customHeight="1">
      <c r="A456" s="1933"/>
      <c r="B456" s="2196"/>
      <c r="C456" s="2196"/>
      <c r="D456" s="2197"/>
      <c r="E456" s="2197"/>
      <c r="F456" s="2196"/>
      <c r="G456" s="2196"/>
      <c r="H456" s="2196"/>
      <c r="I456" s="2196"/>
      <c r="J456" s="2196"/>
      <c r="K456" s="2176"/>
      <c r="L456" s="2176"/>
      <c r="M456" s="2176"/>
      <c r="N456" s="2176"/>
      <c r="O456" s="2176"/>
      <c r="P456" s="2176"/>
      <c r="Q456" s="2176"/>
      <c r="R456" s="2176"/>
      <c r="S456" s="2176"/>
      <c r="T456" s="2176"/>
      <c r="U456" s="2176"/>
      <c r="V456" s="2176"/>
      <c r="W456" s="2176"/>
      <c r="X456" s="2176"/>
      <c r="Y456" s="2176"/>
      <c r="Z456" s="13"/>
      <c r="AA456" s="13"/>
      <c r="AB456" s="13"/>
      <c r="AC456" s="13"/>
    </row>
    <row r="457" spans="1:29" ht="15.75" customHeight="1">
      <c r="A457" s="1933"/>
      <c r="B457" s="2196"/>
      <c r="C457" s="2196"/>
      <c r="D457" s="2197"/>
      <c r="E457" s="2197"/>
      <c r="F457" s="2196"/>
      <c r="G457" s="2196"/>
      <c r="H457" s="2196"/>
      <c r="I457" s="2196"/>
      <c r="J457" s="2196"/>
      <c r="K457" s="2176"/>
      <c r="L457" s="2176"/>
      <c r="M457" s="2176"/>
      <c r="N457" s="2176"/>
      <c r="O457" s="2176"/>
      <c r="P457" s="2176"/>
      <c r="Q457" s="2176"/>
      <c r="R457" s="2176"/>
      <c r="S457" s="2176"/>
      <c r="T457" s="2176"/>
      <c r="U457" s="2176"/>
      <c r="V457" s="2176"/>
      <c r="W457" s="2176"/>
      <c r="X457" s="2176"/>
      <c r="Y457" s="2176"/>
      <c r="Z457" s="13"/>
      <c r="AA457" s="13"/>
      <c r="AB457" s="13"/>
      <c r="AC457" s="13"/>
    </row>
    <row r="458" spans="1:29" ht="15.75" customHeight="1">
      <c r="A458" s="1933"/>
      <c r="B458" s="2196"/>
      <c r="C458" s="2196"/>
      <c r="D458" s="2197"/>
      <c r="E458" s="2197"/>
      <c r="F458" s="2196"/>
      <c r="G458" s="2196"/>
      <c r="H458" s="2196"/>
      <c r="I458" s="2196"/>
      <c r="J458" s="2196"/>
      <c r="K458" s="2176"/>
      <c r="L458" s="2176"/>
      <c r="M458" s="2176"/>
      <c r="N458" s="2176"/>
      <c r="O458" s="2176"/>
      <c r="P458" s="2176"/>
      <c r="Q458" s="2176"/>
      <c r="R458" s="2176"/>
      <c r="S458" s="2176"/>
      <c r="T458" s="2176"/>
      <c r="U458" s="2176"/>
      <c r="V458" s="2176"/>
      <c r="W458" s="2176"/>
      <c r="X458" s="2176"/>
      <c r="Y458" s="2176"/>
      <c r="Z458" s="13"/>
      <c r="AA458" s="13"/>
      <c r="AB458" s="13"/>
      <c r="AC458" s="13"/>
    </row>
    <row r="459" spans="1:29" ht="15.75" customHeight="1">
      <c r="A459" s="1933"/>
      <c r="B459" s="2196"/>
      <c r="C459" s="2196"/>
      <c r="D459" s="2197"/>
      <c r="E459" s="2197"/>
      <c r="F459" s="2196"/>
      <c r="G459" s="2196"/>
      <c r="H459" s="2196"/>
      <c r="I459" s="2196"/>
      <c r="J459" s="2196"/>
      <c r="K459" s="2176"/>
      <c r="L459" s="2176"/>
      <c r="M459" s="2176"/>
      <c r="N459" s="2176"/>
      <c r="O459" s="2176"/>
      <c r="P459" s="2176"/>
      <c r="Q459" s="2176"/>
      <c r="R459" s="2176"/>
      <c r="S459" s="2176"/>
      <c r="T459" s="2176"/>
      <c r="U459" s="2176"/>
      <c r="V459" s="2176"/>
      <c r="W459" s="2176"/>
      <c r="X459" s="2176"/>
      <c r="Y459" s="2176"/>
      <c r="Z459" s="13"/>
      <c r="AA459" s="13"/>
      <c r="AB459" s="13"/>
      <c r="AC459" s="13"/>
    </row>
    <row r="460" spans="1:29" ht="15.75" customHeight="1">
      <c r="A460" s="1933"/>
      <c r="B460" s="2196"/>
      <c r="C460" s="2196"/>
      <c r="D460" s="2197"/>
      <c r="E460" s="2197"/>
      <c r="F460" s="2196"/>
      <c r="G460" s="2196"/>
      <c r="H460" s="2196"/>
      <c r="I460" s="2196"/>
      <c r="J460" s="2196"/>
      <c r="K460" s="2176"/>
      <c r="L460" s="2176"/>
      <c r="M460" s="2176"/>
      <c r="N460" s="2176"/>
      <c r="O460" s="2176"/>
      <c r="P460" s="2176"/>
      <c r="Q460" s="2176"/>
      <c r="R460" s="2176"/>
      <c r="S460" s="2176"/>
      <c r="T460" s="2176"/>
      <c r="U460" s="2176"/>
      <c r="V460" s="2176"/>
      <c r="W460" s="2176"/>
      <c r="X460" s="2176"/>
      <c r="Y460" s="2176"/>
      <c r="Z460" s="13"/>
      <c r="AA460" s="13"/>
      <c r="AB460" s="13"/>
      <c r="AC460" s="13"/>
    </row>
    <row r="461" spans="1:29" ht="15.75" customHeight="1">
      <c r="A461" s="1933"/>
      <c r="B461" s="2196"/>
      <c r="C461" s="2196"/>
      <c r="D461" s="2197"/>
      <c r="E461" s="2197"/>
      <c r="F461" s="2196"/>
      <c r="G461" s="2196"/>
      <c r="H461" s="2196"/>
      <c r="I461" s="2196"/>
      <c r="J461" s="2196"/>
      <c r="K461" s="2176"/>
      <c r="L461" s="2176"/>
      <c r="M461" s="2176"/>
      <c r="N461" s="2176"/>
      <c r="O461" s="2176"/>
      <c r="P461" s="2176"/>
      <c r="Q461" s="2176"/>
      <c r="R461" s="2176"/>
      <c r="S461" s="2176"/>
      <c r="T461" s="2176"/>
      <c r="U461" s="2176"/>
      <c r="V461" s="2176"/>
      <c r="W461" s="2176"/>
      <c r="X461" s="2176"/>
      <c r="Y461" s="2176"/>
      <c r="Z461" s="13"/>
      <c r="AA461" s="13"/>
      <c r="AB461" s="13"/>
      <c r="AC461" s="13"/>
    </row>
    <row r="462" spans="1:29" ht="15.75" customHeight="1">
      <c r="A462" s="1933"/>
      <c r="B462" s="2196"/>
      <c r="C462" s="2196"/>
      <c r="D462" s="2197"/>
      <c r="E462" s="2197"/>
      <c r="F462" s="2196"/>
      <c r="G462" s="2196"/>
      <c r="H462" s="2196"/>
      <c r="I462" s="2196"/>
      <c r="J462" s="2196"/>
      <c r="K462" s="2176"/>
      <c r="L462" s="2176"/>
      <c r="M462" s="2176"/>
      <c r="N462" s="2176"/>
      <c r="O462" s="2176"/>
      <c r="P462" s="2176"/>
      <c r="Q462" s="2176"/>
      <c r="R462" s="2176"/>
      <c r="S462" s="2176"/>
      <c r="T462" s="2176"/>
      <c r="U462" s="2176"/>
      <c r="V462" s="2176"/>
      <c r="W462" s="2176"/>
      <c r="X462" s="2176"/>
      <c r="Y462" s="2176"/>
      <c r="Z462" s="13"/>
      <c r="AA462" s="13"/>
      <c r="AB462" s="13"/>
      <c r="AC462" s="13"/>
    </row>
    <row r="463" spans="1:29" ht="15.75" customHeight="1">
      <c r="A463" s="1933"/>
      <c r="B463" s="2196"/>
      <c r="C463" s="2196"/>
      <c r="D463" s="2197"/>
      <c r="E463" s="2197"/>
      <c r="F463" s="2196"/>
      <c r="G463" s="2196"/>
      <c r="H463" s="2196"/>
      <c r="I463" s="2196"/>
      <c r="J463" s="2196"/>
      <c r="K463" s="2176"/>
      <c r="L463" s="2176"/>
      <c r="M463" s="2176"/>
      <c r="N463" s="2176"/>
      <c r="O463" s="2176"/>
      <c r="P463" s="2176"/>
      <c r="Q463" s="2176"/>
      <c r="R463" s="2176"/>
      <c r="S463" s="2176"/>
      <c r="T463" s="2176"/>
      <c r="U463" s="2176"/>
      <c r="V463" s="2176"/>
      <c r="W463" s="2176"/>
      <c r="X463" s="2176"/>
      <c r="Y463" s="2176"/>
      <c r="Z463" s="13"/>
      <c r="AA463" s="13"/>
      <c r="AB463" s="13"/>
      <c r="AC463" s="13"/>
    </row>
    <row r="464" spans="1:29" ht="15.75" customHeight="1">
      <c r="A464" s="1933"/>
      <c r="B464" s="2196"/>
      <c r="C464" s="2196"/>
      <c r="D464" s="2197"/>
      <c r="E464" s="2197"/>
      <c r="F464" s="2196"/>
      <c r="G464" s="2196"/>
      <c r="H464" s="2196"/>
      <c r="I464" s="2196"/>
      <c r="J464" s="2196"/>
      <c r="K464" s="2176"/>
      <c r="L464" s="2176"/>
      <c r="M464" s="2176"/>
      <c r="N464" s="2176"/>
      <c r="O464" s="2176"/>
      <c r="P464" s="2176"/>
      <c r="Q464" s="2176"/>
      <c r="R464" s="2176"/>
      <c r="S464" s="2176"/>
      <c r="T464" s="2176"/>
      <c r="U464" s="2176"/>
      <c r="V464" s="2176"/>
      <c r="W464" s="2176"/>
      <c r="X464" s="2176"/>
      <c r="Y464" s="2176"/>
      <c r="Z464" s="13"/>
      <c r="AA464" s="13"/>
      <c r="AB464" s="13"/>
      <c r="AC464" s="13"/>
    </row>
    <row r="465" spans="1:29" ht="15.75" customHeight="1">
      <c r="A465" s="1933"/>
      <c r="B465" s="2196"/>
      <c r="C465" s="2196"/>
      <c r="D465" s="2197"/>
      <c r="E465" s="2197"/>
      <c r="F465" s="2196"/>
      <c r="G465" s="2196"/>
      <c r="H465" s="2196"/>
      <c r="I465" s="2196"/>
      <c r="J465" s="2196"/>
      <c r="K465" s="2176"/>
      <c r="L465" s="2176"/>
      <c r="M465" s="2176"/>
      <c r="N465" s="2176"/>
      <c r="O465" s="2176"/>
      <c r="P465" s="2176"/>
      <c r="Q465" s="2176"/>
      <c r="R465" s="2176"/>
      <c r="S465" s="2176"/>
      <c r="T465" s="2176"/>
      <c r="U465" s="2176"/>
      <c r="V465" s="2176"/>
      <c r="W465" s="2176"/>
      <c r="X465" s="2176"/>
      <c r="Y465" s="2176"/>
      <c r="Z465" s="13"/>
      <c r="AA465" s="13"/>
      <c r="AB465" s="13"/>
      <c r="AC465" s="13"/>
    </row>
    <row r="466" spans="1:29" ht="15.75" customHeight="1">
      <c r="A466" s="1933"/>
      <c r="B466" s="2196"/>
      <c r="C466" s="2196"/>
      <c r="D466" s="2197"/>
      <c r="E466" s="2197"/>
      <c r="F466" s="2196"/>
      <c r="G466" s="2196"/>
      <c r="H466" s="2196"/>
      <c r="I466" s="2196"/>
      <c r="J466" s="2196"/>
      <c r="K466" s="2176"/>
      <c r="L466" s="2176"/>
      <c r="M466" s="2176"/>
      <c r="N466" s="2176"/>
      <c r="O466" s="2176"/>
      <c r="P466" s="2176"/>
      <c r="Q466" s="2176"/>
      <c r="R466" s="2176"/>
      <c r="S466" s="2176"/>
      <c r="T466" s="2176"/>
      <c r="U466" s="2176"/>
      <c r="V466" s="2176"/>
      <c r="W466" s="2176"/>
      <c r="X466" s="2176"/>
      <c r="Y466" s="2176"/>
      <c r="Z466" s="13"/>
      <c r="AA466" s="13"/>
      <c r="AB466" s="13"/>
      <c r="AC466" s="13"/>
    </row>
    <row r="467" spans="1:29" ht="15.75" customHeight="1">
      <c r="A467" s="1933"/>
      <c r="B467" s="2196"/>
      <c r="C467" s="2196"/>
      <c r="D467" s="2197"/>
      <c r="E467" s="2197"/>
      <c r="F467" s="2196"/>
      <c r="G467" s="2196"/>
      <c r="H467" s="2196"/>
      <c r="I467" s="2196"/>
      <c r="J467" s="2196"/>
      <c r="K467" s="2176"/>
      <c r="L467" s="2176"/>
      <c r="M467" s="2176"/>
      <c r="N467" s="2176"/>
      <c r="O467" s="2176"/>
      <c r="P467" s="2176"/>
      <c r="Q467" s="2176"/>
      <c r="R467" s="2176"/>
      <c r="S467" s="2176"/>
      <c r="T467" s="2176"/>
      <c r="U467" s="2176"/>
      <c r="V467" s="2176"/>
      <c r="W467" s="2176"/>
      <c r="X467" s="2176"/>
      <c r="Y467" s="2176"/>
      <c r="Z467" s="13"/>
      <c r="AA467" s="13"/>
      <c r="AB467" s="13"/>
      <c r="AC467" s="13"/>
    </row>
    <row r="468" spans="1:29" ht="15.75" customHeight="1">
      <c r="A468" s="1933"/>
      <c r="B468" s="2196"/>
      <c r="C468" s="2196"/>
      <c r="D468" s="2197"/>
      <c r="E468" s="2197"/>
      <c r="F468" s="2196"/>
      <c r="G468" s="2196"/>
      <c r="H468" s="2196"/>
      <c r="I468" s="2196"/>
      <c r="J468" s="2196"/>
      <c r="K468" s="2176"/>
      <c r="L468" s="2176"/>
      <c r="M468" s="2176"/>
      <c r="N468" s="2176"/>
      <c r="O468" s="2176"/>
      <c r="P468" s="2176"/>
      <c r="Q468" s="2176"/>
      <c r="R468" s="2176"/>
      <c r="S468" s="2176"/>
      <c r="T468" s="2176"/>
      <c r="U468" s="2176"/>
      <c r="V468" s="2176"/>
      <c r="W468" s="2176"/>
      <c r="X468" s="2176"/>
      <c r="Y468" s="2176"/>
      <c r="Z468" s="13"/>
      <c r="AA468" s="13"/>
      <c r="AB468" s="13"/>
      <c r="AC468" s="13"/>
    </row>
    <row r="469" spans="1:29" ht="15.75" customHeight="1">
      <c r="A469" s="1933"/>
      <c r="B469" s="2196"/>
      <c r="C469" s="2196"/>
      <c r="D469" s="2197"/>
      <c r="E469" s="2197"/>
      <c r="F469" s="2196"/>
      <c r="G469" s="2196"/>
      <c r="H469" s="2196"/>
      <c r="I469" s="2196"/>
      <c r="J469" s="2196"/>
      <c r="K469" s="2176"/>
      <c r="L469" s="2176"/>
      <c r="M469" s="2176"/>
      <c r="N469" s="2176"/>
      <c r="O469" s="2176"/>
      <c r="P469" s="2176"/>
      <c r="Q469" s="2176"/>
      <c r="R469" s="2176"/>
      <c r="S469" s="2176"/>
      <c r="T469" s="2176"/>
      <c r="U469" s="2176"/>
      <c r="V469" s="2176"/>
      <c r="W469" s="2176"/>
      <c r="X469" s="2176"/>
      <c r="Y469" s="2176"/>
      <c r="Z469" s="13"/>
      <c r="AA469" s="13"/>
      <c r="AB469" s="13"/>
      <c r="AC469" s="13"/>
    </row>
    <row r="470" spans="1:29" ht="15.75" customHeight="1">
      <c r="A470" s="1933"/>
      <c r="B470" s="2196"/>
      <c r="C470" s="2196"/>
      <c r="D470" s="2197"/>
      <c r="E470" s="2197"/>
      <c r="F470" s="2196"/>
      <c r="G470" s="2196"/>
      <c r="H470" s="2196"/>
      <c r="I470" s="2196"/>
      <c r="J470" s="2196"/>
      <c r="K470" s="2176"/>
      <c r="L470" s="2176"/>
      <c r="M470" s="2176"/>
      <c r="N470" s="2176"/>
      <c r="O470" s="2176"/>
      <c r="P470" s="2176"/>
      <c r="Q470" s="2176"/>
      <c r="R470" s="2176"/>
      <c r="S470" s="2176"/>
      <c r="T470" s="2176"/>
      <c r="U470" s="2176"/>
      <c r="V470" s="2176"/>
      <c r="W470" s="2176"/>
      <c r="X470" s="2176"/>
      <c r="Y470" s="2176"/>
      <c r="Z470" s="13"/>
      <c r="AA470" s="13"/>
      <c r="AB470" s="13"/>
      <c r="AC470" s="13"/>
    </row>
    <row r="471" spans="1:29" ht="15.75" customHeight="1">
      <c r="A471" s="1933"/>
      <c r="B471" s="2196"/>
      <c r="C471" s="2196"/>
      <c r="D471" s="2197"/>
      <c r="E471" s="2197"/>
      <c r="F471" s="2196"/>
      <c r="G471" s="2196"/>
      <c r="H471" s="2196"/>
      <c r="I471" s="2196"/>
      <c r="J471" s="2196"/>
      <c r="K471" s="2176"/>
      <c r="L471" s="2176"/>
      <c r="M471" s="2176"/>
      <c r="N471" s="2176"/>
      <c r="O471" s="2176"/>
      <c r="P471" s="2176"/>
      <c r="Q471" s="2176"/>
      <c r="R471" s="2176"/>
      <c r="S471" s="2176"/>
      <c r="T471" s="2176"/>
      <c r="U471" s="2176"/>
      <c r="V471" s="2176"/>
      <c r="W471" s="2176"/>
      <c r="X471" s="2176"/>
      <c r="Y471" s="2176"/>
      <c r="Z471" s="13"/>
      <c r="AA471" s="13"/>
      <c r="AB471" s="13"/>
      <c r="AC471" s="13"/>
    </row>
    <row r="472" spans="1:29" ht="15.75" customHeight="1">
      <c r="A472" s="1933"/>
      <c r="B472" s="2196"/>
      <c r="C472" s="2196"/>
      <c r="D472" s="2197"/>
      <c r="E472" s="2197"/>
      <c r="F472" s="2196"/>
      <c r="G472" s="2196"/>
      <c r="H472" s="2196"/>
      <c r="I472" s="2196"/>
      <c r="J472" s="2196"/>
      <c r="K472" s="2176"/>
      <c r="L472" s="2176"/>
      <c r="M472" s="2176"/>
      <c r="N472" s="2176"/>
      <c r="O472" s="2176"/>
      <c r="P472" s="2176"/>
      <c r="Q472" s="2176"/>
      <c r="R472" s="2176"/>
      <c r="S472" s="2176"/>
      <c r="T472" s="2176"/>
      <c r="U472" s="2176"/>
      <c r="V472" s="2176"/>
      <c r="W472" s="2176"/>
      <c r="X472" s="2176"/>
      <c r="Y472" s="2176"/>
      <c r="Z472" s="13"/>
      <c r="AA472" s="13"/>
      <c r="AB472" s="13"/>
      <c r="AC472" s="13"/>
    </row>
    <row r="473" spans="1:29" ht="15.75" customHeight="1">
      <c r="A473" s="1933"/>
      <c r="B473" s="2196"/>
      <c r="C473" s="2196"/>
      <c r="D473" s="2197"/>
      <c r="E473" s="2197"/>
      <c r="F473" s="2196"/>
      <c r="G473" s="2196"/>
      <c r="H473" s="2196"/>
      <c r="I473" s="2196"/>
      <c r="J473" s="2196"/>
      <c r="K473" s="2176"/>
      <c r="L473" s="2176"/>
      <c r="M473" s="2176"/>
      <c r="N473" s="2176"/>
      <c r="O473" s="2176"/>
      <c r="P473" s="2176"/>
      <c r="Q473" s="2176"/>
      <c r="R473" s="2176"/>
      <c r="S473" s="2176"/>
      <c r="T473" s="2176"/>
      <c r="U473" s="2176"/>
      <c r="V473" s="2176"/>
      <c r="W473" s="2176"/>
      <c r="X473" s="2176"/>
      <c r="Y473" s="2176"/>
      <c r="Z473" s="13"/>
      <c r="AA473" s="13"/>
      <c r="AB473" s="13"/>
      <c r="AC473" s="13"/>
    </row>
    <row r="474" spans="1:29" ht="15.75" customHeight="1">
      <c r="A474" s="1933"/>
      <c r="B474" s="2196"/>
      <c r="C474" s="2196"/>
      <c r="D474" s="2197"/>
      <c r="E474" s="2197"/>
      <c r="F474" s="2196"/>
      <c r="G474" s="2196"/>
      <c r="H474" s="2196"/>
      <c r="I474" s="2196"/>
      <c r="J474" s="2196"/>
      <c r="K474" s="2176"/>
      <c r="L474" s="2176"/>
      <c r="M474" s="2176"/>
      <c r="N474" s="2176"/>
      <c r="O474" s="2176"/>
      <c r="P474" s="2176"/>
      <c r="Q474" s="2176"/>
      <c r="R474" s="2176"/>
      <c r="S474" s="2176"/>
      <c r="T474" s="2176"/>
      <c r="U474" s="2176"/>
      <c r="V474" s="2176"/>
      <c r="W474" s="2176"/>
      <c r="X474" s="2176"/>
      <c r="Y474" s="2176"/>
      <c r="Z474" s="13"/>
      <c r="AA474" s="13"/>
      <c r="AB474" s="13"/>
      <c r="AC474" s="13"/>
    </row>
    <row r="475" spans="1:29" ht="15.75" customHeight="1">
      <c r="A475" s="1933"/>
      <c r="B475" s="2196"/>
      <c r="C475" s="2196"/>
      <c r="D475" s="2197"/>
      <c r="E475" s="2197"/>
      <c r="F475" s="2196"/>
      <c r="G475" s="2196"/>
      <c r="H475" s="2196"/>
      <c r="I475" s="2196"/>
      <c r="J475" s="2196"/>
      <c r="K475" s="2176"/>
      <c r="L475" s="2176"/>
      <c r="M475" s="2176"/>
      <c r="N475" s="2176"/>
      <c r="O475" s="2176"/>
      <c r="P475" s="2176"/>
      <c r="Q475" s="2176"/>
      <c r="R475" s="2176"/>
      <c r="S475" s="2176"/>
      <c r="T475" s="2176"/>
      <c r="U475" s="2176"/>
      <c r="V475" s="2176"/>
      <c r="W475" s="2176"/>
      <c r="X475" s="2176"/>
      <c r="Y475" s="2176"/>
      <c r="Z475" s="13"/>
      <c r="AA475" s="13"/>
      <c r="AB475" s="13"/>
      <c r="AC475" s="13"/>
    </row>
    <row r="476" spans="1:29" ht="15.75" customHeight="1">
      <c r="A476" s="1933"/>
      <c r="B476" s="2196"/>
      <c r="C476" s="2196"/>
      <c r="D476" s="2197"/>
      <c r="E476" s="2197"/>
      <c r="F476" s="2196"/>
      <c r="G476" s="2196"/>
      <c r="H476" s="2196"/>
      <c r="I476" s="2196"/>
      <c r="J476" s="2196"/>
      <c r="K476" s="2176"/>
      <c r="L476" s="2176"/>
      <c r="M476" s="2176"/>
      <c r="N476" s="2176"/>
      <c r="O476" s="2176"/>
      <c r="P476" s="2176"/>
      <c r="Q476" s="2176"/>
      <c r="R476" s="2176"/>
      <c r="S476" s="2176"/>
      <c r="T476" s="2176"/>
      <c r="U476" s="2176"/>
      <c r="V476" s="2176"/>
      <c r="W476" s="2176"/>
      <c r="X476" s="2176"/>
      <c r="Y476" s="2176"/>
      <c r="Z476" s="13"/>
      <c r="AA476" s="13"/>
      <c r="AB476" s="13"/>
      <c r="AC476" s="13"/>
    </row>
    <row r="477" spans="1:29" ht="15.75" customHeight="1">
      <c r="A477" s="1933"/>
      <c r="B477" s="2196"/>
      <c r="C477" s="2196"/>
      <c r="D477" s="2197"/>
      <c r="E477" s="2197"/>
      <c r="F477" s="2196"/>
      <c r="G477" s="2196"/>
      <c r="H477" s="2196"/>
      <c r="I477" s="2196"/>
      <c r="J477" s="2196"/>
      <c r="K477" s="2176"/>
      <c r="L477" s="2176"/>
      <c r="M477" s="2176"/>
      <c r="N477" s="2176"/>
      <c r="O477" s="2176"/>
      <c r="P477" s="2176"/>
      <c r="Q477" s="2176"/>
      <c r="R477" s="2176"/>
      <c r="S477" s="2176"/>
      <c r="T477" s="2176"/>
      <c r="U477" s="2176"/>
      <c r="V477" s="2176"/>
      <c r="W477" s="2176"/>
      <c r="X477" s="2176"/>
      <c r="Y477" s="2176"/>
      <c r="Z477" s="13"/>
      <c r="AA477" s="13"/>
      <c r="AB477" s="13"/>
      <c r="AC477" s="13"/>
    </row>
    <row r="478" spans="1:29" ht="15.75" customHeight="1">
      <c r="A478" s="1933"/>
      <c r="B478" s="2196"/>
      <c r="C478" s="2196"/>
      <c r="D478" s="2197"/>
      <c r="E478" s="2197"/>
      <c r="F478" s="2196"/>
      <c r="G478" s="2196"/>
      <c r="H478" s="2196"/>
      <c r="I478" s="2196"/>
      <c r="J478" s="2196"/>
      <c r="K478" s="2176"/>
      <c r="L478" s="2176"/>
      <c r="M478" s="2176"/>
      <c r="N478" s="2176"/>
      <c r="O478" s="2176"/>
      <c r="P478" s="2176"/>
      <c r="Q478" s="2176"/>
      <c r="R478" s="2176"/>
      <c r="S478" s="2176"/>
      <c r="T478" s="2176"/>
      <c r="U478" s="2176"/>
      <c r="V478" s="2176"/>
      <c r="W478" s="2176"/>
      <c r="X478" s="2176"/>
      <c r="Y478" s="2176"/>
      <c r="Z478" s="13"/>
      <c r="AA478" s="13"/>
      <c r="AB478" s="13"/>
      <c r="AC478" s="13"/>
    </row>
    <row r="479" spans="1:29" ht="15.75" customHeight="1">
      <c r="A479" s="1933"/>
      <c r="B479" s="2196"/>
      <c r="C479" s="2196"/>
      <c r="D479" s="2197"/>
      <c r="E479" s="2197"/>
      <c r="F479" s="2196"/>
      <c r="G479" s="2196"/>
      <c r="H479" s="2196"/>
      <c r="I479" s="2196"/>
      <c r="J479" s="2196"/>
      <c r="K479" s="2176"/>
      <c r="L479" s="2176"/>
      <c r="M479" s="2176"/>
      <c r="N479" s="2176"/>
      <c r="O479" s="2176"/>
      <c r="P479" s="2176"/>
      <c r="Q479" s="2176"/>
      <c r="R479" s="2176"/>
      <c r="S479" s="2176"/>
      <c r="T479" s="2176"/>
      <c r="U479" s="2176"/>
      <c r="V479" s="2176"/>
      <c r="W479" s="2176"/>
      <c r="X479" s="2176"/>
      <c r="Y479" s="2176"/>
      <c r="Z479" s="13"/>
      <c r="AA479" s="13"/>
      <c r="AB479" s="13"/>
      <c r="AC479" s="13"/>
    </row>
    <row r="480" spans="1:29" ht="15.75" customHeight="1">
      <c r="A480" s="1933"/>
      <c r="B480" s="2196"/>
      <c r="C480" s="2196"/>
      <c r="D480" s="2197"/>
      <c r="E480" s="2197"/>
      <c r="F480" s="2196"/>
      <c r="G480" s="2196"/>
      <c r="H480" s="2196"/>
      <c r="I480" s="2196"/>
      <c r="J480" s="2196"/>
      <c r="K480" s="2176"/>
      <c r="L480" s="2176"/>
      <c r="M480" s="2176"/>
      <c r="N480" s="2176"/>
      <c r="O480" s="2176"/>
      <c r="P480" s="2176"/>
      <c r="Q480" s="2176"/>
      <c r="R480" s="2176"/>
      <c r="S480" s="2176"/>
      <c r="T480" s="2176"/>
      <c r="U480" s="2176"/>
      <c r="V480" s="2176"/>
      <c r="W480" s="2176"/>
      <c r="X480" s="2176"/>
      <c r="Y480" s="2176"/>
      <c r="Z480" s="13"/>
      <c r="AA480" s="13"/>
      <c r="AB480" s="13"/>
      <c r="AC480" s="13"/>
    </row>
    <row r="481" spans="1:29" ht="15.75" customHeight="1">
      <c r="A481" s="1933"/>
      <c r="B481" s="2196"/>
      <c r="C481" s="2196"/>
      <c r="D481" s="2197"/>
      <c r="E481" s="2197"/>
      <c r="F481" s="2196"/>
      <c r="G481" s="2196"/>
      <c r="H481" s="2196"/>
      <c r="I481" s="2196"/>
      <c r="J481" s="2196"/>
      <c r="K481" s="2176"/>
      <c r="L481" s="2176"/>
      <c r="M481" s="2176"/>
      <c r="N481" s="2176"/>
      <c r="O481" s="2176"/>
      <c r="P481" s="2176"/>
      <c r="Q481" s="2176"/>
      <c r="R481" s="2176"/>
      <c r="S481" s="2176"/>
      <c r="T481" s="2176"/>
      <c r="U481" s="2176"/>
      <c r="V481" s="2176"/>
      <c r="W481" s="2176"/>
      <c r="X481" s="2176"/>
      <c r="Y481" s="2176"/>
      <c r="Z481" s="13"/>
      <c r="AA481" s="13"/>
      <c r="AB481" s="13"/>
      <c r="AC481" s="13"/>
    </row>
    <row r="482" spans="1:29" ht="15.75" customHeight="1">
      <c r="A482" s="1933"/>
      <c r="B482" s="2196"/>
      <c r="C482" s="2196"/>
      <c r="D482" s="2197"/>
      <c r="E482" s="2197"/>
      <c r="F482" s="2196"/>
      <c r="G482" s="2196"/>
      <c r="H482" s="2196"/>
      <c r="I482" s="2196"/>
      <c r="J482" s="2196"/>
      <c r="K482" s="2176"/>
      <c r="L482" s="2176"/>
      <c r="M482" s="2176"/>
      <c r="N482" s="2176"/>
      <c r="O482" s="2176"/>
      <c r="P482" s="2176"/>
      <c r="Q482" s="2176"/>
      <c r="R482" s="2176"/>
      <c r="S482" s="2176"/>
      <c r="T482" s="2176"/>
      <c r="U482" s="2176"/>
      <c r="V482" s="2176"/>
      <c r="W482" s="2176"/>
      <c r="X482" s="2176"/>
      <c r="Y482" s="2176"/>
      <c r="Z482" s="13"/>
      <c r="AA482" s="13"/>
      <c r="AB482" s="13"/>
      <c r="AC482" s="13"/>
    </row>
    <row r="483" spans="1:29" ht="15.75" customHeight="1">
      <c r="A483" s="1933"/>
      <c r="B483" s="2196"/>
      <c r="C483" s="2196"/>
      <c r="D483" s="2197"/>
      <c r="E483" s="2197"/>
      <c r="F483" s="2196"/>
      <c r="G483" s="2196"/>
      <c r="H483" s="2196"/>
      <c r="I483" s="2196"/>
      <c r="J483" s="2196"/>
      <c r="K483" s="2176"/>
      <c r="L483" s="2176"/>
      <c r="M483" s="2176"/>
      <c r="N483" s="2176"/>
      <c r="O483" s="2176"/>
      <c r="P483" s="2176"/>
      <c r="Q483" s="2176"/>
      <c r="R483" s="2176"/>
      <c r="S483" s="2176"/>
      <c r="T483" s="2176"/>
      <c r="U483" s="2176"/>
      <c r="V483" s="2176"/>
      <c r="W483" s="2176"/>
      <c r="X483" s="2176"/>
      <c r="Y483" s="2176"/>
      <c r="Z483" s="13"/>
      <c r="AA483" s="13"/>
      <c r="AB483" s="13"/>
      <c r="AC483" s="13"/>
    </row>
    <row r="484" spans="1:29" ht="15.75" customHeight="1">
      <c r="A484" s="1933"/>
      <c r="B484" s="2196"/>
      <c r="C484" s="2196"/>
      <c r="D484" s="2197"/>
      <c r="E484" s="2197"/>
      <c r="F484" s="2196"/>
      <c r="G484" s="2196"/>
      <c r="H484" s="2196"/>
      <c r="I484" s="2196"/>
      <c r="J484" s="2196"/>
      <c r="K484" s="2176"/>
      <c r="L484" s="2176"/>
      <c r="M484" s="2176"/>
      <c r="N484" s="2176"/>
      <c r="O484" s="2176"/>
      <c r="P484" s="2176"/>
      <c r="Q484" s="2176"/>
      <c r="R484" s="2176"/>
      <c r="S484" s="2176"/>
      <c r="T484" s="2176"/>
      <c r="U484" s="2176"/>
      <c r="V484" s="2176"/>
      <c r="W484" s="2176"/>
      <c r="X484" s="2176"/>
      <c r="Y484" s="2176"/>
      <c r="Z484" s="13"/>
      <c r="AA484" s="13"/>
      <c r="AB484" s="13"/>
      <c r="AC484" s="13"/>
    </row>
    <row r="485" spans="1:29" ht="15.75" customHeight="1">
      <c r="A485" s="1933"/>
      <c r="B485" s="2196"/>
      <c r="C485" s="2196"/>
      <c r="D485" s="2197"/>
      <c r="E485" s="2197"/>
      <c r="F485" s="2196"/>
      <c r="G485" s="2196"/>
      <c r="H485" s="2196"/>
      <c r="I485" s="2196"/>
      <c r="J485" s="2196"/>
      <c r="K485" s="2176"/>
      <c r="L485" s="2176"/>
      <c r="M485" s="2176"/>
      <c r="N485" s="2176"/>
      <c r="O485" s="2176"/>
      <c r="P485" s="2176"/>
      <c r="Q485" s="2176"/>
      <c r="R485" s="2176"/>
      <c r="S485" s="2176"/>
      <c r="T485" s="2176"/>
      <c r="U485" s="2176"/>
      <c r="V485" s="2176"/>
      <c r="W485" s="2176"/>
      <c r="X485" s="2176"/>
      <c r="Y485" s="2176"/>
      <c r="Z485" s="13"/>
      <c r="AA485" s="13"/>
      <c r="AB485" s="13"/>
      <c r="AC485" s="13"/>
    </row>
    <row r="486" spans="1:29" ht="15.75" customHeight="1">
      <c r="A486" s="1933"/>
      <c r="B486" s="2196"/>
      <c r="C486" s="2196"/>
      <c r="D486" s="2197"/>
      <c r="E486" s="2197"/>
      <c r="F486" s="2196"/>
      <c r="G486" s="2196"/>
      <c r="H486" s="2196"/>
      <c r="I486" s="2196"/>
      <c r="J486" s="2196"/>
      <c r="K486" s="2176"/>
      <c r="L486" s="2176"/>
      <c r="M486" s="2176"/>
      <c r="N486" s="2176"/>
      <c r="O486" s="2176"/>
      <c r="P486" s="2176"/>
      <c r="Q486" s="2176"/>
      <c r="R486" s="2176"/>
      <c r="S486" s="2176"/>
      <c r="T486" s="2176"/>
      <c r="U486" s="2176"/>
      <c r="V486" s="2176"/>
      <c r="W486" s="2176"/>
      <c r="X486" s="2176"/>
      <c r="Y486" s="2176"/>
      <c r="Z486" s="13"/>
      <c r="AA486" s="13"/>
      <c r="AB486" s="13"/>
      <c r="AC486" s="13"/>
    </row>
    <row r="487" spans="1:29" ht="15.75" customHeight="1">
      <c r="A487" s="1933"/>
      <c r="B487" s="2196"/>
      <c r="C487" s="2196"/>
      <c r="D487" s="2197"/>
      <c r="E487" s="2197"/>
      <c r="F487" s="2196"/>
      <c r="G487" s="2196"/>
      <c r="H487" s="2196"/>
      <c r="I487" s="2196"/>
      <c r="J487" s="2196"/>
      <c r="K487" s="2176"/>
      <c r="L487" s="2176"/>
      <c r="M487" s="2176"/>
      <c r="N487" s="2176"/>
      <c r="O487" s="2176"/>
      <c r="P487" s="2176"/>
      <c r="Q487" s="2176"/>
      <c r="R487" s="2176"/>
      <c r="S487" s="2176"/>
      <c r="T487" s="2176"/>
      <c r="U487" s="2176"/>
      <c r="V487" s="2176"/>
      <c r="W487" s="2176"/>
      <c r="X487" s="2176"/>
      <c r="Y487" s="2176"/>
      <c r="Z487" s="13"/>
      <c r="AA487" s="13"/>
      <c r="AB487" s="13"/>
      <c r="AC487" s="13"/>
    </row>
    <row r="488" spans="1:29" ht="15.75" customHeight="1">
      <c r="A488" s="1933"/>
      <c r="B488" s="2196"/>
      <c r="C488" s="2196"/>
      <c r="D488" s="2197"/>
      <c r="E488" s="2197"/>
      <c r="F488" s="2196"/>
      <c r="G488" s="2196"/>
      <c r="H488" s="2196"/>
      <c r="I488" s="2196"/>
      <c r="J488" s="2196"/>
      <c r="K488" s="2176"/>
      <c r="L488" s="2176"/>
      <c r="M488" s="2176"/>
      <c r="N488" s="2176"/>
      <c r="O488" s="2176"/>
      <c r="P488" s="2176"/>
      <c r="Q488" s="2176"/>
      <c r="R488" s="2176"/>
      <c r="S488" s="2176"/>
      <c r="T488" s="2176"/>
      <c r="U488" s="2176"/>
      <c r="V488" s="2176"/>
      <c r="W488" s="2176"/>
      <c r="X488" s="2176"/>
      <c r="Y488" s="2176"/>
      <c r="Z488" s="13"/>
      <c r="AA488" s="13"/>
      <c r="AB488" s="13"/>
      <c r="AC488" s="13"/>
    </row>
    <row r="489" spans="1:29" ht="15.75" customHeight="1">
      <c r="A489" s="1933"/>
      <c r="B489" s="2196"/>
      <c r="C489" s="2196"/>
      <c r="D489" s="2197"/>
      <c r="E489" s="2197"/>
      <c r="F489" s="2196"/>
      <c r="G489" s="2196"/>
      <c r="H489" s="2196"/>
      <c r="I489" s="2196"/>
      <c r="J489" s="2196"/>
      <c r="K489" s="2176"/>
      <c r="L489" s="2176"/>
      <c r="M489" s="2176"/>
      <c r="N489" s="2176"/>
      <c r="O489" s="2176"/>
      <c r="P489" s="2176"/>
      <c r="Q489" s="2176"/>
      <c r="R489" s="2176"/>
      <c r="S489" s="2176"/>
      <c r="T489" s="2176"/>
      <c r="U489" s="2176"/>
      <c r="V489" s="2176"/>
      <c r="W489" s="2176"/>
      <c r="X489" s="2176"/>
      <c r="Y489" s="2176"/>
      <c r="Z489" s="13"/>
      <c r="AA489" s="13"/>
      <c r="AB489" s="13"/>
      <c r="AC489" s="13"/>
    </row>
    <row r="490" spans="1:29" ht="15.75" customHeight="1">
      <c r="A490" s="1933"/>
      <c r="B490" s="2196"/>
      <c r="C490" s="2196"/>
      <c r="D490" s="2197"/>
      <c r="E490" s="2197"/>
      <c r="F490" s="2196"/>
      <c r="G490" s="2196"/>
      <c r="H490" s="2196"/>
      <c r="I490" s="2196"/>
      <c r="J490" s="2196"/>
      <c r="K490" s="2176"/>
      <c r="L490" s="2176"/>
      <c r="M490" s="2176"/>
      <c r="N490" s="2176"/>
      <c r="O490" s="2176"/>
      <c r="P490" s="2176"/>
      <c r="Q490" s="2176"/>
      <c r="R490" s="2176"/>
      <c r="S490" s="2176"/>
      <c r="T490" s="2176"/>
      <c r="U490" s="2176"/>
      <c r="V490" s="2176"/>
      <c r="W490" s="2176"/>
      <c r="X490" s="2176"/>
      <c r="Y490" s="2176"/>
      <c r="Z490" s="13"/>
      <c r="AA490" s="13"/>
      <c r="AB490" s="13"/>
      <c r="AC490" s="13"/>
    </row>
    <row r="491" spans="1:29" ht="15.75" customHeight="1">
      <c r="A491" s="1933"/>
      <c r="B491" s="2196"/>
      <c r="C491" s="2196"/>
      <c r="D491" s="2197"/>
      <c r="E491" s="2197"/>
      <c r="F491" s="2196"/>
      <c r="G491" s="2196"/>
      <c r="H491" s="2196"/>
      <c r="I491" s="2196"/>
      <c r="J491" s="2196"/>
      <c r="K491" s="2176"/>
      <c r="L491" s="2176"/>
      <c r="M491" s="2176"/>
      <c r="N491" s="2176"/>
      <c r="O491" s="2176"/>
      <c r="P491" s="2176"/>
      <c r="Q491" s="2176"/>
      <c r="R491" s="2176"/>
      <c r="S491" s="2176"/>
      <c r="T491" s="2176"/>
      <c r="U491" s="2176"/>
      <c r="V491" s="2176"/>
      <c r="W491" s="2176"/>
      <c r="X491" s="2176"/>
      <c r="Y491" s="2176"/>
      <c r="Z491" s="13"/>
      <c r="AA491" s="13"/>
      <c r="AB491" s="13"/>
      <c r="AC491" s="13"/>
    </row>
    <row r="492" spans="1:29" ht="15.75" customHeight="1">
      <c r="A492" s="1933"/>
      <c r="B492" s="2196"/>
      <c r="C492" s="2196"/>
      <c r="D492" s="2197"/>
      <c r="E492" s="2197"/>
      <c r="F492" s="2196"/>
      <c r="G492" s="2196"/>
      <c r="H492" s="2196"/>
      <c r="I492" s="2196"/>
      <c r="J492" s="2196"/>
      <c r="K492" s="2176"/>
      <c r="L492" s="2176"/>
      <c r="M492" s="2176"/>
      <c r="N492" s="2176"/>
      <c r="O492" s="2176"/>
      <c r="P492" s="2176"/>
      <c r="Q492" s="2176"/>
      <c r="R492" s="2176"/>
      <c r="S492" s="2176"/>
      <c r="T492" s="2176"/>
      <c r="U492" s="2176"/>
      <c r="V492" s="2176"/>
      <c r="W492" s="2176"/>
      <c r="X492" s="2176"/>
      <c r="Y492" s="2176"/>
      <c r="Z492" s="13"/>
      <c r="AA492" s="13"/>
      <c r="AB492" s="13"/>
      <c r="AC492" s="13"/>
    </row>
    <row r="493" spans="1:29" ht="15.75" customHeight="1">
      <c r="A493" s="1933"/>
      <c r="B493" s="2196"/>
      <c r="C493" s="2196"/>
      <c r="D493" s="2197"/>
      <c r="E493" s="2197"/>
      <c r="F493" s="2196"/>
      <c r="G493" s="2196"/>
      <c r="H493" s="2196"/>
      <c r="I493" s="2196"/>
      <c r="J493" s="2196"/>
      <c r="K493" s="2176"/>
      <c r="L493" s="2176"/>
      <c r="M493" s="2176"/>
      <c r="N493" s="2176"/>
      <c r="O493" s="2176"/>
      <c r="P493" s="2176"/>
      <c r="Q493" s="2176"/>
      <c r="R493" s="2176"/>
      <c r="S493" s="2176"/>
      <c r="T493" s="2176"/>
      <c r="U493" s="2176"/>
      <c r="V493" s="2176"/>
      <c r="W493" s="2176"/>
      <c r="X493" s="2176"/>
      <c r="Y493" s="2176"/>
      <c r="Z493" s="13"/>
      <c r="AA493" s="13"/>
      <c r="AB493" s="13"/>
      <c r="AC493" s="13"/>
    </row>
    <row r="494" spans="1:29" ht="15.75" customHeight="1">
      <c r="A494" s="1933"/>
      <c r="B494" s="2196"/>
      <c r="C494" s="2196"/>
      <c r="D494" s="2197"/>
      <c r="E494" s="2197"/>
      <c r="F494" s="2196"/>
      <c r="G494" s="2196"/>
      <c r="H494" s="2196"/>
      <c r="I494" s="2196"/>
      <c r="J494" s="2196"/>
      <c r="K494" s="2176"/>
      <c r="L494" s="2176"/>
      <c r="M494" s="2176"/>
      <c r="N494" s="2176"/>
      <c r="O494" s="2176"/>
      <c r="P494" s="2176"/>
      <c r="Q494" s="2176"/>
      <c r="R494" s="2176"/>
      <c r="S494" s="2176"/>
      <c r="T494" s="2176"/>
      <c r="U494" s="2176"/>
      <c r="V494" s="2176"/>
      <c r="W494" s="2176"/>
      <c r="X494" s="2176"/>
      <c r="Y494" s="2176"/>
      <c r="Z494" s="13"/>
      <c r="AA494" s="13"/>
      <c r="AB494" s="13"/>
      <c r="AC494" s="13"/>
    </row>
    <row r="495" spans="1:29" ht="15.75" customHeight="1">
      <c r="A495" s="1933"/>
      <c r="B495" s="2196"/>
      <c r="C495" s="2196"/>
      <c r="D495" s="2197"/>
      <c r="E495" s="2197"/>
      <c r="F495" s="2196"/>
      <c r="G495" s="2196"/>
      <c r="H495" s="2196"/>
      <c r="I495" s="2196"/>
      <c r="J495" s="2196"/>
      <c r="K495" s="2176"/>
      <c r="L495" s="2176"/>
      <c r="M495" s="2176"/>
      <c r="N495" s="2176"/>
      <c r="O495" s="2176"/>
      <c r="P495" s="2176"/>
      <c r="Q495" s="2176"/>
      <c r="R495" s="2176"/>
      <c r="S495" s="2176"/>
      <c r="T495" s="2176"/>
      <c r="U495" s="2176"/>
      <c r="V495" s="2176"/>
      <c r="W495" s="2176"/>
      <c r="X495" s="2176"/>
      <c r="Y495" s="2176"/>
      <c r="Z495" s="13"/>
      <c r="AA495" s="13"/>
      <c r="AB495" s="13"/>
      <c r="AC495" s="13"/>
    </row>
    <row r="496" spans="1:29" ht="15.75" customHeight="1">
      <c r="A496" s="1933"/>
      <c r="B496" s="2196"/>
      <c r="C496" s="2196"/>
      <c r="D496" s="2197"/>
      <c r="E496" s="2197"/>
      <c r="F496" s="2196"/>
      <c r="G496" s="2196"/>
      <c r="H496" s="2196"/>
      <c r="I496" s="2196"/>
      <c r="J496" s="2196"/>
      <c r="K496" s="2176"/>
      <c r="L496" s="2176"/>
      <c r="M496" s="2176"/>
      <c r="N496" s="2176"/>
      <c r="O496" s="2176"/>
      <c r="P496" s="2176"/>
      <c r="Q496" s="2176"/>
      <c r="R496" s="2176"/>
      <c r="S496" s="2176"/>
      <c r="T496" s="2176"/>
      <c r="U496" s="2176"/>
      <c r="V496" s="2176"/>
      <c r="W496" s="2176"/>
      <c r="X496" s="2176"/>
      <c r="Y496" s="2176"/>
      <c r="Z496" s="13"/>
      <c r="AA496" s="13"/>
      <c r="AB496" s="13"/>
      <c r="AC496" s="13"/>
    </row>
    <row r="497" spans="1:29" ht="15.75" customHeight="1">
      <c r="A497" s="1933"/>
      <c r="B497" s="2196"/>
      <c r="C497" s="2196"/>
      <c r="D497" s="2197"/>
      <c r="E497" s="2197"/>
      <c r="F497" s="2196"/>
      <c r="G497" s="2196"/>
      <c r="H497" s="2196"/>
      <c r="I497" s="2196"/>
      <c r="J497" s="2196"/>
      <c r="K497" s="2176"/>
      <c r="L497" s="2176"/>
      <c r="M497" s="2176"/>
      <c r="N497" s="2176"/>
      <c r="O497" s="2176"/>
      <c r="P497" s="2176"/>
      <c r="Q497" s="2176"/>
      <c r="R497" s="2176"/>
      <c r="S497" s="2176"/>
      <c r="T497" s="2176"/>
      <c r="U497" s="2176"/>
      <c r="V497" s="2176"/>
      <c r="W497" s="2176"/>
      <c r="X497" s="2176"/>
      <c r="Y497" s="2176"/>
      <c r="Z497" s="13"/>
      <c r="AA497" s="13"/>
      <c r="AB497" s="13"/>
      <c r="AC497" s="13"/>
    </row>
    <row r="498" spans="1:29" ht="15.75" customHeight="1">
      <c r="A498" s="1933"/>
      <c r="B498" s="2196"/>
      <c r="C498" s="2196"/>
      <c r="D498" s="2197"/>
      <c r="E498" s="2197"/>
      <c r="F498" s="2196"/>
      <c r="G498" s="2196"/>
      <c r="H498" s="2196"/>
      <c r="I498" s="2196"/>
      <c r="J498" s="2196"/>
      <c r="K498" s="2176"/>
      <c r="L498" s="2176"/>
      <c r="M498" s="2176"/>
      <c r="N498" s="2176"/>
      <c r="O498" s="2176"/>
      <c r="P498" s="2176"/>
      <c r="Q498" s="2176"/>
      <c r="R498" s="2176"/>
      <c r="S498" s="2176"/>
      <c r="T498" s="2176"/>
      <c r="U498" s="2176"/>
      <c r="V498" s="2176"/>
      <c r="W498" s="2176"/>
      <c r="X498" s="2176"/>
      <c r="Y498" s="2176"/>
      <c r="Z498" s="13"/>
      <c r="AA498" s="13"/>
      <c r="AB498" s="13"/>
      <c r="AC498" s="13"/>
    </row>
    <row r="499" spans="1:29" ht="15.75" customHeight="1">
      <c r="A499" s="1933"/>
      <c r="B499" s="2196"/>
      <c r="C499" s="2196"/>
      <c r="D499" s="2197"/>
      <c r="E499" s="2197"/>
      <c r="F499" s="2196"/>
      <c r="G499" s="2196"/>
      <c r="H499" s="2196"/>
      <c r="I499" s="2196"/>
      <c r="J499" s="2196"/>
      <c r="K499" s="2176"/>
      <c r="L499" s="2176"/>
      <c r="M499" s="2176"/>
      <c r="N499" s="2176"/>
      <c r="O499" s="2176"/>
      <c r="P499" s="2176"/>
      <c r="Q499" s="2176"/>
      <c r="R499" s="2176"/>
      <c r="S499" s="2176"/>
      <c r="T499" s="2176"/>
      <c r="U499" s="2176"/>
      <c r="V499" s="2176"/>
      <c r="W499" s="2176"/>
      <c r="X499" s="2176"/>
      <c r="Y499" s="2176"/>
      <c r="Z499" s="13"/>
      <c r="AA499" s="13"/>
      <c r="AB499" s="13"/>
      <c r="AC499" s="13"/>
    </row>
    <row r="500" spans="1:29" ht="15.75" customHeight="1">
      <c r="A500" s="1933"/>
      <c r="B500" s="2196"/>
      <c r="C500" s="2196"/>
      <c r="D500" s="2197"/>
      <c r="E500" s="2197"/>
      <c r="F500" s="2196"/>
      <c r="G500" s="2196"/>
      <c r="H500" s="2196"/>
      <c r="I500" s="2196"/>
      <c r="J500" s="2196"/>
      <c r="K500" s="2176"/>
      <c r="L500" s="2176"/>
      <c r="M500" s="2176"/>
      <c r="N500" s="2176"/>
      <c r="O500" s="2176"/>
      <c r="P500" s="2176"/>
      <c r="Q500" s="2176"/>
      <c r="R500" s="2176"/>
      <c r="S500" s="2176"/>
      <c r="T500" s="2176"/>
      <c r="U500" s="2176"/>
      <c r="V500" s="2176"/>
      <c r="W500" s="2176"/>
      <c r="X500" s="2176"/>
      <c r="Y500" s="2176"/>
      <c r="Z500" s="13"/>
      <c r="AA500" s="13"/>
      <c r="AB500" s="13"/>
      <c r="AC500" s="13"/>
    </row>
    <row r="501" spans="1:29" ht="15.75" customHeight="1">
      <c r="A501" s="1933"/>
      <c r="B501" s="2196"/>
      <c r="C501" s="2196"/>
      <c r="D501" s="2197"/>
      <c r="E501" s="2197"/>
      <c r="F501" s="2196"/>
      <c r="G501" s="2196"/>
      <c r="H501" s="2196"/>
      <c r="I501" s="2196"/>
      <c r="J501" s="2196"/>
      <c r="K501" s="2176"/>
      <c r="L501" s="2176"/>
      <c r="M501" s="2176"/>
      <c r="N501" s="2176"/>
      <c r="O501" s="2176"/>
      <c r="P501" s="2176"/>
      <c r="Q501" s="2176"/>
      <c r="R501" s="2176"/>
      <c r="S501" s="2176"/>
      <c r="T501" s="2176"/>
      <c r="U501" s="2176"/>
      <c r="V501" s="2176"/>
      <c r="W501" s="2176"/>
      <c r="X501" s="2176"/>
      <c r="Y501" s="2176"/>
      <c r="Z501" s="13"/>
      <c r="AA501" s="13"/>
      <c r="AB501" s="13"/>
      <c r="AC501" s="13"/>
    </row>
    <row r="502" spans="1:29" ht="15.75" customHeight="1">
      <c r="A502" s="1933"/>
      <c r="B502" s="2196"/>
      <c r="C502" s="2196"/>
      <c r="D502" s="2197"/>
      <c r="E502" s="2197"/>
      <c r="F502" s="2196"/>
      <c r="G502" s="2196"/>
      <c r="H502" s="2196"/>
      <c r="I502" s="2196"/>
      <c r="J502" s="2196"/>
      <c r="K502" s="2176"/>
      <c r="L502" s="2176"/>
      <c r="M502" s="2176"/>
      <c r="N502" s="2176"/>
      <c r="O502" s="2176"/>
      <c r="P502" s="2176"/>
      <c r="Q502" s="2176"/>
      <c r="R502" s="2176"/>
      <c r="S502" s="2176"/>
      <c r="T502" s="2176"/>
      <c r="U502" s="2176"/>
      <c r="V502" s="2176"/>
      <c r="W502" s="2176"/>
      <c r="X502" s="2176"/>
      <c r="Y502" s="2176"/>
      <c r="Z502" s="13"/>
      <c r="AA502" s="13"/>
      <c r="AB502" s="13"/>
      <c r="AC502" s="13"/>
    </row>
    <row r="503" spans="1:29" ht="15.75" customHeight="1">
      <c r="A503" s="1933"/>
      <c r="B503" s="2196"/>
      <c r="C503" s="2196"/>
      <c r="D503" s="2197"/>
      <c r="E503" s="2197"/>
      <c r="F503" s="2196"/>
      <c r="G503" s="2196"/>
      <c r="H503" s="2196"/>
      <c r="I503" s="2196"/>
      <c r="J503" s="2196"/>
      <c r="K503" s="2176"/>
      <c r="L503" s="2176"/>
      <c r="M503" s="2176"/>
      <c r="N503" s="2176"/>
      <c r="O503" s="2176"/>
      <c r="P503" s="2176"/>
      <c r="Q503" s="2176"/>
      <c r="R503" s="2176"/>
      <c r="S503" s="2176"/>
      <c r="T503" s="2176"/>
      <c r="U503" s="2176"/>
      <c r="V503" s="2176"/>
      <c r="W503" s="2176"/>
      <c r="X503" s="2176"/>
      <c r="Y503" s="2176"/>
      <c r="Z503" s="13"/>
      <c r="AA503" s="13"/>
      <c r="AB503" s="13"/>
      <c r="AC503" s="13"/>
    </row>
    <row r="504" spans="1:29" ht="15.75" customHeight="1">
      <c r="A504" s="1933"/>
      <c r="B504" s="2196"/>
      <c r="C504" s="2196"/>
      <c r="D504" s="2197"/>
      <c r="E504" s="2197"/>
      <c r="F504" s="2196"/>
      <c r="G504" s="2196"/>
      <c r="H504" s="2196"/>
      <c r="I504" s="2196"/>
      <c r="J504" s="2196"/>
      <c r="K504" s="2176"/>
      <c r="L504" s="2176"/>
      <c r="M504" s="2176"/>
      <c r="N504" s="2176"/>
      <c r="O504" s="2176"/>
      <c r="P504" s="2176"/>
      <c r="Q504" s="2176"/>
      <c r="R504" s="2176"/>
      <c r="S504" s="2176"/>
      <c r="T504" s="2176"/>
      <c r="U504" s="2176"/>
      <c r="V504" s="2176"/>
      <c r="W504" s="2176"/>
      <c r="X504" s="2176"/>
      <c r="Y504" s="2176"/>
      <c r="Z504" s="13"/>
      <c r="AA504" s="13"/>
      <c r="AB504" s="13"/>
      <c r="AC504" s="13"/>
    </row>
    <row r="505" spans="1:29" ht="15.75" customHeight="1">
      <c r="A505" s="1933"/>
      <c r="B505" s="2196"/>
      <c r="C505" s="2196"/>
      <c r="D505" s="2197"/>
      <c r="E505" s="2197"/>
      <c r="F505" s="2196"/>
      <c r="G505" s="2196"/>
      <c r="H505" s="2196"/>
      <c r="I505" s="2196"/>
      <c r="J505" s="2196"/>
      <c r="K505" s="2176"/>
      <c r="L505" s="2176"/>
      <c r="M505" s="2176"/>
      <c r="N505" s="2176"/>
      <c r="O505" s="2176"/>
      <c r="P505" s="2176"/>
      <c r="Q505" s="2176"/>
      <c r="R505" s="2176"/>
      <c r="S505" s="2176"/>
      <c r="T505" s="2176"/>
      <c r="U505" s="2176"/>
      <c r="V505" s="2176"/>
      <c r="W505" s="2176"/>
      <c r="X505" s="2176"/>
      <c r="Y505" s="2176"/>
      <c r="Z505" s="13"/>
      <c r="AA505" s="13"/>
      <c r="AB505" s="13"/>
      <c r="AC505" s="13"/>
    </row>
    <row r="506" spans="1:29" ht="15.75" customHeight="1">
      <c r="A506" s="1933"/>
      <c r="B506" s="2196"/>
      <c r="C506" s="2196"/>
      <c r="D506" s="2197"/>
      <c r="E506" s="2197"/>
      <c r="F506" s="2196"/>
      <c r="G506" s="2196"/>
      <c r="H506" s="2196"/>
      <c r="I506" s="2196"/>
      <c r="J506" s="2196"/>
      <c r="K506" s="2176"/>
      <c r="L506" s="2176"/>
      <c r="M506" s="2176"/>
      <c r="N506" s="2176"/>
      <c r="O506" s="2176"/>
      <c r="P506" s="2176"/>
      <c r="Q506" s="2176"/>
      <c r="R506" s="2176"/>
      <c r="S506" s="2176"/>
      <c r="T506" s="2176"/>
      <c r="U506" s="2176"/>
      <c r="V506" s="2176"/>
      <c r="W506" s="2176"/>
      <c r="X506" s="2176"/>
      <c r="Y506" s="2176"/>
      <c r="Z506" s="13"/>
      <c r="AA506" s="13"/>
      <c r="AB506" s="13"/>
      <c r="AC506" s="13"/>
    </row>
    <row r="507" spans="1:29" ht="15.75" customHeight="1">
      <c r="A507" s="1933"/>
      <c r="B507" s="2196"/>
      <c r="C507" s="2196"/>
      <c r="D507" s="2197"/>
      <c r="E507" s="2197"/>
      <c r="F507" s="2196"/>
      <c r="G507" s="2196"/>
      <c r="H507" s="2196"/>
      <c r="I507" s="2196"/>
      <c r="J507" s="2196"/>
      <c r="K507" s="2176"/>
      <c r="L507" s="2176"/>
      <c r="M507" s="2176"/>
      <c r="N507" s="2176"/>
      <c r="O507" s="2176"/>
      <c r="P507" s="2176"/>
      <c r="Q507" s="2176"/>
      <c r="R507" s="2176"/>
      <c r="S507" s="2176"/>
      <c r="T507" s="2176"/>
      <c r="U507" s="2176"/>
      <c r="V507" s="2176"/>
      <c r="W507" s="2176"/>
      <c r="X507" s="2176"/>
      <c r="Y507" s="2176"/>
      <c r="Z507" s="13"/>
      <c r="AA507" s="13"/>
      <c r="AB507" s="13"/>
      <c r="AC507" s="13"/>
    </row>
    <row r="508" spans="1:29" ht="15.75" customHeight="1">
      <c r="A508" s="1933"/>
      <c r="B508" s="2196"/>
      <c r="C508" s="2196"/>
      <c r="D508" s="2197"/>
      <c r="E508" s="2197"/>
      <c r="F508" s="2196"/>
      <c r="G508" s="2196"/>
      <c r="H508" s="2196"/>
      <c r="I508" s="2196"/>
      <c r="J508" s="2196"/>
      <c r="K508" s="2176"/>
      <c r="L508" s="2176"/>
      <c r="M508" s="2176"/>
      <c r="N508" s="2176"/>
      <c r="O508" s="2176"/>
      <c r="P508" s="2176"/>
      <c r="Q508" s="2176"/>
      <c r="R508" s="2176"/>
      <c r="S508" s="2176"/>
      <c r="T508" s="2176"/>
      <c r="U508" s="2176"/>
      <c r="V508" s="2176"/>
      <c r="W508" s="2176"/>
      <c r="X508" s="2176"/>
      <c r="Y508" s="2176"/>
      <c r="Z508" s="13"/>
      <c r="AA508" s="13"/>
      <c r="AB508" s="13"/>
      <c r="AC508" s="13"/>
    </row>
    <row r="509" spans="1:29" ht="15.75" customHeight="1">
      <c r="A509" s="1933"/>
      <c r="B509" s="2196"/>
      <c r="C509" s="2196"/>
      <c r="D509" s="2197"/>
      <c r="E509" s="2197"/>
      <c r="F509" s="2196"/>
      <c r="G509" s="2196"/>
      <c r="H509" s="2196"/>
      <c r="I509" s="2196"/>
      <c r="J509" s="2196"/>
      <c r="K509" s="2176"/>
      <c r="L509" s="2176"/>
      <c r="M509" s="2176"/>
      <c r="N509" s="2176"/>
      <c r="O509" s="2176"/>
      <c r="P509" s="2176"/>
      <c r="Q509" s="2176"/>
      <c r="R509" s="2176"/>
      <c r="S509" s="2176"/>
      <c r="T509" s="2176"/>
      <c r="U509" s="2176"/>
      <c r="V509" s="2176"/>
      <c r="W509" s="2176"/>
      <c r="X509" s="2176"/>
      <c r="Y509" s="2176"/>
      <c r="Z509" s="13"/>
      <c r="AA509" s="13"/>
      <c r="AB509" s="13"/>
      <c r="AC509" s="13"/>
    </row>
    <row r="510" spans="1:29" ht="15.75" customHeight="1">
      <c r="A510" s="1933"/>
      <c r="B510" s="2196"/>
      <c r="C510" s="2196"/>
      <c r="D510" s="2197"/>
      <c r="E510" s="2197"/>
      <c r="F510" s="2196"/>
      <c r="G510" s="2196"/>
      <c r="H510" s="2196"/>
      <c r="I510" s="2196"/>
      <c r="J510" s="2196"/>
      <c r="K510" s="2176"/>
      <c r="L510" s="2176"/>
      <c r="M510" s="2176"/>
      <c r="N510" s="2176"/>
      <c r="O510" s="2176"/>
      <c r="P510" s="2176"/>
      <c r="Q510" s="2176"/>
      <c r="R510" s="2176"/>
      <c r="S510" s="2176"/>
      <c r="T510" s="2176"/>
      <c r="U510" s="2176"/>
      <c r="V510" s="2176"/>
      <c r="W510" s="2176"/>
      <c r="X510" s="2176"/>
      <c r="Y510" s="2176"/>
      <c r="Z510" s="13"/>
      <c r="AA510" s="13"/>
      <c r="AB510" s="13"/>
      <c r="AC510" s="13"/>
    </row>
    <row r="511" spans="1:29" ht="15.75" customHeight="1">
      <c r="A511" s="1933"/>
      <c r="B511" s="2196"/>
      <c r="C511" s="2196"/>
      <c r="D511" s="2197"/>
      <c r="E511" s="2197"/>
      <c r="F511" s="2196"/>
      <c r="G511" s="2196"/>
      <c r="H511" s="2196"/>
      <c r="I511" s="2196"/>
      <c r="J511" s="2196"/>
      <c r="K511" s="2176"/>
      <c r="L511" s="2176"/>
      <c r="M511" s="2176"/>
      <c r="N511" s="2176"/>
      <c r="O511" s="2176"/>
      <c r="P511" s="2176"/>
      <c r="Q511" s="2176"/>
      <c r="R511" s="2176"/>
      <c r="S511" s="2176"/>
      <c r="T511" s="2176"/>
      <c r="U511" s="2176"/>
      <c r="V511" s="2176"/>
      <c r="W511" s="2176"/>
      <c r="X511" s="2176"/>
      <c r="Y511" s="2176"/>
      <c r="Z511" s="13"/>
      <c r="AA511" s="13"/>
      <c r="AB511" s="13"/>
      <c r="AC511" s="13"/>
    </row>
    <row r="512" spans="1:29" ht="15.75" customHeight="1">
      <c r="A512" s="1933"/>
      <c r="B512" s="2196"/>
      <c r="C512" s="2196"/>
      <c r="D512" s="2197"/>
      <c r="E512" s="2197"/>
      <c r="F512" s="2196"/>
      <c r="G512" s="2196"/>
      <c r="H512" s="2196"/>
      <c r="I512" s="2196"/>
      <c r="J512" s="2196"/>
      <c r="K512" s="2176"/>
      <c r="L512" s="2176"/>
      <c r="M512" s="2176"/>
      <c r="N512" s="2176"/>
      <c r="O512" s="2176"/>
      <c r="P512" s="2176"/>
      <c r="Q512" s="2176"/>
      <c r="R512" s="2176"/>
      <c r="S512" s="2176"/>
      <c r="T512" s="2176"/>
      <c r="U512" s="2176"/>
      <c r="V512" s="2176"/>
      <c r="W512" s="2176"/>
      <c r="X512" s="2176"/>
      <c r="Y512" s="2176"/>
      <c r="Z512" s="13"/>
      <c r="AA512" s="13"/>
      <c r="AB512" s="13"/>
      <c r="AC512" s="13"/>
    </row>
    <row r="513" spans="1:29" ht="15.75" customHeight="1">
      <c r="A513" s="1933"/>
      <c r="B513" s="2196"/>
      <c r="C513" s="2196"/>
      <c r="D513" s="2197"/>
      <c r="E513" s="2197"/>
      <c r="F513" s="2196"/>
      <c r="G513" s="2196"/>
      <c r="H513" s="2196"/>
      <c r="I513" s="2196"/>
      <c r="J513" s="2196"/>
      <c r="K513" s="2176"/>
      <c r="L513" s="2176"/>
      <c r="M513" s="2176"/>
      <c r="N513" s="2176"/>
      <c r="O513" s="2176"/>
      <c r="P513" s="2176"/>
      <c r="Q513" s="2176"/>
      <c r="R513" s="2176"/>
      <c r="S513" s="2176"/>
      <c r="T513" s="2176"/>
      <c r="U513" s="2176"/>
      <c r="V513" s="2176"/>
      <c r="W513" s="2176"/>
      <c r="X513" s="2176"/>
      <c r="Y513" s="2176"/>
      <c r="Z513" s="13"/>
      <c r="AA513" s="13"/>
      <c r="AB513" s="13"/>
      <c r="AC513" s="13"/>
    </row>
    <row r="514" spans="1:29" ht="15.75" customHeight="1">
      <c r="A514" s="1933"/>
      <c r="B514" s="2196"/>
      <c r="C514" s="2196"/>
      <c r="D514" s="2197"/>
      <c r="E514" s="2197"/>
      <c r="F514" s="2196"/>
      <c r="G514" s="2196"/>
      <c r="H514" s="2196"/>
      <c r="I514" s="2196"/>
      <c r="J514" s="2196"/>
      <c r="K514" s="2176"/>
      <c r="L514" s="2176"/>
      <c r="M514" s="2176"/>
      <c r="N514" s="2176"/>
      <c r="O514" s="2176"/>
      <c r="P514" s="2176"/>
      <c r="Q514" s="2176"/>
      <c r="R514" s="2176"/>
      <c r="S514" s="2176"/>
      <c r="T514" s="2176"/>
      <c r="U514" s="2176"/>
      <c r="V514" s="2176"/>
      <c r="W514" s="2176"/>
      <c r="X514" s="2176"/>
      <c r="Y514" s="2176"/>
      <c r="Z514" s="13"/>
      <c r="AA514" s="13"/>
      <c r="AB514" s="13"/>
      <c r="AC514" s="13"/>
    </row>
    <row r="515" spans="1:29" ht="15.75" customHeight="1">
      <c r="A515" s="1933"/>
      <c r="B515" s="2196"/>
      <c r="C515" s="2196"/>
      <c r="D515" s="2197"/>
      <c r="E515" s="2197"/>
      <c r="F515" s="2196"/>
      <c r="G515" s="2196"/>
      <c r="H515" s="2196"/>
      <c r="I515" s="2196"/>
      <c r="J515" s="2196"/>
      <c r="K515" s="2176"/>
      <c r="L515" s="2176"/>
      <c r="M515" s="2176"/>
      <c r="N515" s="2176"/>
      <c r="O515" s="2176"/>
      <c r="P515" s="2176"/>
      <c r="Q515" s="2176"/>
      <c r="R515" s="2176"/>
      <c r="S515" s="2176"/>
      <c r="T515" s="2176"/>
      <c r="U515" s="2176"/>
      <c r="V515" s="2176"/>
      <c r="W515" s="2176"/>
      <c r="X515" s="2176"/>
      <c r="Y515" s="2176"/>
      <c r="Z515" s="13"/>
      <c r="AA515" s="13"/>
      <c r="AB515" s="13"/>
      <c r="AC515" s="13"/>
    </row>
    <row r="516" spans="1:29" ht="15.75" customHeight="1">
      <c r="A516" s="1933"/>
      <c r="B516" s="2196"/>
      <c r="C516" s="2196"/>
      <c r="D516" s="2197"/>
      <c r="E516" s="2197"/>
      <c r="F516" s="2196"/>
      <c r="G516" s="2196"/>
      <c r="H516" s="2196"/>
      <c r="I516" s="2196"/>
      <c r="J516" s="2196"/>
      <c r="K516" s="2176"/>
      <c r="L516" s="2176"/>
      <c r="M516" s="2176"/>
      <c r="N516" s="2176"/>
      <c r="O516" s="2176"/>
      <c r="P516" s="2176"/>
      <c r="Q516" s="2176"/>
      <c r="R516" s="2176"/>
      <c r="S516" s="2176"/>
      <c r="T516" s="2176"/>
      <c r="U516" s="2176"/>
      <c r="V516" s="2176"/>
      <c r="W516" s="2176"/>
      <c r="X516" s="2176"/>
      <c r="Y516" s="2176"/>
      <c r="Z516" s="13"/>
      <c r="AA516" s="13"/>
      <c r="AB516" s="13"/>
      <c r="AC516" s="13"/>
    </row>
    <row r="517" spans="1:29" ht="15.75" customHeight="1">
      <c r="A517" s="1933"/>
      <c r="B517" s="2196"/>
      <c r="C517" s="2196"/>
      <c r="D517" s="2197"/>
      <c r="E517" s="2197"/>
      <c r="F517" s="2196"/>
      <c r="G517" s="2196"/>
      <c r="H517" s="2196"/>
      <c r="I517" s="2196"/>
      <c r="J517" s="2196"/>
      <c r="K517" s="2176"/>
      <c r="L517" s="2176"/>
      <c r="M517" s="2176"/>
      <c r="N517" s="2176"/>
      <c r="O517" s="2176"/>
      <c r="P517" s="2176"/>
      <c r="Q517" s="2176"/>
      <c r="R517" s="2176"/>
      <c r="S517" s="2176"/>
      <c r="T517" s="2176"/>
      <c r="U517" s="2176"/>
      <c r="V517" s="2176"/>
      <c r="W517" s="2176"/>
      <c r="X517" s="2176"/>
      <c r="Y517" s="2176"/>
      <c r="Z517" s="13"/>
      <c r="AA517" s="13"/>
      <c r="AB517" s="13"/>
      <c r="AC517" s="13"/>
    </row>
    <row r="518" spans="1:29" ht="15.75" customHeight="1">
      <c r="A518" s="1933"/>
      <c r="B518" s="2196"/>
      <c r="C518" s="2196"/>
      <c r="D518" s="2197"/>
      <c r="E518" s="2197"/>
      <c r="F518" s="2196"/>
      <c r="G518" s="2196"/>
      <c r="H518" s="2196"/>
      <c r="I518" s="2196"/>
      <c r="J518" s="2196"/>
      <c r="K518" s="2176"/>
      <c r="L518" s="2176"/>
      <c r="M518" s="2176"/>
      <c r="N518" s="2176"/>
      <c r="O518" s="2176"/>
      <c r="P518" s="2176"/>
      <c r="Q518" s="2176"/>
      <c r="R518" s="2176"/>
      <c r="S518" s="2176"/>
      <c r="T518" s="2176"/>
      <c r="U518" s="2176"/>
      <c r="V518" s="2176"/>
      <c r="W518" s="2176"/>
      <c r="X518" s="2176"/>
      <c r="Y518" s="2176"/>
      <c r="Z518" s="13"/>
      <c r="AA518" s="13"/>
      <c r="AB518" s="13"/>
      <c r="AC518" s="13"/>
    </row>
    <row r="519" spans="1:29" ht="15.75" customHeight="1">
      <c r="A519" s="1933"/>
      <c r="B519" s="2196"/>
      <c r="C519" s="2196"/>
      <c r="D519" s="2197"/>
      <c r="E519" s="2197"/>
      <c r="F519" s="2196"/>
      <c r="G519" s="2196"/>
      <c r="H519" s="2196"/>
      <c r="I519" s="2196"/>
      <c r="J519" s="2196"/>
      <c r="K519" s="2176"/>
      <c r="L519" s="2176"/>
      <c r="M519" s="2176"/>
      <c r="N519" s="2176"/>
      <c r="O519" s="2176"/>
      <c r="P519" s="2176"/>
      <c r="Q519" s="2176"/>
      <c r="R519" s="2176"/>
      <c r="S519" s="2176"/>
      <c r="T519" s="2176"/>
      <c r="U519" s="2176"/>
      <c r="V519" s="2176"/>
      <c r="W519" s="2176"/>
      <c r="X519" s="2176"/>
      <c r="Y519" s="2176"/>
      <c r="Z519" s="13"/>
      <c r="AA519" s="13"/>
      <c r="AB519" s="13"/>
      <c r="AC519" s="13"/>
    </row>
    <row r="520" spans="1:29" ht="15.75" customHeight="1">
      <c r="A520" s="1933"/>
      <c r="B520" s="2196"/>
      <c r="C520" s="2196"/>
      <c r="D520" s="2197"/>
      <c r="E520" s="2197"/>
      <c r="F520" s="2196"/>
      <c r="G520" s="2196"/>
      <c r="H520" s="2196"/>
      <c r="I520" s="2196"/>
      <c r="J520" s="2196"/>
      <c r="K520" s="2176"/>
      <c r="L520" s="2176"/>
      <c r="M520" s="2176"/>
      <c r="N520" s="2176"/>
      <c r="O520" s="2176"/>
      <c r="P520" s="2176"/>
      <c r="Q520" s="2176"/>
      <c r="R520" s="2176"/>
      <c r="S520" s="2176"/>
      <c r="T520" s="2176"/>
      <c r="U520" s="2176"/>
      <c r="V520" s="2176"/>
      <c r="W520" s="2176"/>
      <c r="X520" s="2176"/>
      <c r="Y520" s="2176"/>
      <c r="Z520" s="13"/>
      <c r="AA520" s="13"/>
      <c r="AB520" s="13"/>
      <c r="AC520" s="13"/>
    </row>
    <row r="521" spans="1:29" ht="15.75" customHeight="1">
      <c r="A521" s="1933"/>
      <c r="B521" s="2196"/>
      <c r="C521" s="2196"/>
      <c r="D521" s="2197"/>
      <c r="E521" s="2197"/>
      <c r="F521" s="2196"/>
      <c r="G521" s="2196"/>
      <c r="H521" s="2196"/>
      <c r="I521" s="2196"/>
      <c r="J521" s="2196"/>
      <c r="K521" s="2176"/>
      <c r="L521" s="2176"/>
      <c r="M521" s="2176"/>
      <c r="N521" s="2176"/>
      <c r="O521" s="2176"/>
      <c r="P521" s="2176"/>
      <c r="Q521" s="2176"/>
      <c r="R521" s="2176"/>
      <c r="S521" s="2176"/>
      <c r="T521" s="2176"/>
      <c r="U521" s="2176"/>
      <c r="V521" s="2176"/>
      <c r="W521" s="2176"/>
      <c r="X521" s="2176"/>
      <c r="Y521" s="2176"/>
      <c r="Z521" s="13"/>
      <c r="AA521" s="13"/>
      <c r="AB521" s="13"/>
      <c r="AC521" s="13"/>
    </row>
    <row r="522" spans="1:29" ht="15.75" customHeight="1">
      <c r="A522" s="1933"/>
      <c r="B522" s="2196"/>
      <c r="C522" s="2196"/>
      <c r="D522" s="2197"/>
      <c r="E522" s="2197"/>
      <c r="F522" s="2196"/>
      <c r="G522" s="2196"/>
      <c r="H522" s="2196"/>
      <c r="I522" s="2196"/>
      <c r="J522" s="2196"/>
      <c r="K522" s="2176"/>
      <c r="L522" s="2176"/>
      <c r="M522" s="2176"/>
      <c r="N522" s="2176"/>
      <c r="O522" s="2176"/>
      <c r="P522" s="2176"/>
      <c r="Q522" s="2176"/>
      <c r="R522" s="2176"/>
      <c r="S522" s="2176"/>
      <c r="T522" s="2176"/>
      <c r="U522" s="2176"/>
      <c r="V522" s="2176"/>
      <c r="W522" s="2176"/>
      <c r="X522" s="2176"/>
      <c r="Y522" s="2176"/>
      <c r="Z522" s="13"/>
      <c r="AA522" s="13"/>
      <c r="AB522" s="13"/>
      <c r="AC522" s="13"/>
    </row>
    <row r="523" spans="1:29" ht="15.75" customHeight="1">
      <c r="A523" s="1933"/>
      <c r="B523" s="2196"/>
      <c r="C523" s="2196"/>
      <c r="D523" s="2197"/>
      <c r="E523" s="2197"/>
      <c r="F523" s="2196"/>
      <c r="G523" s="2196"/>
      <c r="H523" s="2196"/>
      <c r="I523" s="2196"/>
      <c r="J523" s="2196"/>
      <c r="K523" s="2176"/>
      <c r="L523" s="2176"/>
      <c r="M523" s="2176"/>
      <c r="N523" s="2176"/>
      <c r="O523" s="2176"/>
      <c r="P523" s="2176"/>
      <c r="Q523" s="2176"/>
      <c r="R523" s="2176"/>
      <c r="S523" s="2176"/>
      <c r="T523" s="2176"/>
      <c r="U523" s="2176"/>
      <c r="V523" s="2176"/>
      <c r="W523" s="2176"/>
      <c r="X523" s="2176"/>
      <c r="Y523" s="2176"/>
      <c r="Z523" s="13"/>
      <c r="AA523" s="13"/>
      <c r="AB523" s="13"/>
      <c r="AC523" s="13"/>
    </row>
    <row r="524" spans="1:29" ht="15.75" customHeight="1">
      <c r="A524" s="1933"/>
      <c r="B524" s="2196"/>
      <c r="C524" s="2196"/>
      <c r="D524" s="2197"/>
      <c r="E524" s="2197"/>
      <c r="F524" s="2196"/>
      <c r="G524" s="2196"/>
      <c r="H524" s="2196"/>
      <c r="I524" s="2196"/>
      <c r="J524" s="2196"/>
      <c r="K524" s="2176"/>
      <c r="L524" s="2176"/>
      <c r="M524" s="2176"/>
      <c r="N524" s="2176"/>
      <c r="O524" s="2176"/>
      <c r="P524" s="2176"/>
      <c r="Q524" s="2176"/>
      <c r="R524" s="2176"/>
      <c r="S524" s="2176"/>
      <c r="T524" s="2176"/>
      <c r="U524" s="2176"/>
      <c r="V524" s="2176"/>
      <c r="W524" s="2176"/>
      <c r="X524" s="2176"/>
      <c r="Y524" s="2176"/>
      <c r="Z524" s="13"/>
      <c r="AA524" s="13"/>
      <c r="AB524" s="13"/>
      <c r="AC524" s="13"/>
    </row>
    <row r="525" spans="1:29" ht="15.75" customHeight="1">
      <c r="A525" s="1933"/>
      <c r="B525" s="2196"/>
      <c r="C525" s="2196"/>
      <c r="D525" s="2197"/>
      <c r="E525" s="2197"/>
      <c r="F525" s="2196"/>
      <c r="G525" s="2196"/>
      <c r="H525" s="2196"/>
      <c r="I525" s="2196"/>
      <c r="J525" s="2196"/>
      <c r="K525" s="2176"/>
      <c r="L525" s="2176"/>
      <c r="M525" s="2176"/>
      <c r="N525" s="2176"/>
      <c r="O525" s="2176"/>
      <c r="P525" s="2176"/>
      <c r="Q525" s="2176"/>
      <c r="R525" s="2176"/>
      <c r="S525" s="2176"/>
      <c r="T525" s="2176"/>
      <c r="U525" s="2176"/>
      <c r="V525" s="2176"/>
      <c r="W525" s="2176"/>
      <c r="X525" s="2176"/>
      <c r="Y525" s="2176"/>
      <c r="Z525" s="13"/>
      <c r="AA525" s="13"/>
      <c r="AB525" s="13"/>
      <c r="AC525" s="13"/>
    </row>
    <row r="526" spans="1:29" ht="15.75" customHeight="1">
      <c r="A526" s="1933"/>
      <c r="B526" s="2196"/>
      <c r="C526" s="2196"/>
      <c r="D526" s="2197"/>
      <c r="E526" s="2197"/>
      <c r="F526" s="2196"/>
      <c r="G526" s="2196"/>
      <c r="H526" s="2196"/>
      <c r="I526" s="2196"/>
      <c r="J526" s="2196"/>
      <c r="K526" s="2176"/>
      <c r="L526" s="2176"/>
      <c r="M526" s="2176"/>
      <c r="N526" s="2176"/>
      <c r="O526" s="2176"/>
      <c r="P526" s="2176"/>
      <c r="Q526" s="2176"/>
      <c r="R526" s="2176"/>
      <c r="S526" s="2176"/>
      <c r="T526" s="2176"/>
      <c r="U526" s="2176"/>
      <c r="V526" s="2176"/>
      <c r="W526" s="2176"/>
      <c r="X526" s="2176"/>
      <c r="Y526" s="2176"/>
      <c r="Z526" s="13"/>
      <c r="AA526" s="13"/>
      <c r="AB526" s="13"/>
      <c r="AC526" s="13"/>
    </row>
    <row r="527" spans="1:29" ht="15.75" customHeight="1">
      <c r="A527" s="1933"/>
      <c r="B527" s="2196"/>
      <c r="C527" s="2196"/>
      <c r="D527" s="2197"/>
      <c r="E527" s="2197"/>
      <c r="F527" s="2196"/>
      <c r="G527" s="2196"/>
      <c r="H527" s="2196"/>
      <c r="I527" s="2196"/>
      <c r="J527" s="2196"/>
      <c r="K527" s="2176"/>
      <c r="L527" s="2176"/>
      <c r="M527" s="2176"/>
      <c r="N527" s="2176"/>
      <c r="O527" s="2176"/>
      <c r="P527" s="2176"/>
      <c r="Q527" s="2176"/>
      <c r="R527" s="2176"/>
      <c r="S527" s="2176"/>
      <c r="T527" s="2176"/>
      <c r="U527" s="2176"/>
      <c r="V527" s="2176"/>
      <c r="W527" s="2176"/>
      <c r="X527" s="2176"/>
      <c r="Y527" s="2176"/>
      <c r="Z527" s="13"/>
      <c r="AA527" s="13"/>
      <c r="AB527" s="13"/>
      <c r="AC527" s="13"/>
    </row>
    <row r="528" spans="1:29" ht="15.75" customHeight="1">
      <c r="A528" s="1933"/>
      <c r="B528" s="2196"/>
      <c r="C528" s="2196"/>
      <c r="D528" s="2197"/>
      <c r="E528" s="2197"/>
      <c r="F528" s="2196"/>
      <c r="G528" s="2196"/>
      <c r="H528" s="2196"/>
      <c r="I528" s="2196"/>
      <c r="J528" s="2196"/>
      <c r="K528" s="2176"/>
      <c r="L528" s="2176"/>
      <c r="M528" s="2176"/>
      <c r="N528" s="2176"/>
      <c r="O528" s="2176"/>
      <c r="P528" s="2176"/>
      <c r="Q528" s="2176"/>
      <c r="R528" s="2176"/>
      <c r="S528" s="2176"/>
      <c r="T528" s="2176"/>
      <c r="U528" s="2176"/>
      <c r="V528" s="2176"/>
      <c r="W528" s="2176"/>
      <c r="X528" s="2176"/>
      <c r="Y528" s="2176"/>
      <c r="Z528" s="13"/>
      <c r="AA528" s="13"/>
      <c r="AB528" s="13"/>
      <c r="AC528" s="13"/>
    </row>
    <row r="529" spans="1:29" ht="15.75" customHeight="1">
      <c r="A529" s="1933"/>
      <c r="B529" s="2196"/>
      <c r="C529" s="2196"/>
      <c r="D529" s="2197"/>
      <c r="E529" s="2197"/>
      <c r="F529" s="2196"/>
      <c r="G529" s="2196"/>
      <c r="H529" s="2196"/>
      <c r="I529" s="2196"/>
      <c r="J529" s="2196"/>
      <c r="K529" s="2176"/>
      <c r="L529" s="2176"/>
      <c r="M529" s="2176"/>
      <c r="N529" s="2176"/>
      <c r="O529" s="2176"/>
      <c r="P529" s="2176"/>
      <c r="Q529" s="2176"/>
      <c r="R529" s="2176"/>
      <c r="S529" s="2176"/>
      <c r="T529" s="2176"/>
      <c r="U529" s="2176"/>
      <c r="V529" s="2176"/>
      <c r="W529" s="2176"/>
      <c r="X529" s="2176"/>
      <c r="Y529" s="2176"/>
      <c r="Z529" s="13"/>
      <c r="AA529" s="13"/>
      <c r="AB529" s="13"/>
      <c r="AC529" s="13"/>
    </row>
    <row r="530" spans="1:29" ht="15.75" customHeight="1">
      <c r="A530" s="1933"/>
      <c r="B530" s="2196"/>
      <c r="C530" s="2196"/>
      <c r="D530" s="2197"/>
      <c r="E530" s="2197"/>
      <c r="F530" s="2196"/>
      <c r="G530" s="2196"/>
      <c r="H530" s="2196"/>
      <c r="I530" s="2196"/>
      <c r="J530" s="2196"/>
      <c r="K530" s="2176"/>
      <c r="L530" s="2176"/>
      <c r="M530" s="2176"/>
      <c r="N530" s="2176"/>
      <c r="O530" s="2176"/>
      <c r="P530" s="2176"/>
      <c r="Q530" s="2176"/>
      <c r="R530" s="2176"/>
      <c r="S530" s="2176"/>
      <c r="T530" s="2176"/>
      <c r="U530" s="2176"/>
      <c r="V530" s="2176"/>
      <c r="W530" s="2176"/>
      <c r="X530" s="2176"/>
      <c r="Y530" s="2176"/>
      <c r="Z530" s="13"/>
      <c r="AA530" s="13"/>
      <c r="AB530" s="13"/>
      <c r="AC530" s="13"/>
    </row>
    <row r="531" spans="1:29" ht="15.75" customHeight="1">
      <c r="A531" s="1933"/>
      <c r="B531" s="2196"/>
      <c r="C531" s="2196"/>
      <c r="D531" s="2197"/>
      <c r="E531" s="2197"/>
      <c r="F531" s="2196"/>
      <c r="G531" s="2196"/>
      <c r="H531" s="2196"/>
      <c r="I531" s="2196"/>
      <c r="J531" s="2196"/>
      <c r="K531" s="2176"/>
      <c r="L531" s="2176"/>
      <c r="M531" s="2176"/>
      <c r="N531" s="2176"/>
      <c r="O531" s="2176"/>
      <c r="P531" s="2176"/>
      <c r="Q531" s="2176"/>
      <c r="R531" s="2176"/>
      <c r="S531" s="2176"/>
      <c r="T531" s="2176"/>
      <c r="U531" s="2176"/>
      <c r="V531" s="2176"/>
      <c r="W531" s="2176"/>
      <c r="X531" s="2176"/>
      <c r="Y531" s="2176"/>
      <c r="Z531" s="13"/>
      <c r="AA531" s="13"/>
      <c r="AB531" s="13"/>
      <c r="AC531" s="13"/>
    </row>
    <row r="532" spans="1:29" ht="15.75" customHeight="1">
      <c r="A532" s="1933"/>
      <c r="B532" s="2196"/>
      <c r="C532" s="2196"/>
      <c r="D532" s="2197"/>
      <c r="E532" s="2197"/>
      <c r="F532" s="2196"/>
      <c r="G532" s="2196"/>
      <c r="H532" s="2196"/>
      <c r="I532" s="2196"/>
      <c r="J532" s="2196"/>
      <c r="K532" s="2176"/>
      <c r="L532" s="2176"/>
      <c r="M532" s="2176"/>
      <c r="N532" s="2176"/>
      <c r="O532" s="2176"/>
      <c r="P532" s="2176"/>
      <c r="Q532" s="2176"/>
      <c r="R532" s="2176"/>
      <c r="S532" s="2176"/>
      <c r="T532" s="2176"/>
      <c r="U532" s="2176"/>
      <c r="V532" s="2176"/>
      <c r="W532" s="2176"/>
      <c r="X532" s="2176"/>
      <c r="Y532" s="2176"/>
      <c r="Z532" s="13"/>
      <c r="AA532" s="13"/>
      <c r="AB532" s="13"/>
      <c r="AC532" s="13"/>
    </row>
    <row r="533" spans="1:29" ht="15.75" customHeight="1">
      <c r="A533" s="1933"/>
      <c r="B533" s="2196"/>
      <c r="C533" s="2196"/>
      <c r="D533" s="2197"/>
      <c r="E533" s="2197"/>
      <c r="F533" s="2196"/>
      <c r="G533" s="2196"/>
      <c r="H533" s="2196"/>
      <c r="I533" s="2196"/>
      <c r="J533" s="2196"/>
      <c r="K533" s="2176"/>
      <c r="L533" s="2176"/>
      <c r="M533" s="2176"/>
      <c r="N533" s="2176"/>
      <c r="O533" s="2176"/>
      <c r="P533" s="2176"/>
      <c r="Q533" s="2176"/>
      <c r="R533" s="2176"/>
      <c r="S533" s="2176"/>
      <c r="T533" s="2176"/>
      <c r="U533" s="2176"/>
      <c r="V533" s="2176"/>
      <c r="W533" s="2176"/>
      <c r="X533" s="2176"/>
      <c r="Y533" s="2176"/>
      <c r="Z533" s="13"/>
      <c r="AA533" s="13"/>
      <c r="AB533" s="13"/>
      <c r="AC533" s="13"/>
    </row>
    <row r="534" spans="1:29" ht="15.75" customHeight="1">
      <c r="A534" s="1933"/>
      <c r="B534" s="2196"/>
      <c r="C534" s="2196"/>
      <c r="D534" s="2197"/>
      <c r="E534" s="2197"/>
      <c r="F534" s="2196"/>
      <c r="G534" s="2196"/>
      <c r="H534" s="2196"/>
      <c r="I534" s="2196"/>
      <c r="J534" s="2196"/>
      <c r="K534" s="2176"/>
      <c r="L534" s="2176"/>
      <c r="M534" s="2176"/>
      <c r="N534" s="2176"/>
      <c r="O534" s="2176"/>
      <c r="P534" s="2176"/>
      <c r="Q534" s="2176"/>
      <c r="R534" s="2176"/>
      <c r="S534" s="2176"/>
      <c r="T534" s="2176"/>
      <c r="U534" s="2176"/>
      <c r="V534" s="2176"/>
      <c r="W534" s="2176"/>
      <c r="X534" s="2176"/>
      <c r="Y534" s="2176"/>
      <c r="Z534" s="13"/>
      <c r="AA534" s="13"/>
      <c r="AB534" s="13"/>
      <c r="AC534" s="13"/>
    </row>
    <row r="535" spans="1:29" ht="15.75" customHeight="1">
      <c r="A535" s="1933"/>
      <c r="B535" s="2196"/>
      <c r="C535" s="2196"/>
      <c r="D535" s="2197"/>
      <c r="E535" s="2197"/>
      <c r="F535" s="2196"/>
      <c r="G535" s="2196"/>
      <c r="H535" s="2196"/>
      <c r="I535" s="2196"/>
      <c r="J535" s="2196"/>
      <c r="K535" s="2176"/>
      <c r="L535" s="2176"/>
      <c r="M535" s="2176"/>
      <c r="N535" s="2176"/>
      <c r="O535" s="2176"/>
      <c r="P535" s="2176"/>
      <c r="Q535" s="2176"/>
      <c r="R535" s="2176"/>
      <c r="S535" s="2176"/>
      <c r="T535" s="2176"/>
      <c r="U535" s="2176"/>
      <c r="V535" s="2176"/>
      <c r="W535" s="2176"/>
      <c r="X535" s="2176"/>
      <c r="Y535" s="2176"/>
      <c r="Z535" s="13"/>
      <c r="AA535" s="13"/>
      <c r="AB535" s="13"/>
      <c r="AC535" s="13"/>
    </row>
    <row r="536" spans="1:29" ht="15.75" customHeight="1">
      <c r="A536" s="1933"/>
      <c r="B536" s="2196"/>
      <c r="C536" s="2196"/>
      <c r="D536" s="2197"/>
      <c r="E536" s="2197"/>
      <c r="F536" s="2196"/>
      <c r="G536" s="2196"/>
      <c r="H536" s="2196"/>
      <c r="I536" s="2196"/>
      <c r="J536" s="2196"/>
      <c r="K536" s="2176"/>
      <c r="L536" s="2176"/>
      <c r="M536" s="2176"/>
      <c r="N536" s="2176"/>
      <c r="O536" s="2176"/>
      <c r="P536" s="2176"/>
      <c r="Q536" s="2176"/>
      <c r="R536" s="2176"/>
      <c r="S536" s="2176"/>
      <c r="T536" s="2176"/>
      <c r="U536" s="2176"/>
      <c r="V536" s="2176"/>
      <c r="W536" s="2176"/>
      <c r="X536" s="2176"/>
      <c r="Y536" s="2176"/>
      <c r="Z536" s="13"/>
      <c r="AA536" s="13"/>
      <c r="AB536" s="13"/>
      <c r="AC536" s="13"/>
    </row>
    <row r="537" spans="1:29" ht="15.75" customHeight="1">
      <c r="A537" s="1933"/>
      <c r="B537" s="2196"/>
      <c r="C537" s="2196"/>
      <c r="D537" s="2197"/>
      <c r="E537" s="2197"/>
      <c r="F537" s="2196"/>
      <c r="G537" s="2196"/>
      <c r="H537" s="2196"/>
      <c r="I537" s="2196"/>
      <c r="J537" s="2196"/>
      <c r="K537" s="2176"/>
      <c r="L537" s="2176"/>
      <c r="M537" s="2176"/>
      <c r="N537" s="2176"/>
      <c r="O537" s="2176"/>
      <c r="P537" s="2176"/>
      <c r="Q537" s="2176"/>
      <c r="R537" s="2176"/>
      <c r="S537" s="2176"/>
      <c r="T537" s="2176"/>
      <c r="U537" s="2176"/>
      <c r="V537" s="2176"/>
      <c r="W537" s="2176"/>
      <c r="X537" s="2176"/>
      <c r="Y537" s="2176"/>
      <c r="Z537" s="13"/>
      <c r="AA537" s="13"/>
      <c r="AB537" s="13"/>
      <c r="AC537" s="13"/>
    </row>
    <row r="538" spans="1:29" ht="15.75" customHeight="1">
      <c r="A538" s="1933"/>
      <c r="B538" s="2196"/>
      <c r="C538" s="2196"/>
      <c r="D538" s="2197"/>
      <c r="E538" s="2197"/>
      <c r="F538" s="2196"/>
      <c r="G538" s="2196"/>
      <c r="H538" s="2196"/>
      <c r="I538" s="2196"/>
      <c r="J538" s="2196"/>
      <c r="K538" s="2176"/>
      <c r="L538" s="2176"/>
      <c r="M538" s="2176"/>
      <c r="N538" s="2176"/>
      <c r="O538" s="2176"/>
      <c r="P538" s="2176"/>
      <c r="Q538" s="2176"/>
      <c r="R538" s="2176"/>
      <c r="S538" s="2176"/>
      <c r="T538" s="2176"/>
      <c r="U538" s="2176"/>
      <c r="V538" s="2176"/>
      <c r="W538" s="2176"/>
      <c r="X538" s="2176"/>
      <c r="Y538" s="2176"/>
      <c r="Z538" s="13"/>
      <c r="AA538" s="13"/>
      <c r="AB538" s="13"/>
      <c r="AC538" s="13"/>
    </row>
    <row r="539" spans="1:29" ht="15.75" customHeight="1">
      <c r="A539" s="1933"/>
      <c r="B539" s="2196"/>
      <c r="C539" s="2196"/>
      <c r="D539" s="2197"/>
      <c r="E539" s="2197"/>
      <c r="F539" s="2196"/>
      <c r="G539" s="2196"/>
      <c r="H539" s="2196"/>
      <c r="I539" s="2196"/>
      <c r="J539" s="2196"/>
      <c r="K539" s="2176"/>
      <c r="L539" s="2176"/>
      <c r="M539" s="2176"/>
      <c r="N539" s="2176"/>
      <c r="O539" s="2176"/>
      <c r="P539" s="2176"/>
      <c r="Q539" s="2176"/>
      <c r="R539" s="2176"/>
      <c r="S539" s="2176"/>
      <c r="T539" s="2176"/>
      <c r="U539" s="2176"/>
      <c r="V539" s="2176"/>
      <c r="W539" s="2176"/>
      <c r="X539" s="2176"/>
      <c r="Y539" s="2176"/>
      <c r="Z539" s="13"/>
      <c r="AA539" s="13"/>
      <c r="AB539" s="13"/>
      <c r="AC539" s="13"/>
    </row>
    <row r="540" spans="1:29" ht="15.75" customHeight="1">
      <c r="A540" s="1933"/>
      <c r="B540" s="2196"/>
      <c r="C540" s="2196"/>
      <c r="D540" s="2197"/>
      <c r="E540" s="2197"/>
      <c r="F540" s="2196"/>
      <c r="G540" s="2196"/>
      <c r="H540" s="2196"/>
      <c r="I540" s="2196"/>
      <c r="J540" s="2196"/>
      <c r="K540" s="2176"/>
      <c r="L540" s="2176"/>
      <c r="M540" s="2176"/>
      <c r="N540" s="2176"/>
      <c r="O540" s="2176"/>
      <c r="P540" s="2176"/>
      <c r="Q540" s="2176"/>
      <c r="R540" s="2176"/>
      <c r="S540" s="2176"/>
      <c r="T540" s="2176"/>
      <c r="U540" s="2176"/>
      <c r="V540" s="2176"/>
      <c r="W540" s="2176"/>
      <c r="X540" s="2176"/>
      <c r="Y540" s="2176"/>
      <c r="Z540" s="13"/>
      <c r="AA540" s="13"/>
      <c r="AB540" s="13"/>
      <c r="AC540" s="13"/>
    </row>
    <row r="541" spans="1:29" ht="15.75" customHeight="1">
      <c r="A541" s="1933"/>
      <c r="B541" s="2196"/>
      <c r="C541" s="2196"/>
      <c r="D541" s="2197"/>
      <c r="E541" s="2197"/>
      <c r="F541" s="2196"/>
      <c r="G541" s="2196"/>
      <c r="H541" s="2196"/>
      <c r="I541" s="2196"/>
      <c r="J541" s="2196"/>
      <c r="K541" s="2176"/>
      <c r="L541" s="2176"/>
      <c r="M541" s="2176"/>
      <c r="N541" s="2176"/>
      <c r="O541" s="2176"/>
      <c r="P541" s="2176"/>
      <c r="Q541" s="2176"/>
      <c r="R541" s="2176"/>
      <c r="S541" s="2176"/>
      <c r="T541" s="2176"/>
      <c r="U541" s="2176"/>
      <c r="V541" s="2176"/>
      <c r="W541" s="2176"/>
      <c r="X541" s="2176"/>
      <c r="Y541" s="2176"/>
      <c r="Z541" s="13"/>
      <c r="AA541" s="13"/>
      <c r="AB541" s="13"/>
      <c r="AC541" s="13"/>
    </row>
    <row r="542" spans="1:29" ht="15.75" customHeight="1">
      <c r="A542" s="1933"/>
      <c r="B542" s="2196"/>
      <c r="C542" s="2196"/>
      <c r="D542" s="2197"/>
      <c r="E542" s="2197"/>
      <c r="F542" s="2196"/>
      <c r="G542" s="2196"/>
      <c r="H542" s="2196"/>
      <c r="I542" s="2196"/>
      <c r="J542" s="2196"/>
      <c r="K542" s="2176"/>
      <c r="L542" s="2176"/>
      <c r="M542" s="2176"/>
      <c r="N542" s="2176"/>
      <c r="O542" s="2176"/>
      <c r="P542" s="2176"/>
      <c r="Q542" s="2176"/>
      <c r="R542" s="2176"/>
      <c r="S542" s="2176"/>
      <c r="T542" s="2176"/>
      <c r="U542" s="2176"/>
      <c r="V542" s="2176"/>
      <c r="W542" s="2176"/>
      <c r="X542" s="2176"/>
      <c r="Y542" s="2176"/>
      <c r="Z542" s="13"/>
      <c r="AA542" s="13"/>
      <c r="AB542" s="13"/>
      <c r="AC542" s="13"/>
    </row>
    <row r="543" spans="1:29" ht="15.75" customHeight="1">
      <c r="A543" s="1933"/>
      <c r="B543" s="2196"/>
      <c r="C543" s="2196"/>
      <c r="D543" s="2197"/>
      <c r="E543" s="2197"/>
      <c r="F543" s="2196"/>
      <c r="G543" s="2196"/>
      <c r="H543" s="2196"/>
      <c r="I543" s="2196"/>
      <c r="J543" s="2196"/>
      <c r="K543" s="2176"/>
      <c r="L543" s="2176"/>
      <c r="M543" s="2176"/>
      <c r="N543" s="2176"/>
      <c r="O543" s="2176"/>
      <c r="P543" s="2176"/>
      <c r="Q543" s="2176"/>
      <c r="R543" s="2176"/>
      <c r="S543" s="2176"/>
      <c r="T543" s="2176"/>
      <c r="U543" s="2176"/>
      <c r="V543" s="2176"/>
      <c r="W543" s="2176"/>
      <c r="X543" s="2176"/>
      <c r="Y543" s="2176"/>
      <c r="Z543" s="13"/>
      <c r="AA543" s="13"/>
      <c r="AB543" s="13"/>
      <c r="AC543" s="13"/>
    </row>
    <row r="544" spans="1:29" ht="15.75" customHeight="1">
      <c r="A544" s="1933"/>
      <c r="B544" s="2196"/>
      <c r="C544" s="2196"/>
      <c r="D544" s="2197"/>
      <c r="E544" s="2197"/>
      <c r="F544" s="2196"/>
      <c r="G544" s="2196"/>
      <c r="H544" s="2196"/>
      <c r="I544" s="2196"/>
      <c r="J544" s="2196"/>
      <c r="K544" s="2176"/>
      <c r="L544" s="2176"/>
      <c r="M544" s="2176"/>
      <c r="N544" s="2176"/>
      <c r="O544" s="2176"/>
      <c r="P544" s="2176"/>
      <c r="Q544" s="2176"/>
      <c r="R544" s="2176"/>
      <c r="S544" s="2176"/>
      <c r="T544" s="2176"/>
      <c r="U544" s="2176"/>
      <c r="V544" s="2176"/>
      <c r="W544" s="2176"/>
      <c r="X544" s="2176"/>
      <c r="Y544" s="2176"/>
      <c r="Z544" s="13"/>
      <c r="AA544" s="13"/>
      <c r="AB544" s="13"/>
      <c r="AC544" s="13"/>
    </row>
    <row r="545" spans="1:29" ht="15.75" customHeight="1">
      <c r="A545" s="1933"/>
      <c r="B545" s="2196"/>
      <c r="C545" s="2196"/>
      <c r="D545" s="2197"/>
      <c r="E545" s="2197"/>
      <c r="F545" s="2196"/>
      <c r="G545" s="2196"/>
      <c r="H545" s="2196"/>
      <c r="I545" s="2196"/>
      <c r="J545" s="2196"/>
      <c r="K545" s="2176"/>
      <c r="L545" s="2176"/>
      <c r="M545" s="2176"/>
      <c r="N545" s="2176"/>
      <c r="O545" s="2176"/>
      <c r="P545" s="2176"/>
      <c r="Q545" s="2176"/>
      <c r="R545" s="2176"/>
      <c r="S545" s="2176"/>
      <c r="T545" s="2176"/>
      <c r="U545" s="2176"/>
      <c r="V545" s="2176"/>
      <c r="W545" s="2176"/>
      <c r="X545" s="2176"/>
      <c r="Y545" s="2176"/>
      <c r="Z545" s="13"/>
      <c r="AA545" s="13"/>
      <c r="AB545" s="13"/>
      <c r="AC545" s="13"/>
    </row>
    <row r="546" spans="1:29" ht="15.75" customHeight="1">
      <c r="A546" s="1933"/>
      <c r="B546" s="2196"/>
      <c r="C546" s="2196"/>
      <c r="D546" s="2197"/>
      <c r="E546" s="2197"/>
      <c r="F546" s="2196"/>
      <c r="G546" s="2196"/>
      <c r="H546" s="2196"/>
      <c r="I546" s="2196"/>
      <c r="J546" s="2196"/>
      <c r="K546" s="2176"/>
      <c r="L546" s="2176"/>
      <c r="M546" s="2176"/>
      <c r="N546" s="2176"/>
      <c r="O546" s="2176"/>
      <c r="P546" s="2176"/>
      <c r="Q546" s="2176"/>
      <c r="R546" s="2176"/>
      <c r="S546" s="2176"/>
      <c r="T546" s="2176"/>
      <c r="U546" s="2176"/>
      <c r="V546" s="2176"/>
      <c r="W546" s="2176"/>
      <c r="X546" s="2176"/>
      <c r="Y546" s="2176"/>
      <c r="Z546" s="13"/>
      <c r="AA546" s="13"/>
      <c r="AB546" s="13"/>
      <c r="AC546" s="13"/>
    </row>
    <row r="547" spans="1:29" ht="15.75" customHeight="1">
      <c r="A547" s="1933"/>
      <c r="B547" s="2196"/>
      <c r="C547" s="2196"/>
      <c r="D547" s="2197"/>
      <c r="E547" s="2197"/>
      <c r="F547" s="2196"/>
      <c r="G547" s="2196"/>
      <c r="H547" s="2196"/>
      <c r="I547" s="2196"/>
      <c r="J547" s="2196"/>
      <c r="K547" s="2176"/>
      <c r="L547" s="2176"/>
      <c r="M547" s="2176"/>
      <c r="N547" s="2176"/>
      <c r="O547" s="2176"/>
      <c r="P547" s="2176"/>
      <c r="Q547" s="2176"/>
      <c r="R547" s="2176"/>
      <c r="S547" s="2176"/>
      <c r="T547" s="2176"/>
      <c r="U547" s="2176"/>
      <c r="V547" s="2176"/>
      <c r="W547" s="2176"/>
      <c r="X547" s="2176"/>
      <c r="Y547" s="2176"/>
      <c r="Z547" s="13"/>
      <c r="AA547" s="13"/>
      <c r="AB547" s="13"/>
      <c r="AC547" s="13"/>
    </row>
    <row r="548" spans="1:29" ht="15.75" customHeight="1">
      <c r="A548" s="1933"/>
      <c r="B548" s="2196"/>
      <c r="C548" s="2196"/>
      <c r="D548" s="2197"/>
      <c r="E548" s="2197"/>
      <c r="F548" s="2196"/>
      <c r="G548" s="2196"/>
      <c r="H548" s="2196"/>
      <c r="I548" s="2196"/>
      <c r="J548" s="2196"/>
      <c r="K548" s="2176"/>
      <c r="L548" s="2176"/>
      <c r="M548" s="2176"/>
      <c r="N548" s="2176"/>
      <c r="O548" s="2176"/>
      <c r="P548" s="2176"/>
      <c r="Q548" s="2176"/>
      <c r="R548" s="2176"/>
      <c r="S548" s="2176"/>
      <c r="T548" s="2176"/>
      <c r="U548" s="2176"/>
      <c r="V548" s="2176"/>
      <c r="W548" s="2176"/>
      <c r="X548" s="2176"/>
      <c r="Y548" s="2176"/>
      <c r="Z548" s="13"/>
      <c r="AA548" s="13"/>
      <c r="AB548" s="13"/>
      <c r="AC548" s="13"/>
    </row>
    <row r="549" spans="1:29" ht="15.75" customHeight="1">
      <c r="A549" s="1933"/>
      <c r="B549" s="2196"/>
      <c r="C549" s="2196"/>
      <c r="D549" s="2197"/>
      <c r="E549" s="2197"/>
      <c r="F549" s="2196"/>
      <c r="G549" s="2196"/>
      <c r="H549" s="2196"/>
      <c r="I549" s="2196"/>
      <c r="J549" s="2196"/>
      <c r="K549" s="2176"/>
      <c r="L549" s="2176"/>
      <c r="M549" s="2176"/>
      <c r="N549" s="2176"/>
      <c r="O549" s="2176"/>
      <c r="P549" s="2176"/>
      <c r="Q549" s="2176"/>
      <c r="R549" s="2176"/>
      <c r="S549" s="2176"/>
      <c r="T549" s="2176"/>
      <c r="U549" s="2176"/>
      <c r="V549" s="2176"/>
      <c r="W549" s="2176"/>
      <c r="X549" s="2176"/>
      <c r="Y549" s="2176"/>
      <c r="Z549" s="13"/>
      <c r="AA549" s="13"/>
      <c r="AB549" s="13"/>
      <c r="AC549" s="13"/>
    </row>
    <row r="550" spans="1:29" ht="15.75" customHeight="1">
      <c r="A550" s="1933"/>
      <c r="B550" s="2196"/>
      <c r="C550" s="2196"/>
      <c r="D550" s="2197"/>
      <c r="E550" s="2197"/>
      <c r="F550" s="2196"/>
      <c r="G550" s="2196"/>
      <c r="H550" s="2196"/>
      <c r="I550" s="2196"/>
      <c r="J550" s="2196"/>
      <c r="K550" s="2176"/>
      <c r="L550" s="2176"/>
      <c r="M550" s="2176"/>
      <c r="N550" s="2176"/>
      <c r="O550" s="2176"/>
      <c r="P550" s="2176"/>
      <c r="Q550" s="2176"/>
      <c r="R550" s="2176"/>
      <c r="S550" s="2176"/>
      <c r="T550" s="2176"/>
      <c r="U550" s="2176"/>
      <c r="V550" s="2176"/>
      <c r="W550" s="2176"/>
      <c r="X550" s="2176"/>
      <c r="Y550" s="2176"/>
      <c r="Z550" s="13"/>
      <c r="AA550" s="13"/>
      <c r="AB550" s="13"/>
      <c r="AC550" s="13"/>
    </row>
    <row r="551" spans="1:29" ht="15.75" customHeight="1">
      <c r="A551" s="1933"/>
      <c r="B551" s="2196"/>
      <c r="C551" s="2196"/>
      <c r="D551" s="2197"/>
      <c r="E551" s="2197"/>
      <c r="F551" s="2196"/>
      <c r="G551" s="2196"/>
      <c r="H551" s="2196"/>
      <c r="I551" s="2196"/>
      <c r="J551" s="2196"/>
      <c r="K551" s="2176"/>
      <c r="L551" s="2176"/>
      <c r="M551" s="2176"/>
      <c r="N551" s="2176"/>
      <c r="O551" s="2176"/>
      <c r="P551" s="2176"/>
      <c r="Q551" s="2176"/>
      <c r="R551" s="2176"/>
      <c r="S551" s="2176"/>
      <c r="T551" s="2176"/>
      <c r="U551" s="2176"/>
      <c r="V551" s="2176"/>
      <c r="W551" s="2176"/>
      <c r="X551" s="2176"/>
      <c r="Y551" s="2176"/>
      <c r="Z551" s="13"/>
      <c r="AA551" s="13"/>
      <c r="AB551" s="13"/>
      <c r="AC551" s="13"/>
    </row>
    <row r="552" spans="1:29" ht="15.75" customHeight="1">
      <c r="A552" s="1933"/>
      <c r="B552" s="2196"/>
      <c r="C552" s="2196"/>
      <c r="D552" s="2197"/>
      <c r="E552" s="2197"/>
      <c r="F552" s="2196"/>
      <c r="G552" s="2196"/>
      <c r="H552" s="2196"/>
      <c r="I552" s="2196"/>
      <c r="J552" s="2196"/>
      <c r="K552" s="2176"/>
      <c r="L552" s="2176"/>
      <c r="M552" s="2176"/>
      <c r="N552" s="2176"/>
      <c r="O552" s="2176"/>
      <c r="P552" s="2176"/>
      <c r="Q552" s="2176"/>
      <c r="R552" s="2176"/>
      <c r="S552" s="2176"/>
      <c r="T552" s="2176"/>
      <c r="U552" s="2176"/>
      <c r="V552" s="2176"/>
      <c r="W552" s="2176"/>
      <c r="X552" s="2176"/>
      <c r="Y552" s="2176"/>
      <c r="Z552" s="13"/>
      <c r="AA552" s="13"/>
      <c r="AB552" s="13"/>
      <c r="AC552" s="13"/>
    </row>
    <row r="553" spans="1:29" ht="15.75" customHeight="1">
      <c r="A553" s="1933"/>
      <c r="B553" s="2196"/>
      <c r="C553" s="2196"/>
      <c r="D553" s="2197"/>
      <c r="E553" s="2197"/>
      <c r="F553" s="2196"/>
      <c r="G553" s="2196"/>
      <c r="H553" s="2196"/>
      <c r="I553" s="2196"/>
      <c r="J553" s="2196"/>
      <c r="K553" s="2176"/>
      <c r="L553" s="2176"/>
      <c r="M553" s="2176"/>
      <c r="N553" s="2176"/>
      <c r="O553" s="2176"/>
      <c r="P553" s="2176"/>
      <c r="Q553" s="2176"/>
      <c r="R553" s="2176"/>
      <c r="S553" s="2176"/>
      <c r="T553" s="2176"/>
      <c r="U553" s="2176"/>
      <c r="V553" s="2176"/>
      <c r="W553" s="2176"/>
      <c r="X553" s="2176"/>
      <c r="Y553" s="2176"/>
      <c r="Z553" s="13"/>
      <c r="AA553" s="13"/>
      <c r="AB553" s="13"/>
      <c r="AC553" s="13"/>
    </row>
    <row r="554" spans="1:29" ht="15.75" customHeight="1">
      <c r="A554" s="1933"/>
      <c r="B554" s="2196"/>
      <c r="C554" s="2196"/>
      <c r="D554" s="2197"/>
      <c r="E554" s="2197"/>
      <c r="F554" s="2196"/>
      <c r="G554" s="2196"/>
      <c r="H554" s="2196"/>
      <c r="I554" s="2196"/>
      <c r="J554" s="2196"/>
      <c r="K554" s="2176"/>
      <c r="L554" s="2176"/>
      <c r="M554" s="2176"/>
      <c r="N554" s="2176"/>
      <c r="O554" s="2176"/>
      <c r="P554" s="2176"/>
      <c r="Q554" s="2176"/>
      <c r="R554" s="2176"/>
      <c r="S554" s="2176"/>
      <c r="T554" s="2176"/>
      <c r="U554" s="2176"/>
      <c r="V554" s="2176"/>
      <c r="W554" s="2176"/>
      <c r="X554" s="2176"/>
      <c r="Y554" s="2176"/>
      <c r="Z554" s="13"/>
      <c r="AA554" s="13"/>
      <c r="AB554" s="13"/>
      <c r="AC554" s="13"/>
    </row>
    <row r="555" spans="1:29" ht="15.75" customHeight="1">
      <c r="A555" s="1933"/>
      <c r="B555" s="2196"/>
      <c r="C555" s="2196"/>
      <c r="D555" s="2197"/>
      <c r="E555" s="2197"/>
      <c r="F555" s="2196"/>
      <c r="G555" s="2196"/>
      <c r="H555" s="2196"/>
      <c r="I555" s="2196"/>
      <c r="J555" s="2196"/>
      <c r="K555" s="2176"/>
      <c r="L555" s="2176"/>
      <c r="M555" s="2176"/>
      <c r="N555" s="2176"/>
      <c r="O555" s="2176"/>
      <c r="P555" s="2176"/>
      <c r="Q555" s="2176"/>
      <c r="R555" s="2176"/>
      <c r="S555" s="2176"/>
      <c r="T555" s="2176"/>
      <c r="U555" s="2176"/>
      <c r="V555" s="2176"/>
      <c r="W555" s="2176"/>
      <c r="X555" s="2176"/>
      <c r="Y555" s="2176"/>
      <c r="Z555" s="13"/>
      <c r="AA555" s="13"/>
      <c r="AB555" s="13"/>
      <c r="AC555" s="13"/>
    </row>
    <row r="556" spans="1:29" ht="15.75" customHeight="1">
      <c r="A556" s="1933"/>
      <c r="B556" s="2196"/>
      <c r="C556" s="2196"/>
      <c r="D556" s="2197"/>
      <c r="E556" s="2197"/>
      <c r="F556" s="2196"/>
      <c r="G556" s="2196"/>
      <c r="H556" s="2196"/>
      <c r="I556" s="2196"/>
      <c r="J556" s="2196"/>
      <c r="K556" s="2176"/>
      <c r="L556" s="2176"/>
      <c r="M556" s="2176"/>
      <c r="N556" s="2176"/>
      <c r="O556" s="2176"/>
      <c r="P556" s="2176"/>
      <c r="Q556" s="2176"/>
      <c r="R556" s="2176"/>
      <c r="S556" s="2176"/>
      <c r="T556" s="2176"/>
      <c r="U556" s="2176"/>
      <c r="V556" s="2176"/>
      <c r="W556" s="2176"/>
      <c r="X556" s="2176"/>
      <c r="Y556" s="2176"/>
      <c r="Z556" s="13"/>
      <c r="AA556" s="13"/>
      <c r="AB556" s="13"/>
      <c r="AC556" s="13"/>
    </row>
    <row r="557" spans="1:29" ht="15.75" customHeight="1">
      <c r="A557" s="1933"/>
      <c r="B557" s="2196"/>
      <c r="C557" s="2196"/>
      <c r="D557" s="2197"/>
      <c r="E557" s="2197"/>
      <c r="F557" s="2196"/>
      <c r="G557" s="2196"/>
      <c r="H557" s="2196"/>
      <c r="I557" s="2196"/>
      <c r="J557" s="2196"/>
      <c r="K557" s="2176"/>
      <c r="L557" s="2176"/>
      <c r="M557" s="2176"/>
      <c r="N557" s="2176"/>
      <c r="O557" s="2176"/>
      <c r="P557" s="2176"/>
      <c r="Q557" s="2176"/>
      <c r="R557" s="2176"/>
      <c r="S557" s="2176"/>
      <c r="T557" s="2176"/>
      <c r="U557" s="2176"/>
      <c r="V557" s="2176"/>
      <c r="W557" s="2176"/>
      <c r="X557" s="2176"/>
      <c r="Y557" s="2176"/>
      <c r="Z557" s="13"/>
      <c r="AA557" s="13"/>
      <c r="AB557" s="13"/>
      <c r="AC557" s="13"/>
    </row>
    <row r="558" spans="1:29" ht="15.75" customHeight="1">
      <c r="A558" s="1933"/>
      <c r="B558" s="2196"/>
      <c r="C558" s="2196"/>
      <c r="D558" s="2197"/>
      <c r="E558" s="2197"/>
      <c r="F558" s="2196"/>
      <c r="G558" s="2196"/>
      <c r="H558" s="2196"/>
      <c r="I558" s="2196"/>
      <c r="J558" s="2196"/>
      <c r="K558" s="2176"/>
      <c r="L558" s="2176"/>
      <c r="M558" s="2176"/>
      <c r="N558" s="2176"/>
      <c r="O558" s="2176"/>
      <c r="P558" s="2176"/>
      <c r="Q558" s="2176"/>
      <c r="R558" s="2176"/>
      <c r="S558" s="2176"/>
      <c r="T558" s="2176"/>
      <c r="U558" s="2176"/>
      <c r="V558" s="2176"/>
      <c r="W558" s="2176"/>
      <c r="X558" s="2176"/>
      <c r="Y558" s="2176"/>
      <c r="Z558" s="13"/>
      <c r="AA558" s="13"/>
      <c r="AB558" s="13"/>
      <c r="AC558" s="13"/>
    </row>
    <row r="559" spans="1:29" ht="15.75" customHeight="1">
      <c r="A559" s="1933"/>
      <c r="B559" s="2196"/>
      <c r="C559" s="2196"/>
      <c r="D559" s="2197"/>
      <c r="E559" s="2197"/>
      <c r="F559" s="2196"/>
      <c r="G559" s="2196"/>
      <c r="H559" s="2196"/>
      <c r="I559" s="2196"/>
      <c r="J559" s="2196"/>
      <c r="K559" s="2176"/>
      <c r="L559" s="2176"/>
      <c r="M559" s="2176"/>
      <c r="N559" s="2176"/>
      <c r="O559" s="2176"/>
      <c r="P559" s="2176"/>
      <c r="Q559" s="2176"/>
      <c r="R559" s="2176"/>
      <c r="S559" s="2176"/>
      <c r="T559" s="2176"/>
      <c r="U559" s="2176"/>
      <c r="V559" s="2176"/>
      <c r="W559" s="2176"/>
      <c r="X559" s="2176"/>
      <c r="Y559" s="2176"/>
      <c r="Z559" s="13"/>
      <c r="AA559" s="13"/>
      <c r="AB559" s="13"/>
      <c r="AC559" s="13"/>
    </row>
    <row r="560" spans="1:29" ht="15.75" customHeight="1">
      <c r="A560" s="1933"/>
      <c r="B560" s="2196"/>
      <c r="C560" s="2196"/>
      <c r="D560" s="2197"/>
      <c r="E560" s="2197"/>
      <c r="F560" s="2196"/>
      <c r="G560" s="2196"/>
      <c r="H560" s="2196"/>
      <c r="I560" s="2196"/>
      <c r="J560" s="2196"/>
      <c r="K560" s="2176"/>
      <c r="L560" s="2176"/>
      <c r="M560" s="2176"/>
      <c r="N560" s="2176"/>
      <c r="O560" s="2176"/>
      <c r="P560" s="2176"/>
      <c r="Q560" s="2176"/>
      <c r="R560" s="2176"/>
      <c r="S560" s="2176"/>
      <c r="T560" s="2176"/>
      <c r="U560" s="2176"/>
      <c r="V560" s="2176"/>
      <c r="W560" s="2176"/>
      <c r="X560" s="2176"/>
      <c r="Y560" s="2176"/>
      <c r="Z560" s="13"/>
      <c r="AA560" s="13"/>
      <c r="AB560" s="13"/>
      <c r="AC560" s="13"/>
    </row>
    <row r="561" spans="1:29" ht="15.75" customHeight="1">
      <c r="A561" s="1933"/>
      <c r="B561" s="2196"/>
      <c r="C561" s="2196"/>
      <c r="D561" s="2197"/>
      <c r="E561" s="2197"/>
      <c r="F561" s="2196"/>
      <c r="G561" s="2196"/>
      <c r="H561" s="2196"/>
      <c r="I561" s="2196"/>
      <c r="J561" s="2196"/>
      <c r="K561" s="2176"/>
      <c r="L561" s="2176"/>
      <c r="M561" s="2176"/>
      <c r="N561" s="2176"/>
      <c r="O561" s="2176"/>
      <c r="P561" s="2176"/>
      <c r="Q561" s="2176"/>
      <c r="R561" s="2176"/>
      <c r="S561" s="2176"/>
      <c r="T561" s="2176"/>
      <c r="U561" s="2176"/>
      <c r="V561" s="2176"/>
      <c r="W561" s="2176"/>
      <c r="X561" s="2176"/>
      <c r="Y561" s="2176"/>
      <c r="Z561" s="13"/>
      <c r="AA561" s="13"/>
      <c r="AB561" s="13"/>
      <c r="AC561" s="13"/>
    </row>
    <row r="562" spans="1:29" ht="15.75" customHeight="1">
      <c r="A562" s="1933"/>
      <c r="B562" s="2196"/>
      <c r="C562" s="2196"/>
      <c r="D562" s="2197"/>
      <c r="E562" s="2197"/>
      <c r="F562" s="2196"/>
      <c r="G562" s="2196"/>
      <c r="H562" s="2196"/>
      <c r="I562" s="2196"/>
      <c r="J562" s="2196"/>
      <c r="K562" s="2176"/>
      <c r="L562" s="2176"/>
      <c r="M562" s="2176"/>
      <c r="N562" s="2176"/>
      <c r="O562" s="2176"/>
      <c r="P562" s="2176"/>
      <c r="Q562" s="2176"/>
      <c r="R562" s="2176"/>
      <c r="S562" s="2176"/>
      <c r="T562" s="2176"/>
      <c r="U562" s="2176"/>
      <c r="V562" s="2176"/>
      <c r="W562" s="2176"/>
      <c r="X562" s="2176"/>
      <c r="Y562" s="2176"/>
      <c r="Z562" s="13"/>
      <c r="AA562" s="13"/>
      <c r="AB562" s="13"/>
      <c r="AC562" s="13"/>
    </row>
    <row r="563" spans="1:29" ht="15.75" customHeight="1">
      <c r="A563" s="1933"/>
      <c r="B563" s="2196"/>
      <c r="C563" s="2196"/>
      <c r="D563" s="2197"/>
      <c r="E563" s="2197"/>
      <c r="F563" s="2196"/>
      <c r="G563" s="2196"/>
      <c r="H563" s="2196"/>
      <c r="I563" s="2196"/>
      <c r="J563" s="2196"/>
      <c r="K563" s="2176"/>
      <c r="L563" s="2176"/>
      <c r="M563" s="2176"/>
      <c r="N563" s="2176"/>
      <c r="O563" s="2176"/>
      <c r="P563" s="2176"/>
      <c r="Q563" s="2176"/>
      <c r="R563" s="2176"/>
      <c r="S563" s="2176"/>
      <c r="T563" s="2176"/>
      <c r="U563" s="2176"/>
      <c r="V563" s="2176"/>
      <c r="W563" s="2176"/>
      <c r="X563" s="2176"/>
      <c r="Y563" s="2176"/>
      <c r="Z563" s="13"/>
      <c r="AA563" s="13"/>
      <c r="AB563" s="13"/>
      <c r="AC563" s="13"/>
    </row>
    <row r="564" spans="1:29" ht="15.75" customHeight="1">
      <c r="A564" s="1933"/>
      <c r="B564" s="2196"/>
      <c r="C564" s="2196"/>
      <c r="D564" s="2197"/>
      <c r="E564" s="2197"/>
      <c r="F564" s="2196"/>
      <c r="G564" s="2196"/>
      <c r="H564" s="2196"/>
      <c r="I564" s="2196"/>
      <c r="J564" s="2196"/>
      <c r="K564" s="2176"/>
      <c r="L564" s="2176"/>
      <c r="M564" s="2176"/>
      <c r="N564" s="2176"/>
      <c r="O564" s="2176"/>
      <c r="P564" s="2176"/>
      <c r="Q564" s="2176"/>
      <c r="R564" s="2176"/>
      <c r="S564" s="2176"/>
      <c r="T564" s="2176"/>
      <c r="U564" s="2176"/>
      <c r="V564" s="2176"/>
      <c r="W564" s="2176"/>
      <c r="X564" s="2176"/>
      <c r="Y564" s="2176"/>
      <c r="Z564" s="13"/>
      <c r="AA564" s="13"/>
      <c r="AB564" s="13"/>
      <c r="AC564" s="13"/>
    </row>
    <row r="565" spans="1:29" ht="15.75" customHeight="1">
      <c r="A565" s="1933"/>
      <c r="B565" s="2196"/>
      <c r="C565" s="2196"/>
      <c r="D565" s="2197"/>
      <c r="E565" s="2197"/>
      <c r="F565" s="2196"/>
      <c r="G565" s="2196"/>
      <c r="H565" s="2196"/>
      <c r="I565" s="2196"/>
      <c r="J565" s="2196"/>
      <c r="K565" s="2176"/>
      <c r="L565" s="2176"/>
      <c r="M565" s="2176"/>
      <c r="N565" s="2176"/>
      <c r="O565" s="2176"/>
      <c r="P565" s="2176"/>
      <c r="Q565" s="2176"/>
      <c r="R565" s="2176"/>
      <c r="S565" s="2176"/>
      <c r="T565" s="2176"/>
      <c r="U565" s="2176"/>
      <c r="V565" s="2176"/>
      <c r="W565" s="2176"/>
      <c r="X565" s="2176"/>
      <c r="Y565" s="2176"/>
      <c r="Z565" s="13"/>
      <c r="AA565" s="13"/>
      <c r="AB565" s="13"/>
      <c r="AC565" s="13"/>
    </row>
    <row r="566" spans="1:29" ht="15.75" customHeight="1">
      <c r="A566" s="1933"/>
      <c r="B566" s="2196"/>
      <c r="C566" s="2196"/>
      <c r="D566" s="2197"/>
      <c r="E566" s="2197"/>
      <c r="F566" s="2196"/>
      <c r="G566" s="2196"/>
      <c r="H566" s="2196"/>
      <c r="I566" s="2196"/>
      <c r="J566" s="2196"/>
      <c r="K566" s="2176"/>
      <c r="L566" s="2176"/>
      <c r="M566" s="2176"/>
      <c r="N566" s="2176"/>
      <c r="O566" s="2176"/>
      <c r="P566" s="2176"/>
      <c r="Q566" s="2176"/>
      <c r="R566" s="2176"/>
      <c r="S566" s="2176"/>
      <c r="T566" s="2176"/>
      <c r="U566" s="2176"/>
      <c r="V566" s="2176"/>
      <c r="W566" s="2176"/>
      <c r="X566" s="2176"/>
      <c r="Y566" s="2176"/>
      <c r="Z566" s="13"/>
      <c r="AA566" s="13"/>
      <c r="AB566" s="13"/>
      <c r="AC566" s="13"/>
    </row>
    <row r="567" spans="1:29" ht="15.75" customHeight="1">
      <c r="A567" s="1933"/>
      <c r="B567" s="2196"/>
      <c r="C567" s="2196"/>
      <c r="D567" s="2197"/>
      <c r="E567" s="2197"/>
      <c r="F567" s="2196"/>
      <c r="G567" s="2196"/>
      <c r="H567" s="2196"/>
      <c r="I567" s="2196"/>
      <c r="J567" s="2196"/>
      <c r="K567" s="2176"/>
      <c r="L567" s="2176"/>
      <c r="M567" s="2176"/>
      <c r="N567" s="2176"/>
      <c r="O567" s="2176"/>
      <c r="P567" s="2176"/>
      <c r="Q567" s="2176"/>
      <c r="R567" s="2176"/>
      <c r="S567" s="2176"/>
      <c r="T567" s="2176"/>
      <c r="U567" s="2176"/>
      <c r="V567" s="2176"/>
      <c r="W567" s="2176"/>
      <c r="X567" s="2176"/>
      <c r="Y567" s="2176"/>
      <c r="Z567" s="13"/>
      <c r="AA567" s="13"/>
      <c r="AB567" s="13"/>
      <c r="AC567" s="13"/>
    </row>
    <row r="568" spans="1:29" ht="15.75" customHeight="1">
      <c r="A568" s="1933"/>
      <c r="B568" s="2196"/>
      <c r="C568" s="2196"/>
      <c r="D568" s="2197"/>
      <c r="E568" s="2197"/>
      <c r="F568" s="2196"/>
      <c r="G568" s="2196"/>
      <c r="H568" s="2196"/>
      <c r="I568" s="2196"/>
      <c r="J568" s="2196"/>
      <c r="K568" s="2176"/>
      <c r="L568" s="2176"/>
      <c r="M568" s="2176"/>
      <c r="N568" s="2176"/>
      <c r="O568" s="2176"/>
      <c r="P568" s="2176"/>
      <c r="Q568" s="2176"/>
      <c r="R568" s="2176"/>
      <c r="S568" s="2176"/>
      <c r="T568" s="2176"/>
      <c r="U568" s="2176"/>
      <c r="V568" s="2176"/>
      <c r="W568" s="2176"/>
      <c r="X568" s="2176"/>
      <c r="Y568" s="2176"/>
      <c r="Z568" s="13"/>
      <c r="AA568" s="13"/>
      <c r="AB568" s="13"/>
      <c r="AC568" s="13"/>
    </row>
    <row r="569" spans="1:29" ht="15.75" customHeight="1">
      <c r="A569" s="1933"/>
      <c r="B569" s="2196"/>
      <c r="C569" s="2196"/>
      <c r="D569" s="2197"/>
      <c r="E569" s="2197"/>
      <c r="F569" s="2196"/>
      <c r="G569" s="2196"/>
      <c r="H569" s="2196"/>
      <c r="I569" s="2196"/>
      <c r="J569" s="2196"/>
      <c r="K569" s="2176"/>
      <c r="L569" s="2176"/>
      <c r="M569" s="2176"/>
      <c r="N569" s="2176"/>
      <c r="O569" s="2176"/>
      <c r="P569" s="2176"/>
      <c r="Q569" s="2176"/>
      <c r="R569" s="2176"/>
      <c r="S569" s="2176"/>
      <c r="T569" s="2176"/>
      <c r="U569" s="2176"/>
      <c r="V569" s="2176"/>
      <c r="W569" s="2176"/>
      <c r="X569" s="2176"/>
      <c r="Y569" s="2176"/>
      <c r="Z569" s="13"/>
      <c r="AA569" s="13"/>
      <c r="AB569" s="13"/>
      <c r="AC569" s="13"/>
    </row>
    <row r="570" spans="1:29" ht="15.75" customHeight="1">
      <c r="A570" s="1933"/>
      <c r="B570" s="2196"/>
      <c r="C570" s="2196"/>
      <c r="D570" s="2197"/>
      <c r="E570" s="2197"/>
      <c r="F570" s="2196"/>
      <c r="G570" s="2196"/>
      <c r="H570" s="2196"/>
      <c r="I570" s="2196"/>
      <c r="J570" s="2196"/>
      <c r="K570" s="2176"/>
      <c r="L570" s="2176"/>
      <c r="M570" s="2176"/>
      <c r="N570" s="2176"/>
      <c r="O570" s="2176"/>
      <c r="P570" s="2176"/>
      <c r="Q570" s="2176"/>
      <c r="R570" s="2176"/>
      <c r="S570" s="2176"/>
      <c r="T570" s="2176"/>
      <c r="U570" s="2176"/>
      <c r="V570" s="2176"/>
      <c r="W570" s="2176"/>
      <c r="X570" s="2176"/>
      <c r="Y570" s="2176"/>
      <c r="Z570" s="13"/>
      <c r="AA570" s="13"/>
      <c r="AB570" s="13"/>
      <c r="AC570" s="13"/>
    </row>
    <row r="571" spans="1:29" ht="15.75" customHeight="1">
      <c r="A571" s="1933"/>
      <c r="B571" s="2196"/>
      <c r="C571" s="2196"/>
      <c r="D571" s="2197"/>
      <c r="E571" s="2197"/>
      <c r="F571" s="2196"/>
      <c r="G571" s="2196"/>
      <c r="H571" s="2196"/>
      <c r="I571" s="2196"/>
      <c r="J571" s="2196"/>
      <c r="K571" s="2176"/>
      <c r="L571" s="2176"/>
      <c r="M571" s="2176"/>
      <c r="N571" s="2176"/>
      <c r="O571" s="2176"/>
      <c r="P571" s="2176"/>
      <c r="Q571" s="2176"/>
      <c r="R571" s="2176"/>
      <c r="S571" s="2176"/>
      <c r="T571" s="2176"/>
      <c r="U571" s="2176"/>
      <c r="V571" s="2176"/>
      <c r="W571" s="2176"/>
      <c r="X571" s="2176"/>
      <c r="Y571" s="2176"/>
      <c r="Z571" s="13"/>
      <c r="AA571" s="13"/>
      <c r="AB571" s="13"/>
      <c r="AC571" s="13"/>
    </row>
    <row r="572" spans="1:29" ht="15.75" customHeight="1">
      <c r="A572" s="1933"/>
      <c r="B572" s="2196"/>
      <c r="C572" s="2196"/>
      <c r="D572" s="2197"/>
      <c r="E572" s="2197"/>
      <c r="F572" s="2196"/>
      <c r="G572" s="2196"/>
      <c r="H572" s="2196"/>
      <c r="I572" s="2196"/>
      <c r="J572" s="2196"/>
      <c r="K572" s="2176"/>
      <c r="L572" s="2176"/>
      <c r="M572" s="2176"/>
      <c r="N572" s="2176"/>
      <c r="O572" s="2176"/>
      <c r="P572" s="2176"/>
      <c r="Q572" s="2176"/>
      <c r="R572" s="2176"/>
      <c r="S572" s="2176"/>
      <c r="T572" s="2176"/>
      <c r="U572" s="2176"/>
      <c r="V572" s="2176"/>
      <c r="W572" s="2176"/>
      <c r="X572" s="2176"/>
      <c r="Y572" s="2176"/>
      <c r="Z572" s="13"/>
      <c r="AA572" s="13"/>
      <c r="AB572" s="13"/>
      <c r="AC572" s="13"/>
    </row>
    <row r="573" spans="1:29" ht="15.75" customHeight="1">
      <c r="A573" s="1933"/>
      <c r="B573" s="2196"/>
      <c r="C573" s="2196"/>
      <c r="D573" s="2197"/>
      <c r="E573" s="2197"/>
      <c r="F573" s="2196"/>
      <c r="G573" s="2196"/>
      <c r="H573" s="2196"/>
      <c r="I573" s="2196"/>
      <c r="J573" s="2196"/>
      <c r="K573" s="2176"/>
      <c r="L573" s="2176"/>
      <c r="M573" s="2176"/>
      <c r="N573" s="2176"/>
      <c r="O573" s="2176"/>
      <c r="P573" s="2176"/>
      <c r="Q573" s="2176"/>
      <c r="R573" s="2176"/>
      <c r="S573" s="2176"/>
      <c r="T573" s="2176"/>
      <c r="U573" s="2176"/>
      <c r="V573" s="2176"/>
      <c r="W573" s="2176"/>
      <c r="X573" s="2176"/>
      <c r="Y573" s="2176"/>
      <c r="Z573" s="13"/>
      <c r="AA573" s="13"/>
      <c r="AB573" s="13"/>
      <c r="AC573" s="13"/>
    </row>
    <row r="574" spans="1:29" ht="15.75" customHeight="1">
      <c r="A574" s="1933"/>
      <c r="B574" s="2196"/>
      <c r="C574" s="2196"/>
      <c r="D574" s="2197"/>
      <c r="E574" s="2197"/>
      <c r="F574" s="2196"/>
      <c r="G574" s="2196"/>
      <c r="H574" s="2196"/>
      <c r="I574" s="2196"/>
      <c r="J574" s="2196"/>
      <c r="K574" s="2176"/>
      <c r="L574" s="2176"/>
      <c r="M574" s="2176"/>
      <c r="N574" s="2176"/>
      <c r="O574" s="2176"/>
      <c r="P574" s="2176"/>
      <c r="Q574" s="2176"/>
      <c r="R574" s="2176"/>
      <c r="S574" s="2176"/>
      <c r="T574" s="2176"/>
      <c r="U574" s="2176"/>
      <c r="V574" s="2176"/>
      <c r="W574" s="2176"/>
      <c r="X574" s="2176"/>
      <c r="Y574" s="2176"/>
      <c r="Z574" s="13"/>
      <c r="AA574" s="13"/>
      <c r="AB574" s="13"/>
      <c r="AC574" s="13"/>
    </row>
    <row r="575" spans="1:29" ht="15.75" customHeight="1">
      <c r="A575" s="1933"/>
      <c r="B575" s="2196"/>
      <c r="C575" s="2196"/>
      <c r="D575" s="2197"/>
      <c r="E575" s="2197"/>
      <c r="F575" s="2196"/>
      <c r="G575" s="2196"/>
      <c r="H575" s="2196"/>
      <c r="I575" s="2196"/>
      <c r="J575" s="2196"/>
      <c r="K575" s="2176"/>
      <c r="L575" s="2176"/>
      <c r="M575" s="2176"/>
      <c r="N575" s="2176"/>
      <c r="O575" s="2176"/>
      <c r="P575" s="2176"/>
      <c r="Q575" s="2176"/>
      <c r="R575" s="2176"/>
      <c r="S575" s="2176"/>
      <c r="T575" s="2176"/>
      <c r="U575" s="2176"/>
      <c r="V575" s="2176"/>
      <c r="W575" s="2176"/>
      <c r="X575" s="2176"/>
      <c r="Y575" s="2176"/>
      <c r="Z575" s="13"/>
      <c r="AA575" s="13"/>
      <c r="AB575" s="13"/>
      <c r="AC575" s="13"/>
    </row>
    <row r="576" spans="1:29" ht="15.75" customHeight="1">
      <c r="A576" s="1933"/>
      <c r="B576" s="2196"/>
      <c r="C576" s="2196"/>
      <c r="D576" s="2197"/>
      <c r="E576" s="2197"/>
      <c r="F576" s="2196"/>
      <c r="G576" s="2196"/>
      <c r="H576" s="2196"/>
      <c r="I576" s="2196"/>
      <c r="J576" s="2196"/>
      <c r="K576" s="2176"/>
      <c r="L576" s="2176"/>
      <c r="M576" s="2176"/>
      <c r="N576" s="2176"/>
      <c r="O576" s="2176"/>
      <c r="P576" s="2176"/>
      <c r="Q576" s="2176"/>
      <c r="R576" s="2176"/>
      <c r="S576" s="2176"/>
      <c r="T576" s="2176"/>
      <c r="U576" s="2176"/>
      <c r="V576" s="2176"/>
      <c r="W576" s="2176"/>
      <c r="X576" s="2176"/>
      <c r="Y576" s="2176"/>
      <c r="Z576" s="13"/>
      <c r="AA576" s="13"/>
      <c r="AB576" s="13"/>
      <c r="AC576" s="13"/>
    </row>
    <row r="577" spans="1:29" ht="15.75" customHeight="1">
      <c r="A577" s="1933"/>
      <c r="B577" s="2196"/>
      <c r="C577" s="2196"/>
      <c r="D577" s="2197"/>
      <c r="E577" s="2197"/>
      <c r="F577" s="2196"/>
      <c r="G577" s="2196"/>
      <c r="H577" s="2196"/>
      <c r="I577" s="2196"/>
      <c r="J577" s="2196"/>
      <c r="K577" s="2176"/>
      <c r="L577" s="2176"/>
      <c r="M577" s="2176"/>
      <c r="N577" s="2176"/>
      <c r="O577" s="2176"/>
      <c r="P577" s="2176"/>
      <c r="Q577" s="2176"/>
      <c r="R577" s="2176"/>
      <c r="S577" s="2176"/>
      <c r="T577" s="2176"/>
      <c r="U577" s="2176"/>
      <c r="V577" s="2176"/>
      <c r="W577" s="2176"/>
      <c r="X577" s="2176"/>
      <c r="Y577" s="2176"/>
      <c r="Z577" s="13"/>
      <c r="AA577" s="13"/>
      <c r="AB577" s="13"/>
      <c r="AC577" s="13"/>
    </row>
    <row r="578" spans="1:29" ht="15.75" customHeight="1">
      <c r="A578" s="1933"/>
      <c r="B578" s="2196"/>
      <c r="C578" s="2196"/>
      <c r="D578" s="2197"/>
      <c r="E578" s="2197"/>
      <c r="F578" s="2196"/>
      <c r="G578" s="2196"/>
      <c r="H578" s="2196"/>
      <c r="I578" s="2196"/>
      <c r="J578" s="2196"/>
      <c r="K578" s="2176"/>
      <c r="L578" s="2176"/>
      <c r="M578" s="2176"/>
      <c r="N578" s="2176"/>
      <c r="O578" s="2176"/>
      <c r="P578" s="2176"/>
      <c r="Q578" s="2176"/>
      <c r="R578" s="2176"/>
      <c r="S578" s="2176"/>
      <c r="T578" s="2176"/>
      <c r="U578" s="2176"/>
      <c r="V578" s="2176"/>
      <c r="W578" s="2176"/>
      <c r="X578" s="2176"/>
      <c r="Y578" s="2176"/>
      <c r="Z578" s="13"/>
      <c r="AA578" s="13"/>
      <c r="AB578" s="13"/>
      <c r="AC578" s="13"/>
    </row>
    <row r="579" spans="1:29" ht="15.75" customHeight="1">
      <c r="A579" s="1933"/>
      <c r="B579" s="2196"/>
      <c r="C579" s="2196"/>
      <c r="D579" s="2197"/>
      <c r="E579" s="2197"/>
      <c r="F579" s="2196"/>
      <c r="G579" s="2196"/>
      <c r="H579" s="2196"/>
      <c r="I579" s="2196"/>
      <c r="J579" s="2196"/>
      <c r="K579" s="2176"/>
      <c r="L579" s="2176"/>
      <c r="M579" s="2176"/>
      <c r="N579" s="2176"/>
      <c r="O579" s="2176"/>
      <c r="P579" s="2176"/>
      <c r="Q579" s="2176"/>
      <c r="R579" s="2176"/>
      <c r="S579" s="2176"/>
      <c r="T579" s="2176"/>
      <c r="U579" s="2176"/>
      <c r="V579" s="2176"/>
      <c r="W579" s="2176"/>
      <c r="X579" s="2176"/>
      <c r="Y579" s="2176"/>
      <c r="Z579" s="13"/>
      <c r="AA579" s="13"/>
      <c r="AB579" s="13"/>
      <c r="AC579" s="13"/>
    </row>
    <row r="580" spans="1:29" ht="15.75" customHeight="1">
      <c r="A580" s="1933"/>
      <c r="B580" s="2196"/>
      <c r="C580" s="2196"/>
      <c r="D580" s="2197"/>
      <c r="E580" s="2197"/>
      <c r="F580" s="2196"/>
      <c r="G580" s="2196"/>
      <c r="H580" s="2196"/>
      <c r="I580" s="2196"/>
      <c r="J580" s="2196"/>
      <c r="K580" s="2176"/>
      <c r="L580" s="2176"/>
      <c r="M580" s="2176"/>
      <c r="N580" s="2176"/>
      <c r="O580" s="2176"/>
      <c r="P580" s="2176"/>
      <c r="Q580" s="2176"/>
      <c r="R580" s="2176"/>
      <c r="S580" s="2176"/>
      <c r="T580" s="2176"/>
      <c r="U580" s="2176"/>
      <c r="V580" s="2176"/>
      <c r="W580" s="2176"/>
      <c r="X580" s="2176"/>
      <c r="Y580" s="2176"/>
      <c r="Z580" s="13"/>
      <c r="AA580" s="13"/>
      <c r="AB580" s="13"/>
      <c r="AC580" s="13"/>
    </row>
    <row r="581" spans="1:29" ht="15.75" customHeight="1">
      <c r="A581" s="1933"/>
      <c r="B581" s="2196"/>
      <c r="C581" s="2196"/>
      <c r="D581" s="2197"/>
      <c r="E581" s="2197"/>
      <c r="F581" s="2196"/>
      <c r="G581" s="2196"/>
      <c r="H581" s="2196"/>
      <c r="I581" s="2196"/>
      <c r="J581" s="2196"/>
      <c r="K581" s="2176"/>
      <c r="L581" s="2176"/>
      <c r="M581" s="2176"/>
      <c r="N581" s="2176"/>
      <c r="O581" s="2176"/>
      <c r="P581" s="2176"/>
      <c r="Q581" s="2176"/>
      <c r="R581" s="2176"/>
      <c r="S581" s="2176"/>
      <c r="T581" s="2176"/>
      <c r="U581" s="2176"/>
      <c r="V581" s="2176"/>
      <c r="W581" s="2176"/>
      <c r="X581" s="2176"/>
      <c r="Y581" s="2176"/>
      <c r="Z581" s="13"/>
      <c r="AA581" s="13"/>
      <c r="AB581" s="13"/>
      <c r="AC581" s="13"/>
    </row>
    <row r="582" spans="1:29" ht="15.75" customHeight="1">
      <c r="A582" s="1933"/>
      <c r="B582" s="2196"/>
      <c r="C582" s="2196"/>
      <c r="D582" s="2197"/>
      <c r="E582" s="2197"/>
      <c r="F582" s="2196"/>
      <c r="G582" s="2196"/>
      <c r="H582" s="2196"/>
      <c r="I582" s="2196"/>
      <c r="J582" s="2196"/>
      <c r="K582" s="2176"/>
      <c r="L582" s="2176"/>
      <c r="M582" s="2176"/>
      <c r="N582" s="2176"/>
      <c r="O582" s="2176"/>
      <c r="P582" s="2176"/>
      <c r="Q582" s="2176"/>
      <c r="R582" s="2176"/>
      <c r="S582" s="2176"/>
      <c r="T582" s="2176"/>
      <c r="U582" s="2176"/>
      <c r="V582" s="2176"/>
      <c r="W582" s="2176"/>
      <c r="X582" s="2176"/>
      <c r="Y582" s="2176"/>
      <c r="Z582" s="13"/>
      <c r="AA582" s="13"/>
      <c r="AB582" s="13"/>
      <c r="AC582" s="13"/>
    </row>
    <row r="583" spans="1:29" ht="15.75" customHeight="1">
      <c r="A583" s="1933"/>
      <c r="B583" s="2196"/>
      <c r="C583" s="2196"/>
      <c r="D583" s="2197"/>
      <c r="E583" s="2197"/>
      <c r="F583" s="2196"/>
      <c r="G583" s="2196"/>
      <c r="H583" s="2196"/>
      <c r="I583" s="2196"/>
      <c r="J583" s="2196"/>
      <c r="K583" s="2176"/>
      <c r="L583" s="2176"/>
      <c r="M583" s="2176"/>
      <c r="N583" s="2176"/>
      <c r="O583" s="2176"/>
      <c r="P583" s="2176"/>
      <c r="Q583" s="2176"/>
      <c r="R583" s="2176"/>
      <c r="S583" s="2176"/>
      <c r="T583" s="2176"/>
      <c r="U583" s="2176"/>
      <c r="V583" s="2176"/>
      <c r="W583" s="2176"/>
      <c r="X583" s="2176"/>
      <c r="Y583" s="2176"/>
      <c r="Z583" s="13"/>
      <c r="AA583" s="13"/>
      <c r="AB583" s="13"/>
      <c r="AC583" s="13"/>
    </row>
    <row r="584" spans="1:29" ht="15.75" customHeight="1">
      <c r="A584" s="1933"/>
      <c r="B584" s="2196"/>
      <c r="C584" s="2196"/>
      <c r="D584" s="2197"/>
      <c r="E584" s="2197"/>
      <c r="F584" s="2196"/>
      <c r="G584" s="2196"/>
      <c r="H584" s="2196"/>
      <c r="I584" s="2196"/>
      <c r="J584" s="2196"/>
      <c r="K584" s="2176"/>
      <c r="L584" s="2176"/>
      <c r="M584" s="2176"/>
      <c r="N584" s="2176"/>
      <c r="O584" s="2176"/>
      <c r="P584" s="2176"/>
      <c r="Q584" s="2176"/>
      <c r="R584" s="2176"/>
      <c r="S584" s="2176"/>
      <c r="T584" s="2176"/>
      <c r="U584" s="2176"/>
      <c r="V584" s="2176"/>
      <c r="W584" s="2176"/>
      <c r="X584" s="2176"/>
      <c r="Y584" s="2176"/>
      <c r="Z584" s="13"/>
      <c r="AA584" s="13"/>
      <c r="AB584" s="13"/>
      <c r="AC584" s="13"/>
    </row>
    <row r="585" spans="1:29" ht="15.75" customHeight="1">
      <c r="A585" s="1933"/>
      <c r="B585" s="2196"/>
      <c r="C585" s="2196"/>
      <c r="D585" s="2197"/>
      <c r="E585" s="2197"/>
      <c r="F585" s="2196"/>
      <c r="G585" s="2196"/>
      <c r="H585" s="2196"/>
      <c r="I585" s="2196"/>
      <c r="J585" s="2196"/>
      <c r="K585" s="2176"/>
      <c r="L585" s="2176"/>
      <c r="M585" s="2176"/>
      <c r="N585" s="2176"/>
      <c r="O585" s="2176"/>
      <c r="P585" s="2176"/>
      <c r="Q585" s="2176"/>
      <c r="R585" s="2176"/>
      <c r="S585" s="2176"/>
      <c r="T585" s="2176"/>
      <c r="U585" s="2176"/>
      <c r="V585" s="2176"/>
      <c r="W585" s="2176"/>
      <c r="X585" s="2176"/>
      <c r="Y585" s="2176"/>
      <c r="Z585" s="13"/>
      <c r="AA585" s="13"/>
      <c r="AB585" s="13"/>
      <c r="AC585" s="13"/>
    </row>
    <row r="586" spans="1:29" ht="15.75" customHeight="1">
      <c r="A586" s="1933"/>
      <c r="B586" s="2196"/>
      <c r="C586" s="2196"/>
      <c r="D586" s="2197"/>
      <c r="E586" s="2197"/>
      <c r="F586" s="2196"/>
      <c r="G586" s="2196"/>
      <c r="H586" s="2196"/>
      <c r="I586" s="2196"/>
      <c r="J586" s="2196"/>
      <c r="K586" s="2176"/>
      <c r="L586" s="2176"/>
      <c r="M586" s="2176"/>
      <c r="N586" s="2176"/>
      <c r="O586" s="2176"/>
      <c r="P586" s="2176"/>
      <c r="Q586" s="2176"/>
      <c r="R586" s="2176"/>
      <c r="S586" s="2176"/>
      <c r="T586" s="2176"/>
      <c r="U586" s="2176"/>
      <c r="V586" s="2176"/>
      <c r="W586" s="2176"/>
      <c r="X586" s="2176"/>
      <c r="Y586" s="2176"/>
      <c r="Z586" s="13"/>
      <c r="AA586" s="13"/>
      <c r="AB586" s="13"/>
      <c r="AC586" s="13"/>
    </row>
    <row r="587" spans="1:29" ht="15.75" customHeight="1">
      <c r="A587" s="1933"/>
      <c r="B587" s="2196"/>
      <c r="C587" s="2196"/>
      <c r="D587" s="2197"/>
      <c r="E587" s="2197"/>
      <c r="F587" s="2196"/>
      <c r="G587" s="2196"/>
      <c r="H587" s="2196"/>
      <c r="I587" s="2196"/>
      <c r="J587" s="2196"/>
      <c r="K587" s="2176"/>
      <c r="L587" s="2176"/>
      <c r="M587" s="2176"/>
      <c r="N587" s="2176"/>
      <c r="O587" s="2176"/>
      <c r="P587" s="2176"/>
      <c r="Q587" s="2176"/>
      <c r="R587" s="2176"/>
      <c r="S587" s="2176"/>
      <c r="T587" s="2176"/>
      <c r="U587" s="2176"/>
      <c r="V587" s="2176"/>
      <c r="W587" s="2176"/>
      <c r="X587" s="2176"/>
      <c r="Y587" s="2176"/>
      <c r="Z587" s="13"/>
      <c r="AA587" s="13"/>
      <c r="AB587" s="13"/>
      <c r="AC587" s="13"/>
    </row>
    <row r="588" spans="1:29" ht="15.75" customHeight="1">
      <c r="A588" s="1933"/>
      <c r="B588" s="2196"/>
      <c r="C588" s="2196"/>
      <c r="D588" s="2197"/>
      <c r="E588" s="2197"/>
      <c r="F588" s="2196"/>
      <c r="G588" s="2196"/>
      <c r="H588" s="2196"/>
      <c r="I588" s="2196"/>
      <c r="J588" s="2196"/>
      <c r="K588" s="2176"/>
      <c r="L588" s="2176"/>
      <c r="M588" s="2176"/>
      <c r="N588" s="2176"/>
      <c r="O588" s="2176"/>
      <c r="P588" s="2176"/>
      <c r="Q588" s="2176"/>
      <c r="R588" s="2176"/>
      <c r="S588" s="2176"/>
      <c r="T588" s="2176"/>
      <c r="U588" s="2176"/>
      <c r="V588" s="2176"/>
      <c r="W588" s="2176"/>
      <c r="X588" s="2176"/>
      <c r="Y588" s="2176"/>
      <c r="Z588" s="13"/>
      <c r="AA588" s="13"/>
      <c r="AB588" s="13"/>
      <c r="AC588" s="13"/>
    </row>
    <row r="589" spans="1:29" ht="15.75" customHeight="1">
      <c r="A589" s="1933"/>
      <c r="B589" s="2196"/>
      <c r="C589" s="2196"/>
      <c r="D589" s="2197"/>
      <c r="E589" s="2197"/>
      <c r="F589" s="2196"/>
      <c r="G589" s="2196"/>
      <c r="H589" s="2196"/>
      <c r="I589" s="2196"/>
      <c r="J589" s="2196"/>
      <c r="K589" s="2176"/>
      <c r="L589" s="2176"/>
      <c r="M589" s="2176"/>
      <c r="N589" s="2176"/>
      <c r="O589" s="2176"/>
      <c r="P589" s="2176"/>
      <c r="Q589" s="2176"/>
      <c r="R589" s="2176"/>
      <c r="S589" s="2176"/>
      <c r="T589" s="2176"/>
      <c r="U589" s="2176"/>
      <c r="V589" s="2176"/>
      <c r="W589" s="2176"/>
      <c r="X589" s="2176"/>
      <c r="Y589" s="2176"/>
      <c r="Z589" s="13"/>
      <c r="AA589" s="13"/>
      <c r="AB589" s="13"/>
      <c r="AC589" s="13"/>
    </row>
    <row r="590" spans="1:29" ht="15.75" customHeight="1">
      <c r="A590" s="1933"/>
      <c r="B590" s="2196"/>
      <c r="C590" s="2196"/>
      <c r="D590" s="2197"/>
      <c r="E590" s="2197"/>
      <c r="F590" s="2196"/>
      <c r="G590" s="2196"/>
      <c r="H590" s="2196"/>
      <c r="I590" s="2196"/>
      <c r="J590" s="2196"/>
      <c r="K590" s="2176"/>
      <c r="L590" s="2176"/>
      <c r="M590" s="2176"/>
      <c r="N590" s="2176"/>
      <c r="O590" s="2176"/>
      <c r="P590" s="2176"/>
      <c r="Q590" s="2176"/>
      <c r="R590" s="2176"/>
      <c r="S590" s="2176"/>
      <c r="T590" s="2176"/>
      <c r="U590" s="2176"/>
      <c r="V590" s="2176"/>
      <c r="W590" s="2176"/>
      <c r="X590" s="2176"/>
      <c r="Y590" s="2176"/>
      <c r="Z590" s="13"/>
      <c r="AA590" s="13"/>
      <c r="AB590" s="13"/>
      <c r="AC590" s="13"/>
    </row>
    <row r="591" spans="1:29" ht="15.75" customHeight="1">
      <c r="A591" s="1933"/>
      <c r="B591" s="2196"/>
      <c r="C591" s="2196"/>
      <c r="D591" s="2197"/>
      <c r="E591" s="2197"/>
      <c r="F591" s="2196"/>
      <c r="G591" s="2196"/>
      <c r="H591" s="2196"/>
      <c r="I591" s="2196"/>
      <c r="J591" s="2196"/>
      <c r="K591" s="2176"/>
      <c r="L591" s="2176"/>
      <c r="M591" s="2176"/>
      <c r="N591" s="2176"/>
      <c r="O591" s="2176"/>
      <c r="P591" s="2176"/>
      <c r="Q591" s="2176"/>
      <c r="R591" s="2176"/>
      <c r="S591" s="2176"/>
      <c r="T591" s="2176"/>
      <c r="U591" s="2176"/>
      <c r="V591" s="2176"/>
      <c r="W591" s="2176"/>
      <c r="X591" s="2176"/>
      <c r="Y591" s="2176"/>
      <c r="Z591" s="13"/>
      <c r="AA591" s="13"/>
      <c r="AB591" s="13"/>
      <c r="AC591" s="13"/>
    </row>
    <row r="592" spans="1:29" ht="15.75" customHeight="1">
      <c r="A592" s="1933"/>
      <c r="B592" s="2196"/>
      <c r="C592" s="2196"/>
      <c r="D592" s="2197"/>
      <c r="E592" s="2197"/>
      <c r="F592" s="2196"/>
      <c r="G592" s="2196"/>
      <c r="H592" s="2196"/>
      <c r="I592" s="2196"/>
      <c r="J592" s="2196"/>
      <c r="K592" s="2176"/>
      <c r="L592" s="2176"/>
      <c r="M592" s="2176"/>
      <c r="N592" s="2176"/>
      <c r="O592" s="2176"/>
      <c r="P592" s="2176"/>
      <c r="Q592" s="2176"/>
      <c r="R592" s="2176"/>
      <c r="S592" s="2176"/>
      <c r="T592" s="2176"/>
      <c r="U592" s="2176"/>
      <c r="V592" s="2176"/>
      <c r="W592" s="2176"/>
      <c r="X592" s="2176"/>
      <c r="Y592" s="2176"/>
      <c r="Z592" s="13"/>
      <c r="AA592" s="13"/>
      <c r="AB592" s="13"/>
      <c r="AC592" s="13"/>
    </row>
    <row r="593" spans="1:29" ht="15.75" customHeight="1">
      <c r="A593" s="1933"/>
      <c r="B593" s="2196"/>
      <c r="C593" s="2196"/>
      <c r="D593" s="2197"/>
      <c r="E593" s="2197"/>
      <c r="F593" s="2196"/>
      <c r="G593" s="2196"/>
      <c r="H593" s="2196"/>
      <c r="I593" s="2196"/>
      <c r="J593" s="2196"/>
      <c r="K593" s="2176"/>
      <c r="L593" s="2176"/>
      <c r="M593" s="2176"/>
      <c r="N593" s="2176"/>
      <c r="O593" s="2176"/>
      <c r="P593" s="2176"/>
      <c r="Q593" s="2176"/>
      <c r="R593" s="2176"/>
      <c r="S593" s="2176"/>
      <c r="T593" s="2176"/>
      <c r="U593" s="2176"/>
      <c r="V593" s="2176"/>
      <c r="W593" s="2176"/>
      <c r="X593" s="2176"/>
      <c r="Y593" s="2176"/>
      <c r="Z593" s="13"/>
      <c r="AA593" s="13"/>
      <c r="AB593" s="13"/>
      <c r="AC593" s="13"/>
    </row>
    <row r="594" spans="1:29" ht="15.75" customHeight="1">
      <c r="A594" s="1933"/>
      <c r="B594" s="2196"/>
      <c r="C594" s="2196"/>
      <c r="D594" s="2197"/>
      <c r="E594" s="2197"/>
      <c r="F594" s="2196"/>
      <c r="G594" s="2196"/>
      <c r="H594" s="2196"/>
      <c r="I594" s="2196"/>
      <c r="J594" s="2196"/>
      <c r="K594" s="2176"/>
      <c r="L594" s="2176"/>
      <c r="M594" s="2176"/>
      <c r="N594" s="2176"/>
      <c r="O594" s="2176"/>
      <c r="P594" s="2176"/>
      <c r="Q594" s="2176"/>
      <c r="R594" s="2176"/>
      <c r="S594" s="2176"/>
      <c r="T594" s="2176"/>
      <c r="U594" s="2176"/>
      <c r="V594" s="2176"/>
      <c r="W594" s="2176"/>
      <c r="X594" s="2176"/>
      <c r="Y594" s="2176"/>
      <c r="Z594" s="13"/>
      <c r="AA594" s="13"/>
      <c r="AB594" s="13"/>
      <c r="AC594" s="13"/>
    </row>
    <row r="595" spans="1:29" ht="15.75" customHeight="1">
      <c r="A595" s="1933"/>
      <c r="B595" s="2196"/>
      <c r="C595" s="2196"/>
      <c r="D595" s="2197"/>
      <c r="E595" s="2197"/>
      <c r="F595" s="2196"/>
      <c r="G595" s="2196"/>
      <c r="H595" s="2196"/>
      <c r="I595" s="2196"/>
      <c r="J595" s="2196"/>
      <c r="K595" s="2176"/>
      <c r="L595" s="2176"/>
      <c r="M595" s="2176"/>
      <c r="N595" s="2176"/>
      <c r="O595" s="2176"/>
      <c r="P595" s="2176"/>
      <c r="Q595" s="2176"/>
      <c r="R595" s="2176"/>
      <c r="S595" s="2176"/>
      <c r="T595" s="2176"/>
      <c r="U595" s="2176"/>
      <c r="V595" s="2176"/>
      <c r="W595" s="2176"/>
      <c r="X595" s="2176"/>
      <c r="Y595" s="2176"/>
      <c r="Z595" s="13"/>
      <c r="AA595" s="13"/>
      <c r="AB595" s="13"/>
      <c r="AC595" s="13"/>
    </row>
    <row r="596" spans="1:29" ht="15.75" customHeight="1">
      <c r="A596" s="1933"/>
      <c r="B596" s="2196"/>
      <c r="C596" s="2196"/>
      <c r="D596" s="2197"/>
      <c r="E596" s="2197"/>
      <c r="F596" s="2196"/>
      <c r="G596" s="2196"/>
      <c r="H596" s="2196"/>
      <c r="I596" s="2196"/>
      <c r="J596" s="2196"/>
      <c r="K596" s="2176"/>
      <c r="L596" s="2176"/>
      <c r="M596" s="2176"/>
      <c r="N596" s="2176"/>
      <c r="O596" s="2176"/>
      <c r="P596" s="2176"/>
      <c r="Q596" s="2176"/>
      <c r="R596" s="2176"/>
      <c r="S596" s="2176"/>
      <c r="T596" s="2176"/>
      <c r="U596" s="2176"/>
      <c r="V596" s="2176"/>
      <c r="W596" s="2176"/>
      <c r="X596" s="2176"/>
      <c r="Y596" s="2176"/>
      <c r="Z596" s="13"/>
      <c r="AA596" s="13"/>
      <c r="AB596" s="13"/>
      <c r="AC596" s="13"/>
    </row>
    <row r="597" spans="1:29" ht="15.75" customHeight="1">
      <c r="A597" s="1933"/>
      <c r="B597" s="2196"/>
      <c r="C597" s="2196"/>
      <c r="D597" s="2197"/>
      <c r="E597" s="2197"/>
      <c r="F597" s="2196"/>
      <c r="G597" s="2196"/>
      <c r="H597" s="2196"/>
      <c r="I597" s="2196"/>
      <c r="J597" s="2196"/>
      <c r="K597" s="2176"/>
      <c r="L597" s="2176"/>
      <c r="M597" s="2176"/>
      <c r="N597" s="2176"/>
      <c r="O597" s="2176"/>
      <c r="P597" s="2176"/>
      <c r="Q597" s="2176"/>
      <c r="R597" s="2176"/>
      <c r="S597" s="2176"/>
      <c r="T597" s="2176"/>
      <c r="U597" s="2176"/>
      <c r="V597" s="2176"/>
      <c r="W597" s="2176"/>
      <c r="X597" s="2176"/>
      <c r="Y597" s="2176"/>
      <c r="Z597" s="13"/>
      <c r="AA597" s="13"/>
      <c r="AB597" s="13"/>
      <c r="AC597" s="13"/>
    </row>
    <row r="598" spans="1:29" ht="15.75" customHeight="1">
      <c r="A598" s="1933"/>
      <c r="B598" s="2196"/>
      <c r="C598" s="2196"/>
      <c r="D598" s="2197"/>
      <c r="E598" s="2197"/>
      <c r="F598" s="2196"/>
      <c r="G598" s="2196"/>
      <c r="H598" s="2196"/>
      <c r="I598" s="2196"/>
      <c r="J598" s="2196"/>
      <c r="K598" s="2176"/>
      <c r="L598" s="2176"/>
      <c r="M598" s="2176"/>
      <c r="N598" s="2176"/>
      <c r="O598" s="2176"/>
      <c r="P598" s="2176"/>
      <c r="Q598" s="2176"/>
      <c r="R598" s="2176"/>
      <c r="S598" s="2176"/>
      <c r="T598" s="2176"/>
      <c r="U598" s="2176"/>
      <c r="V598" s="2176"/>
      <c r="W598" s="2176"/>
      <c r="X598" s="2176"/>
      <c r="Y598" s="2176"/>
      <c r="Z598" s="13"/>
      <c r="AA598" s="13"/>
      <c r="AB598" s="13"/>
      <c r="AC598" s="13"/>
    </row>
    <row r="599" spans="1:29" ht="15.75" customHeight="1">
      <c r="A599" s="1933"/>
      <c r="B599" s="2196"/>
      <c r="C599" s="2196"/>
      <c r="D599" s="2197"/>
      <c r="E599" s="2197"/>
      <c r="F599" s="2196"/>
      <c r="G599" s="2196"/>
      <c r="H599" s="2196"/>
      <c r="I599" s="2196"/>
      <c r="J599" s="2196"/>
      <c r="K599" s="2176"/>
      <c r="L599" s="2176"/>
      <c r="M599" s="2176"/>
      <c r="N599" s="2176"/>
      <c r="O599" s="2176"/>
      <c r="P599" s="2176"/>
      <c r="Q599" s="2176"/>
      <c r="R599" s="2176"/>
      <c r="S599" s="2176"/>
      <c r="T599" s="2176"/>
      <c r="U599" s="2176"/>
      <c r="V599" s="2176"/>
      <c r="W599" s="2176"/>
      <c r="X599" s="2176"/>
      <c r="Y599" s="2176"/>
      <c r="Z599" s="13"/>
      <c r="AA599" s="13"/>
      <c r="AB599" s="13"/>
      <c r="AC599" s="13"/>
    </row>
    <row r="600" spans="1:29" ht="15.75" customHeight="1">
      <c r="A600" s="1933"/>
      <c r="B600" s="2196"/>
      <c r="C600" s="2196"/>
      <c r="D600" s="2197"/>
      <c r="E600" s="2197"/>
      <c r="F600" s="2196"/>
      <c r="G600" s="2196"/>
      <c r="H600" s="2196"/>
      <c r="I600" s="2196"/>
      <c r="J600" s="2196"/>
      <c r="K600" s="2176"/>
      <c r="L600" s="2176"/>
      <c r="M600" s="2176"/>
      <c r="N600" s="2176"/>
      <c r="O600" s="2176"/>
      <c r="P600" s="2176"/>
      <c r="Q600" s="2176"/>
      <c r="R600" s="2176"/>
      <c r="S600" s="2176"/>
      <c r="T600" s="2176"/>
      <c r="U600" s="2176"/>
      <c r="V600" s="2176"/>
      <c r="W600" s="2176"/>
      <c r="X600" s="2176"/>
      <c r="Y600" s="2176"/>
      <c r="Z600" s="13"/>
      <c r="AA600" s="13"/>
      <c r="AB600" s="13"/>
      <c r="AC600" s="13"/>
    </row>
    <row r="601" spans="1:29" ht="15.75" customHeight="1">
      <c r="A601" s="1933"/>
      <c r="B601" s="2196"/>
      <c r="C601" s="2196"/>
      <c r="D601" s="2197"/>
      <c r="E601" s="2197"/>
      <c r="F601" s="2196"/>
      <c r="G601" s="2196"/>
      <c r="H601" s="2196"/>
      <c r="I601" s="2196"/>
      <c r="J601" s="2196"/>
      <c r="K601" s="2176"/>
      <c r="L601" s="2176"/>
      <c r="M601" s="2176"/>
      <c r="N601" s="2176"/>
      <c r="O601" s="2176"/>
      <c r="P601" s="2176"/>
      <c r="Q601" s="2176"/>
      <c r="R601" s="2176"/>
      <c r="S601" s="2176"/>
      <c r="T601" s="2176"/>
      <c r="U601" s="2176"/>
      <c r="V601" s="2176"/>
      <c r="W601" s="2176"/>
      <c r="X601" s="2176"/>
      <c r="Y601" s="2176"/>
      <c r="Z601" s="13"/>
      <c r="AA601" s="13"/>
      <c r="AB601" s="13"/>
      <c r="AC601" s="13"/>
    </row>
    <row r="602" spans="1:29" ht="15.75" customHeight="1">
      <c r="A602" s="1933"/>
      <c r="B602" s="2196"/>
      <c r="C602" s="2196"/>
      <c r="D602" s="2197"/>
      <c r="E602" s="2197"/>
      <c r="F602" s="2196"/>
      <c r="G602" s="2196"/>
      <c r="H602" s="2196"/>
      <c r="I602" s="2196"/>
      <c r="J602" s="2196"/>
      <c r="K602" s="2176"/>
      <c r="L602" s="2176"/>
      <c r="M602" s="2176"/>
      <c r="N602" s="2176"/>
      <c r="O602" s="2176"/>
      <c r="P602" s="2176"/>
      <c r="Q602" s="2176"/>
      <c r="R602" s="2176"/>
      <c r="S602" s="2176"/>
      <c r="T602" s="2176"/>
      <c r="U602" s="2176"/>
      <c r="V602" s="2176"/>
      <c r="W602" s="2176"/>
      <c r="X602" s="2176"/>
      <c r="Y602" s="2176"/>
      <c r="Z602" s="13"/>
      <c r="AA602" s="13"/>
      <c r="AB602" s="13"/>
      <c r="AC602" s="13"/>
    </row>
    <row r="603" spans="1:29" ht="15.75" customHeight="1">
      <c r="A603" s="1933"/>
      <c r="B603" s="2196"/>
      <c r="C603" s="2196"/>
      <c r="D603" s="2197"/>
      <c r="E603" s="2197"/>
      <c r="F603" s="2196"/>
      <c r="G603" s="2196"/>
      <c r="H603" s="2196"/>
      <c r="I603" s="2196"/>
      <c r="J603" s="2196"/>
      <c r="K603" s="2176"/>
      <c r="L603" s="2176"/>
      <c r="M603" s="2176"/>
      <c r="N603" s="2176"/>
      <c r="O603" s="2176"/>
      <c r="P603" s="2176"/>
      <c r="Q603" s="2176"/>
      <c r="R603" s="2176"/>
      <c r="S603" s="2176"/>
      <c r="T603" s="2176"/>
      <c r="U603" s="2176"/>
      <c r="V603" s="2176"/>
      <c r="W603" s="2176"/>
      <c r="X603" s="2176"/>
      <c r="Y603" s="2176"/>
      <c r="Z603" s="13"/>
      <c r="AA603" s="13"/>
      <c r="AB603" s="13"/>
      <c r="AC603" s="13"/>
    </row>
    <row r="604" spans="1:29" ht="15.75" customHeight="1">
      <c r="A604" s="1933"/>
      <c r="B604" s="2196"/>
      <c r="C604" s="2196"/>
      <c r="D604" s="2197"/>
      <c r="E604" s="2197"/>
      <c r="F604" s="2196"/>
      <c r="G604" s="2196"/>
      <c r="H604" s="2196"/>
      <c r="I604" s="2196"/>
      <c r="J604" s="2196"/>
      <c r="K604" s="2176"/>
      <c r="L604" s="2176"/>
      <c r="M604" s="2176"/>
      <c r="N604" s="2176"/>
      <c r="O604" s="2176"/>
      <c r="P604" s="2176"/>
      <c r="Q604" s="2176"/>
      <c r="R604" s="2176"/>
      <c r="S604" s="2176"/>
      <c r="T604" s="2176"/>
      <c r="U604" s="2176"/>
      <c r="V604" s="2176"/>
      <c r="W604" s="2176"/>
      <c r="X604" s="2176"/>
      <c r="Y604" s="2176"/>
      <c r="Z604" s="13"/>
      <c r="AA604" s="13"/>
      <c r="AB604" s="13"/>
      <c r="AC604" s="13"/>
    </row>
    <row r="605" spans="1:29" ht="15.75" customHeight="1">
      <c r="A605" s="1933"/>
      <c r="B605" s="2196"/>
      <c r="C605" s="2196"/>
      <c r="D605" s="2197"/>
      <c r="E605" s="2197"/>
      <c r="F605" s="2196"/>
      <c r="G605" s="2196"/>
      <c r="H605" s="2196"/>
      <c r="I605" s="2196"/>
      <c r="J605" s="2196"/>
      <c r="K605" s="2176"/>
      <c r="L605" s="2176"/>
      <c r="M605" s="2176"/>
      <c r="N605" s="2176"/>
      <c r="O605" s="2176"/>
      <c r="P605" s="2176"/>
      <c r="Q605" s="2176"/>
      <c r="R605" s="2176"/>
      <c r="S605" s="2176"/>
      <c r="T605" s="2176"/>
      <c r="U605" s="2176"/>
      <c r="V605" s="2176"/>
      <c r="W605" s="2176"/>
      <c r="X605" s="2176"/>
      <c r="Y605" s="2176"/>
      <c r="Z605" s="13"/>
      <c r="AA605" s="13"/>
      <c r="AB605" s="13"/>
      <c r="AC605" s="13"/>
    </row>
    <row r="606" spans="1:29" ht="15.75" customHeight="1">
      <c r="A606" s="1933"/>
      <c r="B606" s="2196"/>
      <c r="C606" s="2196"/>
      <c r="D606" s="2197"/>
      <c r="E606" s="2197"/>
      <c r="F606" s="2196"/>
      <c r="G606" s="2196"/>
      <c r="H606" s="2196"/>
      <c r="I606" s="2196"/>
      <c r="J606" s="2196"/>
      <c r="K606" s="2176"/>
      <c r="L606" s="2176"/>
      <c r="M606" s="2176"/>
      <c r="N606" s="2176"/>
      <c r="O606" s="2176"/>
      <c r="P606" s="2176"/>
      <c r="Q606" s="2176"/>
      <c r="R606" s="2176"/>
      <c r="S606" s="2176"/>
      <c r="T606" s="2176"/>
      <c r="U606" s="2176"/>
      <c r="V606" s="2176"/>
      <c r="W606" s="2176"/>
      <c r="X606" s="2176"/>
      <c r="Y606" s="2176"/>
      <c r="Z606" s="13"/>
      <c r="AA606" s="13"/>
      <c r="AB606" s="13"/>
      <c r="AC606" s="13"/>
    </row>
    <row r="607" spans="1:29" ht="15.75" customHeight="1">
      <c r="A607" s="1933"/>
      <c r="B607" s="2196"/>
      <c r="C607" s="2196"/>
      <c r="D607" s="2197"/>
      <c r="E607" s="2197"/>
      <c r="F607" s="2196"/>
      <c r="G607" s="2196"/>
      <c r="H607" s="2196"/>
      <c r="I607" s="2196"/>
      <c r="J607" s="2196"/>
      <c r="K607" s="2176"/>
      <c r="L607" s="2176"/>
      <c r="M607" s="2176"/>
      <c r="N607" s="2176"/>
      <c r="O607" s="2176"/>
      <c r="P607" s="2176"/>
      <c r="Q607" s="2176"/>
      <c r="R607" s="2176"/>
      <c r="S607" s="2176"/>
      <c r="T607" s="2176"/>
      <c r="U607" s="2176"/>
      <c r="V607" s="2176"/>
      <c r="W607" s="2176"/>
      <c r="X607" s="2176"/>
      <c r="Y607" s="2176"/>
      <c r="Z607" s="13"/>
      <c r="AA607" s="13"/>
      <c r="AB607" s="13"/>
      <c r="AC607" s="13"/>
    </row>
    <row r="608" spans="1:29" ht="15.75" customHeight="1">
      <c r="A608" s="1933"/>
      <c r="B608" s="2196"/>
      <c r="C608" s="2196"/>
      <c r="D608" s="2197"/>
      <c r="E608" s="2197"/>
      <c r="F608" s="2196"/>
      <c r="G608" s="2196"/>
      <c r="H608" s="2196"/>
      <c r="I608" s="2196"/>
      <c r="J608" s="2196"/>
      <c r="K608" s="2176"/>
      <c r="L608" s="2176"/>
      <c r="M608" s="2176"/>
      <c r="N608" s="2176"/>
      <c r="O608" s="2176"/>
      <c r="P608" s="2176"/>
      <c r="Q608" s="2176"/>
      <c r="R608" s="2176"/>
      <c r="S608" s="2176"/>
      <c r="T608" s="2176"/>
      <c r="U608" s="2176"/>
      <c r="V608" s="2176"/>
      <c r="W608" s="2176"/>
      <c r="X608" s="2176"/>
      <c r="Y608" s="2176"/>
      <c r="Z608" s="13"/>
      <c r="AA608" s="13"/>
      <c r="AB608" s="13"/>
      <c r="AC608" s="13"/>
    </row>
    <row r="609" spans="1:29" ht="15.75" customHeight="1">
      <c r="A609" s="1933"/>
      <c r="B609" s="2196"/>
      <c r="C609" s="2196"/>
      <c r="D609" s="2197"/>
      <c r="E609" s="2197"/>
      <c r="F609" s="2196"/>
      <c r="G609" s="2196"/>
      <c r="H609" s="2196"/>
      <c r="I609" s="2196"/>
      <c r="J609" s="2196"/>
      <c r="K609" s="2176"/>
      <c r="L609" s="2176"/>
      <c r="M609" s="2176"/>
      <c r="N609" s="2176"/>
      <c r="O609" s="2176"/>
      <c r="P609" s="2176"/>
      <c r="Q609" s="2176"/>
      <c r="R609" s="2176"/>
      <c r="S609" s="2176"/>
      <c r="T609" s="2176"/>
      <c r="U609" s="2176"/>
      <c r="V609" s="2176"/>
      <c r="W609" s="2176"/>
      <c r="X609" s="2176"/>
      <c r="Y609" s="2176"/>
      <c r="Z609" s="13"/>
      <c r="AA609" s="13"/>
      <c r="AB609" s="13"/>
      <c r="AC609" s="13"/>
    </row>
    <row r="610" spans="1:29" ht="15.75" customHeight="1">
      <c r="A610" s="1933"/>
      <c r="B610" s="2196"/>
      <c r="C610" s="2196"/>
      <c r="D610" s="2197"/>
      <c r="E610" s="2197"/>
      <c r="F610" s="2196"/>
      <c r="G610" s="2196"/>
      <c r="H610" s="2196"/>
      <c r="I610" s="2196"/>
      <c r="J610" s="2196"/>
      <c r="K610" s="2176"/>
      <c r="L610" s="2176"/>
      <c r="M610" s="2176"/>
      <c r="N610" s="2176"/>
      <c r="O610" s="2176"/>
      <c r="P610" s="2176"/>
      <c r="Q610" s="2176"/>
      <c r="R610" s="2176"/>
      <c r="S610" s="2176"/>
      <c r="T610" s="2176"/>
      <c r="U610" s="2176"/>
      <c r="V610" s="2176"/>
      <c r="W610" s="2176"/>
      <c r="X610" s="2176"/>
      <c r="Y610" s="2176"/>
      <c r="Z610" s="13"/>
      <c r="AA610" s="13"/>
      <c r="AB610" s="13"/>
      <c r="AC610" s="13"/>
    </row>
    <row r="611" spans="1:29" ht="15.75" customHeight="1">
      <c r="A611" s="1933"/>
      <c r="B611" s="2196"/>
      <c r="C611" s="2196"/>
      <c r="D611" s="2197"/>
      <c r="E611" s="2197"/>
      <c r="F611" s="2196"/>
      <c r="G611" s="2196"/>
      <c r="H611" s="2196"/>
      <c r="I611" s="2196"/>
      <c r="J611" s="2196"/>
      <c r="K611" s="2176"/>
      <c r="L611" s="2176"/>
      <c r="M611" s="2176"/>
      <c r="N611" s="2176"/>
      <c r="O611" s="2176"/>
      <c r="P611" s="2176"/>
      <c r="Q611" s="2176"/>
      <c r="R611" s="2176"/>
      <c r="S611" s="2176"/>
      <c r="T611" s="2176"/>
      <c r="U611" s="2176"/>
      <c r="V611" s="2176"/>
      <c r="W611" s="2176"/>
      <c r="X611" s="2176"/>
      <c r="Y611" s="2176"/>
      <c r="Z611" s="13"/>
      <c r="AA611" s="13"/>
      <c r="AB611" s="13"/>
      <c r="AC611" s="13"/>
    </row>
    <row r="612" spans="1:29" ht="15.75" customHeight="1">
      <c r="A612" s="1933"/>
      <c r="B612" s="2196"/>
      <c r="C612" s="2196"/>
      <c r="D612" s="2197"/>
      <c r="E612" s="2197"/>
      <c r="F612" s="2196"/>
      <c r="G612" s="2196"/>
      <c r="H612" s="2196"/>
      <c r="I612" s="2196"/>
      <c r="J612" s="2196"/>
      <c r="K612" s="2176"/>
      <c r="L612" s="2176"/>
      <c r="M612" s="2176"/>
      <c r="N612" s="2176"/>
      <c r="O612" s="2176"/>
      <c r="P612" s="2176"/>
      <c r="Q612" s="2176"/>
      <c r="R612" s="2176"/>
      <c r="S612" s="2176"/>
      <c r="T612" s="2176"/>
      <c r="U612" s="2176"/>
      <c r="V612" s="2176"/>
      <c r="W612" s="2176"/>
      <c r="X612" s="2176"/>
      <c r="Y612" s="2176"/>
      <c r="Z612" s="13"/>
      <c r="AA612" s="13"/>
      <c r="AB612" s="13"/>
      <c r="AC612" s="13"/>
    </row>
    <row r="613" spans="1:29" ht="15.75" customHeight="1">
      <c r="A613" s="1933"/>
      <c r="B613" s="2196"/>
      <c r="C613" s="2196"/>
      <c r="D613" s="2197"/>
      <c r="E613" s="2197"/>
      <c r="F613" s="2196"/>
      <c r="G613" s="2196"/>
      <c r="H613" s="2196"/>
      <c r="I613" s="2196"/>
      <c r="J613" s="2196"/>
      <c r="K613" s="2176"/>
      <c r="L613" s="2176"/>
      <c r="M613" s="2176"/>
      <c r="N613" s="2176"/>
      <c r="O613" s="2176"/>
      <c r="P613" s="2176"/>
      <c r="Q613" s="2176"/>
      <c r="R613" s="2176"/>
      <c r="S613" s="2176"/>
      <c r="T613" s="2176"/>
      <c r="U613" s="2176"/>
      <c r="V613" s="2176"/>
      <c r="W613" s="2176"/>
      <c r="X613" s="2176"/>
      <c r="Y613" s="2176"/>
      <c r="Z613" s="13"/>
      <c r="AA613" s="13"/>
      <c r="AB613" s="13"/>
      <c r="AC613" s="13"/>
    </row>
    <row r="614" spans="1:29" ht="15.75" customHeight="1">
      <c r="A614" s="1933"/>
      <c r="B614" s="2196"/>
      <c r="C614" s="2196"/>
      <c r="D614" s="2197"/>
      <c r="E614" s="2197"/>
      <c r="F614" s="2196"/>
      <c r="G614" s="2196"/>
      <c r="H614" s="2196"/>
      <c r="I614" s="2196"/>
      <c r="J614" s="2196"/>
      <c r="K614" s="2176"/>
      <c r="L614" s="2176"/>
      <c r="M614" s="2176"/>
      <c r="N614" s="2176"/>
      <c r="O614" s="2176"/>
      <c r="P614" s="2176"/>
      <c r="Q614" s="2176"/>
      <c r="R614" s="2176"/>
      <c r="S614" s="2176"/>
      <c r="T614" s="2176"/>
      <c r="U614" s="2176"/>
      <c r="V614" s="2176"/>
      <c r="W614" s="2176"/>
      <c r="X614" s="2176"/>
      <c r="Y614" s="2176"/>
      <c r="Z614" s="13"/>
      <c r="AA614" s="13"/>
      <c r="AB614" s="13"/>
      <c r="AC614" s="13"/>
    </row>
    <row r="615" spans="1:29" ht="15.75" customHeight="1">
      <c r="A615" s="1933"/>
      <c r="B615" s="2196"/>
      <c r="C615" s="2196"/>
      <c r="D615" s="2197"/>
      <c r="E615" s="2197"/>
      <c r="F615" s="2196"/>
      <c r="G615" s="2196"/>
      <c r="H615" s="2196"/>
      <c r="I615" s="2196"/>
      <c r="J615" s="2196"/>
      <c r="K615" s="2176"/>
      <c r="L615" s="2176"/>
      <c r="M615" s="2176"/>
      <c r="N615" s="2176"/>
      <c r="O615" s="2176"/>
      <c r="P615" s="2176"/>
      <c r="Q615" s="2176"/>
      <c r="R615" s="2176"/>
      <c r="S615" s="2176"/>
      <c r="T615" s="2176"/>
      <c r="U615" s="2176"/>
      <c r="V615" s="2176"/>
      <c r="W615" s="2176"/>
      <c r="X615" s="2176"/>
      <c r="Y615" s="2176"/>
      <c r="Z615" s="13"/>
      <c r="AA615" s="13"/>
      <c r="AB615" s="13"/>
      <c r="AC615" s="13"/>
    </row>
    <row r="616" spans="1:29" ht="15.75" customHeight="1">
      <c r="A616" s="1933"/>
      <c r="B616" s="2196"/>
      <c r="C616" s="2196"/>
      <c r="D616" s="2197"/>
      <c r="E616" s="2197"/>
      <c r="F616" s="2196"/>
      <c r="G616" s="2196"/>
      <c r="H616" s="2196"/>
      <c r="I616" s="2196"/>
      <c r="J616" s="2196"/>
      <c r="K616" s="2176"/>
      <c r="L616" s="2176"/>
      <c r="M616" s="2176"/>
      <c r="N616" s="2176"/>
      <c r="O616" s="2176"/>
      <c r="P616" s="2176"/>
      <c r="Q616" s="2176"/>
      <c r="R616" s="2176"/>
      <c r="S616" s="2176"/>
      <c r="T616" s="2176"/>
      <c r="U616" s="2176"/>
      <c r="V616" s="2176"/>
      <c r="W616" s="2176"/>
      <c r="X616" s="2176"/>
      <c r="Y616" s="2176"/>
      <c r="Z616" s="13"/>
      <c r="AA616" s="13"/>
      <c r="AB616" s="13"/>
      <c r="AC616" s="13"/>
    </row>
    <row r="617" spans="1:29" ht="15.75" customHeight="1">
      <c r="A617" s="1933"/>
      <c r="B617" s="2196"/>
      <c r="C617" s="2196"/>
      <c r="D617" s="2197"/>
      <c r="E617" s="2197"/>
      <c r="F617" s="2196"/>
      <c r="G617" s="2196"/>
      <c r="H617" s="2196"/>
      <c r="I617" s="2196"/>
      <c r="J617" s="2196"/>
      <c r="K617" s="2176"/>
      <c r="L617" s="2176"/>
      <c r="M617" s="2176"/>
      <c r="N617" s="2176"/>
      <c r="O617" s="2176"/>
      <c r="P617" s="2176"/>
      <c r="Q617" s="2176"/>
      <c r="R617" s="2176"/>
      <c r="S617" s="2176"/>
      <c r="T617" s="2176"/>
      <c r="U617" s="2176"/>
      <c r="V617" s="2176"/>
      <c r="W617" s="2176"/>
      <c r="X617" s="2176"/>
      <c r="Y617" s="2176"/>
      <c r="Z617" s="13"/>
      <c r="AA617" s="13"/>
      <c r="AB617" s="13"/>
      <c r="AC617" s="13"/>
    </row>
    <row r="618" spans="1:29" ht="15.75" customHeight="1">
      <c r="A618" s="1933"/>
      <c r="B618" s="2196"/>
      <c r="C618" s="2196"/>
      <c r="D618" s="2197"/>
      <c r="E618" s="2197"/>
      <c r="F618" s="2196"/>
      <c r="G618" s="2196"/>
      <c r="H618" s="2196"/>
      <c r="I618" s="2196"/>
      <c r="J618" s="2196"/>
      <c r="K618" s="2176"/>
      <c r="L618" s="2176"/>
      <c r="M618" s="2176"/>
      <c r="N618" s="2176"/>
      <c r="O618" s="2176"/>
      <c r="P618" s="2176"/>
      <c r="Q618" s="2176"/>
      <c r="R618" s="2176"/>
      <c r="S618" s="2176"/>
      <c r="T618" s="2176"/>
      <c r="U618" s="2176"/>
      <c r="V618" s="2176"/>
      <c r="W618" s="2176"/>
      <c r="X618" s="2176"/>
      <c r="Y618" s="2176"/>
      <c r="Z618" s="13"/>
      <c r="AA618" s="13"/>
      <c r="AB618" s="13"/>
      <c r="AC618" s="13"/>
    </row>
    <row r="619" spans="1:29" ht="15.75" customHeight="1">
      <c r="A619" s="1933"/>
      <c r="B619" s="2196"/>
      <c r="C619" s="2196"/>
      <c r="D619" s="2197"/>
      <c r="E619" s="2197"/>
      <c r="F619" s="2196"/>
      <c r="G619" s="2196"/>
      <c r="H619" s="2196"/>
      <c r="I619" s="2196"/>
      <c r="J619" s="2196"/>
      <c r="K619" s="2176"/>
      <c r="L619" s="2176"/>
      <c r="M619" s="2176"/>
      <c r="N619" s="2176"/>
      <c r="O619" s="2176"/>
      <c r="P619" s="2176"/>
      <c r="Q619" s="2176"/>
      <c r="R619" s="2176"/>
      <c r="S619" s="2176"/>
      <c r="T619" s="2176"/>
      <c r="U619" s="2176"/>
      <c r="V619" s="2176"/>
      <c r="W619" s="2176"/>
      <c r="X619" s="2176"/>
      <c r="Y619" s="2176"/>
      <c r="Z619" s="13"/>
      <c r="AA619" s="13"/>
      <c r="AB619" s="13"/>
      <c r="AC619" s="13"/>
    </row>
    <row r="620" spans="1:29" ht="15.75" customHeight="1">
      <c r="A620" s="1933"/>
      <c r="B620" s="2196"/>
      <c r="C620" s="2196"/>
      <c r="D620" s="2197"/>
      <c r="E620" s="2197"/>
      <c r="F620" s="2196"/>
      <c r="G620" s="2196"/>
      <c r="H620" s="2196"/>
      <c r="I620" s="2196"/>
      <c r="J620" s="2196"/>
      <c r="K620" s="2176"/>
      <c r="L620" s="2176"/>
      <c r="M620" s="2176"/>
      <c r="N620" s="2176"/>
      <c r="O620" s="2176"/>
      <c r="P620" s="2176"/>
      <c r="Q620" s="2176"/>
      <c r="R620" s="2176"/>
      <c r="S620" s="2176"/>
      <c r="T620" s="2176"/>
      <c r="U620" s="2176"/>
      <c r="V620" s="2176"/>
      <c r="W620" s="2176"/>
      <c r="X620" s="2176"/>
      <c r="Y620" s="2176"/>
      <c r="Z620" s="13"/>
      <c r="AA620" s="13"/>
      <c r="AB620" s="13"/>
      <c r="AC620" s="13"/>
    </row>
    <row r="621" spans="1:29" ht="15.75" customHeight="1">
      <c r="A621" s="1933"/>
      <c r="B621" s="2196"/>
      <c r="C621" s="2196"/>
      <c r="D621" s="2197"/>
      <c r="E621" s="2197"/>
      <c r="F621" s="2196"/>
      <c r="G621" s="2196"/>
      <c r="H621" s="2196"/>
      <c r="I621" s="2196"/>
      <c r="J621" s="2196"/>
      <c r="K621" s="2176"/>
      <c r="L621" s="2176"/>
      <c r="M621" s="2176"/>
      <c r="N621" s="2176"/>
      <c r="O621" s="2176"/>
      <c r="P621" s="2176"/>
      <c r="Q621" s="2176"/>
      <c r="R621" s="2176"/>
      <c r="S621" s="2176"/>
      <c r="T621" s="2176"/>
      <c r="U621" s="2176"/>
      <c r="V621" s="2176"/>
      <c r="W621" s="2176"/>
      <c r="X621" s="2176"/>
      <c r="Y621" s="2176"/>
      <c r="Z621" s="13"/>
      <c r="AA621" s="13"/>
      <c r="AB621" s="13"/>
      <c r="AC621" s="13"/>
    </row>
    <row r="622" spans="1:29" ht="15.75" customHeight="1">
      <c r="A622" s="1933"/>
      <c r="B622" s="2196"/>
      <c r="C622" s="2196"/>
      <c r="D622" s="2197"/>
      <c r="E622" s="2197"/>
      <c r="F622" s="2196"/>
      <c r="G622" s="2196"/>
      <c r="H622" s="2196"/>
      <c r="I622" s="2196"/>
      <c r="J622" s="2196"/>
      <c r="K622" s="2176"/>
      <c r="L622" s="2176"/>
      <c r="M622" s="2176"/>
      <c r="N622" s="2176"/>
      <c r="O622" s="2176"/>
      <c r="P622" s="2176"/>
      <c r="Q622" s="2176"/>
      <c r="R622" s="2176"/>
      <c r="S622" s="2176"/>
      <c r="T622" s="2176"/>
      <c r="U622" s="2176"/>
      <c r="V622" s="2176"/>
      <c r="W622" s="2176"/>
      <c r="X622" s="2176"/>
      <c r="Y622" s="2176"/>
      <c r="Z622" s="13"/>
      <c r="AA622" s="13"/>
      <c r="AB622" s="13"/>
      <c r="AC622" s="13"/>
    </row>
    <row r="623" spans="1:29" ht="15.75" customHeight="1">
      <c r="A623" s="1933"/>
      <c r="B623" s="2196"/>
      <c r="C623" s="2196"/>
      <c r="D623" s="2197"/>
      <c r="E623" s="2197"/>
      <c r="F623" s="2196"/>
      <c r="G623" s="2196"/>
      <c r="H623" s="2196"/>
      <c r="I623" s="2196"/>
      <c r="J623" s="2196"/>
      <c r="K623" s="2176"/>
      <c r="L623" s="2176"/>
      <c r="M623" s="2176"/>
      <c r="N623" s="2176"/>
      <c r="O623" s="2176"/>
      <c r="P623" s="2176"/>
      <c r="Q623" s="2176"/>
      <c r="R623" s="2176"/>
      <c r="S623" s="2176"/>
      <c r="T623" s="2176"/>
      <c r="U623" s="2176"/>
      <c r="V623" s="2176"/>
      <c r="W623" s="2176"/>
      <c r="X623" s="2176"/>
      <c r="Y623" s="2176"/>
      <c r="Z623" s="13"/>
      <c r="AA623" s="13"/>
      <c r="AB623" s="13"/>
      <c r="AC623" s="13"/>
    </row>
    <row r="624" spans="1:29" ht="15.75" customHeight="1">
      <c r="A624" s="1933"/>
      <c r="B624" s="2196"/>
      <c r="C624" s="2196"/>
      <c r="D624" s="2197"/>
      <c r="E624" s="2197"/>
      <c r="F624" s="2196"/>
      <c r="G624" s="2196"/>
      <c r="H624" s="2196"/>
      <c r="I624" s="2196"/>
      <c r="J624" s="2196"/>
      <c r="K624" s="2176"/>
      <c r="L624" s="2176"/>
      <c r="M624" s="2176"/>
      <c r="N624" s="2176"/>
      <c r="O624" s="2176"/>
      <c r="P624" s="2176"/>
      <c r="Q624" s="2176"/>
      <c r="R624" s="2176"/>
      <c r="S624" s="2176"/>
      <c r="T624" s="2176"/>
      <c r="U624" s="2176"/>
      <c r="V624" s="2176"/>
      <c r="W624" s="2176"/>
      <c r="X624" s="2176"/>
      <c r="Y624" s="2176"/>
      <c r="Z624" s="13"/>
      <c r="AA624" s="13"/>
      <c r="AB624" s="13"/>
      <c r="AC624" s="13"/>
    </row>
    <row r="625" spans="1:29" ht="15.75" customHeight="1">
      <c r="A625" s="1933"/>
      <c r="B625" s="2196"/>
      <c r="C625" s="2196"/>
      <c r="D625" s="2197"/>
      <c r="E625" s="2197"/>
      <c r="F625" s="2196"/>
      <c r="G625" s="2196"/>
      <c r="H625" s="2196"/>
      <c r="I625" s="2196"/>
      <c r="J625" s="2196"/>
      <c r="K625" s="2176"/>
      <c r="L625" s="2176"/>
      <c r="M625" s="2176"/>
      <c r="N625" s="2176"/>
      <c r="O625" s="2176"/>
      <c r="P625" s="2176"/>
      <c r="Q625" s="2176"/>
      <c r="R625" s="2176"/>
      <c r="S625" s="2176"/>
      <c r="T625" s="2176"/>
      <c r="U625" s="2176"/>
      <c r="V625" s="2176"/>
      <c r="W625" s="2176"/>
      <c r="X625" s="2176"/>
      <c r="Y625" s="2176"/>
      <c r="Z625" s="13"/>
      <c r="AA625" s="13"/>
      <c r="AB625" s="13"/>
      <c r="AC625" s="13"/>
    </row>
    <row r="626" spans="1:29" ht="15.75" customHeight="1">
      <c r="A626" s="1933"/>
      <c r="B626" s="2196"/>
      <c r="C626" s="2196"/>
      <c r="D626" s="2197"/>
      <c r="E626" s="2197"/>
      <c r="F626" s="2196"/>
      <c r="G626" s="2196"/>
      <c r="H626" s="2196"/>
      <c r="I626" s="2196"/>
      <c r="J626" s="2196"/>
      <c r="K626" s="2176"/>
      <c r="L626" s="2176"/>
      <c r="M626" s="2176"/>
      <c r="N626" s="2176"/>
      <c r="O626" s="2176"/>
      <c r="P626" s="2176"/>
      <c r="Q626" s="2176"/>
      <c r="R626" s="2176"/>
      <c r="S626" s="2176"/>
      <c r="T626" s="2176"/>
      <c r="U626" s="2176"/>
      <c r="V626" s="2176"/>
      <c r="W626" s="2176"/>
      <c r="X626" s="2176"/>
      <c r="Y626" s="2176"/>
      <c r="Z626" s="13"/>
      <c r="AA626" s="13"/>
      <c r="AB626" s="13"/>
      <c r="AC626" s="13"/>
    </row>
    <row r="627" spans="1:29" ht="15.75" customHeight="1">
      <c r="A627" s="1933"/>
      <c r="B627" s="2196"/>
      <c r="C627" s="2196"/>
      <c r="D627" s="2197"/>
      <c r="E627" s="2197"/>
      <c r="F627" s="2196"/>
      <c r="G627" s="2196"/>
      <c r="H627" s="2196"/>
      <c r="I627" s="2196"/>
      <c r="J627" s="2196"/>
      <c r="K627" s="2176"/>
      <c r="L627" s="2176"/>
      <c r="M627" s="2176"/>
      <c r="N627" s="2176"/>
      <c r="O627" s="2176"/>
      <c r="P627" s="2176"/>
      <c r="Q627" s="2176"/>
      <c r="R627" s="2176"/>
      <c r="S627" s="2176"/>
      <c r="T627" s="2176"/>
      <c r="U627" s="2176"/>
      <c r="V627" s="2176"/>
      <c r="W627" s="2176"/>
      <c r="X627" s="2176"/>
      <c r="Y627" s="2176"/>
      <c r="Z627" s="13"/>
      <c r="AA627" s="13"/>
      <c r="AB627" s="13"/>
      <c r="AC627" s="13"/>
    </row>
    <row r="628" spans="1:29" ht="15.75" customHeight="1">
      <c r="A628" s="1933"/>
      <c r="B628" s="2196"/>
      <c r="C628" s="2196"/>
      <c r="D628" s="2197"/>
      <c r="E628" s="2197"/>
      <c r="F628" s="2196"/>
      <c r="G628" s="2196"/>
      <c r="H628" s="2196"/>
      <c r="I628" s="2196"/>
      <c r="J628" s="2196"/>
      <c r="K628" s="2176"/>
      <c r="L628" s="2176"/>
      <c r="M628" s="2176"/>
      <c r="N628" s="2176"/>
      <c r="O628" s="2176"/>
      <c r="P628" s="2176"/>
      <c r="Q628" s="2176"/>
      <c r="R628" s="2176"/>
      <c r="S628" s="2176"/>
      <c r="T628" s="2176"/>
      <c r="U628" s="2176"/>
      <c r="V628" s="2176"/>
      <c r="W628" s="2176"/>
      <c r="X628" s="2176"/>
      <c r="Y628" s="2176"/>
      <c r="Z628" s="13"/>
      <c r="AA628" s="13"/>
      <c r="AB628" s="13"/>
      <c r="AC628" s="13"/>
    </row>
    <row r="629" spans="1:29" ht="15.75" customHeight="1">
      <c r="A629" s="1933"/>
      <c r="B629" s="2196"/>
      <c r="C629" s="2196"/>
      <c r="D629" s="2197"/>
      <c r="E629" s="2197"/>
      <c r="F629" s="2196"/>
      <c r="G629" s="2196"/>
      <c r="H629" s="2196"/>
      <c r="I629" s="2196"/>
      <c r="J629" s="2196"/>
      <c r="K629" s="2176"/>
      <c r="L629" s="2176"/>
      <c r="M629" s="2176"/>
      <c r="N629" s="2176"/>
      <c r="O629" s="2176"/>
      <c r="P629" s="2176"/>
      <c r="Q629" s="2176"/>
      <c r="R629" s="2176"/>
      <c r="S629" s="2176"/>
      <c r="T629" s="2176"/>
      <c r="U629" s="2176"/>
      <c r="V629" s="2176"/>
      <c r="W629" s="2176"/>
      <c r="X629" s="2176"/>
      <c r="Y629" s="2176"/>
      <c r="Z629" s="13"/>
      <c r="AA629" s="13"/>
      <c r="AB629" s="13"/>
      <c r="AC629" s="13"/>
    </row>
    <row r="630" spans="1:29" ht="15.75" customHeight="1">
      <c r="A630" s="1933"/>
      <c r="B630" s="2196"/>
      <c r="C630" s="2196"/>
      <c r="D630" s="2197"/>
      <c r="E630" s="2197"/>
      <c r="F630" s="2196"/>
      <c r="G630" s="2196"/>
      <c r="H630" s="2196"/>
      <c r="I630" s="2196"/>
      <c r="J630" s="2196"/>
      <c r="K630" s="2176"/>
      <c r="L630" s="2176"/>
      <c r="M630" s="2176"/>
      <c r="N630" s="2176"/>
      <c r="O630" s="2176"/>
      <c r="P630" s="2176"/>
      <c r="Q630" s="2176"/>
      <c r="R630" s="2176"/>
      <c r="S630" s="2176"/>
      <c r="T630" s="2176"/>
      <c r="U630" s="2176"/>
      <c r="V630" s="2176"/>
      <c r="W630" s="2176"/>
      <c r="X630" s="2176"/>
      <c r="Y630" s="2176"/>
      <c r="Z630" s="13"/>
      <c r="AA630" s="13"/>
      <c r="AB630" s="13"/>
      <c r="AC630" s="13"/>
    </row>
    <row r="631" spans="1:29" ht="15.75" customHeight="1">
      <c r="A631" s="1933"/>
      <c r="B631" s="2196"/>
      <c r="C631" s="2196"/>
      <c r="D631" s="2197"/>
      <c r="E631" s="2197"/>
      <c r="F631" s="2196"/>
      <c r="G631" s="2196"/>
      <c r="H631" s="2196"/>
      <c r="I631" s="2196"/>
      <c r="J631" s="2196"/>
      <c r="K631" s="2176"/>
      <c r="L631" s="2176"/>
      <c r="M631" s="2176"/>
      <c r="N631" s="2176"/>
      <c r="O631" s="2176"/>
      <c r="P631" s="2176"/>
      <c r="Q631" s="2176"/>
      <c r="R631" s="2176"/>
      <c r="S631" s="2176"/>
      <c r="T631" s="2176"/>
      <c r="U631" s="2176"/>
      <c r="V631" s="2176"/>
      <c r="W631" s="2176"/>
      <c r="X631" s="2176"/>
      <c r="Y631" s="2176"/>
      <c r="Z631" s="13"/>
      <c r="AA631" s="13"/>
      <c r="AB631" s="13"/>
      <c r="AC631" s="13"/>
    </row>
    <row r="632" spans="1:29" ht="15.75" customHeight="1">
      <c r="A632" s="1933"/>
      <c r="B632" s="2196"/>
      <c r="C632" s="2196"/>
      <c r="D632" s="2197"/>
      <c r="E632" s="2197"/>
      <c r="F632" s="2196"/>
      <c r="G632" s="2196"/>
      <c r="H632" s="2196"/>
      <c r="I632" s="2196"/>
      <c r="J632" s="2196"/>
      <c r="K632" s="2176"/>
      <c r="L632" s="2176"/>
      <c r="M632" s="2176"/>
      <c r="N632" s="2176"/>
      <c r="O632" s="2176"/>
      <c r="P632" s="2176"/>
      <c r="Q632" s="2176"/>
      <c r="R632" s="2176"/>
      <c r="S632" s="2176"/>
      <c r="T632" s="2176"/>
      <c r="U632" s="2176"/>
      <c r="V632" s="2176"/>
      <c r="W632" s="2176"/>
      <c r="X632" s="2176"/>
      <c r="Y632" s="2176"/>
      <c r="Z632" s="13"/>
      <c r="AA632" s="13"/>
      <c r="AB632" s="13"/>
      <c r="AC632" s="13"/>
    </row>
    <row r="633" spans="1:29" ht="15.75" customHeight="1">
      <c r="A633" s="1933"/>
      <c r="B633" s="2196"/>
      <c r="C633" s="2196"/>
      <c r="D633" s="2197"/>
      <c r="E633" s="2197"/>
      <c r="F633" s="2196"/>
      <c r="G633" s="2196"/>
      <c r="H633" s="2196"/>
      <c r="I633" s="2196"/>
      <c r="J633" s="2196"/>
      <c r="K633" s="2176"/>
      <c r="L633" s="2176"/>
      <c r="M633" s="2176"/>
      <c r="N633" s="2176"/>
      <c r="O633" s="2176"/>
      <c r="P633" s="2176"/>
      <c r="Q633" s="2176"/>
      <c r="R633" s="2176"/>
      <c r="S633" s="2176"/>
      <c r="T633" s="2176"/>
      <c r="U633" s="2176"/>
      <c r="V633" s="2176"/>
      <c r="W633" s="2176"/>
      <c r="X633" s="2176"/>
      <c r="Y633" s="2176"/>
      <c r="Z633" s="13"/>
      <c r="AA633" s="13"/>
      <c r="AB633" s="13"/>
      <c r="AC633" s="13"/>
    </row>
    <row r="634" spans="1:29" ht="15.75" customHeight="1">
      <c r="A634" s="1933"/>
      <c r="B634" s="2196"/>
      <c r="C634" s="2196"/>
      <c r="D634" s="2197"/>
      <c r="E634" s="2197"/>
      <c r="F634" s="2196"/>
      <c r="G634" s="2196"/>
      <c r="H634" s="2196"/>
      <c r="I634" s="2196"/>
      <c r="J634" s="2196"/>
      <c r="K634" s="2176"/>
      <c r="L634" s="2176"/>
      <c r="M634" s="2176"/>
      <c r="N634" s="2176"/>
      <c r="O634" s="2176"/>
      <c r="P634" s="2176"/>
      <c r="Q634" s="2176"/>
      <c r="R634" s="2176"/>
      <c r="S634" s="2176"/>
      <c r="T634" s="2176"/>
      <c r="U634" s="2176"/>
      <c r="V634" s="2176"/>
      <c r="W634" s="2176"/>
      <c r="X634" s="2176"/>
      <c r="Y634" s="2176"/>
      <c r="Z634" s="13"/>
      <c r="AA634" s="13"/>
      <c r="AB634" s="13"/>
      <c r="AC634" s="13"/>
    </row>
    <row r="635" spans="1:29" ht="15.75" customHeight="1">
      <c r="A635" s="1933"/>
      <c r="B635" s="2196"/>
      <c r="C635" s="2196"/>
      <c r="D635" s="2197"/>
      <c r="E635" s="2197"/>
      <c r="F635" s="2196"/>
      <c r="G635" s="2196"/>
      <c r="H635" s="2196"/>
      <c r="I635" s="2196"/>
      <c r="J635" s="2196"/>
      <c r="K635" s="2176"/>
      <c r="L635" s="2176"/>
      <c r="M635" s="2176"/>
      <c r="N635" s="2176"/>
      <c r="O635" s="2176"/>
      <c r="P635" s="2176"/>
      <c r="Q635" s="2176"/>
      <c r="R635" s="2176"/>
      <c r="S635" s="2176"/>
      <c r="T635" s="2176"/>
      <c r="U635" s="2176"/>
      <c r="V635" s="2176"/>
      <c r="W635" s="2176"/>
      <c r="X635" s="2176"/>
      <c r="Y635" s="2176"/>
      <c r="Z635" s="13"/>
      <c r="AA635" s="13"/>
      <c r="AB635" s="13"/>
      <c r="AC635" s="13"/>
    </row>
    <row r="636" spans="1:29" ht="15.75" customHeight="1">
      <c r="A636" s="1933"/>
      <c r="B636" s="2196"/>
      <c r="C636" s="2196"/>
      <c r="D636" s="2197"/>
      <c r="E636" s="2197"/>
      <c r="F636" s="2196"/>
      <c r="G636" s="2196"/>
      <c r="H636" s="2196"/>
      <c r="I636" s="2196"/>
      <c r="J636" s="2196"/>
      <c r="K636" s="2176"/>
      <c r="L636" s="2176"/>
      <c r="M636" s="2176"/>
      <c r="N636" s="2176"/>
      <c r="O636" s="2176"/>
      <c r="P636" s="2176"/>
      <c r="Q636" s="2176"/>
      <c r="R636" s="2176"/>
      <c r="S636" s="2176"/>
      <c r="T636" s="2176"/>
      <c r="U636" s="2176"/>
      <c r="V636" s="2176"/>
      <c r="W636" s="2176"/>
      <c r="X636" s="2176"/>
      <c r="Y636" s="2176"/>
      <c r="Z636" s="13"/>
      <c r="AA636" s="13"/>
      <c r="AB636" s="13"/>
      <c r="AC636" s="13"/>
    </row>
    <row r="637" spans="1:29" ht="15.75" customHeight="1">
      <c r="A637" s="1933"/>
      <c r="B637" s="2196"/>
      <c r="C637" s="2196"/>
      <c r="D637" s="2197"/>
      <c r="E637" s="2197"/>
      <c r="F637" s="2196"/>
      <c r="G637" s="2196"/>
      <c r="H637" s="2196"/>
      <c r="I637" s="2196"/>
      <c r="J637" s="2196"/>
      <c r="K637" s="2176"/>
      <c r="L637" s="2176"/>
      <c r="M637" s="2176"/>
      <c r="N637" s="2176"/>
      <c r="O637" s="2176"/>
      <c r="P637" s="2176"/>
      <c r="Q637" s="2176"/>
      <c r="R637" s="2176"/>
      <c r="S637" s="2176"/>
      <c r="T637" s="2176"/>
      <c r="U637" s="2176"/>
      <c r="V637" s="2176"/>
      <c r="W637" s="2176"/>
      <c r="X637" s="2176"/>
      <c r="Y637" s="2176"/>
      <c r="Z637" s="13"/>
      <c r="AA637" s="13"/>
      <c r="AB637" s="13"/>
      <c r="AC637" s="13"/>
    </row>
    <row r="638" spans="1:29" ht="15.75" customHeight="1">
      <c r="A638" s="1933"/>
      <c r="B638" s="2196"/>
      <c r="C638" s="2196"/>
      <c r="D638" s="2197"/>
      <c r="E638" s="2197"/>
      <c r="F638" s="2196"/>
      <c r="G638" s="2196"/>
      <c r="H638" s="2196"/>
      <c r="I638" s="2196"/>
      <c r="J638" s="2196"/>
      <c r="K638" s="2176"/>
      <c r="L638" s="2176"/>
      <c r="M638" s="2176"/>
      <c r="N638" s="2176"/>
      <c r="O638" s="2176"/>
      <c r="P638" s="2176"/>
      <c r="Q638" s="2176"/>
      <c r="R638" s="2176"/>
      <c r="S638" s="2176"/>
      <c r="T638" s="2176"/>
      <c r="U638" s="2176"/>
      <c r="V638" s="2176"/>
      <c r="W638" s="2176"/>
      <c r="X638" s="2176"/>
      <c r="Y638" s="2176"/>
      <c r="Z638" s="13"/>
      <c r="AA638" s="13"/>
      <c r="AB638" s="13"/>
      <c r="AC638" s="13"/>
    </row>
    <row r="639" spans="1:29" ht="15.75" customHeight="1">
      <c r="A639" s="1933"/>
      <c r="B639" s="2196"/>
      <c r="C639" s="2196"/>
      <c r="D639" s="2197"/>
      <c r="E639" s="2197"/>
      <c r="F639" s="2196"/>
      <c r="G639" s="2196"/>
      <c r="H639" s="2196"/>
      <c r="I639" s="2196"/>
      <c r="J639" s="2196"/>
      <c r="K639" s="2176"/>
      <c r="L639" s="2176"/>
      <c r="M639" s="2176"/>
      <c r="N639" s="2176"/>
      <c r="O639" s="2176"/>
      <c r="P639" s="2176"/>
      <c r="Q639" s="2176"/>
      <c r="R639" s="2176"/>
      <c r="S639" s="2176"/>
      <c r="T639" s="2176"/>
      <c r="U639" s="2176"/>
      <c r="V639" s="2176"/>
      <c r="W639" s="2176"/>
      <c r="X639" s="2176"/>
      <c r="Y639" s="2176"/>
      <c r="Z639" s="13"/>
      <c r="AA639" s="13"/>
      <c r="AB639" s="13"/>
      <c r="AC639" s="13"/>
    </row>
    <row r="640" spans="1:29" ht="15.75" customHeight="1">
      <c r="A640" s="1933"/>
      <c r="B640" s="2196"/>
      <c r="C640" s="2196"/>
      <c r="D640" s="2197"/>
      <c r="E640" s="2197"/>
      <c r="F640" s="2196"/>
      <c r="G640" s="2196"/>
      <c r="H640" s="2196"/>
      <c r="I640" s="2196"/>
      <c r="J640" s="2196"/>
      <c r="K640" s="2176"/>
      <c r="L640" s="2176"/>
      <c r="M640" s="2176"/>
      <c r="N640" s="2176"/>
      <c r="O640" s="2176"/>
      <c r="P640" s="2176"/>
      <c r="Q640" s="2176"/>
      <c r="R640" s="2176"/>
      <c r="S640" s="2176"/>
      <c r="T640" s="2176"/>
      <c r="U640" s="2176"/>
      <c r="V640" s="2176"/>
      <c r="W640" s="2176"/>
      <c r="X640" s="2176"/>
      <c r="Y640" s="2176"/>
      <c r="Z640" s="13"/>
      <c r="AA640" s="13"/>
      <c r="AB640" s="13"/>
      <c r="AC640" s="13"/>
    </row>
    <row r="641" spans="1:29" ht="15.75" customHeight="1">
      <c r="A641" s="1933"/>
      <c r="B641" s="2196"/>
      <c r="C641" s="2196"/>
      <c r="D641" s="2197"/>
      <c r="E641" s="2197"/>
      <c r="F641" s="2196"/>
      <c r="G641" s="2196"/>
      <c r="H641" s="2196"/>
      <c r="I641" s="2196"/>
      <c r="J641" s="2196"/>
      <c r="K641" s="2176"/>
      <c r="L641" s="2176"/>
      <c r="M641" s="2176"/>
      <c r="N641" s="2176"/>
      <c r="O641" s="2176"/>
      <c r="P641" s="2176"/>
      <c r="Q641" s="2176"/>
      <c r="R641" s="2176"/>
      <c r="S641" s="2176"/>
      <c r="T641" s="2176"/>
      <c r="U641" s="2176"/>
      <c r="V641" s="2176"/>
      <c r="W641" s="2176"/>
      <c r="X641" s="2176"/>
      <c r="Y641" s="2176"/>
      <c r="Z641" s="13"/>
      <c r="AA641" s="13"/>
      <c r="AB641" s="13"/>
      <c r="AC641" s="13"/>
    </row>
    <row r="642" spans="1:29" ht="15.75" customHeight="1">
      <c r="A642" s="1933"/>
      <c r="B642" s="2196"/>
      <c r="C642" s="2196"/>
      <c r="D642" s="2197"/>
      <c r="E642" s="2197"/>
      <c r="F642" s="2196"/>
      <c r="G642" s="2196"/>
      <c r="H642" s="2196"/>
      <c r="I642" s="2196"/>
      <c r="J642" s="2196"/>
      <c r="K642" s="2176"/>
      <c r="L642" s="2176"/>
      <c r="M642" s="2176"/>
      <c r="N642" s="2176"/>
      <c r="O642" s="2176"/>
      <c r="P642" s="2176"/>
      <c r="Q642" s="2176"/>
      <c r="R642" s="2176"/>
      <c r="S642" s="2176"/>
      <c r="T642" s="2176"/>
      <c r="U642" s="2176"/>
      <c r="V642" s="2176"/>
      <c r="W642" s="2176"/>
      <c r="X642" s="2176"/>
      <c r="Y642" s="2176"/>
      <c r="Z642" s="13"/>
      <c r="AA642" s="13"/>
      <c r="AB642" s="13"/>
      <c r="AC642" s="13"/>
    </row>
    <row r="643" spans="1:29" ht="15.75" customHeight="1">
      <c r="A643" s="1933"/>
      <c r="B643" s="2196"/>
      <c r="C643" s="2196"/>
      <c r="D643" s="2197"/>
      <c r="E643" s="2197"/>
      <c r="F643" s="2196"/>
      <c r="G643" s="2196"/>
      <c r="H643" s="2196"/>
      <c r="I643" s="2196"/>
      <c r="J643" s="2196"/>
      <c r="K643" s="2176"/>
      <c r="L643" s="2176"/>
      <c r="M643" s="2176"/>
      <c r="N643" s="2176"/>
      <c r="O643" s="2176"/>
      <c r="P643" s="2176"/>
      <c r="Q643" s="2176"/>
      <c r="R643" s="2176"/>
      <c r="S643" s="2176"/>
      <c r="T643" s="2176"/>
      <c r="U643" s="2176"/>
      <c r="V643" s="2176"/>
      <c r="W643" s="2176"/>
      <c r="X643" s="2176"/>
      <c r="Y643" s="2176"/>
      <c r="Z643" s="13"/>
      <c r="AA643" s="13"/>
      <c r="AB643" s="13"/>
      <c r="AC643" s="13"/>
    </row>
    <row r="644" spans="1:29" ht="15.75" customHeight="1">
      <c r="A644" s="1933"/>
      <c r="B644" s="2196"/>
      <c r="C644" s="2196"/>
      <c r="D644" s="2197"/>
      <c r="E644" s="2197"/>
      <c r="F644" s="2196"/>
      <c r="G644" s="2196"/>
      <c r="H644" s="2196"/>
      <c r="I644" s="2196"/>
      <c r="J644" s="2196"/>
      <c r="K644" s="2176"/>
      <c r="L644" s="2176"/>
      <c r="M644" s="2176"/>
      <c r="N644" s="2176"/>
      <c r="O644" s="2176"/>
      <c r="P644" s="2176"/>
      <c r="Q644" s="2176"/>
      <c r="R644" s="2176"/>
      <c r="S644" s="2176"/>
      <c r="T644" s="2176"/>
      <c r="U644" s="2176"/>
      <c r="V644" s="2176"/>
      <c r="W644" s="2176"/>
      <c r="X644" s="2176"/>
      <c r="Y644" s="2176"/>
      <c r="Z644" s="13"/>
      <c r="AA644" s="13"/>
      <c r="AB644" s="13"/>
      <c r="AC644" s="13"/>
    </row>
    <row r="645" spans="1:29" ht="15.75" customHeight="1">
      <c r="A645" s="1933"/>
      <c r="B645" s="2196"/>
      <c r="C645" s="2196"/>
      <c r="D645" s="2197"/>
      <c r="E645" s="2197"/>
      <c r="F645" s="2196"/>
      <c r="G645" s="2196"/>
      <c r="H645" s="2196"/>
      <c r="I645" s="2196"/>
      <c r="J645" s="2196"/>
      <c r="K645" s="2176"/>
      <c r="L645" s="2176"/>
      <c r="M645" s="2176"/>
      <c r="N645" s="2176"/>
      <c r="O645" s="2176"/>
      <c r="P645" s="2176"/>
      <c r="Q645" s="2176"/>
      <c r="R645" s="2176"/>
      <c r="S645" s="2176"/>
      <c r="T645" s="2176"/>
      <c r="U645" s="2176"/>
      <c r="V645" s="2176"/>
      <c r="W645" s="2176"/>
      <c r="X645" s="2176"/>
      <c r="Y645" s="2176"/>
      <c r="Z645" s="13"/>
      <c r="AA645" s="13"/>
      <c r="AB645" s="13"/>
      <c r="AC645" s="13"/>
    </row>
    <row r="646" spans="1:29" ht="15.75" customHeight="1">
      <c r="A646" s="1933"/>
      <c r="B646" s="2196"/>
      <c r="C646" s="2196"/>
      <c r="D646" s="2197"/>
      <c r="E646" s="2197"/>
      <c r="F646" s="2196"/>
      <c r="G646" s="2196"/>
      <c r="H646" s="2196"/>
      <c r="I646" s="2196"/>
      <c r="J646" s="2196"/>
      <c r="K646" s="2176"/>
      <c r="L646" s="2176"/>
      <c r="M646" s="2176"/>
      <c r="N646" s="2176"/>
      <c r="O646" s="2176"/>
      <c r="P646" s="2176"/>
      <c r="Q646" s="2176"/>
      <c r="R646" s="2176"/>
      <c r="S646" s="2176"/>
      <c r="T646" s="2176"/>
      <c r="U646" s="2176"/>
      <c r="V646" s="2176"/>
      <c r="W646" s="2176"/>
      <c r="X646" s="2176"/>
      <c r="Y646" s="2176"/>
      <c r="Z646" s="13"/>
      <c r="AA646" s="13"/>
      <c r="AB646" s="13"/>
      <c r="AC646" s="13"/>
    </row>
    <row r="647" spans="1:29" ht="15.75" customHeight="1">
      <c r="A647" s="1933"/>
      <c r="B647" s="2196"/>
      <c r="C647" s="2196"/>
      <c r="D647" s="2197"/>
      <c r="E647" s="2197"/>
      <c r="F647" s="2196"/>
      <c r="G647" s="2196"/>
      <c r="H647" s="2196"/>
      <c r="I647" s="2196"/>
      <c r="J647" s="2196"/>
      <c r="K647" s="2176"/>
      <c r="L647" s="2176"/>
      <c r="M647" s="2176"/>
      <c r="N647" s="2176"/>
      <c r="O647" s="2176"/>
      <c r="P647" s="2176"/>
      <c r="Q647" s="2176"/>
      <c r="R647" s="2176"/>
      <c r="S647" s="2176"/>
      <c r="T647" s="2176"/>
      <c r="U647" s="2176"/>
      <c r="V647" s="2176"/>
      <c r="W647" s="2176"/>
      <c r="X647" s="2176"/>
      <c r="Y647" s="2176"/>
      <c r="Z647" s="13"/>
      <c r="AA647" s="13"/>
      <c r="AB647" s="13"/>
      <c r="AC647" s="13"/>
    </row>
    <row r="648" spans="1:29" ht="15.75" customHeight="1">
      <c r="A648" s="1933"/>
      <c r="B648" s="2196"/>
      <c r="C648" s="2196"/>
      <c r="D648" s="2197"/>
      <c r="E648" s="2197"/>
      <c r="F648" s="2196"/>
      <c r="G648" s="2196"/>
      <c r="H648" s="2196"/>
      <c r="I648" s="2196"/>
      <c r="J648" s="2196"/>
      <c r="K648" s="2176"/>
      <c r="L648" s="2176"/>
      <c r="M648" s="2176"/>
      <c r="N648" s="2176"/>
      <c r="O648" s="2176"/>
      <c r="P648" s="2176"/>
      <c r="Q648" s="2176"/>
      <c r="R648" s="2176"/>
      <c r="S648" s="2176"/>
      <c r="T648" s="2176"/>
      <c r="U648" s="2176"/>
      <c r="V648" s="2176"/>
      <c r="W648" s="2176"/>
      <c r="X648" s="2176"/>
      <c r="Y648" s="2176"/>
      <c r="Z648" s="13"/>
      <c r="AA648" s="13"/>
      <c r="AB648" s="13"/>
      <c r="AC648" s="13"/>
    </row>
    <row r="649" spans="1:29" ht="15.75" customHeight="1">
      <c r="A649" s="1933"/>
      <c r="B649" s="2196"/>
      <c r="C649" s="2196"/>
      <c r="D649" s="2197"/>
      <c r="E649" s="2197"/>
      <c r="F649" s="2196"/>
      <c r="G649" s="2196"/>
      <c r="H649" s="2196"/>
      <c r="I649" s="2196"/>
      <c r="J649" s="2196"/>
      <c r="K649" s="2176"/>
      <c r="L649" s="2176"/>
      <c r="M649" s="2176"/>
      <c r="N649" s="2176"/>
      <c r="O649" s="2176"/>
      <c r="P649" s="2176"/>
      <c r="Q649" s="2176"/>
      <c r="R649" s="2176"/>
      <c r="S649" s="2176"/>
      <c r="T649" s="2176"/>
      <c r="U649" s="2176"/>
      <c r="V649" s="2176"/>
      <c r="W649" s="2176"/>
      <c r="X649" s="2176"/>
      <c r="Y649" s="2176"/>
      <c r="Z649" s="13"/>
      <c r="AA649" s="13"/>
      <c r="AB649" s="13"/>
      <c r="AC649" s="13"/>
    </row>
    <row r="650" spans="1:29" ht="15.75" customHeight="1">
      <c r="A650" s="1933"/>
      <c r="B650" s="2196"/>
      <c r="C650" s="2196"/>
      <c r="D650" s="2197"/>
      <c r="E650" s="2197"/>
      <c r="F650" s="2196"/>
      <c r="G650" s="2196"/>
      <c r="H650" s="2196"/>
      <c r="I650" s="2196"/>
      <c r="J650" s="2196"/>
      <c r="K650" s="2176"/>
      <c r="L650" s="2176"/>
      <c r="M650" s="2176"/>
      <c r="N650" s="2176"/>
      <c r="O650" s="2176"/>
      <c r="P650" s="2176"/>
      <c r="Q650" s="2176"/>
      <c r="R650" s="2176"/>
      <c r="S650" s="2176"/>
      <c r="T650" s="2176"/>
      <c r="U650" s="2176"/>
      <c r="V650" s="2176"/>
      <c r="W650" s="2176"/>
      <c r="X650" s="2176"/>
      <c r="Y650" s="2176"/>
      <c r="Z650" s="13"/>
      <c r="AA650" s="13"/>
      <c r="AB650" s="13"/>
      <c r="AC650" s="13"/>
    </row>
    <row r="651" spans="1:29" ht="15.75" customHeight="1">
      <c r="A651" s="1933"/>
      <c r="B651" s="2196"/>
      <c r="C651" s="2196"/>
      <c r="D651" s="2197"/>
      <c r="E651" s="2197"/>
      <c r="F651" s="2196"/>
      <c r="G651" s="2196"/>
      <c r="H651" s="2196"/>
      <c r="I651" s="2196"/>
      <c r="J651" s="2196"/>
      <c r="K651" s="2176"/>
      <c r="L651" s="2176"/>
      <c r="M651" s="2176"/>
      <c r="N651" s="2176"/>
      <c r="O651" s="2176"/>
      <c r="P651" s="2176"/>
      <c r="Q651" s="2176"/>
      <c r="R651" s="2176"/>
      <c r="S651" s="2176"/>
      <c r="T651" s="2176"/>
      <c r="U651" s="2176"/>
      <c r="V651" s="2176"/>
      <c r="W651" s="2176"/>
      <c r="X651" s="2176"/>
      <c r="Y651" s="2176"/>
      <c r="Z651" s="13"/>
      <c r="AA651" s="13"/>
      <c r="AB651" s="13"/>
      <c r="AC651" s="13"/>
    </row>
    <row r="652" spans="1:29" ht="15.75" customHeight="1">
      <c r="A652" s="1933"/>
      <c r="B652" s="2196"/>
      <c r="C652" s="2196"/>
      <c r="D652" s="2197"/>
      <c r="E652" s="2197"/>
      <c r="F652" s="2196"/>
      <c r="G652" s="2196"/>
      <c r="H652" s="2196"/>
      <c r="I652" s="2196"/>
      <c r="J652" s="2196"/>
      <c r="K652" s="2176"/>
      <c r="L652" s="2176"/>
      <c r="M652" s="2176"/>
      <c r="N652" s="2176"/>
      <c r="O652" s="2176"/>
      <c r="P652" s="2176"/>
      <c r="Q652" s="2176"/>
      <c r="R652" s="2176"/>
      <c r="S652" s="2176"/>
      <c r="T652" s="2176"/>
      <c r="U652" s="2176"/>
      <c r="V652" s="2176"/>
      <c r="W652" s="2176"/>
      <c r="X652" s="2176"/>
      <c r="Y652" s="2176"/>
      <c r="Z652" s="13"/>
      <c r="AA652" s="13"/>
      <c r="AB652" s="13"/>
      <c r="AC652" s="13"/>
    </row>
    <row r="653" spans="1:29" ht="15.75" customHeight="1">
      <c r="A653" s="1933"/>
      <c r="B653" s="2196"/>
      <c r="C653" s="2196"/>
      <c r="D653" s="2197"/>
      <c r="E653" s="2197"/>
      <c r="F653" s="2196"/>
      <c r="G653" s="2196"/>
      <c r="H653" s="2196"/>
      <c r="I653" s="2196"/>
      <c r="J653" s="2196"/>
      <c r="K653" s="2176"/>
      <c r="L653" s="2176"/>
      <c r="M653" s="2176"/>
      <c r="N653" s="2176"/>
      <c r="O653" s="2176"/>
      <c r="P653" s="2176"/>
      <c r="Q653" s="2176"/>
      <c r="R653" s="2176"/>
      <c r="S653" s="2176"/>
      <c r="T653" s="2176"/>
      <c r="U653" s="2176"/>
      <c r="V653" s="2176"/>
      <c r="W653" s="2176"/>
      <c r="X653" s="2176"/>
      <c r="Y653" s="2176"/>
      <c r="Z653" s="13"/>
      <c r="AA653" s="13"/>
      <c r="AB653" s="13"/>
      <c r="AC653" s="13"/>
    </row>
    <row r="654" spans="1:29" ht="15.75" customHeight="1">
      <c r="A654" s="1933"/>
      <c r="B654" s="2196"/>
      <c r="C654" s="2196"/>
      <c r="D654" s="2197"/>
      <c r="E654" s="2197"/>
      <c r="F654" s="2196"/>
      <c r="G654" s="2196"/>
      <c r="H654" s="2196"/>
      <c r="I654" s="2196"/>
      <c r="J654" s="2196"/>
      <c r="K654" s="2176"/>
      <c r="L654" s="2176"/>
      <c r="M654" s="2176"/>
      <c r="N654" s="2176"/>
      <c r="O654" s="2176"/>
      <c r="P654" s="2176"/>
      <c r="Q654" s="2176"/>
      <c r="R654" s="2176"/>
      <c r="S654" s="2176"/>
      <c r="T654" s="2176"/>
      <c r="U654" s="2176"/>
      <c r="V654" s="2176"/>
      <c r="W654" s="2176"/>
      <c r="X654" s="2176"/>
      <c r="Y654" s="2176"/>
      <c r="Z654" s="13"/>
      <c r="AA654" s="13"/>
      <c r="AB654" s="13"/>
      <c r="AC654" s="13"/>
    </row>
    <row r="655" spans="1:29" ht="15.75" customHeight="1">
      <c r="A655" s="1933"/>
      <c r="B655" s="2196"/>
      <c r="C655" s="2196"/>
      <c r="D655" s="2197"/>
      <c r="E655" s="2197"/>
      <c r="F655" s="2196"/>
      <c r="G655" s="2196"/>
      <c r="H655" s="2196"/>
      <c r="I655" s="2196"/>
      <c r="J655" s="2196"/>
      <c r="K655" s="2176"/>
      <c r="L655" s="2176"/>
      <c r="M655" s="2176"/>
      <c r="N655" s="2176"/>
      <c r="O655" s="2176"/>
      <c r="P655" s="2176"/>
      <c r="Q655" s="2176"/>
      <c r="R655" s="2176"/>
      <c r="S655" s="2176"/>
      <c r="T655" s="2176"/>
      <c r="U655" s="2176"/>
      <c r="V655" s="2176"/>
      <c r="W655" s="2176"/>
      <c r="X655" s="2176"/>
      <c r="Y655" s="2176"/>
      <c r="Z655" s="13"/>
      <c r="AA655" s="13"/>
      <c r="AB655" s="13"/>
      <c r="AC655" s="13"/>
    </row>
    <row r="656" spans="1:29" ht="15.75" customHeight="1">
      <c r="A656" s="1933"/>
      <c r="B656" s="2196"/>
      <c r="C656" s="2196"/>
      <c r="D656" s="2197"/>
      <c r="E656" s="2197"/>
      <c r="F656" s="2196"/>
      <c r="G656" s="2196"/>
      <c r="H656" s="2196"/>
      <c r="I656" s="2196"/>
      <c r="J656" s="2196"/>
      <c r="K656" s="2176"/>
      <c r="L656" s="2176"/>
      <c r="M656" s="2176"/>
      <c r="N656" s="2176"/>
      <c r="O656" s="2176"/>
      <c r="P656" s="2176"/>
      <c r="Q656" s="2176"/>
      <c r="R656" s="2176"/>
      <c r="S656" s="2176"/>
      <c r="T656" s="2176"/>
      <c r="U656" s="2176"/>
      <c r="V656" s="2176"/>
      <c r="W656" s="2176"/>
      <c r="X656" s="2176"/>
      <c r="Y656" s="2176"/>
      <c r="Z656" s="13"/>
      <c r="AA656" s="13"/>
      <c r="AB656" s="13"/>
      <c r="AC656" s="13"/>
    </row>
    <row r="657" spans="1:29" ht="15.75" customHeight="1">
      <c r="A657" s="1933"/>
      <c r="B657" s="2196"/>
      <c r="C657" s="2196"/>
      <c r="D657" s="2197"/>
      <c r="E657" s="2197"/>
      <c r="F657" s="2196"/>
      <c r="G657" s="2196"/>
      <c r="H657" s="2196"/>
      <c r="I657" s="2196"/>
      <c r="J657" s="2196"/>
      <c r="K657" s="2176"/>
      <c r="L657" s="2176"/>
      <c r="M657" s="2176"/>
      <c r="N657" s="2176"/>
      <c r="O657" s="2176"/>
      <c r="P657" s="2176"/>
      <c r="Q657" s="2176"/>
      <c r="R657" s="2176"/>
      <c r="S657" s="2176"/>
      <c r="T657" s="2176"/>
      <c r="U657" s="2176"/>
      <c r="V657" s="2176"/>
      <c r="W657" s="2176"/>
      <c r="X657" s="2176"/>
      <c r="Y657" s="2176"/>
      <c r="Z657" s="13"/>
      <c r="AA657" s="13"/>
      <c r="AB657" s="13"/>
      <c r="AC657" s="13"/>
    </row>
    <row r="658" spans="1:29" ht="15.75" customHeight="1">
      <c r="A658" s="1933"/>
      <c r="B658" s="2196"/>
      <c r="C658" s="2196"/>
      <c r="D658" s="2197"/>
      <c r="E658" s="2197"/>
      <c r="F658" s="2196"/>
      <c r="G658" s="2196"/>
      <c r="H658" s="2196"/>
      <c r="I658" s="2196"/>
      <c r="J658" s="2196"/>
      <c r="K658" s="2176"/>
      <c r="L658" s="2176"/>
      <c r="M658" s="2176"/>
      <c r="N658" s="2176"/>
      <c r="O658" s="2176"/>
      <c r="P658" s="2176"/>
      <c r="Q658" s="2176"/>
      <c r="R658" s="2176"/>
      <c r="S658" s="2176"/>
      <c r="T658" s="2176"/>
      <c r="U658" s="2176"/>
      <c r="V658" s="2176"/>
      <c r="W658" s="2176"/>
      <c r="X658" s="2176"/>
      <c r="Y658" s="2176"/>
      <c r="Z658" s="13"/>
      <c r="AA658" s="13"/>
      <c r="AB658" s="13"/>
      <c r="AC658" s="13"/>
    </row>
    <row r="659" spans="1:29" ht="15.75" customHeight="1">
      <c r="A659" s="1933"/>
      <c r="B659" s="2196"/>
      <c r="C659" s="2196"/>
      <c r="D659" s="2197"/>
      <c r="E659" s="2197"/>
      <c r="F659" s="2196"/>
      <c r="G659" s="2196"/>
      <c r="H659" s="2196"/>
      <c r="I659" s="2196"/>
      <c r="J659" s="2196"/>
      <c r="K659" s="2176"/>
      <c r="L659" s="2176"/>
      <c r="M659" s="2176"/>
      <c r="N659" s="2176"/>
      <c r="O659" s="2176"/>
      <c r="P659" s="2176"/>
      <c r="Q659" s="2176"/>
      <c r="R659" s="2176"/>
      <c r="S659" s="2176"/>
      <c r="T659" s="2176"/>
      <c r="U659" s="2176"/>
      <c r="V659" s="2176"/>
      <c r="W659" s="2176"/>
      <c r="X659" s="2176"/>
      <c r="Y659" s="2176"/>
      <c r="Z659" s="13"/>
      <c r="AA659" s="13"/>
      <c r="AB659" s="13"/>
      <c r="AC659" s="13"/>
    </row>
    <row r="660" spans="1:29" ht="15.75" customHeight="1">
      <c r="A660" s="1933"/>
      <c r="B660" s="2196"/>
      <c r="C660" s="2196"/>
      <c r="D660" s="2197"/>
      <c r="E660" s="2197"/>
      <c r="F660" s="2196"/>
      <c r="G660" s="2196"/>
      <c r="H660" s="2196"/>
      <c r="I660" s="2196"/>
      <c r="J660" s="2196"/>
      <c r="K660" s="2176"/>
      <c r="L660" s="2176"/>
      <c r="M660" s="2176"/>
      <c r="N660" s="2176"/>
      <c r="O660" s="2176"/>
      <c r="P660" s="2176"/>
      <c r="Q660" s="2176"/>
      <c r="R660" s="2176"/>
      <c r="S660" s="2176"/>
      <c r="T660" s="2176"/>
      <c r="U660" s="2176"/>
      <c r="V660" s="2176"/>
      <c r="W660" s="2176"/>
      <c r="X660" s="2176"/>
      <c r="Y660" s="2176"/>
      <c r="Z660" s="13"/>
      <c r="AA660" s="13"/>
      <c r="AB660" s="13"/>
      <c r="AC660" s="13"/>
    </row>
    <row r="661" spans="1:29" ht="15.75" customHeight="1">
      <c r="A661" s="1933"/>
      <c r="B661" s="2196"/>
      <c r="C661" s="2196"/>
      <c r="D661" s="2197"/>
      <c r="E661" s="2197"/>
      <c r="F661" s="2196"/>
      <c r="G661" s="2196"/>
      <c r="H661" s="2196"/>
      <c r="I661" s="2196"/>
      <c r="J661" s="2196"/>
      <c r="K661" s="2176"/>
      <c r="L661" s="2176"/>
      <c r="M661" s="2176"/>
      <c r="N661" s="2176"/>
      <c r="O661" s="2176"/>
      <c r="P661" s="2176"/>
      <c r="Q661" s="2176"/>
      <c r="R661" s="2176"/>
      <c r="S661" s="2176"/>
      <c r="T661" s="2176"/>
      <c r="U661" s="2176"/>
      <c r="V661" s="2176"/>
      <c r="W661" s="2176"/>
      <c r="X661" s="2176"/>
      <c r="Y661" s="2176"/>
      <c r="Z661" s="13"/>
      <c r="AA661" s="13"/>
      <c r="AB661" s="13"/>
      <c r="AC661" s="13"/>
    </row>
    <row r="662" spans="1:29" ht="15.75" customHeight="1">
      <c r="A662" s="1933"/>
      <c r="B662" s="2196"/>
      <c r="C662" s="2196"/>
      <c r="D662" s="2197"/>
      <c r="E662" s="2197"/>
      <c r="F662" s="2196"/>
      <c r="G662" s="2196"/>
      <c r="H662" s="2196"/>
      <c r="I662" s="2196"/>
      <c r="J662" s="2196"/>
      <c r="K662" s="2176"/>
      <c r="L662" s="2176"/>
      <c r="M662" s="2176"/>
      <c r="N662" s="2176"/>
      <c r="O662" s="2176"/>
      <c r="P662" s="2176"/>
      <c r="Q662" s="2176"/>
      <c r="R662" s="2176"/>
      <c r="S662" s="2176"/>
      <c r="T662" s="2176"/>
      <c r="U662" s="2176"/>
      <c r="V662" s="2176"/>
      <c r="W662" s="2176"/>
      <c r="X662" s="2176"/>
      <c r="Y662" s="2176"/>
      <c r="Z662" s="13"/>
      <c r="AA662" s="13"/>
      <c r="AB662" s="13"/>
      <c r="AC662" s="13"/>
    </row>
    <row r="663" spans="1:29" ht="15.75" customHeight="1">
      <c r="A663" s="1933"/>
      <c r="B663" s="2196"/>
      <c r="C663" s="2196"/>
      <c r="D663" s="2197"/>
      <c r="E663" s="2197"/>
      <c r="F663" s="2196"/>
      <c r="G663" s="2196"/>
      <c r="H663" s="2196"/>
      <c r="I663" s="2196"/>
      <c r="J663" s="2196"/>
      <c r="K663" s="2176"/>
      <c r="L663" s="2176"/>
      <c r="M663" s="2176"/>
      <c r="N663" s="2176"/>
      <c r="O663" s="2176"/>
      <c r="P663" s="2176"/>
      <c r="Q663" s="2176"/>
      <c r="R663" s="2176"/>
      <c r="S663" s="2176"/>
      <c r="T663" s="2176"/>
      <c r="U663" s="2176"/>
      <c r="V663" s="2176"/>
      <c r="W663" s="2176"/>
      <c r="X663" s="2176"/>
      <c r="Y663" s="2176"/>
      <c r="Z663" s="13"/>
      <c r="AA663" s="13"/>
      <c r="AB663" s="13"/>
      <c r="AC663" s="13"/>
    </row>
    <row r="664" spans="1:29" ht="15.75" customHeight="1">
      <c r="A664" s="1933"/>
      <c r="B664" s="2196"/>
      <c r="C664" s="2196"/>
      <c r="D664" s="2197"/>
      <c r="E664" s="2197"/>
      <c r="F664" s="2196"/>
      <c r="G664" s="2196"/>
      <c r="H664" s="2196"/>
      <c r="I664" s="2196"/>
      <c r="J664" s="2196"/>
      <c r="K664" s="2176"/>
      <c r="L664" s="2176"/>
      <c r="M664" s="2176"/>
      <c r="N664" s="2176"/>
      <c r="O664" s="2176"/>
      <c r="P664" s="2176"/>
      <c r="Q664" s="2176"/>
      <c r="R664" s="2176"/>
      <c r="S664" s="2176"/>
      <c r="T664" s="2176"/>
      <c r="U664" s="2176"/>
      <c r="V664" s="2176"/>
      <c r="W664" s="2176"/>
      <c r="X664" s="2176"/>
      <c r="Y664" s="2176"/>
      <c r="Z664" s="13"/>
      <c r="AA664" s="13"/>
      <c r="AB664" s="13"/>
      <c r="AC664" s="13"/>
    </row>
    <row r="665" spans="1:29" ht="15.75" customHeight="1">
      <c r="A665" s="1933"/>
      <c r="B665" s="2196"/>
      <c r="C665" s="2196"/>
      <c r="D665" s="2197"/>
      <c r="E665" s="2197"/>
      <c r="F665" s="2196"/>
      <c r="G665" s="2196"/>
      <c r="H665" s="2196"/>
      <c r="I665" s="2196"/>
      <c r="J665" s="2196"/>
      <c r="K665" s="2176"/>
      <c r="L665" s="2176"/>
      <c r="M665" s="2176"/>
      <c r="N665" s="2176"/>
      <c r="O665" s="2176"/>
      <c r="P665" s="2176"/>
      <c r="Q665" s="2176"/>
      <c r="R665" s="2176"/>
      <c r="S665" s="2176"/>
      <c r="T665" s="2176"/>
      <c r="U665" s="2176"/>
      <c r="V665" s="2176"/>
      <c r="W665" s="2176"/>
      <c r="X665" s="2176"/>
      <c r="Y665" s="2176"/>
      <c r="Z665" s="13"/>
      <c r="AA665" s="13"/>
      <c r="AB665" s="13"/>
      <c r="AC665" s="13"/>
    </row>
    <row r="666" spans="1:29" ht="15.75" customHeight="1">
      <c r="A666" s="1933"/>
      <c r="B666" s="2196"/>
      <c r="C666" s="2196"/>
      <c r="D666" s="2197"/>
      <c r="E666" s="2197"/>
      <c r="F666" s="2196"/>
      <c r="G666" s="2196"/>
      <c r="H666" s="2196"/>
      <c r="I666" s="2196"/>
      <c r="J666" s="2196"/>
      <c r="K666" s="2176"/>
      <c r="L666" s="2176"/>
      <c r="M666" s="2176"/>
      <c r="N666" s="2176"/>
      <c r="O666" s="2176"/>
      <c r="P666" s="2176"/>
      <c r="Q666" s="2176"/>
      <c r="R666" s="2176"/>
      <c r="S666" s="2176"/>
      <c r="T666" s="2176"/>
      <c r="U666" s="2176"/>
      <c r="V666" s="2176"/>
      <c r="W666" s="2176"/>
      <c r="X666" s="2176"/>
      <c r="Y666" s="2176"/>
      <c r="Z666" s="13"/>
      <c r="AA666" s="13"/>
      <c r="AB666" s="13"/>
      <c r="AC666" s="13"/>
    </row>
    <row r="667" spans="1:29" ht="15.75" customHeight="1">
      <c r="A667" s="1933"/>
      <c r="B667" s="2196"/>
      <c r="C667" s="2196"/>
      <c r="D667" s="2197"/>
      <c r="E667" s="2197"/>
      <c r="F667" s="2196"/>
      <c r="G667" s="2196"/>
      <c r="H667" s="2196"/>
      <c r="I667" s="2196"/>
      <c r="J667" s="2196"/>
      <c r="K667" s="2176"/>
      <c r="L667" s="2176"/>
      <c r="M667" s="2176"/>
      <c r="N667" s="2176"/>
      <c r="O667" s="2176"/>
      <c r="P667" s="2176"/>
      <c r="Q667" s="2176"/>
      <c r="R667" s="2176"/>
      <c r="S667" s="2176"/>
      <c r="T667" s="2176"/>
      <c r="U667" s="2176"/>
      <c r="V667" s="2176"/>
      <c r="W667" s="2176"/>
      <c r="X667" s="2176"/>
      <c r="Y667" s="2176"/>
      <c r="Z667" s="13"/>
      <c r="AA667" s="13"/>
      <c r="AB667" s="13"/>
      <c r="AC667" s="13"/>
    </row>
    <row r="668" spans="1:29" ht="15.75" customHeight="1">
      <c r="A668" s="1933"/>
      <c r="B668" s="2196"/>
      <c r="C668" s="2196"/>
      <c r="D668" s="2197"/>
      <c r="E668" s="2197"/>
      <c r="F668" s="2196"/>
      <c r="G668" s="2196"/>
      <c r="H668" s="2196"/>
      <c r="I668" s="2196"/>
      <c r="J668" s="2196"/>
      <c r="K668" s="2176"/>
      <c r="L668" s="2176"/>
      <c r="M668" s="2176"/>
      <c r="N668" s="2176"/>
      <c r="O668" s="2176"/>
      <c r="P668" s="2176"/>
      <c r="Q668" s="2176"/>
      <c r="R668" s="2176"/>
      <c r="S668" s="2176"/>
      <c r="T668" s="2176"/>
      <c r="U668" s="2176"/>
      <c r="V668" s="2176"/>
      <c r="W668" s="2176"/>
      <c r="X668" s="2176"/>
      <c r="Y668" s="2176"/>
      <c r="Z668" s="13"/>
      <c r="AA668" s="13"/>
      <c r="AB668" s="13"/>
      <c r="AC668" s="13"/>
    </row>
    <row r="669" spans="1:29" ht="15.75" customHeight="1">
      <c r="A669" s="1933"/>
      <c r="B669" s="2196"/>
      <c r="C669" s="2196"/>
      <c r="D669" s="2197"/>
      <c r="E669" s="2197"/>
      <c r="F669" s="2196"/>
      <c r="G669" s="2196"/>
      <c r="H669" s="2196"/>
      <c r="I669" s="2196"/>
      <c r="J669" s="2196"/>
      <c r="K669" s="2176"/>
      <c r="L669" s="2176"/>
      <c r="M669" s="2176"/>
      <c r="N669" s="2176"/>
      <c r="O669" s="2176"/>
      <c r="P669" s="2176"/>
      <c r="Q669" s="2176"/>
      <c r="R669" s="2176"/>
      <c r="S669" s="2176"/>
      <c r="T669" s="2176"/>
      <c r="U669" s="2176"/>
      <c r="V669" s="2176"/>
      <c r="W669" s="2176"/>
      <c r="X669" s="2176"/>
      <c r="Y669" s="2176"/>
      <c r="Z669" s="13"/>
      <c r="AA669" s="13"/>
      <c r="AB669" s="13"/>
      <c r="AC669" s="13"/>
    </row>
    <row r="670" spans="1:29" ht="15.75" customHeight="1">
      <c r="A670" s="1933"/>
      <c r="B670" s="2196"/>
      <c r="C670" s="2196"/>
      <c r="D670" s="2197"/>
      <c r="E670" s="2197"/>
      <c r="F670" s="2196"/>
      <c r="G670" s="2196"/>
      <c r="H670" s="2196"/>
      <c r="I670" s="2196"/>
      <c r="J670" s="2196"/>
      <c r="K670" s="2176"/>
      <c r="L670" s="2176"/>
      <c r="M670" s="2176"/>
      <c r="N670" s="2176"/>
      <c r="O670" s="2176"/>
      <c r="P670" s="2176"/>
      <c r="Q670" s="2176"/>
      <c r="R670" s="2176"/>
      <c r="S670" s="2176"/>
      <c r="T670" s="2176"/>
      <c r="U670" s="2176"/>
      <c r="V670" s="2176"/>
      <c r="W670" s="2176"/>
      <c r="X670" s="2176"/>
      <c r="Y670" s="2176"/>
      <c r="Z670" s="13"/>
      <c r="AA670" s="13"/>
      <c r="AB670" s="13"/>
      <c r="AC670" s="13"/>
    </row>
    <row r="671" spans="1:29" ht="15.75" customHeight="1">
      <c r="A671" s="1933"/>
      <c r="B671" s="2196"/>
      <c r="C671" s="2196"/>
      <c r="D671" s="2197"/>
      <c r="E671" s="2197"/>
      <c r="F671" s="2196"/>
      <c r="G671" s="2196"/>
      <c r="H671" s="2196"/>
      <c r="I671" s="2196"/>
      <c r="J671" s="2196"/>
      <c r="K671" s="2176"/>
      <c r="L671" s="2176"/>
      <c r="M671" s="2176"/>
      <c r="N671" s="2176"/>
      <c r="O671" s="2176"/>
      <c r="P671" s="2176"/>
      <c r="Q671" s="2176"/>
      <c r="R671" s="2176"/>
      <c r="S671" s="2176"/>
      <c r="T671" s="2176"/>
      <c r="U671" s="2176"/>
      <c r="V671" s="2176"/>
      <c r="W671" s="2176"/>
      <c r="X671" s="2176"/>
      <c r="Y671" s="2176"/>
      <c r="Z671" s="13"/>
      <c r="AA671" s="13"/>
      <c r="AB671" s="13"/>
      <c r="AC671" s="13"/>
    </row>
    <row r="672" spans="1:29" ht="15.75" customHeight="1">
      <c r="A672" s="1933"/>
      <c r="B672" s="2196"/>
      <c r="C672" s="2196"/>
      <c r="D672" s="2197"/>
      <c r="E672" s="2197"/>
      <c r="F672" s="2196"/>
      <c r="G672" s="2196"/>
      <c r="H672" s="2196"/>
      <c r="I672" s="2196"/>
      <c r="J672" s="2196"/>
      <c r="K672" s="2176"/>
      <c r="L672" s="2176"/>
      <c r="M672" s="2176"/>
      <c r="N672" s="2176"/>
      <c r="O672" s="2176"/>
      <c r="P672" s="2176"/>
      <c r="Q672" s="2176"/>
      <c r="R672" s="2176"/>
      <c r="S672" s="2176"/>
      <c r="T672" s="2176"/>
      <c r="U672" s="2176"/>
      <c r="V672" s="2176"/>
      <c r="W672" s="2176"/>
      <c r="X672" s="2176"/>
      <c r="Y672" s="2176"/>
      <c r="Z672" s="13"/>
      <c r="AA672" s="13"/>
      <c r="AB672" s="13"/>
      <c r="AC672" s="13"/>
    </row>
    <row r="673" spans="1:29" ht="15.75" customHeight="1">
      <c r="A673" s="1933"/>
      <c r="B673" s="2196"/>
      <c r="C673" s="2196"/>
      <c r="D673" s="2197"/>
      <c r="E673" s="2197"/>
      <c r="F673" s="2196"/>
      <c r="G673" s="2196"/>
      <c r="H673" s="2196"/>
      <c r="I673" s="2196"/>
      <c r="J673" s="2196"/>
      <c r="K673" s="2176"/>
      <c r="L673" s="2176"/>
      <c r="M673" s="2176"/>
      <c r="N673" s="2176"/>
      <c r="O673" s="2176"/>
      <c r="P673" s="2176"/>
      <c r="Q673" s="2176"/>
      <c r="R673" s="2176"/>
      <c r="S673" s="2176"/>
      <c r="T673" s="2176"/>
      <c r="U673" s="2176"/>
      <c r="V673" s="2176"/>
      <c r="W673" s="2176"/>
      <c r="X673" s="2176"/>
      <c r="Y673" s="2176"/>
      <c r="Z673" s="13"/>
      <c r="AA673" s="13"/>
      <c r="AB673" s="13"/>
      <c r="AC673" s="13"/>
    </row>
    <row r="674" spans="1:29" ht="15.75" customHeight="1">
      <c r="A674" s="1933"/>
      <c r="B674" s="2196"/>
      <c r="C674" s="2196"/>
      <c r="D674" s="2197"/>
      <c r="E674" s="2197"/>
      <c r="F674" s="2196"/>
      <c r="G674" s="2196"/>
      <c r="H674" s="2196"/>
      <c r="I674" s="2196"/>
      <c r="J674" s="2196"/>
      <c r="K674" s="2176"/>
      <c r="L674" s="2176"/>
      <c r="M674" s="2176"/>
      <c r="N674" s="2176"/>
      <c r="O674" s="2176"/>
      <c r="P674" s="2176"/>
      <c r="Q674" s="2176"/>
      <c r="R674" s="2176"/>
      <c r="S674" s="2176"/>
      <c r="T674" s="2176"/>
      <c r="U674" s="2176"/>
      <c r="V674" s="2176"/>
      <c r="W674" s="2176"/>
      <c r="X674" s="2176"/>
      <c r="Y674" s="2176"/>
      <c r="Z674" s="13"/>
      <c r="AA674" s="13"/>
      <c r="AB674" s="13"/>
      <c r="AC674" s="13"/>
    </row>
    <row r="675" spans="1:29" ht="15.75" customHeight="1">
      <c r="A675" s="1933"/>
      <c r="B675" s="2196"/>
      <c r="C675" s="2196"/>
      <c r="D675" s="2197"/>
      <c r="E675" s="2197"/>
      <c r="F675" s="2196"/>
      <c r="G675" s="2196"/>
      <c r="H675" s="2196"/>
      <c r="I675" s="2196"/>
      <c r="J675" s="2196"/>
      <c r="K675" s="2176"/>
      <c r="L675" s="2176"/>
      <c r="M675" s="2176"/>
      <c r="N675" s="2176"/>
      <c r="O675" s="2176"/>
      <c r="P675" s="2176"/>
      <c r="Q675" s="2176"/>
      <c r="R675" s="2176"/>
      <c r="S675" s="2176"/>
      <c r="T675" s="2176"/>
      <c r="U675" s="2176"/>
      <c r="V675" s="2176"/>
      <c r="W675" s="2176"/>
      <c r="X675" s="2176"/>
      <c r="Y675" s="2176"/>
      <c r="Z675" s="13"/>
      <c r="AA675" s="13"/>
      <c r="AB675" s="13"/>
      <c r="AC675" s="13"/>
    </row>
    <row r="676" spans="1:29" ht="15.75" customHeight="1">
      <c r="A676" s="1933"/>
      <c r="B676" s="2196"/>
      <c r="C676" s="2196"/>
      <c r="D676" s="2197"/>
      <c r="E676" s="2197"/>
      <c r="F676" s="2196"/>
      <c r="G676" s="2196"/>
      <c r="H676" s="2196"/>
      <c r="I676" s="2196"/>
      <c r="J676" s="2196"/>
      <c r="K676" s="2176"/>
      <c r="L676" s="2176"/>
      <c r="M676" s="2176"/>
      <c r="N676" s="2176"/>
      <c r="O676" s="2176"/>
      <c r="P676" s="2176"/>
      <c r="Q676" s="2176"/>
      <c r="R676" s="2176"/>
      <c r="S676" s="2176"/>
      <c r="T676" s="2176"/>
      <c r="U676" s="2176"/>
      <c r="V676" s="2176"/>
      <c r="W676" s="2176"/>
      <c r="X676" s="2176"/>
      <c r="Y676" s="2176"/>
      <c r="Z676" s="13"/>
      <c r="AA676" s="13"/>
      <c r="AB676" s="13"/>
      <c r="AC676" s="13"/>
    </row>
    <row r="677" spans="1:29" ht="15.75" customHeight="1">
      <c r="A677" s="1933"/>
      <c r="B677" s="2196"/>
      <c r="C677" s="2196"/>
      <c r="D677" s="2197"/>
      <c r="E677" s="2197"/>
      <c r="F677" s="2196"/>
      <c r="G677" s="2196"/>
      <c r="H677" s="2196"/>
      <c r="I677" s="2196"/>
      <c r="J677" s="2196"/>
      <c r="K677" s="2176"/>
      <c r="L677" s="2176"/>
      <c r="M677" s="2176"/>
      <c r="N677" s="2176"/>
      <c r="O677" s="2176"/>
      <c r="P677" s="2176"/>
      <c r="Q677" s="2176"/>
      <c r="R677" s="2176"/>
      <c r="S677" s="2176"/>
      <c r="T677" s="2176"/>
      <c r="U677" s="2176"/>
      <c r="V677" s="2176"/>
      <c r="W677" s="2176"/>
      <c r="X677" s="2176"/>
      <c r="Y677" s="2176"/>
      <c r="Z677" s="13"/>
      <c r="AA677" s="13"/>
      <c r="AB677" s="13"/>
      <c r="AC677" s="13"/>
    </row>
    <row r="678" spans="1:29" ht="15.75" customHeight="1">
      <c r="A678" s="1933"/>
      <c r="B678" s="2196"/>
      <c r="C678" s="2196"/>
      <c r="D678" s="2197"/>
      <c r="E678" s="2197"/>
      <c r="F678" s="2196"/>
      <c r="G678" s="2196"/>
      <c r="H678" s="2196"/>
      <c r="I678" s="2196"/>
      <c r="J678" s="2196"/>
      <c r="K678" s="2176"/>
      <c r="L678" s="2176"/>
      <c r="M678" s="2176"/>
      <c r="N678" s="2176"/>
      <c r="O678" s="2176"/>
      <c r="P678" s="2176"/>
      <c r="Q678" s="2176"/>
      <c r="R678" s="2176"/>
      <c r="S678" s="2176"/>
      <c r="T678" s="2176"/>
      <c r="U678" s="2176"/>
      <c r="V678" s="2176"/>
      <c r="W678" s="2176"/>
      <c r="X678" s="2176"/>
      <c r="Y678" s="2176"/>
      <c r="Z678" s="13"/>
      <c r="AA678" s="13"/>
      <c r="AB678" s="13"/>
      <c r="AC678" s="13"/>
    </row>
    <row r="679" spans="1:29" ht="15.75" customHeight="1">
      <c r="A679" s="1933"/>
      <c r="B679" s="2196"/>
      <c r="C679" s="2196"/>
      <c r="D679" s="2197"/>
      <c r="E679" s="2197"/>
      <c r="F679" s="2196"/>
      <c r="G679" s="2196"/>
      <c r="H679" s="2196"/>
      <c r="I679" s="2196"/>
      <c r="J679" s="2196"/>
      <c r="K679" s="2176"/>
      <c r="L679" s="2176"/>
      <c r="M679" s="2176"/>
      <c r="N679" s="2176"/>
      <c r="O679" s="2176"/>
      <c r="P679" s="2176"/>
      <c r="Q679" s="2176"/>
      <c r="R679" s="2176"/>
      <c r="S679" s="2176"/>
      <c r="T679" s="2176"/>
      <c r="U679" s="2176"/>
      <c r="V679" s="2176"/>
      <c r="W679" s="2176"/>
      <c r="X679" s="2176"/>
      <c r="Y679" s="2176"/>
      <c r="Z679" s="13"/>
      <c r="AA679" s="13"/>
      <c r="AB679" s="13"/>
      <c r="AC679" s="13"/>
    </row>
    <row r="680" spans="1:29" ht="15.75" customHeight="1">
      <c r="A680" s="1933"/>
      <c r="B680" s="2196"/>
      <c r="C680" s="2196"/>
      <c r="D680" s="2197"/>
      <c r="E680" s="2197"/>
      <c r="F680" s="2196"/>
      <c r="G680" s="2196"/>
      <c r="H680" s="2196"/>
      <c r="I680" s="2196"/>
      <c r="J680" s="2196"/>
      <c r="K680" s="2176"/>
      <c r="L680" s="2176"/>
      <c r="M680" s="2176"/>
      <c r="N680" s="2176"/>
      <c r="O680" s="2176"/>
      <c r="P680" s="2176"/>
      <c r="Q680" s="2176"/>
      <c r="R680" s="2176"/>
      <c r="S680" s="2176"/>
      <c r="T680" s="2176"/>
      <c r="U680" s="2176"/>
      <c r="V680" s="2176"/>
      <c r="W680" s="2176"/>
      <c r="X680" s="2176"/>
      <c r="Y680" s="2176"/>
      <c r="Z680" s="13"/>
      <c r="AA680" s="13"/>
      <c r="AB680" s="13"/>
      <c r="AC680" s="13"/>
    </row>
    <row r="681" spans="1:29" ht="15.75" customHeight="1">
      <c r="A681" s="1933"/>
      <c r="B681" s="2196"/>
      <c r="C681" s="2196"/>
      <c r="D681" s="2197"/>
      <c r="E681" s="2197"/>
      <c r="F681" s="2196"/>
      <c r="G681" s="2196"/>
      <c r="H681" s="2196"/>
      <c r="I681" s="2196"/>
      <c r="J681" s="2196"/>
      <c r="K681" s="2176"/>
      <c r="L681" s="2176"/>
      <c r="M681" s="2176"/>
      <c r="N681" s="2176"/>
      <c r="O681" s="2176"/>
      <c r="P681" s="2176"/>
      <c r="Q681" s="2176"/>
      <c r="R681" s="2176"/>
      <c r="S681" s="2176"/>
      <c r="T681" s="2176"/>
      <c r="U681" s="2176"/>
      <c r="V681" s="2176"/>
      <c r="W681" s="2176"/>
      <c r="X681" s="2176"/>
      <c r="Y681" s="2176"/>
      <c r="Z681" s="13"/>
      <c r="AA681" s="13"/>
      <c r="AB681" s="13"/>
      <c r="AC681" s="13"/>
    </row>
    <row r="682" spans="1:29" ht="15.75" customHeight="1">
      <c r="A682" s="1933"/>
      <c r="B682" s="2196"/>
      <c r="C682" s="2196"/>
      <c r="D682" s="2197"/>
      <c r="E682" s="2197"/>
      <c r="F682" s="2196"/>
      <c r="G682" s="2196"/>
      <c r="H682" s="2196"/>
      <c r="I682" s="2196"/>
      <c r="J682" s="2196"/>
      <c r="K682" s="2176"/>
      <c r="L682" s="2176"/>
      <c r="M682" s="2176"/>
      <c r="N682" s="2176"/>
      <c r="O682" s="2176"/>
      <c r="P682" s="2176"/>
      <c r="Q682" s="2176"/>
      <c r="R682" s="2176"/>
      <c r="S682" s="2176"/>
      <c r="T682" s="2176"/>
      <c r="U682" s="2176"/>
      <c r="V682" s="2176"/>
      <c r="W682" s="2176"/>
      <c r="X682" s="2176"/>
      <c r="Y682" s="2176"/>
      <c r="Z682" s="13"/>
      <c r="AA682" s="13"/>
      <c r="AB682" s="13"/>
      <c r="AC682" s="13"/>
    </row>
    <row r="683" spans="1:29" ht="15.75" customHeight="1">
      <c r="A683" s="1933"/>
      <c r="B683" s="2196"/>
      <c r="C683" s="2196"/>
      <c r="D683" s="2197"/>
      <c r="E683" s="2197"/>
      <c r="F683" s="2196"/>
      <c r="G683" s="2196"/>
      <c r="H683" s="2196"/>
      <c r="I683" s="2196"/>
      <c r="J683" s="2196"/>
      <c r="K683" s="2176"/>
      <c r="L683" s="2176"/>
      <c r="M683" s="2176"/>
      <c r="N683" s="2176"/>
      <c r="O683" s="2176"/>
      <c r="P683" s="2176"/>
      <c r="Q683" s="2176"/>
      <c r="R683" s="2176"/>
      <c r="S683" s="2176"/>
      <c r="T683" s="2176"/>
      <c r="U683" s="2176"/>
      <c r="V683" s="2176"/>
      <c r="W683" s="2176"/>
      <c r="X683" s="2176"/>
      <c r="Y683" s="2176"/>
      <c r="Z683" s="13"/>
      <c r="AA683" s="13"/>
      <c r="AB683" s="13"/>
      <c r="AC683" s="13"/>
    </row>
    <row r="684" spans="1:29" ht="15.75" customHeight="1">
      <c r="A684" s="1933"/>
      <c r="B684" s="2196"/>
      <c r="C684" s="2196"/>
      <c r="D684" s="2197"/>
      <c r="E684" s="2197"/>
      <c r="F684" s="2196"/>
      <c r="G684" s="2196"/>
      <c r="H684" s="2196"/>
      <c r="I684" s="2196"/>
      <c r="J684" s="2196"/>
      <c r="K684" s="2176"/>
      <c r="L684" s="2176"/>
      <c r="M684" s="2176"/>
      <c r="N684" s="2176"/>
      <c r="O684" s="2176"/>
      <c r="P684" s="2176"/>
      <c r="Q684" s="2176"/>
      <c r="R684" s="2176"/>
      <c r="S684" s="2176"/>
      <c r="T684" s="2176"/>
      <c r="U684" s="2176"/>
      <c r="V684" s="2176"/>
      <c r="W684" s="2176"/>
      <c r="X684" s="2176"/>
      <c r="Y684" s="2176"/>
      <c r="Z684" s="13"/>
      <c r="AA684" s="13"/>
      <c r="AB684" s="13"/>
      <c r="AC684" s="13"/>
    </row>
    <row r="685" spans="1:29" ht="15.75" customHeight="1">
      <c r="A685" s="1933"/>
      <c r="B685" s="2196"/>
      <c r="C685" s="2196"/>
      <c r="D685" s="2197"/>
      <c r="E685" s="2197"/>
      <c r="F685" s="2196"/>
      <c r="G685" s="2196"/>
      <c r="H685" s="2196"/>
      <c r="I685" s="2196"/>
      <c r="J685" s="2196"/>
      <c r="K685" s="2176"/>
      <c r="L685" s="2176"/>
      <c r="M685" s="2176"/>
      <c r="N685" s="2176"/>
      <c r="O685" s="2176"/>
      <c r="P685" s="2176"/>
      <c r="Q685" s="2176"/>
      <c r="R685" s="2176"/>
      <c r="S685" s="2176"/>
      <c r="T685" s="2176"/>
      <c r="U685" s="2176"/>
      <c r="V685" s="2176"/>
      <c r="W685" s="2176"/>
      <c r="X685" s="2176"/>
      <c r="Y685" s="2176"/>
      <c r="Z685" s="13"/>
      <c r="AA685" s="13"/>
      <c r="AB685" s="13"/>
      <c r="AC685" s="13"/>
    </row>
    <row r="686" spans="1:29" ht="15.75" customHeight="1">
      <c r="A686" s="1933"/>
      <c r="B686" s="2196"/>
      <c r="C686" s="2196"/>
      <c r="D686" s="2197"/>
      <c r="E686" s="2197"/>
      <c r="F686" s="2196"/>
      <c r="G686" s="2196"/>
      <c r="H686" s="2196"/>
      <c r="I686" s="2196"/>
      <c r="J686" s="2196"/>
      <c r="K686" s="2176"/>
      <c r="L686" s="2176"/>
      <c r="M686" s="2176"/>
      <c r="N686" s="2176"/>
      <c r="O686" s="2176"/>
      <c r="P686" s="2176"/>
      <c r="Q686" s="2176"/>
      <c r="R686" s="2176"/>
      <c r="S686" s="2176"/>
      <c r="T686" s="2176"/>
      <c r="U686" s="2176"/>
      <c r="V686" s="2176"/>
      <c r="W686" s="2176"/>
      <c r="X686" s="2176"/>
      <c r="Y686" s="2176"/>
      <c r="Z686" s="13"/>
      <c r="AA686" s="13"/>
      <c r="AB686" s="13"/>
      <c r="AC686" s="13"/>
    </row>
    <row r="687" spans="1:29" ht="15.75" customHeight="1">
      <c r="A687" s="1933"/>
      <c r="B687" s="2196"/>
      <c r="C687" s="2196"/>
      <c r="D687" s="2197"/>
      <c r="E687" s="2197"/>
      <c r="F687" s="2196"/>
      <c r="G687" s="2196"/>
      <c r="H687" s="2196"/>
      <c r="I687" s="2196"/>
      <c r="J687" s="2196"/>
      <c r="K687" s="2176"/>
      <c r="L687" s="2176"/>
      <c r="M687" s="2176"/>
      <c r="N687" s="2176"/>
      <c r="O687" s="2176"/>
      <c r="P687" s="2176"/>
      <c r="Q687" s="2176"/>
      <c r="R687" s="2176"/>
      <c r="S687" s="2176"/>
      <c r="T687" s="2176"/>
      <c r="U687" s="2176"/>
      <c r="V687" s="2176"/>
      <c r="W687" s="2176"/>
      <c r="X687" s="2176"/>
      <c r="Y687" s="2176"/>
      <c r="Z687" s="13"/>
      <c r="AA687" s="13"/>
      <c r="AB687" s="13"/>
      <c r="AC687" s="13"/>
    </row>
    <row r="688" spans="1:29" ht="15.75" customHeight="1">
      <c r="A688" s="1933"/>
      <c r="B688" s="2196"/>
      <c r="C688" s="2196"/>
      <c r="D688" s="2197"/>
      <c r="E688" s="2197"/>
      <c r="F688" s="2196"/>
      <c r="G688" s="2196"/>
      <c r="H688" s="2196"/>
      <c r="I688" s="2196"/>
      <c r="J688" s="2196"/>
      <c r="K688" s="2176"/>
      <c r="L688" s="2176"/>
      <c r="M688" s="2176"/>
      <c r="N688" s="2176"/>
      <c r="O688" s="2176"/>
      <c r="P688" s="2176"/>
      <c r="Q688" s="2176"/>
      <c r="R688" s="2176"/>
      <c r="S688" s="2176"/>
      <c r="T688" s="2176"/>
      <c r="U688" s="2176"/>
      <c r="V688" s="2176"/>
      <c r="W688" s="2176"/>
      <c r="X688" s="2176"/>
      <c r="Y688" s="2176"/>
      <c r="Z688" s="13"/>
      <c r="AA688" s="13"/>
      <c r="AB688" s="13"/>
      <c r="AC688" s="13"/>
    </row>
    <row r="689" spans="1:29" ht="15.75" customHeight="1">
      <c r="A689" s="1933"/>
      <c r="B689" s="2196"/>
      <c r="C689" s="2196"/>
      <c r="D689" s="2197"/>
      <c r="E689" s="2197"/>
      <c r="F689" s="2196"/>
      <c r="G689" s="2196"/>
      <c r="H689" s="2196"/>
      <c r="I689" s="2196"/>
      <c r="J689" s="2196"/>
      <c r="K689" s="2176"/>
      <c r="L689" s="2176"/>
      <c r="M689" s="2176"/>
      <c r="N689" s="2176"/>
      <c r="O689" s="2176"/>
      <c r="P689" s="2176"/>
      <c r="Q689" s="2176"/>
      <c r="R689" s="2176"/>
      <c r="S689" s="2176"/>
      <c r="T689" s="2176"/>
      <c r="U689" s="2176"/>
      <c r="V689" s="2176"/>
      <c r="W689" s="2176"/>
      <c r="X689" s="2176"/>
      <c r="Y689" s="2176"/>
      <c r="Z689" s="13"/>
      <c r="AA689" s="13"/>
      <c r="AB689" s="13"/>
      <c r="AC689" s="13"/>
    </row>
    <row r="690" spans="1:29" ht="15.75" customHeight="1">
      <c r="A690" s="1933"/>
      <c r="B690" s="2196"/>
      <c r="C690" s="2196"/>
      <c r="D690" s="2197"/>
      <c r="E690" s="2197"/>
      <c r="F690" s="2196"/>
      <c r="G690" s="2196"/>
      <c r="H690" s="2196"/>
      <c r="I690" s="2196"/>
      <c r="J690" s="2196"/>
      <c r="K690" s="2176"/>
      <c r="L690" s="2176"/>
      <c r="M690" s="2176"/>
      <c r="N690" s="2176"/>
      <c r="O690" s="2176"/>
      <c r="P690" s="2176"/>
      <c r="Q690" s="2176"/>
      <c r="R690" s="2176"/>
      <c r="S690" s="2176"/>
      <c r="T690" s="2176"/>
      <c r="U690" s="2176"/>
      <c r="V690" s="2176"/>
      <c r="W690" s="2176"/>
      <c r="X690" s="2176"/>
      <c r="Y690" s="2176"/>
      <c r="Z690" s="13"/>
      <c r="AA690" s="13"/>
      <c r="AB690" s="13"/>
      <c r="AC690" s="13"/>
    </row>
    <row r="691" spans="1:29" ht="15.75" customHeight="1">
      <c r="A691" s="1933"/>
      <c r="B691" s="2196"/>
      <c r="C691" s="2196"/>
      <c r="D691" s="2197"/>
      <c r="E691" s="2197"/>
      <c r="F691" s="2196"/>
      <c r="G691" s="2196"/>
      <c r="H691" s="2196"/>
      <c r="I691" s="2196"/>
      <c r="J691" s="2196"/>
      <c r="K691" s="2176"/>
      <c r="L691" s="2176"/>
      <c r="M691" s="2176"/>
      <c r="N691" s="2176"/>
      <c r="O691" s="2176"/>
      <c r="P691" s="2176"/>
      <c r="Q691" s="2176"/>
      <c r="R691" s="2176"/>
      <c r="S691" s="2176"/>
      <c r="T691" s="2176"/>
      <c r="U691" s="2176"/>
      <c r="V691" s="2176"/>
      <c r="W691" s="2176"/>
      <c r="X691" s="2176"/>
      <c r="Y691" s="2176"/>
      <c r="Z691" s="13"/>
      <c r="AA691" s="13"/>
      <c r="AB691" s="13"/>
      <c r="AC691" s="13"/>
    </row>
    <row r="692" spans="1:29" ht="15.75" customHeight="1">
      <c r="A692" s="1933"/>
      <c r="B692" s="2196"/>
      <c r="C692" s="2196"/>
      <c r="D692" s="2197"/>
      <c r="E692" s="2197"/>
      <c r="F692" s="2196"/>
      <c r="G692" s="2196"/>
      <c r="H692" s="2196"/>
      <c r="I692" s="2196"/>
      <c r="J692" s="2196"/>
      <c r="K692" s="2176"/>
      <c r="L692" s="2176"/>
      <c r="M692" s="2176"/>
      <c r="N692" s="2176"/>
      <c r="O692" s="2176"/>
      <c r="P692" s="2176"/>
      <c r="Q692" s="2176"/>
      <c r="R692" s="2176"/>
      <c r="S692" s="2176"/>
      <c r="T692" s="2176"/>
      <c r="U692" s="2176"/>
      <c r="V692" s="2176"/>
      <c r="W692" s="2176"/>
      <c r="X692" s="2176"/>
      <c r="Y692" s="2176"/>
      <c r="Z692" s="13"/>
      <c r="AA692" s="13"/>
      <c r="AB692" s="13"/>
      <c r="AC692" s="13"/>
    </row>
    <row r="693" spans="1:29" ht="15.75" customHeight="1">
      <c r="A693" s="1933"/>
      <c r="B693" s="2196"/>
      <c r="C693" s="2196"/>
      <c r="D693" s="2197"/>
      <c r="E693" s="2197"/>
      <c r="F693" s="2196"/>
      <c r="G693" s="2196"/>
      <c r="H693" s="2196"/>
      <c r="I693" s="2196"/>
      <c r="J693" s="2196"/>
      <c r="K693" s="2176"/>
      <c r="L693" s="2176"/>
      <c r="M693" s="2176"/>
      <c r="N693" s="2176"/>
      <c r="O693" s="2176"/>
      <c r="P693" s="2176"/>
      <c r="Q693" s="2176"/>
      <c r="R693" s="2176"/>
      <c r="S693" s="2176"/>
      <c r="T693" s="2176"/>
      <c r="U693" s="2176"/>
      <c r="V693" s="2176"/>
      <c r="W693" s="2176"/>
      <c r="X693" s="2176"/>
      <c r="Y693" s="2176"/>
      <c r="Z693" s="13"/>
      <c r="AA693" s="13"/>
      <c r="AB693" s="13"/>
      <c r="AC693" s="13"/>
    </row>
    <row r="694" spans="1:29" ht="15.75" customHeight="1">
      <c r="A694" s="1933"/>
      <c r="B694" s="2196"/>
      <c r="C694" s="2196"/>
      <c r="D694" s="2197"/>
      <c r="E694" s="2197"/>
      <c r="F694" s="2196"/>
      <c r="G694" s="2196"/>
      <c r="H694" s="2196"/>
      <c r="I694" s="2196"/>
      <c r="J694" s="2196"/>
      <c r="K694" s="2176"/>
      <c r="L694" s="2176"/>
      <c r="M694" s="2176"/>
      <c r="N694" s="2176"/>
      <c r="O694" s="2176"/>
      <c r="P694" s="2176"/>
      <c r="Q694" s="2176"/>
      <c r="R694" s="2176"/>
      <c r="S694" s="2176"/>
      <c r="T694" s="2176"/>
      <c r="U694" s="2176"/>
      <c r="V694" s="2176"/>
      <c r="W694" s="2176"/>
      <c r="X694" s="2176"/>
      <c r="Y694" s="2176"/>
      <c r="Z694" s="13"/>
      <c r="AA694" s="13"/>
      <c r="AB694" s="13"/>
      <c r="AC694" s="13"/>
    </row>
    <row r="695" spans="1:29" ht="15.75" customHeight="1">
      <c r="A695" s="1933"/>
      <c r="B695" s="2196"/>
      <c r="C695" s="2196"/>
      <c r="D695" s="2197"/>
      <c r="E695" s="2197"/>
      <c r="F695" s="2196"/>
      <c r="G695" s="2196"/>
      <c r="H695" s="2196"/>
      <c r="I695" s="2196"/>
      <c r="J695" s="2196"/>
      <c r="K695" s="2176"/>
      <c r="L695" s="2176"/>
      <c r="M695" s="2176"/>
      <c r="N695" s="2176"/>
      <c r="O695" s="2176"/>
      <c r="P695" s="2176"/>
      <c r="Q695" s="2176"/>
      <c r="R695" s="2176"/>
      <c r="S695" s="2176"/>
      <c r="T695" s="2176"/>
      <c r="U695" s="2176"/>
      <c r="V695" s="2176"/>
      <c r="W695" s="2176"/>
      <c r="X695" s="2176"/>
      <c r="Y695" s="2176"/>
      <c r="Z695" s="13"/>
      <c r="AA695" s="13"/>
      <c r="AB695" s="13"/>
      <c r="AC695" s="13"/>
    </row>
    <row r="696" spans="1:29" ht="15.75" customHeight="1">
      <c r="A696" s="1933"/>
      <c r="B696" s="2196"/>
      <c r="C696" s="2196"/>
      <c r="D696" s="2197"/>
      <c r="E696" s="2197"/>
      <c r="F696" s="2196"/>
      <c r="G696" s="2196"/>
      <c r="H696" s="2196"/>
      <c r="I696" s="2196"/>
      <c r="J696" s="2196"/>
      <c r="K696" s="2176"/>
      <c r="L696" s="2176"/>
      <c r="M696" s="2176"/>
      <c r="N696" s="2176"/>
      <c r="O696" s="2176"/>
      <c r="P696" s="2176"/>
      <c r="Q696" s="2176"/>
      <c r="R696" s="2176"/>
      <c r="S696" s="2176"/>
      <c r="T696" s="2176"/>
      <c r="U696" s="2176"/>
      <c r="V696" s="2176"/>
      <c r="W696" s="2176"/>
      <c r="X696" s="2176"/>
      <c r="Y696" s="2176"/>
      <c r="Z696" s="13"/>
      <c r="AA696" s="13"/>
      <c r="AB696" s="13"/>
      <c r="AC696" s="13"/>
    </row>
    <row r="697" spans="1:29" ht="15.75" customHeight="1">
      <c r="A697" s="1933"/>
      <c r="B697" s="2196"/>
      <c r="C697" s="2196"/>
      <c r="D697" s="2197"/>
      <c r="E697" s="2197"/>
      <c r="F697" s="2196"/>
      <c r="G697" s="2196"/>
      <c r="H697" s="2196"/>
      <c r="I697" s="2196"/>
      <c r="J697" s="2196"/>
      <c r="K697" s="2176"/>
      <c r="L697" s="2176"/>
      <c r="M697" s="2176"/>
      <c r="N697" s="2176"/>
      <c r="O697" s="2176"/>
      <c r="P697" s="2176"/>
      <c r="Q697" s="2176"/>
      <c r="R697" s="2176"/>
      <c r="S697" s="2176"/>
      <c r="T697" s="2176"/>
      <c r="U697" s="2176"/>
      <c r="V697" s="2176"/>
      <c r="W697" s="2176"/>
      <c r="X697" s="2176"/>
      <c r="Y697" s="2176"/>
      <c r="Z697" s="13"/>
      <c r="AA697" s="13"/>
      <c r="AB697" s="13"/>
      <c r="AC697" s="13"/>
    </row>
    <row r="698" spans="1:29" ht="15.75" customHeight="1">
      <c r="A698" s="1933"/>
      <c r="B698" s="2196"/>
      <c r="C698" s="2196"/>
      <c r="D698" s="2197"/>
      <c r="E698" s="2197"/>
      <c r="F698" s="2196"/>
      <c r="G698" s="2196"/>
      <c r="H698" s="2196"/>
      <c r="I698" s="2196"/>
      <c r="J698" s="2196"/>
      <c r="K698" s="2176"/>
      <c r="L698" s="2176"/>
      <c r="M698" s="2176"/>
      <c r="N698" s="2176"/>
      <c r="O698" s="2176"/>
      <c r="P698" s="2176"/>
      <c r="Q698" s="2176"/>
      <c r="R698" s="2176"/>
      <c r="S698" s="2176"/>
      <c r="T698" s="2176"/>
      <c r="U698" s="2176"/>
      <c r="V698" s="2176"/>
      <c r="W698" s="2176"/>
      <c r="X698" s="2176"/>
      <c r="Y698" s="2176"/>
      <c r="Z698" s="13"/>
      <c r="AA698" s="13"/>
      <c r="AB698" s="13"/>
      <c r="AC698" s="13"/>
    </row>
    <row r="699" spans="1:29" ht="15.75" customHeight="1">
      <c r="A699" s="1933"/>
      <c r="B699" s="2196"/>
      <c r="C699" s="2196"/>
      <c r="D699" s="2197"/>
      <c r="E699" s="2197"/>
      <c r="F699" s="2196"/>
      <c r="G699" s="2196"/>
      <c r="H699" s="2196"/>
      <c r="I699" s="2196"/>
      <c r="J699" s="2196"/>
      <c r="K699" s="2176"/>
      <c r="L699" s="2176"/>
      <c r="M699" s="2176"/>
      <c r="N699" s="2176"/>
      <c r="O699" s="2176"/>
      <c r="P699" s="2176"/>
      <c r="Q699" s="2176"/>
      <c r="R699" s="2176"/>
      <c r="S699" s="2176"/>
      <c r="T699" s="2176"/>
      <c r="U699" s="2176"/>
      <c r="V699" s="2176"/>
      <c r="W699" s="2176"/>
      <c r="X699" s="2176"/>
      <c r="Y699" s="2176"/>
      <c r="Z699" s="13"/>
      <c r="AA699" s="13"/>
      <c r="AB699" s="13"/>
      <c r="AC699" s="13"/>
    </row>
    <row r="700" spans="1:29" ht="15.75" customHeight="1">
      <c r="A700" s="1933"/>
      <c r="B700" s="2196"/>
      <c r="C700" s="2196"/>
      <c r="D700" s="2197"/>
      <c r="E700" s="2197"/>
      <c r="F700" s="2196"/>
      <c r="G700" s="2196"/>
      <c r="H700" s="2196"/>
      <c r="I700" s="2196"/>
      <c r="J700" s="2196"/>
      <c r="K700" s="2176"/>
      <c r="L700" s="2176"/>
      <c r="M700" s="2176"/>
      <c r="N700" s="2176"/>
      <c r="O700" s="2176"/>
      <c r="P700" s="2176"/>
      <c r="Q700" s="2176"/>
      <c r="R700" s="2176"/>
      <c r="S700" s="2176"/>
      <c r="T700" s="2176"/>
      <c r="U700" s="2176"/>
      <c r="V700" s="2176"/>
      <c r="W700" s="2176"/>
      <c r="X700" s="2176"/>
      <c r="Y700" s="2176"/>
      <c r="Z700" s="13"/>
      <c r="AA700" s="13"/>
      <c r="AB700" s="13"/>
      <c r="AC700" s="13"/>
    </row>
    <row r="701" spans="1:29" ht="15.75" customHeight="1">
      <c r="A701" s="1933"/>
      <c r="B701" s="2196"/>
      <c r="C701" s="2196"/>
      <c r="D701" s="2197"/>
      <c r="E701" s="2197"/>
      <c r="F701" s="2196"/>
      <c r="G701" s="2196"/>
      <c r="H701" s="2196"/>
      <c r="I701" s="2196"/>
      <c r="J701" s="2196"/>
      <c r="K701" s="2176"/>
      <c r="L701" s="2176"/>
      <c r="M701" s="2176"/>
      <c r="N701" s="2176"/>
      <c r="O701" s="2176"/>
      <c r="P701" s="2176"/>
      <c r="Q701" s="2176"/>
      <c r="R701" s="2176"/>
      <c r="S701" s="2176"/>
      <c r="T701" s="2176"/>
      <c r="U701" s="2176"/>
      <c r="V701" s="2176"/>
      <c r="W701" s="2176"/>
      <c r="X701" s="2176"/>
      <c r="Y701" s="2176"/>
      <c r="Z701" s="13"/>
      <c r="AA701" s="13"/>
      <c r="AB701" s="13"/>
      <c r="AC701" s="13"/>
    </row>
    <row r="702" spans="1:29" ht="15.75" customHeight="1">
      <c r="A702" s="1933"/>
      <c r="B702" s="2196"/>
      <c r="C702" s="2196"/>
      <c r="D702" s="2197"/>
      <c r="E702" s="2197"/>
      <c r="F702" s="2196"/>
      <c r="G702" s="2196"/>
      <c r="H702" s="2196"/>
      <c r="I702" s="2196"/>
      <c r="J702" s="2196"/>
      <c r="K702" s="2176"/>
      <c r="L702" s="2176"/>
      <c r="M702" s="2176"/>
      <c r="N702" s="2176"/>
      <c r="O702" s="2176"/>
      <c r="P702" s="2176"/>
      <c r="Q702" s="2176"/>
      <c r="R702" s="2176"/>
      <c r="S702" s="2176"/>
      <c r="T702" s="2176"/>
      <c r="U702" s="2176"/>
      <c r="V702" s="2176"/>
      <c r="W702" s="2176"/>
      <c r="X702" s="2176"/>
      <c r="Y702" s="2176"/>
      <c r="Z702" s="13"/>
      <c r="AA702" s="13"/>
      <c r="AB702" s="13"/>
      <c r="AC702" s="13"/>
    </row>
    <row r="703" spans="1:29" ht="15.75" customHeight="1">
      <c r="A703" s="1933"/>
      <c r="B703" s="2196"/>
      <c r="C703" s="2196"/>
      <c r="D703" s="2197"/>
      <c r="E703" s="2197"/>
      <c r="F703" s="2196"/>
      <c r="G703" s="2196"/>
      <c r="H703" s="2196"/>
      <c r="I703" s="2196"/>
      <c r="J703" s="2196"/>
      <c r="K703" s="2176"/>
      <c r="L703" s="2176"/>
      <c r="M703" s="2176"/>
      <c r="N703" s="2176"/>
      <c r="O703" s="2176"/>
      <c r="P703" s="2176"/>
      <c r="Q703" s="2176"/>
      <c r="R703" s="2176"/>
      <c r="S703" s="2176"/>
      <c r="T703" s="2176"/>
      <c r="U703" s="2176"/>
      <c r="V703" s="2176"/>
      <c r="W703" s="2176"/>
      <c r="X703" s="2176"/>
      <c r="Y703" s="2176"/>
      <c r="Z703" s="13"/>
      <c r="AA703" s="13"/>
      <c r="AB703" s="13"/>
      <c r="AC703" s="13"/>
    </row>
    <row r="704" spans="1:29" ht="15.75" customHeight="1">
      <c r="A704" s="1933"/>
      <c r="B704" s="2196"/>
      <c r="C704" s="2196"/>
      <c r="D704" s="2197"/>
      <c r="E704" s="2197"/>
      <c r="F704" s="2196"/>
      <c r="G704" s="2196"/>
      <c r="H704" s="2196"/>
      <c r="I704" s="2196"/>
      <c r="J704" s="2196"/>
      <c r="K704" s="2176"/>
      <c r="L704" s="2176"/>
      <c r="M704" s="2176"/>
      <c r="N704" s="2176"/>
      <c r="O704" s="2176"/>
      <c r="P704" s="2176"/>
      <c r="Q704" s="2176"/>
      <c r="R704" s="2176"/>
      <c r="S704" s="2176"/>
      <c r="T704" s="2176"/>
      <c r="U704" s="2176"/>
      <c r="V704" s="2176"/>
      <c r="W704" s="2176"/>
      <c r="X704" s="2176"/>
      <c r="Y704" s="2176"/>
      <c r="Z704" s="13"/>
      <c r="AA704" s="13"/>
      <c r="AB704" s="13"/>
      <c r="AC704" s="13"/>
    </row>
    <row r="705" spans="1:29" ht="15.75" customHeight="1">
      <c r="A705" s="1933"/>
      <c r="B705" s="2196"/>
      <c r="C705" s="2196"/>
      <c r="D705" s="2197"/>
      <c r="E705" s="2197"/>
      <c r="F705" s="2196"/>
      <c r="G705" s="2196"/>
      <c r="H705" s="2196"/>
      <c r="I705" s="2196"/>
      <c r="J705" s="2196"/>
      <c r="K705" s="2176"/>
      <c r="L705" s="2176"/>
      <c r="M705" s="2176"/>
      <c r="N705" s="2176"/>
      <c r="O705" s="2176"/>
      <c r="P705" s="2176"/>
      <c r="Q705" s="2176"/>
      <c r="R705" s="2176"/>
      <c r="S705" s="2176"/>
      <c r="T705" s="2176"/>
      <c r="U705" s="2176"/>
      <c r="V705" s="2176"/>
      <c r="W705" s="2176"/>
      <c r="X705" s="2176"/>
      <c r="Y705" s="2176"/>
      <c r="Z705" s="13"/>
      <c r="AA705" s="13"/>
      <c r="AB705" s="13"/>
      <c r="AC705" s="13"/>
    </row>
    <row r="706" spans="1:29" ht="15.75" customHeight="1">
      <c r="A706" s="1933"/>
      <c r="B706" s="2196"/>
      <c r="C706" s="2196"/>
      <c r="D706" s="2197"/>
      <c r="E706" s="2197"/>
      <c r="F706" s="2196"/>
      <c r="G706" s="2196"/>
      <c r="H706" s="2196"/>
      <c r="I706" s="2196"/>
      <c r="J706" s="2196"/>
      <c r="K706" s="2176"/>
      <c r="L706" s="2176"/>
      <c r="M706" s="2176"/>
      <c r="N706" s="2176"/>
      <c r="O706" s="2176"/>
      <c r="P706" s="2176"/>
      <c r="Q706" s="2176"/>
      <c r="R706" s="2176"/>
      <c r="S706" s="2176"/>
      <c r="T706" s="2176"/>
      <c r="U706" s="2176"/>
      <c r="V706" s="2176"/>
      <c r="W706" s="2176"/>
      <c r="X706" s="2176"/>
      <c r="Y706" s="2176"/>
      <c r="Z706" s="13"/>
      <c r="AA706" s="13"/>
      <c r="AB706" s="13"/>
      <c r="AC706" s="13"/>
    </row>
    <row r="707" spans="1:29" ht="15.75" customHeight="1">
      <c r="A707" s="1933"/>
      <c r="B707" s="2196"/>
      <c r="C707" s="2196"/>
      <c r="D707" s="2197"/>
      <c r="E707" s="2197"/>
      <c r="F707" s="2196"/>
      <c r="G707" s="2196"/>
      <c r="H707" s="2196"/>
      <c r="I707" s="2196"/>
      <c r="J707" s="2196"/>
      <c r="K707" s="2176"/>
      <c r="L707" s="2176"/>
      <c r="M707" s="2176"/>
      <c r="N707" s="2176"/>
      <c r="O707" s="2176"/>
      <c r="P707" s="2176"/>
      <c r="Q707" s="2176"/>
      <c r="R707" s="2176"/>
      <c r="S707" s="2176"/>
      <c r="T707" s="2176"/>
      <c r="U707" s="2176"/>
      <c r="V707" s="2176"/>
      <c r="W707" s="2176"/>
      <c r="X707" s="2176"/>
      <c r="Y707" s="2176"/>
      <c r="Z707" s="13"/>
      <c r="AA707" s="13"/>
      <c r="AB707" s="13"/>
      <c r="AC707" s="13"/>
    </row>
    <row r="708" spans="1:29" ht="15.75" customHeight="1">
      <c r="A708" s="1933"/>
      <c r="B708" s="2196"/>
      <c r="C708" s="2196"/>
      <c r="D708" s="2197"/>
      <c r="E708" s="2197"/>
      <c r="F708" s="2196"/>
      <c r="G708" s="2196"/>
      <c r="H708" s="2196"/>
      <c r="I708" s="2196"/>
      <c r="J708" s="2196"/>
      <c r="K708" s="2176"/>
      <c r="L708" s="2176"/>
      <c r="M708" s="2176"/>
      <c r="N708" s="2176"/>
      <c r="O708" s="2176"/>
      <c r="P708" s="2176"/>
      <c r="Q708" s="2176"/>
      <c r="R708" s="2176"/>
      <c r="S708" s="2176"/>
      <c r="T708" s="2176"/>
      <c r="U708" s="2176"/>
      <c r="V708" s="2176"/>
      <c r="W708" s="2176"/>
      <c r="X708" s="2176"/>
      <c r="Y708" s="2176"/>
      <c r="Z708" s="13"/>
      <c r="AA708" s="13"/>
      <c r="AB708" s="13"/>
      <c r="AC708" s="13"/>
    </row>
    <row r="709" spans="1:29" ht="15.75" customHeight="1">
      <c r="A709" s="1933"/>
      <c r="B709" s="2196"/>
      <c r="C709" s="2196"/>
      <c r="D709" s="2197"/>
      <c r="E709" s="2197"/>
      <c r="F709" s="2196"/>
      <c r="G709" s="2196"/>
      <c r="H709" s="2196"/>
      <c r="I709" s="2196"/>
      <c r="J709" s="2196"/>
      <c r="K709" s="2176"/>
      <c r="L709" s="2176"/>
      <c r="M709" s="2176"/>
      <c r="N709" s="2176"/>
      <c r="O709" s="2176"/>
      <c r="P709" s="2176"/>
      <c r="Q709" s="2176"/>
      <c r="R709" s="2176"/>
      <c r="S709" s="2176"/>
      <c r="T709" s="2176"/>
      <c r="U709" s="2176"/>
      <c r="V709" s="2176"/>
      <c r="W709" s="2176"/>
      <c r="X709" s="2176"/>
      <c r="Y709" s="2176"/>
      <c r="Z709" s="13"/>
      <c r="AA709" s="13"/>
      <c r="AB709" s="13"/>
      <c r="AC709" s="13"/>
    </row>
    <row r="710" spans="1:29" ht="15.75" customHeight="1">
      <c r="A710" s="1933"/>
      <c r="B710" s="2196"/>
      <c r="C710" s="2196"/>
      <c r="D710" s="2197"/>
      <c r="E710" s="2197"/>
      <c r="F710" s="2196"/>
      <c r="G710" s="2196"/>
      <c r="H710" s="2196"/>
      <c r="I710" s="2196"/>
      <c r="J710" s="2196"/>
      <c r="K710" s="2176"/>
      <c r="L710" s="2176"/>
      <c r="M710" s="2176"/>
      <c r="N710" s="2176"/>
      <c r="O710" s="2176"/>
      <c r="P710" s="2176"/>
      <c r="Q710" s="2176"/>
      <c r="R710" s="2176"/>
      <c r="S710" s="2176"/>
      <c r="T710" s="2176"/>
      <c r="U710" s="2176"/>
      <c r="V710" s="2176"/>
      <c r="W710" s="2176"/>
      <c r="X710" s="2176"/>
      <c r="Y710" s="2176"/>
      <c r="Z710" s="13"/>
      <c r="AA710" s="13"/>
      <c r="AB710" s="13"/>
      <c r="AC710" s="13"/>
    </row>
    <row r="711" spans="1:29" ht="15.75" customHeight="1">
      <c r="A711" s="1933"/>
      <c r="B711" s="2196"/>
      <c r="C711" s="2196"/>
      <c r="D711" s="2197"/>
      <c r="E711" s="2197"/>
      <c r="F711" s="2196"/>
      <c r="G711" s="2196"/>
      <c r="H711" s="2196"/>
      <c r="I711" s="2196"/>
      <c r="J711" s="2196"/>
      <c r="K711" s="2176"/>
      <c r="L711" s="2176"/>
      <c r="M711" s="2176"/>
      <c r="N711" s="2176"/>
      <c r="O711" s="2176"/>
      <c r="P711" s="2176"/>
      <c r="Q711" s="2176"/>
      <c r="R711" s="2176"/>
      <c r="S711" s="2176"/>
      <c r="T711" s="2176"/>
      <c r="U711" s="2176"/>
      <c r="V711" s="2176"/>
      <c r="W711" s="2176"/>
      <c r="X711" s="2176"/>
      <c r="Y711" s="2176"/>
      <c r="Z711" s="13"/>
      <c r="AA711" s="13"/>
      <c r="AB711" s="13"/>
      <c r="AC711" s="13"/>
    </row>
    <row r="712" spans="1:29" ht="15.75" customHeight="1">
      <c r="A712" s="1933"/>
      <c r="B712" s="2196"/>
      <c r="C712" s="2196"/>
      <c r="D712" s="2197"/>
      <c r="E712" s="2197"/>
      <c r="F712" s="2196"/>
      <c r="G712" s="2196"/>
      <c r="H712" s="2196"/>
      <c r="I712" s="2196"/>
      <c r="J712" s="2196"/>
      <c r="K712" s="2176"/>
      <c r="L712" s="2176"/>
      <c r="M712" s="2176"/>
      <c r="N712" s="2176"/>
      <c r="O712" s="2176"/>
      <c r="P712" s="2176"/>
      <c r="Q712" s="2176"/>
      <c r="R712" s="2176"/>
      <c r="S712" s="2176"/>
      <c r="T712" s="2176"/>
      <c r="U712" s="2176"/>
      <c r="V712" s="2176"/>
      <c r="W712" s="2176"/>
      <c r="X712" s="2176"/>
      <c r="Y712" s="2176"/>
      <c r="Z712" s="13"/>
      <c r="AA712" s="13"/>
      <c r="AB712" s="13"/>
      <c r="AC712" s="13"/>
    </row>
    <row r="713" spans="1:29" ht="15.75" customHeight="1">
      <c r="A713" s="1933"/>
      <c r="B713" s="2196"/>
      <c r="C713" s="2196"/>
      <c r="D713" s="2197"/>
      <c r="E713" s="2197"/>
      <c r="F713" s="2196"/>
      <c r="G713" s="2196"/>
      <c r="H713" s="2196"/>
      <c r="I713" s="2196"/>
      <c r="J713" s="2196"/>
      <c r="K713" s="2176"/>
      <c r="L713" s="2176"/>
      <c r="M713" s="2176"/>
      <c r="N713" s="2176"/>
      <c r="O713" s="2176"/>
      <c r="P713" s="2176"/>
      <c r="Q713" s="2176"/>
      <c r="R713" s="2176"/>
      <c r="S713" s="2176"/>
      <c r="T713" s="2176"/>
      <c r="U713" s="2176"/>
      <c r="V713" s="2176"/>
      <c r="W713" s="2176"/>
      <c r="X713" s="2176"/>
      <c r="Y713" s="2176"/>
      <c r="Z713" s="13"/>
      <c r="AA713" s="13"/>
      <c r="AB713" s="13"/>
      <c r="AC713" s="13"/>
    </row>
    <row r="714" spans="1:29" ht="15.75" customHeight="1">
      <c r="A714" s="1933"/>
      <c r="B714" s="2196"/>
      <c r="C714" s="2196"/>
      <c r="D714" s="2197"/>
      <c r="E714" s="2197"/>
      <c r="F714" s="2196"/>
      <c r="G714" s="2196"/>
      <c r="H714" s="2196"/>
      <c r="I714" s="2196"/>
      <c r="J714" s="2196"/>
      <c r="K714" s="2176"/>
      <c r="L714" s="2176"/>
      <c r="M714" s="2176"/>
      <c r="N714" s="2176"/>
      <c r="O714" s="2176"/>
      <c r="P714" s="2176"/>
      <c r="Q714" s="2176"/>
      <c r="R714" s="2176"/>
      <c r="S714" s="2176"/>
      <c r="T714" s="2176"/>
      <c r="U714" s="2176"/>
      <c r="V714" s="2176"/>
      <c r="W714" s="2176"/>
      <c r="X714" s="2176"/>
      <c r="Y714" s="2176"/>
      <c r="Z714" s="13"/>
      <c r="AA714" s="13"/>
      <c r="AB714" s="13"/>
      <c r="AC714" s="13"/>
    </row>
    <row r="715" spans="1:29" ht="15.75" customHeight="1">
      <c r="A715" s="1933"/>
      <c r="B715" s="2196"/>
      <c r="C715" s="2196"/>
      <c r="D715" s="2197"/>
      <c r="E715" s="2197"/>
      <c r="F715" s="2196"/>
      <c r="G715" s="2196"/>
      <c r="H715" s="2196"/>
      <c r="I715" s="2196"/>
      <c r="J715" s="2196"/>
      <c r="K715" s="2176"/>
      <c r="L715" s="2176"/>
      <c r="M715" s="2176"/>
      <c r="N715" s="2176"/>
      <c r="O715" s="2176"/>
      <c r="P715" s="2176"/>
      <c r="Q715" s="2176"/>
      <c r="R715" s="2176"/>
      <c r="S715" s="2176"/>
      <c r="T715" s="2176"/>
      <c r="U715" s="2176"/>
      <c r="V715" s="2176"/>
      <c r="W715" s="2176"/>
      <c r="X715" s="2176"/>
      <c r="Y715" s="2176"/>
      <c r="Z715" s="13"/>
      <c r="AA715" s="13"/>
      <c r="AB715" s="13"/>
      <c r="AC715" s="13"/>
    </row>
    <row r="716" spans="1:29" ht="15.75" customHeight="1">
      <c r="A716" s="1933"/>
      <c r="B716" s="2196"/>
      <c r="C716" s="2196"/>
      <c r="D716" s="2197"/>
      <c r="E716" s="2197"/>
      <c r="F716" s="2196"/>
      <c r="G716" s="2196"/>
      <c r="H716" s="2196"/>
      <c r="I716" s="2196"/>
      <c r="J716" s="2196"/>
      <c r="K716" s="2176"/>
      <c r="L716" s="2176"/>
      <c r="M716" s="2176"/>
      <c r="N716" s="2176"/>
      <c r="O716" s="2176"/>
      <c r="P716" s="2176"/>
      <c r="Q716" s="2176"/>
      <c r="R716" s="2176"/>
      <c r="S716" s="2176"/>
      <c r="T716" s="2176"/>
      <c r="U716" s="2176"/>
      <c r="V716" s="2176"/>
      <c r="W716" s="2176"/>
      <c r="X716" s="2176"/>
      <c r="Y716" s="2176"/>
      <c r="Z716" s="13"/>
      <c r="AA716" s="13"/>
      <c r="AB716" s="13"/>
      <c r="AC716" s="13"/>
    </row>
    <row r="717" spans="1:29" ht="15.75" customHeight="1">
      <c r="A717" s="1933"/>
      <c r="B717" s="2196"/>
      <c r="C717" s="2196"/>
      <c r="D717" s="2197"/>
      <c r="E717" s="2197"/>
      <c r="F717" s="2196"/>
      <c r="G717" s="2196"/>
      <c r="H717" s="2196"/>
      <c r="I717" s="2196"/>
      <c r="J717" s="2196"/>
      <c r="K717" s="2176"/>
      <c r="L717" s="2176"/>
      <c r="M717" s="2176"/>
      <c r="N717" s="2176"/>
      <c r="O717" s="2176"/>
      <c r="P717" s="2176"/>
      <c r="Q717" s="2176"/>
      <c r="R717" s="2176"/>
      <c r="S717" s="2176"/>
      <c r="T717" s="2176"/>
      <c r="U717" s="2176"/>
      <c r="V717" s="2176"/>
      <c r="W717" s="2176"/>
      <c r="X717" s="2176"/>
      <c r="Y717" s="2176"/>
      <c r="Z717" s="13"/>
      <c r="AA717" s="13"/>
      <c r="AB717" s="13"/>
      <c r="AC717" s="13"/>
    </row>
    <row r="718" spans="1:29" ht="15.75" customHeight="1">
      <c r="A718" s="1933"/>
      <c r="B718" s="2196"/>
      <c r="C718" s="2196"/>
      <c r="D718" s="2197"/>
      <c r="E718" s="2197"/>
      <c r="F718" s="2196"/>
      <c r="G718" s="2196"/>
      <c r="H718" s="2196"/>
      <c r="I718" s="2196"/>
      <c r="J718" s="2196"/>
      <c r="K718" s="2176"/>
      <c r="L718" s="2176"/>
      <c r="M718" s="2176"/>
      <c r="N718" s="2176"/>
      <c r="O718" s="2176"/>
      <c r="P718" s="2176"/>
      <c r="Q718" s="2176"/>
      <c r="R718" s="2176"/>
      <c r="S718" s="2176"/>
      <c r="T718" s="2176"/>
      <c r="U718" s="2176"/>
      <c r="V718" s="2176"/>
      <c r="W718" s="2176"/>
      <c r="X718" s="2176"/>
      <c r="Y718" s="2176"/>
      <c r="Z718" s="13"/>
      <c r="AA718" s="13"/>
      <c r="AB718" s="13"/>
      <c r="AC718" s="13"/>
    </row>
    <row r="719" spans="1:29" ht="15.75" customHeight="1">
      <c r="A719" s="1933"/>
      <c r="B719" s="2196"/>
      <c r="C719" s="2196"/>
      <c r="D719" s="2197"/>
      <c r="E719" s="2197"/>
      <c r="F719" s="2196"/>
      <c r="G719" s="2196"/>
      <c r="H719" s="2196"/>
      <c r="I719" s="2196"/>
      <c r="J719" s="2196"/>
      <c r="K719" s="2176"/>
      <c r="L719" s="2176"/>
      <c r="M719" s="2176"/>
      <c r="N719" s="2176"/>
      <c r="O719" s="2176"/>
      <c r="P719" s="2176"/>
      <c r="Q719" s="2176"/>
      <c r="R719" s="2176"/>
      <c r="S719" s="2176"/>
      <c r="T719" s="2176"/>
      <c r="U719" s="2176"/>
      <c r="V719" s="2176"/>
      <c r="W719" s="2176"/>
      <c r="X719" s="2176"/>
      <c r="Y719" s="2176"/>
      <c r="Z719" s="13"/>
      <c r="AA719" s="13"/>
      <c r="AB719" s="13"/>
      <c r="AC719" s="13"/>
    </row>
    <row r="720" spans="1:29" ht="15.75" customHeight="1">
      <c r="A720" s="1933"/>
      <c r="B720" s="2196"/>
      <c r="C720" s="2196"/>
      <c r="D720" s="2197"/>
      <c r="E720" s="2197"/>
      <c r="F720" s="2196"/>
      <c r="G720" s="2196"/>
      <c r="H720" s="2196"/>
      <c r="I720" s="2196"/>
      <c r="J720" s="2196"/>
      <c r="K720" s="2176"/>
      <c r="L720" s="2176"/>
      <c r="M720" s="2176"/>
      <c r="N720" s="2176"/>
      <c r="O720" s="2176"/>
      <c r="P720" s="2176"/>
      <c r="Q720" s="2176"/>
      <c r="R720" s="2176"/>
      <c r="S720" s="2176"/>
      <c r="T720" s="2176"/>
      <c r="U720" s="2176"/>
      <c r="V720" s="2176"/>
      <c r="W720" s="2176"/>
      <c r="X720" s="2176"/>
      <c r="Y720" s="2176"/>
      <c r="Z720" s="13"/>
      <c r="AA720" s="13"/>
      <c r="AB720" s="13"/>
      <c r="AC720" s="13"/>
    </row>
    <row r="721" spans="1:29" ht="15.75" customHeight="1">
      <c r="A721" s="1933"/>
      <c r="B721" s="2196"/>
      <c r="C721" s="2196"/>
      <c r="D721" s="2197"/>
      <c r="E721" s="2197"/>
      <c r="F721" s="2196"/>
      <c r="G721" s="2196"/>
      <c r="H721" s="2196"/>
      <c r="I721" s="2196"/>
      <c r="J721" s="2196"/>
      <c r="K721" s="2176"/>
      <c r="L721" s="2176"/>
      <c r="M721" s="2176"/>
      <c r="N721" s="2176"/>
      <c r="O721" s="2176"/>
      <c r="P721" s="2176"/>
      <c r="Q721" s="2176"/>
      <c r="R721" s="2176"/>
      <c r="S721" s="2176"/>
      <c r="T721" s="2176"/>
      <c r="U721" s="2176"/>
      <c r="V721" s="2176"/>
      <c r="W721" s="2176"/>
      <c r="X721" s="2176"/>
      <c r="Y721" s="2176"/>
      <c r="Z721" s="13"/>
      <c r="AA721" s="13"/>
      <c r="AB721" s="13"/>
      <c r="AC721" s="13"/>
    </row>
    <row r="722" spans="1:29" ht="15.75" customHeight="1">
      <c r="A722" s="1933"/>
      <c r="B722" s="2196"/>
      <c r="C722" s="2196"/>
      <c r="D722" s="2197"/>
      <c r="E722" s="2197"/>
      <c r="F722" s="2196"/>
      <c r="G722" s="2196"/>
      <c r="H722" s="2196"/>
      <c r="I722" s="2196"/>
      <c r="J722" s="2196"/>
      <c r="K722" s="2176"/>
      <c r="L722" s="2176"/>
      <c r="M722" s="2176"/>
      <c r="N722" s="2176"/>
      <c r="O722" s="2176"/>
      <c r="P722" s="2176"/>
      <c r="Q722" s="2176"/>
      <c r="R722" s="2176"/>
      <c r="S722" s="2176"/>
      <c r="T722" s="2176"/>
      <c r="U722" s="2176"/>
      <c r="V722" s="2176"/>
      <c r="W722" s="2176"/>
      <c r="X722" s="2176"/>
      <c r="Y722" s="2176"/>
      <c r="Z722" s="13"/>
      <c r="AA722" s="13"/>
      <c r="AB722" s="13"/>
      <c r="AC722" s="13"/>
    </row>
    <row r="723" spans="1:29" ht="15.75" customHeight="1">
      <c r="A723" s="1933"/>
      <c r="B723" s="2196"/>
      <c r="C723" s="2196"/>
      <c r="D723" s="2197"/>
      <c r="E723" s="2197"/>
      <c r="F723" s="2196"/>
      <c r="G723" s="2196"/>
      <c r="H723" s="2196"/>
      <c r="I723" s="2196"/>
      <c r="J723" s="2196"/>
      <c r="K723" s="2176"/>
      <c r="L723" s="2176"/>
      <c r="M723" s="2176"/>
      <c r="N723" s="2176"/>
      <c r="O723" s="2176"/>
      <c r="P723" s="2176"/>
      <c r="Q723" s="2176"/>
      <c r="R723" s="2176"/>
      <c r="S723" s="2176"/>
      <c r="T723" s="2176"/>
      <c r="U723" s="2176"/>
      <c r="V723" s="2176"/>
      <c r="W723" s="2176"/>
      <c r="X723" s="2176"/>
      <c r="Y723" s="2176"/>
      <c r="Z723" s="13"/>
      <c r="AA723" s="13"/>
      <c r="AB723" s="13"/>
      <c r="AC723" s="13"/>
    </row>
    <row r="724" spans="1:29" ht="15.75" customHeight="1">
      <c r="A724" s="1933"/>
      <c r="B724" s="2196"/>
      <c r="C724" s="2196"/>
      <c r="D724" s="2197"/>
      <c r="E724" s="2197"/>
      <c r="F724" s="2196"/>
      <c r="G724" s="2196"/>
      <c r="H724" s="2196"/>
      <c r="I724" s="2196"/>
      <c r="J724" s="2196"/>
      <c r="K724" s="2176"/>
      <c r="L724" s="2176"/>
      <c r="M724" s="2176"/>
      <c r="N724" s="2176"/>
      <c r="O724" s="2176"/>
      <c r="P724" s="2176"/>
      <c r="Q724" s="2176"/>
      <c r="R724" s="2176"/>
      <c r="S724" s="2176"/>
      <c r="T724" s="2176"/>
      <c r="U724" s="2176"/>
      <c r="V724" s="2176"/>
      <c r="W724" s="2176"/>
      <c r="X724" s="2176"/>
      <c r="Y724" s="2176"/>
      <c r="Z724" s="13"/>
      <c r="AA724" s="13"/>
      <c r="AB724" s="13"/>
      <c r="AC724" s="13"/>
    </row>
    <row r="725" spans="1:29" ht="15.75" customHeight="1">
      <c r="A725" s="1933"/>
      <c r="B725" s="2196"/>
      <c r="C725" s="2196"/>
      <c r="D725" s="2197"/>
      <c r="E725" s="2197"/>
      <c r="F725" s="2196"/>
      <c r="G725" s="2196"/>
      <c r="H725" s="2196"/>
      <c r="I725" s="2196"/>
      <c r="J725" s="2196"/>
      <c r="K725" s="2176"/>
      <c r="L725" s="2176"/>
      <c r="M725" s="2176"/>
      <c r="N725" s="2176"/>
      <c r="O725" s="2176"/>
      <c r="P725" s="2176"/>
      <c r="Q725" s="2176"/>
      <c r="R725" s="2176"/>
      <c r="S725" s="2176"/>
      <c r="T725" s="2176"/>
      <c r="U725" s="2176"/>
      <c r="V725" s="2176"/>
      <c r="W725" s="2176"/>
      <c r="X725" s="2176"/>
      <c r="Y725" s="2176"/>
      <c r="Z725" s="13"/>
      <c r="AA725" s="13"/>
      <c r="AB725" s="13"/>
      <c r="AC725" s="13"/>
    </row>
    <row r="726" spans="1:29" ht="15.75" customHeight="1">
      <c r="A726" s="1933"/>
      <c r="B726" s="2196"/>
      <c r="C726" s="2196"/>
      <c r="D726" s="2197"/>
      <c r="E726" s="2197"/>
      <c r="F726" s="2196"/>
      <c r="G726" s="2196"/>
      <c r="H726" s="2196"/>
      <c r="I726" s="2196"/>
      <c r="J726" s="2196"/>
      <c r="K726" s="2176"/>
      <c r="L726" s="2176"/>
      <c r="M726" s="2176"/>
      <c r="N726" s="2176"/>
      <c r="O726" s="2176"/>
      <c r="P726" s="2176"/>
      <c r="Q726" s="2176"/>
      <c r="R726" s="2176"/>
      <c r="S726" s="2176"/>
      <c r="T726" s="2176"/>
      <c r="U726" s="2176"/>
      <c r="V726" s="2176"/>
      <c r="W726" s="2176"/>
      <c r="X726" s="2176"/>
      <c r="Y726" s="2176"/>
      <c r="Z726" s="13"/>
      <c r="AA726" s="13"/>
      <c r="AB726" s="13"/>
      <c r="AC726" s="13"/>
    </row>
    <row r="727" spans="1:29" ht="15.75" customHeight="1">
      <c r="A727" s="1933"/>
      <c r="B727" s="2196"/>
      <c r="C727" s="2196"/>
      <c r="D727" s="2197"/>
      <c r="E727" s="2197"/>
      <c r="F727" s="2196"/>
      <c r="G727" s="2196"/>
      <c r="H727" s="2196"/>
      <c r="I727" s="2196"/>
      <c r="J727" s="2196"/>
      <c r="K727" s="2176"/>
      <c r="L727" s="2176"/>
      <c r="M727" s="2176"/>
      <c r="N727" s="2176"/>
      <c r="O727" s="2176"/>
      <c r="P727" s="2176"/>
      <c r="Q727" s="2176"/>
      <c r="R727" s="2176"/>
      <c r="S727" s="2176"/>
      <c r="T727" s="2176"/>
      <c r="U727" s="2176"/>
      <c r="V727" s="2176"/>
      <c r="W727" s="2176"/>
      <c r="X727" s="2176"/>
      <c r="Y727" s="2176"/>
      <c r="Z727" s="13"/>
      <c r="AA727" s="13"/>
      <c r="AB727" s="13"/>
      <c r="AC727" s="13"/>
    </row>
    <row r="728" spans="1:29" ht="15.75" customHeight="1">
      <c r="A728" s="1933"/>
      <c r="B728" s="2196"/>
      <c r="C728" s="2196"/>
      <c r="D728" s="2197"/>
      <c r="E728" s="2197"/>
      <c r="F728" s="2196"/>
      <c r="G728" s="2196"/>
      <c r="H728" s="2196"/>
      <c r="I728" s="2196"/>
      <c r="J728" s="2196"/>
      <c r="K728" s="2176"/>
      <c r="L728" s="2176"/>
      <c r="M728" s="2176"/>
      <c r="N728" s="2176"/>
      <c r="O728" s="2176"/>
      <c r="P728" s="2176"/>
      <c r="Q728" s="2176"/>
      <c r="R728" s="2176"/>
      <c r="S728" s="2176"/>
      <c r="T728" s="2176"/>
      <c r="U728" s="2176"/>
      <c r="V728" s="2176"/>
      <c r="W728" s="2176"/>
      <c r="X728" s="2176"/>
      <c r="Y728" s="2176"/>
      <c r="Z728" s="13"/>
      <c r="AA728" s="13"/>
      <c r="AB728" s="13"/>
      <c r="AC728" s="13"/>
    </row>
    <row r="729" spans="1:29" ht="15.75" customHeight="1">
      <c r="A729" s="1933"/>
      <c r="B729" s="2196"/>
      <c r="C729" s="2196"/>
      <c r="D729" s="2197"/>
      <c r="E729" s="2197"/>
      <c r="F729" s="2196"/>
      <c r="G729" s="2196"/>
      <c r="H729" s="2196"/>
      <c r="I729" s="2196"/>
      <c r="J729" s="2196"/>
      <c r="K729" s="2176"/>
      <c r="L729" s="2176"/>
      <c r="M729" s="2176"/>
      <c r="N729" s="2176"/>
      <c r="O729" s="2176"/>
      <c r="P729" s="2176"/>
      <c r="Q729" s="2176"/>
      <c r="R729" s="2176"/>
      <c r="S729" s="2176"/>
      <c r="T729" s="2176"/>
      <c r="U729" s="2176"/>
      <c r="V729" s="2176"/>
      <c r="W729" s="2176"/>
      <c r="X729" s="2176"/>
      <c r="Y729" s="2176"/>
      <c r="Z729" s="13"/>
      <c r="AA729" s="13"/>
      <c r="AB729" s="13"/>
      <c r="AC729" s="13"/>
    </row>
    <row r="730" spans="1:29" ht="15.75" customHeight="1">
      <c r="A730" s="1933"/>
      <c r="B730" s="2196"/>
      <c r="C730" s="2196"/>
      <c r="D730" s="2197"/>
      <c r="E730" s="2197"/>
      <c r="F730" s="2196"/>
      <c r="G730" s="2196"/>
      <c r="H730" s="2196"/>
      <c r="I730" s="2196"/>
      <c r="J730" s="2196"/>
      <c r="K730" s="2176"/>
      <c r="L730" s="2176"/>
      <c r="M730" s="2176"/>
      <c r="N730" s="2176"/>
      <c r="O730" s="2176"/>
      <c r="P730" s="2176"/>
      <c r="Q730" s="2176"/>
      <c r="R730" s="2176"/>
      <c r="S730" s="2176"/>
      <c r="T730" s="2176"/>
      <c r="U730" s="2176"/>
      <c r="V730" s="2176"/>
      <c r="W730" s="2176"/>
      <c r="X730" s="2176"/>
      <c r="Y730" s="2176"/>
      <c r="Z730" s="13"/>
      <c r="AA730" s="13"/>
      <c r="AB730" s="13"/>
      <c r="AC730" s="13"/>
    </row>
    <row r="731" spans="1:29" ht="15.75" customHeight="1">
      <c r="A731" s="1933"/>
      <c r="B731" s="2196"/>
      <c r="C731" s="2196"/>
      <c r="D731" s="2197"/>
      <c r="E731" s="2197"/>
      <c r="F731" s="2196"/>
      <c r="G731" s="2196"/>
      <c r="H731" s="2196"/>
      <c r="I731" s="2196"/>
      <c r="J731" s="2196"/>
      <c r="K731" s="2176"/>
      <c r="L731" s="2176"/>
      <c r="M731" s="2176"/>
      <c r="N731" s="2176"/>
      <c r="O731" s="2176"/>
      <c r="P731" s="2176"/>
      <c r="Q731" s="2176"/>
      <c r="R731" s="2176"/>
      <c r="S731" s="2176"/>
      <c r="T731" s="2176"/>
      <c r="U731" s="2176"/>
      <c r="V731" s="2176"/>
      <c r="W731" s="2176"/>
      <c r="X731" s="2176"/>
      <c r="Y731" s="2176"/>
      <c r="Z731" s="13"/>
      <c r="AA731" s="13"/>
      <c r="AB731" s="13"/>
      <c r="AC731" s="13"/>
    </row>
    <row r="732" spans="1:29" ht="15.75" customHeight="1">
      <c r="A732" s="1933"/>
      <c r="B732" s="2196"/>
      <c r="C732" s="2196"/>
      <c r="D732" s="2197"/>
      <c r="E732" s="2197"/>
      <c r="F732" s="2196"/>
      <c r="G732" s="2196"/>
      <c r="H732" s="2196"/>
      <c r="I732" s="2196"/>
      <c r="J732" s="2196"/>
      <c r="K732" s="2176"/>
      <c r="L732" s="2176"/>
      <c r="M732" s="2176"/>
      <c r="N732" s="2176"/>
      <c r="O732" s="2176"/>
      <c r="P732" s="2176"/>
      <c r="Q732" s="2176"/>
      <c r="R732" s="2176"/>
      <c r="S732" s="2176"/>
      <c r="T732" s="2176"/>
      <c r="U732" s="2176"/>
      <c r="V732" s="2176"/>
      <c r="W732" s="2176"/>
      <c r="X732" s="2176"/>
      <c r="Y732" s="2176"/>
      <c r="Z732" s="13"/>
      <c r="AA732" s="13"/>
      <c r="AB732" s="13"/>
      <c r="AC732" s="13"/>
    </row>
    <row r="733" spans="1:29" ht="15.75" customHeight="1">
      <c r="A733" s="1933"/>
      <c r="B733" s="2196"/>
      <c r="C733" s="2196"/>
      <c r="D733" s="2197"/>
      <c r="E733" s="2197"/>
      <c r="F733" s="2196"/>
      <c r="G733" s="2196"/>
      <c r="H733" s="2196"/>
      <c r="I733" s="2196"/>
      <c r="J733" s="2196"/>
      <c r="K733" s="2176"/>
      <c r="L733" s="2176"/>
      <c r="M733" s="2176"/>
      <c r="N733" s="2176"/>
      <c r="O733" s="2176"/>
      <c r="P733" s="2176"/>
      <c r="Q733" s="2176"/>
      <c r="R733" s="2176"/>
      <c r="S733" s="2176"/>
      <c r="T733" s="2176"/>
      <c r="U733" s="2176"/>
      <c r="V733" s="2176"/>
      <c r="W733" s="2176"/>
      <c r="X733" s="2176"/>
      <c r="Y733" s="2176"/>
      <c r="Z733" s="13"/>
      <c r="AA733" s="13"/>
      <c r="AB733" s="13"/>
      <c r="AC733" s="13"/>
    </row>
    <row r="734" spans="1:29" ht="15.75" customHeight="1">
      <c r="A734" s="1933"/>
      <c r="B734" s="2196"/>
      <c r="C734" s="2196"/>
      <c r="D734" s="2197"/>
      <c r="E734" s="2197"/>
      <c r="F734" s="2196"/>
      <c r="G734" s="2196"/>
      <c r="H734" s="2196"/>
      <c r="I734" s="2196"/>
      <c r="J734" s="2196"/>
      <c r="K734" s="2176"/>
      <c r="L734" s="2176"/>
      <c r="M734" s="2176"/>
      <c r="N734" s="2176"/>
      <c r="O734" s="2176"/>
      <c r="P734" s="2176"/>
      <c r="Q734" s="2176"/>
      <c r="R734" s="2176"/>
      <c r="S734" s="2176"/>
      <c r="T734" s="2176"/>
      <c r="U734" s="2176"/>
      <c r="V734" s="2176"/>
      <c r="W734" s="2176"/>
      <c r="X734" s="2176"/>
      <c r="Y734" s="2176"/>
      <c r="Z734" s="13"/>
      <c r="AA734" s="13"/>
      <c r="AB734" s="13"/>
      <c r="AC734" s="13"/>
    </row>
    <row r="735" spans="1:29" ht="15.75" customHeight="1">
      <c r="A735" s="1933"/>
      <c r="B735" s="2196"/>
      <c r="C735" s="2196"/>
      <c r="D735" s="2197"/>
      <c r="E735" s="2197"/>
      <c r="F735" s="2196"/>
      <c r="G735" s="2196"/>
      <c r="H735" s="2196"/>
      <c r="I735" s="2196"/>
      <c r="J735" s="2196"/>
      <c r="K735" s="2176"/>
      <c r="L735" s="2176"/>
      <c r="M735" s="2176"/>
      <c r="N735" s="2176"/>
      <c r="O735" s="2176"/>
      <c r="P735" s="2176"/>
      <c r="Q735" s="2176"/>
      <c r="R735" s="2176"/>
      <c r="S735" s="2176"/>
      <c r="T735" s="2176"/>
      <c r="U735" s="2176"/>
      <c r="V735" s="2176"/>
      <c r="W735" s="2176"/>
      <c r="X735" s="2176"/>
      <c r="Y735" s="2176"/>
      <c r="Z735" s="13"/>
      <c r="AA735" s="13"/>
      <c r="AB735" s="13"/>
      <c r="AC735" s="13"/>
    </row>
    <row r="736" spans="1:29" ht="15.75" customHeight="1">
      <c r="A736" s="1933"/>
      <c r="B736" s="2196"/>
      <c r="C736" s="2196"/>
      <c r="D736" s="2197"/>
      <c r="E736" s="2197"/>
      <c r="F736" s="2196"/>
      <c r="G736" s="2196"/>
      <c r="H736" s="2196"/>
      <c r="I736" s="2196"/>
      <c r="J736" s="2196"/>
      <c r="K736" s="2176"/>
      <c r="L736" s="2176"/>
      <c r="M736" s="2176"/>
      <c r="N736" s="2176"/>
      <c r="O736" s="2176"/>
      <c r="P736" s="2176"/>
      <c r="Q736" s="2176"/>
      <c r="R736" s="2176"/>
      <c r="S736" s="2176"/>
      <c r="T736" s="2176"/>
      <c r="U736" s="2176"/>
      <c r="V736" s="2176"/>
      <c r="W736" s="2176"/>
      <c r="X736" s="2176"/>
      <c r="Y736" s="2176"/>
      <c r="Z736" s="13"/>
      <c r="AA736" s="13"/>
      <c r="AB736" s="13"/>
      <c r="AC736" s="13"/>
    </row>
    <row r="737" spans="1:29" ht="15.75" customHeight="1">
      <c r="A737" s="1933"/>
      <c r="B737" s="2196"/>
      <c r="C737" s="2196"/>
      <c r="D737" s="2197"/>
      <c r="E737" s="2197"/>
      <c r="F737" s="2196"/>
      <c r="G737" s="2196"/>
      <c r="H737" s="2196"/>
      <c r="I737" s="2196"/>
      <c r="J737" s="2196"/>
      <c r="K737" s="2176"/>
      <c r="L737" s="2176"/>
      <c r="M737" s="2176"/>
      <c r="N737" s="2176"/>
      <c r="O737" s="2176"/>
      <c r="P737" s="2176"/>
      <c r="Q737" s="2176"/>
      <c r="R737" s="2176"/>
      <c r="S737" s="2176"/>
      <c r="T737" s="2176"/>
      <c r="U737" s="2176"/>
      <c r="V737" s="2176"/>
      <c r="W737" s="2176"/>
      <c r="X737" s="2176"/>
      <c r="Y737" s="2176"/>
      <c r="Z737" s="13"/>
      <c r="AA737" s="13"/>
      <c r="AB737" s="13"/>
      <c r="AC737" s="13"/>
    </row>
    <row r="738" spans="1:29" ht="15.75" customHeight="1">
      <c r="A738" s="1933"/>
      <c r="B738" s="2196"/>
      <c r="C738" s="2196"/>
      <c r="D738" s="2197"/>
      <c r="E738" s="2197"/>
      <c r="F738" s="2196"/>
      <c r="G738" s="2196"/>
      <c r="H738" s="2196"/>
      <c r="I738" s="2196"/>
      <c r="J738" s="2196"/>
      <c r="K738" s="2176"/>
      <c r="L738" s="2176"/>
      <c r="M738" s="2176"/>
      <c r="N738" s="2176"/>
      <c r="O738" s="2176"/>
      <c r="P738" s="2176"/>
      <c r="Q738" s="2176"/>
      <c r="R738" s="2176"/>
      <c r="S738" s="2176"/>
      <c r="T738" s="2176"/>
      <c r="U738" s="2176"/>
      <c r="V738" s="2176"/>
      <c r="W738" s="2176"/>
      <c r="X738" s="2176"/>
      <c r="Y738" s="2176"/>
      <c r="Z738" s="13"/>
      <c r="AA738" s="13"/>
      <c r="AB738" s="13"/>
      <c r="AC738" s="13"/>
    </row>
    <row r="739" spans="1:29" ht="15.75" customHeight="1">
      <c r="A739" s="1933"/>
      <c r="B739" s="2196"/>
      <c r="C739" s="2196"/>
      <c r="D739" s="2197"/>
      <c r="E739" s="2197"/>
      <c r="F739" s="2196"/>
      <c r="G739" s="2196"/>
      <c r="H739" s="2196"/>
      <c r="I739" s="2196"/>
      <c r="J739" s="2196"/>
      <c r="K739" s="2176"/>
      <c r="L739" s="2176"/>
      <c r="M739" s="2176"/>
      <c r="N739" s="2176"/>
      <c r="O739" s="2176"/>
      <c r="P739" s="2176"/>
      <c r="Q739" s="2176"/>
      <c r="R739" s="2176"/>
      <c r="S739" s="2176"/>
      <c r="T739" s="2176"/>
      <c r="U739" s="2176"/>
      <c r="V739" s="2176"/>
      <c r="W739" s="2176"/>
      <c r="X739" s="2176"/>
      <c r="Y739" s="2176"/>
      <c r="Z739" s="13"/>
      <c r="AA739" s="13"/>
      <c r="AB739" s="13"/>
      <c r="AC739" s="13"/>
    </row>
    <row r="740" spans="1:29" ht="15.75" customHeight="1">
      <c r="A740" s="1933"/>
      <c r="B740" s="2196"/>
      <c r="C740" s="2196"/>
      <c r="D740" s="2197"/>
      <c r="E740" s="2197"/>
      <c r="F740" s="2196"/>
      <c r="G740" s="2196"/>
      <c r="H740" s="2196"/>
      <c r="I740" s="2196"/>
      <c r="J740" s="2196"/>
      <c r="K740" s="2176"/>
      <c r="L740" s="2176"/>
      <c r="M740" s="2176"/>
      <c r="N740" s="2176"/>
      <c r="O740" s="2176"/>
      <c r="P740" s="2176"/>
      <c r="Q740" s="2176"/>
      <c r="R740" s="2176"/>
      <c r="S740" s="2176"/>
      <c r="T740" s="2176"/>
      <c r="U740" s="2176"/>
      <c r="V740" s="2176"/>
      <c r="W740" s="2176"/>
      <c r="X740" s="2176"/>
      <c r="Y740" s="2176"/>
      <c r="Z740" s="13"/>
      <c r="AA740" s="13"/>
      <c r="AB740" s="13"/>
      <c r="AC740" s="13"/>
    </row>
    <row r="741" spans="1:29" ht="15.75" customHeight="1">
      <c r="A741" s="1933"/>
      <c r="B741" s="2196"/>
      <c r="C741" s="2196"/>
      <c r="D741" s="2197"/>
      <c r="E741" s="2197"/>
      <c r="F741" s="2196"/>
      <c r="G741" s="2196"/>
      <c r="H741" s="2196"/>
      <c r="I741" s="2196"/>
      <c r="J741" s="2196"/>
      <c r="K741" s="2176"/>
      <c r="L741" s="2176"/>
      <c r="M741" s="2176"/>
      <c r="N741" s="2176"/>
      <c r="O741" s="2176"/>
      <c r="P741" s="2176"/>
      <c r="Q741" s="2176"/>
      <c r="R741" s="2176"/>
      <c r="S741" s="2176"/>
      <c r="T741" s="2176"/>
      <c r="U741" s="2176"/>
      <c r="V741" s="2176"/>
      <c r="W741" s="2176"/>
      <c r="X741" s="2176"/>
      <c r="Y741" s="2176"/>
      <c r="Z741" s="13"/>
      <c r="AA741" s="13"/>
      <c r="AB741" s="13"/>
      <c r="AC741" s="13"/>
    </row>
    <row r="742" spans="1:29" ht="15.75" customHeight="1">
      <c r="A742" s="1933"/>
      <c r="B742" s="2196"/>
      <c r="C742" s="2196"/>
      <c r="D742" s="2197"/>
      <c r="E742" s="2197"/>
      <c r="F742" s="2196"/>
      <c r="G742" s="2196"/>
      <c r="H742" s="2196"/>
      <c r="I742" s="2196"/>
      <c r="J742" s="2196"/>
      <c r="K742" s="2176"/>
      <c r="L742" s="2176"/>
      <c r="M742" s="2176"/>
      <c r="N742" s="2176"/>
      <c r="O742" s="2176"/>
      <c r="P742" s="2176"/>
      <c r="Q742" s="2176"/>
      <c r="R742" s="2176"/>
      <c r="S742" s="2176"/>
      <c r="T742" s="2176"/>
      <c r="U742" s="2176"/>
      <c r="V742" s="2176"/>
      <c r="W742" s="2176"/>
      <c r="X742" s="2176"/>
      <c r="Y742" s="2176"/>
      <c r="Z742" s="13"/>
      <c r="AA742" s="13"/>
      <c r="AB742" s="13"/>
      <c r="AC742" s="13"/>
    </row>
    <row r="743" spans="1:29" ht="15.75" customHeight="1">
      <c r="A743" s="1933"/>
      <c r="B743" s="2196"/>
      <c r="C743" s="2196"/>
      <c r="D743" s="2197"/>
      <c r="E743" s="2197"/>
      <c r="F743" s="2196"/>
      <c r="G743" s="2196"/>
      <c r="H743" s="2196"/>
      <c r="I743" s="2196"/>
      <c r="J743" s="2196"/>
      <c r="K743" s="2176"/>
      <c r="L743" s="2176"/>
      <c r="M743" s="2176"/>
      <c r="N743" s="2176"/>
      <c r="O743" s="2176"/>
      <c r="P743" s="2176"/>
      <c r="Q743" s="2176"/>
      <c r="R743" s="2176"/>
      <c r="S743" s="2176"/>
      <c r="T743" s="2176"/>
      <c r="U743" s="2176"/>
      <c r="V743" s="2176"/>
      <c r="W743" s="2176"/>
      <c r="X743" s="2176"/>
      <c r="Y743" s="2176"/>
      <c r="Z743" s="13"/>
      <c r="AA743" s="13"/>
      <c r="AB743" s="13"/>
      <c r="AC743" s="13"/>
    </row>
    <row r="744" spans="1:29" ht="15.75" customHeight="1">
      <c r="A744" s="1933"/>
      <c r="B744" s="2196"/>
      <c r="C744" s="2196"/>
      <c r="D744" s="2197"/>
      <c r="E744" s="2197"/>
      <c r="F744" s="2196"/>
      <c r="G744" s="2196"/>
      <c r="H744" s="2196"/>
      <c r="I744" s="2196"/>
      <c r="J744" s="2196"/>
      <c r="K744" s="2176"/>
      <c r="L744" s="2176"/>
      <c r="M744" s="2176"/>
      <c r="N744" s="2176"/>
      <c r="O744" s="2176"/>
      <c r="P744" s="2176"/>
      <c r="Q744" s="2176"/>
      <c r="R744" s="2176"/>
      <c r="S744" s="2176"/>
      <c r="T744" s="2176"/>
      <c r="U744" s="2176"/>
      <c r="V744" s="2176"/>
      <c r="W744" s="2176"/>
      <c r="X744" s="2176"/>
      <c r="Y744" s="2176"/>
      <c r="Z744" s="13"/>
      <c r="AA744" s="13"/>
      <c r="AB744" s="13"/>
      <c r="AC744" s="13"/>
    </row>
    <row r="745" spans="1:29" ht="15.75" customHeight="1">
      <c r="A745" s="1933"/>
      <c r="B745" s="2196"/>
      <c r="C745" s="2196"/>
      <c r="D745" s="2197"/>
      <c r="E745" s="2197"/>
      <c r="F745" s="2196"/>
      <c r="G745" s="2196"/>
      <c r="H745" s="2196"/>
      <c r="I745" s="2196"/>
      <c r="J745" s="2196"/>
      <c r="K745" s="2176"/>
      <c r="L745" s="2176"/>
      <c r="M745" s="2176"/>
      <c r="N745" s="2176"/>
      <c r="O745" s="2176"/>
      <c r="P745" s="2176"/>
      <c r="Q745" s="2176"/>
      <c r="R745" s="2176"/>
      <c r="S745" s="2176"/>
      <c r="T745" s="2176"/>
      <c r="U745" s="2176"/>
      <c r="V745" s="2176"/>
      <c r="W745" s="2176"/>
      <c r="X745" s="2176"/>
      <c r="Y745" s="2176"/>
      <c r="Z745" s="13"/>
      <c r="AA745" s="13"/>
      <c r="AB745" s="13"/>
      <c r="AC745" s="13"/>
    </row>
    <row r="746" spans="1:29" ht="15.75" customHeight="1">
      <c r="A746" s="1933"/>
      <c r="B746" s="2196"/>
      <c r="C746" s="2196"/>
      <c r="D746" s="2197"/>
      <c r="E746" s="2197"/>
      <c r="F746" s="2196"/>
      <c r="G746" s="2196"/>
      <c r="H746" s="2196"/>
      <c r="I746" s="2196"/>
      <c r="J746" s="2196"/>
      <c r="K746" s="2176"/>
      <c r="L746" s="2176"/>
      <c r="M746" s="2176"/>
      <c r="N746" s="2176"/>
      <c r="O746" s="2176"/>
      <c r="P746" s="2176"/>
      <c r="Q746" s="2176"/>
      <c r="R746" s="2176"/>
      <c r="S746" s="2176"/>
      <c r="T746" s="2176"/>
      <c r="U746" s="2176"/>
      <c r="V746" s="2176"/>
      <c r="W746" s="2176"/>
      <c r="X746" s="2176"/>
      <c r="Y746" s="2176"/>
      <c r="Z746" s="13"/>
      <c r="AA746" s="13"/>
      <c r="AB746" s="13"/>
      <c r="AC746" s="13"/>
    </row>
    <row r="747" spans="1:29" ht="15.75" customHeight="1">
      <c r="A747" s="1933"/>
      <c r="B747" s="2196"/>
      <c r="C747" s="2196"/>
      <c r="D747" s="2197"/>
      <c r="E747" s="2197"/>
      <c r="F747" s="2196"/>
      <c r="G747" s="2196"/>
      <c r="H747" s="2196"/>
      <c r="I747" s="2196"/>
      <c r="J747" s="2196"/>
      <c r="K747" s="2176"/>
      <c r="L747" s="2176"/>
      <c r="M747" s="2176"/>
      <c r="N747" s="2176"/>
      <c r="O747" s="2176"/>
      <c r="P747" s="2176"/>
      <c r="Q747" s="2176"/>
      <c r="R747" s="2176"/>
      <c r="S747" s="2176"/>
      <c r="T747" s="2176"/>
      <c r="U747" s="2176"/>
      <c r="V747" s="2176"/>
      <c r="W747" s="2176"/>
      <c r="X747" s="2176"/>
      <c r="Y747" s="2176"/>
      <c r="Z747" s="13"/>
      <c r="AA747" s="13"/>
      <c r="AB747" s="13"/>
      <c r="AC747" s="13"/>
    </row>
    <row r="748" spans="1:29" ht="15.75" customHeight="1">
      <c r="A748" s="1933"/>
      <c r="B748" s="2196"/>
      <c r="C748" s="2196"/>
      <c r="D748" s="2197"/>
      <c r="E748" s="2197"/>
      <c r="F748" s="2196"/>
      <c r="G748" s="2196"/>
      <c r="H748" s="2196"/>
      <c r="I748" s="2196"/>
      <c r="J748" s="2196"/>
      <c r="K748" s="2176"/>
      <c r="L748" s="2176"/>
      <c r="M748" s="2176"/>
      <c r="N748" s="2176"/>
      <c r="O748" s="2176"/>
      <c r="P748" s="2176"/>
      <c r="Q748" s="2176"/>
      <c r="R748" s="2176"/>
      <c r="S748" s="2176"/>
      <c r="T748" s="2176"/>
      <c r="U748" s="2176"/>
      <c r="V748" s="2176"/>
      <c r="W748" s="2176"/>
      <c r="X748" s="2176"/>
      <c r="Y748" s="2176"/>
      <c r="Z748" s="13"/>
      <c r="AA748" s="13"/>
      <c r="AB748" s="13"/>
      <c r="AC748" s="13"/>
    </row>
    <row r="749" spans="1:29" ht="15.75" customHeight="1">
      <c r="A749" s="1933"/>
      <c r="B749" s="2196"/>
      <c r="C749" s="2196"/>
      <c r="D749" s="2197"/>
      <c r="E749" s="2197"/>
      <c r="F749" s="2196"/>
      <c r="G749" s="2196"/>
      <c r="H749" s="2196"/>
      <c r="I749" s="2196"/>
      <c r="J749" s="2196"/>
      <c r="K749" s="2176"/>
      <c r="L749" s="2176"/>
      <c r="M749" s="2176"/>
      <c r="N749" s="2176"/>
      <c r="O749" s="2176"/>
      <c r="P749" s="2176"/>
      <c r="Q749" s="2176"/>
      <c r="R749" s="2176"/>
      <c r="S749" s="2176"/>
      <c r="T749" s="2176"/>
      <c r="U749" s="2176"/>
      <c r="V749" s="2176"/>
      <c r="W749" s="2176"/>
      <c r="X749" s="2176"/>
      <c r="Y749" s="2176"/>
      <c r="Z749" s="13"/>
      <c r="AA749" s="13"/>
      <c r="AB749" s="13"/>
      <c r="AC749" s="13"/>
    </row>
    <row r="750" spans="1:29" ht="15.75" customHeight="1">
      <c r="A750" s="1933"/>
      <c r="B750" s="2196"/>
      <c r="C750" s="2196"/>
      <c r="D750" s="2197"/>
      <c r="E750" s="2197"/>
      <c r="F750" s="2196"/>
      <c r="G750" s="2196"/>
      <c r="H750" s="2196"/>
      <c r="I750" s="2196"/>
      <c r="J750" s="2196"/>
      <c r="K750" s="2176"/>
      <c r="L750" s="2176"/>
      <c r="M750" s="2176"/>
      <c r="N750" s="2176"/>
      <c r="O750" s="2176"/>
      <c r="P750" s="2176"/>
      <c r="Q750" s="2176"/>
      <c r="R750" s="2176"/>
      <c r="S750" s="2176"/>
      <c r="T750" s="2176"/>
      <c r="U750" s="2176"/>
      <c r="V750" s="2176"/>
      <c r="W750" s="2176"/>
      <c r="X750" s="2176"/>
      <c r="Y750" s="2176"/>
      <c r="Z750" s="13"/>
      <c r="AA750" s="13"/>
      <c r="AB750" s="13"/>
      <c r="AC750" s="13"/>
    </row>
    <row r="751" spans="1:29" ht="15.75" customHeight="1">
      <c r="A751" s="1933"/>
      <c r="B751" s="2196"/>
      <c r="C751" s="2196"/>
      <c r="D751" s="2197"/>
      <c r="E751" s="2197"/>
      <c r="F751" s="2196"/>
      <c r="G751" s="2196"/>
      <c r="H751" s="2196"/>
      <c r="I751" s="2196"/>
      <c r="J751" s="2196"/>
      <c r="K751" s="2176"/>
      <c r="L751" s="2176"/>
      <c r="M751" s="2176"/>
      <c r="N751" s="2176"/>
      <c r="O751" s="2176"/>
      <c r="P751" s="2176"/>
      <c r="Q751" s="2176"/>
      <c r="R751" s="2176"/>
      <c r="S751" s="2176"/>
      <c r="T751" s="2176"/>
      <c r="U751" s="2176"/>
      <c r="V751" s="2176"/>
      <c r="W751" s="2176"/>
      <c r="X751" s="2176"/>
      <c r="Y751" s="2176"/>
      <c r="Z751" s="13"/>
      <c r="AA751" s="13"/>
      <c r="AB751" s="13"/>
      <c r="AC751" s="13"/>
    </row>
    <row r="752" spans="1:29" ht="15.75" customHeight="1">
      <c r="A752" s="1933"/>
      <c r="B752" s="2196"/>
      <c r="C752" s="2196"/>
      <c r="D752" s="2197"/>
      <c r="E752" s="2197"/>
      <c r="F752" s="2196"/>
      <c r="G752" s="2196"/>
      <c r="H752" s="2196"/>
      <c r="I752" s="2196"/>
      <c r="J752" s="2196"/>
      <c r="K752" s="2176"/>
      <c r="L752" s="2176"/>
      <c r="M752" s="2176"/>
      <c r="N752" s="2176"/>
      <c r="O752" s="2176"/>
      <c r="P752" s="2176"/>
      <c r="Q752" s="2176"/>
      <c r="R752" s="2176"/>
      <c r="S752" s="2176"/>
      <c r="T752" s="2176"/>
      <c r="U752" s="2176"/>
      <c r="V752" s="2176"/>
      <c r="W752" s="2176"/>
      <c r="X752" s="2176"/>
      <c r="Y752" s="2176"/>
      <c r="Z752" s="13"/>
      <c r="AA752" s="13"/>
      <c r="AB752" s="13"/>
      <c r="AC752" s="13"/>
    </row>
    <row r="753" spans="1:29" ht="15.75" customHeight="1">
      <c r="A753" s="1933"/>
      <c r="B753" s="2196"/>
      <c r="C753" s="2196"/>
      <c r="D753" s="2197"/>
      <c r="E753" s="2197"/>
      <c r="F753" s="2196"/>
      <c r="G753" s="2196"/>
      <c r="H753" s="2196"/>
      <c r="I753" s="2196"/>
      <c r="J753" s="2196"/>
      <c r="K753" s="2176"/>
      <c r="L753" s="2176"/>
      <c r="M753" s="2176"/>
      <c r="N753" s="2176"/>
      <c r="O753" s="2176"/>
      <c r="P753" s="2176"/>
      <c r="Q753" s="2176"/>
      <c r="R753" s="2176"/>
      <c r="S753" s="2176"/>
      <c r="T753" s="2176"/>
      <c r="U753" s="2176"/>
      <c r="V753" s="2176"/>
      <c r="W753" s="2176"/>
      <c r="X753" s="2176"/>
      <c r="Y753" s="2176"/>
      <c r="Z753" s="13"/>
      <c r="AA753" s="13"/>
      <c r="AB753" s="13"/>
      <c r="AC753" s="13"/>
    </row>
    <row r="754" spans="1:29" ht="15.75" customHeight="1">
      <c r="A754" s="1933"/>
      <c r="B754" s="2196"/>
      <c r="C754" s="2196"/>
      <c r="D754" s="2197"/>
      <c r="E754" s="2197"/>
      <c r="F754" s="2196"/>
      <c r="G754" s="2196"/>
      <c r="H754" s="2196"/>
      <c r="I754" s="2196"/>
      <c r="J754" s="2196"/>
      <c r="K754" s="2176"/>
      <c r="L754" s="2176"/>
      <c r="M754" s="2176"/>
      <c r="N754" s="2176"/>
      <c r="O754" s="2176"/>
      <c r="P754" s="2176"/>
      <c r="Q754" s="2176"/>
      <c r="R754" s="2176"/>
      <c r="S754" s="2176"/>
      <c r="T754" s="2176"/>
      <c r="U754" s="2176"/>
      <c r="V754" s="2176"/>
      <c r="W754" s="2176"/>
      <c r="X754" s="2176"/>
      <c r="Y754" s="2176"/>
      <c r="Z754" s="13"/>
      <c r="AA754" s="13"/>
      <c r="AB754" s="13"/>
      <c r="AC754" s="13"/>
    </row>
    <row r="755" spans="1:29" ht="15.75" customHeight="1">
      <c r="A755" s="1933"/>
      <c r="B755" s="2196"/>
      <c r="C755" s="2196"/>
      <c r="D755" s="2197"/>
      <c r="E755" s="2197"/>
      <c r="F755" s="2196"/>
      <c r="G755" s="2196"/>
      <c r="H755" s="2196"/>
      <c r="I755" s="2196"/>
      <c r="J755" s="2196"/>
      <c r="K755" s="2176"/>
      <c r="L755" s="2176"/>
      <c r="M755" s="2176"/>
      <c r="N755" s="2176"/>
      <c r="O755" s="2176"/>
      <c r="P755" s="2176"/>
      <c r="Q755" s="2176"/>
      <c r="R755" s="2176"/>
      <c r="S755" s="2176"/>
      <c r="T755" s="2176"/>
      <c r="U755" s="2176"/>
      <c r="V755" s="2176"/>
      <c r="W755" s="2176"/>
      <c r="X755" s="2176"/>
      <c r="Y755" s="2176"/>
      <c r="Z755" s="13"/>
      <c r="AA755" s="13"/>
      <c r="AB755" s="13"/>
      <c r="AC755" s="13"/>
    </row>
    <row r="756" spans="1:29" ht="15.75" customHeight="1">
      <c r="A756" s="1933"/>
      <c r="B756" s="2196"/>
      <c r="C756" s="2196"/>
      <c r="D756" s="2197"/>
      <c r="E756" s="2197"/>
      <c r="F756" s="2196"/>
      <c r="G756" s="2196"/>
      <c r="H756" s="2196"/>
      <c r="I756" s="2196"/>
      <c r="J756" s="2196"/>
      <c r="K756" s="2176"/>
      <c r="L756" s="2176"/>
      <c r="M756" s="2176"/>
      <c r="N756" s="2176"/>
      <c r="O756" s="2176"/>
      <c r="P756" s="2176"/>
      <c r="Q756" s="2176"/>
      <c r="R756" s="2176"/>
      <c r="S756" s="2176"/>
      <c r="T756" s="2176"/>
      <c r="U756" s="2176"/>
      <c r="V756" s="2176"/>
      <c r="W756" s="2176"/>
      <c r="X756" s="2176"/>
      <c r="Y756" s="2176"/>
      <c r="Z756" s="13"/>
      <c r="AA756" s="13"/>
      <c r="AB756" s="13"/>
      <c r="AC756" s="13"/>
    </row>
    <row r="757" spans="1:29" ht="15.75" customHeight="1">
      <c r="A757" s="1933"/>
      <c r="B757" s="2196"/>
      <c r="C757" s="2196"/>
      <c r="D757" s="2197"/>
      <c r="E757" s="2197"/>
      <c r="F757" s="2196"/>
      <c r="G757" s="2196"/>
      <c r="H757" s="2196"/>
      <c r="I757" s="2196"/>
      <c r="J757" s="2196"/>
      <c r="K757" s="2176"/>
      <c r="L757" s="2176"/>
      <c r="M757" s="2176"/>
      <c r="N757" s="2176"/>
      <c r="O757" s="2176"/>
      <c r="P757" s="2176"/>
      <c r="Q757" s="2176"/>
      <c r="R757" s="2176"/>
      <c r="S757" s="2176"/>
      <c r="T757" s="2176"/>
      <c r="U757" s="2176"/>
      <c r="V757" s="2176"/>
      <c r="W757" s="2176"/>
      <c r="X757" s="2176"/>
      <c r="Y757" s="2176"/>
      <c r="Z757" s="13"/>
      <c r="AA757" s="13"/>
      <c r="AB757" s="13"/>
      <c r="AC757" s="13"/>
    </row>
    <row r="758" spans="1:29" ht="15.75" customHeight="1">
      <c r="A758" s="1933"/>
      <c r="B758" s="2196"/>
      <c r="C758" s="2196"/>
      <c r="D758" s="2197"/>
      <c r="E758" s="2197"/>
      <c r="F758" s="2196"/>
      <c r="G758" s="2196"/>
      <c r="H758" s="2196"/>
      <c r="I758" s="2196"/>
      <c r="J758" s="2196"/>
      <c r="K758" s="2176"/>
      <c r="L758" s="2176"/>
      <c r="M758" s="2176"/>
      <c r="N758" s="2176"/>
      <c r="O758" s="2176"/>
      <c r="P758" s="2176"/>
      <c r="Q758" s="2176"/>
      <c r="R758" s="2176"/>
      <c r="S758" s="2176"/>
      <c r="T758" s="2176"/>
      <c r="U758" s="2176"/>
      <c r="V758" s="2176"/>
      <c r="W758" s="2176"/>
      <c r="X758" s="2176"/>
      <c r="Y758" s="2176"/>
      <c r="Z758" s="13"/>
      <c r="AA758" s="13"/>
      <c r="AB758" s="13"/>
      <c r="AC758" s="13"/>
    </row>
    <row r="759" spans="1:29" ht="15.75" customHeight="1">
      <c r="A759" s="1933"/>
      <c r="B759" s="2196"/>
      <c r="C759" s="2196"/>
      <c r="D759" s="2197"/>
      <c r="E759" s="2197"/>
      <c r="F759" s="2196"/>
      <c r="G759" s="2196"/>
      <c r="H759" s="2196"/>
      <c r="I759" s="2196"/>
      <c r="J759" s="2196"/>
      <c r="K759" s="2176"/>
      <c r="L759" s="2176"/>
      <c r="M759" s="2176"/>
      <c r="N759" s="2176"/>
      <c r="O759" s="2176"/>
      <c r="P759" s="2176"/>
      <c r="Q759" s="2176"/>
      <c r="R759" s="2176"/>
      <c r="S759" s="2176"/>
      <c r="T759" s="2176"/>
      <c r="U759" s="2176"/>
      <c r="V759" s="2176"/>
      <c r="W759" s="2176"/>
      <c r="X759" s="2176"/>
      <c r="Y759" s="2176"/>
      <c r="Z759" s="13"/>
      <c r="AA759" s="13"/>
      <c r="AB759" s="13"/>
      <c r="AC759" s="13"/>
    </row>
    <row r="760" spans="1:29" ht="15.75" customHeight="1">
      <c r="A760" s="1933"/>
      <c r="B760" s="2196"/>
      <c r="C760" s="2196"/>
      <c r="D760" s="2197"/>
      <c r="E760" s="2197"/>
      <c r="F760" s="2196"/>
      <c r="G760" s="2196"/>
      <c r="H760" s="2196"/>
      <c r="I760" s="2196"/>
      <c r="J760" s="2196"/>
      <c r="K760" s="2176"/>
      <c r="L760" s="2176"/>
      <c r="M760" s="2176"/>
      <c r="N760" s="2176"/>
      <c r="O760" s="2176"/>
      <c r="P760" s="2176"/>
      <c r="Q760" s="2176"/>
      <c r="R760" s="2176"/>
      <c r="S760" s="2176"/>
      <c r="T760" s="2176"/>
      <c r="U760" s="2176"/>
      <c r="V760" s="2176"/>
      <c r="W760" s="2176"/>
      <c r="X760" s="2176"/>
      <c r="Y760" s="2176"/>
      <c r="Z760" s="13"/>
      <c r="AA760" s="13"/>
      <c r="AB760" s="13"/>
      <c r="AC760" s="13"/>
    </row>
    <row r="761" spans="1:29" ht="15.75" customHeight="1">
      <c r="A761" s="1933"/>
      <c r="B761" s="2196"/>
      <c r="C761" s="2196"/>
      <c r="D761" s="2197"/>
      <c r="E761" s="2197"/>
      <c r="F761" s="2196"/>
      <c r="G761" s="2196"/>
      <c r="H761" s="2196"/>
      <c r="I761" s="2196"/>
      <c r="J761" s="2196"/>
      <c r="K761" s="2176"/>
      <c r="L761" s="2176"/>
      <c r="M761" s="2176"/>
      <c r="N761" s="2176"/>
      <c r="O761" s="2176"/>
      <c r="P761" s="2176"/>
      <c r="Q761" s="2176"/>
      <c r="R761" s="2176"/>
      <c r="S761" s="2176"/>
      <c r="T761" s="2176"/>
      <c r="U761" s="2176"/>
      <c r="V761" s="2176"/>
      <c r="W761" s="2176"/>
      <c r="X761" s="2176"/>
      <c r="Y761" s="2176"/>
      <c r="Z761" s="13"/>
      <c r="AA761" s="13"/>
      <c r="AB761" s="13"/>
      <c r="AC761" s="13"/>
    </row>
    <row r="762" spans="1:29" ht="15.75" customHeight="1">
      <c r="A762" s="1933"/>
      <c r="B762" s="2196"/>
      <c r="C762" s="2196"/>
      <c r="D762" s="2197"/>
      <c r="E762" s="2197"/>
      <c r="F762" s="2196"/>
      <c r="G762" s="2196"/>
      <c r="H762" s="2196"/>
      <c r="I762" s="2196"/>
      <c r="J762" s="2196"/>
      <c r="K762" s="2176"/>
      <c r="L762" s="2176"/>
      <c r="M762" s="2176"/>
      <c r="N762" s="2176"/>
      <c r="O762" s="2176"/>
      <c r="P762" s="2176"/>
      <c r="Q762" s="2176"/>
      <c r="R762" s="2176"/>
      <c r="S762" s="2176"/>
      <c r="T762" s="2176"/>
      <c r="U762" s="2176"/>
      <c r="V762" s="2176"/>
      <c r="W762" s="2176"/>
      <c r="X762" s="2176"/>
      <c r="Y762" s="2176"/>
      <c r="Z762" s="13"/>
      <c r="AA762" s="13"/>
      <c r="AB762" s="13"/>
      <c r="AC762" s="13"/>
    </row>
    <row r="763" spans="1:29" ht="15.75" customHeight="1">
      <c r="A763" s="1933"/>
      <c r="B763" s="2196"/>
      <c r="C763" s="2196"/>
      <c r="D763" s="2197"/>
      <c r="E763" s="2197"/>
      <c r="F763" s="2196"/>
      <c r="G763" s="2196"/>
      <c r="H763" s="2196"/>
      <c r="I763" s="2196"/>
      <c r="J763" s="2196"/>
      <c r="K763" s="2176"/>
      <c r="L763" s="2176"/>
      <c r="M763" s="2176"/>
      <c r="N763" s="2176"/>
      <c r="O763" s="2176"/>
      <c r="P763" s="2176"/>
      <c r="Q763" s="2176"/>
      <c r="R763" s="2176"/>
      <c r="S763" s="2176"/>
      <c r="T763" s="2176"/>
      <c r="U763" s="2176"/>
      <c r="V763" s="2176"/>
      <c r="W763" s="2176"/>
      <c r="X763" s="2176"/>
      <c r="Y763" s="2176"/>
      <c r="Z763" s="13"/>
      <c r="AA763" s="13"/>
      <c r="AB763" s="13"/>
      <c r="AC763" s="13"/>
    </row>
    <row r="764" spans="1:29" ht="15.75" customHeight="1">
      <c r="A764" s="1933"/>
      <c r="B764" s="2196"/>
      <c r="C764" s="2196"/>
      <c r="D764" s="2197"/>
      <c r="E764" s="2197"/>
      <c r="F764" s="2196"/>
      <c r="G764" s="2196"/>
      <c r="H764" s="2196"/>
      <c r="I764" s="2196"/>
      <c r="J764" s="2196"/>
      <c r="K764" s="2176"/>
      <c r="L764" s="2176"/>
      <c r="M764" s="2176"/>
      <c r="N764" s="2176"/>
      <c r="O764" s="2176"/>
      <c r="P764" s="2176"/>
      <c r="Q764" s="2176"/>
      <c r="R764" s="2176"/>
      <c r="S764" s="2176"/>
      <c r="T764" s="2176"/>
      <c r="U764" s="2176"/>
      <c r="V764" s="2176"/>
      <c r="W764" s="2176"/>
      <c r="X764" s="2176"/>
      <c r="Y764" s="2176"/>
      <c r="Z764" s="13"/>
      <c r="AA764" s="13"/>
      <c r="AB764" s="13"/>
      <c r="AC764" s="13"/>
    </row>
    <row r="765" spans="1:29" ht="15.75" customHeight="1">
      <c r="A765" s="1933"/>
      <c r="B765" s="2196"/>
      <c r="C765" s="2196"/>
      <c r="D765" s="2197"/>
      <c r="E765" s="2197"/>
      <c r="F765" s="2196"/>
      <c r="G765" s="2196"/>
      <c r="H765" s="2196"/>
      <c r="I765" s="2196"/>
      <c r="J765" s="2196"/>
      <c r="K765" s="2176"/>
      <c r="L765" s="2176"/>
      <c r="M765" s="2176"/>
      <c r="N765" s="2176"/>
      <c r="O765" s="2176"/>
      <c r="P765" s="2176"/>
      <c r="Q765" s="2176"/>
      <c r="R765" s="2176"/>
      <c r="S765" s="2176"/>
      <c r="T765" s="2176"/>
      <c r="U765" s="2176"/>
      <c r="V765" s="2176"/>
      <c r="W765" s="2176"/>
      <c r="X765" s="2176"/>
      <c r="Y765" s="2176"/>
      <c r="Z765" s="13"/>
      <c r="AA765" s="13"/>
      <c r="AB765" s="13"/>
      <c r="AC765" s="13"/>
    </row>
    <row r="766" spans="1:29" ht="15.75" customHeight="1">
      <c r="A766" s="1933"/>
      <c r="B766" s="2196"/>
      <c r="C766" s="2196"/>
      <c r="D766" s="2197"/>
      <c r="E766" s="2197"/>
      <c r="F766" s="2196"/>
      <c r="G766" s="2196"/>
      <c r="H766" s="2196"/>
      <c r="I766" s="2196"/>
      <c r="J766" s="2196"/>
      <c r="K766" s="2176"/>
      <c r="L766" s="2176"/>
      <c r="M766" s="2176"/>
      <c r="N766" s="2176"/>
      <c r="O766" s="2176"/>
      <c r="P766" s="2176"/>
      <c r="Q766" s="2176"/>
      <c r="R766" s="2176"/>
      <c r="S766" s="2176"/>
      <c r="T766" s="2176"/>
      <c r="U766" s="2176"/>
      <c r="V766" s="2176"/>
      <c r="W766" s="2176"/>
      <c r="X766" s="2176"/>
      <c r="Y766" s="2176"/>
      <c r="Z766" s="13"/>
      <c r="AA766" s="13"/>
      <c r="AB766" s="13"/>
      <c r="AC766" s="13"/>
    </row>
    <row r="767" spans="1:29" ht="15.75" customHeight="1">
      <c r="A767" s="1933"/>
      <c r="B767" s="2196"/>
      <c r="C767" s="2196"/>
      <c r="D767" s="2197"/>
      <c r="E767" s="2197"/>
      <c r="F767" s="2196"/>
      <c r="G767" s="2196"/>
      <c r="H767" s="2196"/>
      <c r="I767" s="2196"/>
      <c r="J767" s="2196"/>
      <c r="K767" s="2176"/>
      <c r="L767" s="2176"/>
      <c r="M767" s="2176"/>
      <c r="N767" s="2176"/>
      <c r="O767" s="2176"/>
      <c r="P767" s="2176"/>
      <c r="Q767" s="2176"/>
      <c r="R767" s="2176"/>
      <c r="S767" s="2176"/>
      <c r="T767" s="2176"/>
      <c r="U767" s="2176"/>
      <c r="V767" s="2176"/>
      <c r="W767" s="2176"/>
      <c r="X767" s="2176"/>
      <c r="Y767" s="2176"/>
      <c r="Z767" s="13"/>
      <c r="AA767" s="13"/>
      <c r="AB767" s="13"/>
      <c r="AC767" s="13"/>
    </row>
    <row r="768" spans="1:29" ht="15.75" customHeight="1">
      <c r="A768" s="1933"/>
      <c r="B768" s="2196"/>
      <c r="C768" s="2196"/>
      <c r="D768" s="2197"/>
      <c r="E768" s="2197"/>
      <c r="F768" s="2196"/>
      <c r="G768" s="2196"/>
      <c r="H768" s="2196"/>
      <c r="I768" s="2196"/>
      <c r="J768" s="2196"/>
      <c r="K768" s="2176"/>
      <c r="L768" s="2176"/>
      <c r="M768" s="2176"/>
      <c r="N768" s="2176"/>
      <c r="O768" s="2176"/>
      <c r="P768" s="2176"/>
      <c r="Q768" s="2176"/>
      <c r="R768" s="2176"/>
      <c r="S768" s="2176"/>
      <c r="T768" s="2176"/>
      <c r="U768" s="2176"/>
      <c r="V768" s="2176"/>
      <c r="W768" s="2176"/>
      <c r="X768" s="2176"/>
      <c r="Y768" s="2176"/>
      <c r="Z768" s="13"/>
      <c r="AA768" s="13"/>
      <c r="AB768" s="13"/>
      <c r="AC768" s="13"/>
    </row>
    <row r="769" spans="1:29" ht="15.75" customHeight="1">
      <c r="A769" s="1933"/>
      <c r="B769" s="2196"/>
      <c r="C769" s="2196"/>
      <c r="D769" s="2197"/>
      <c r="E769" s="2197"/>
      <c r="F769" s="2196"/>
      <c r="G769" s="2196"/>
      <c r="H769" s="2196"/>
      <c r="I769" s="2196"/>
      <c r="J769" s="2196"/>
      <c r="K769" s="2176"/>
      <c r="L769" s="2176"/>
      <c r="M769" s="2176"/>
      <c r="N769" s="2176"/>
      <c r="O769" s="2176"/>
      <c r="P769" s="2176"/>
      <c r="Q769" s="2176"/>
      <c r="R769" s="2176"/>
      <c r="S769" s="2176"/>
      <c r="T769" s="2176"/>
      <c r="U769" s="2176"/>
      <c r="V769" s="2176"/>
      <c r="W769" s="2176"/>
      <c r="X769" s="2176"/>
      <c r="Y769" s="2176"/>
      <c r="Z769" s="13"/>
      <c r="AA769" s="13"/>
      <c r="AB769" s="13"/>
      <c r="AC769" s="13"/>
    </row>
    <row r="770" spans="1:29" ht="15.75" customHeight="1">
      <c r="A770" s="1933"/>
      <c r="B770" s="2196"/>
      <c r="C770" s="2196"/>
      <c r="D770" s="2197"/>
      <c r="E770" s="2197"/>
      <c r="F770" s="2196"/>
      <c r="G770" s="2196"/>
      <c r="H770" s="2196"/>
      <c r="I770" s="2196"/>
      <c r="J770" s="2196"/>
      <c r="K770" s="2176"/>
      <c r="L770" s="2176"/>
      <c r="M770" s="2176"/>
      <c r="N770" s="2176"/>
      <c r="O770" s="2176"/>
      <c r="P770" s="2176"/>
      <c r="Q770" s="2176"/>
      <c r="R770" s="2176"/>
      <c r="S770" s="2176"/>
      <c r="T770" s="2176"/>
      <c r="U770" s="2176"/>
      <c r="V770" s="2176"/>
      <c r="W770" s="2176"/>
      <c r="X770" s="2176"/>
      <c r="Y770" s="2176"/>
      <c r="Z770" s="13"/>
      <c r="AA770" s="13"/>
      <c r="AB770" s="13"/>
      <c r="AC770" s="13"/>
    </row>
    <row r="771" spans="1:29" ht="15.75" customHeight="1">
      <c r="A771" s="1933"/>
      <c r="B771" s="2196"/>
      <c r="C771" s="2196"/>
      <c r="D771" s="2197"/>
      <c r="E771" s="2197"/>
      <c r="F771" s="2196"/>
      <c r="G771" s="2196"/>
      <c r="H771" s="2196"/>
      <c r="I771" s="2196"/>
      <c r="J771" s="2196"/>
      <c r="K771" s="2176"/>
      <c r="L771" s="2176"/>
      <c r="M771" s="2176"/>
      <c r="N771" s="2176"/>
      <c r="O771" s="2176"/>
      <c r="P771" s="2176"/>
      <c r="Q771" s="2176"/>
      <c r="R771" s="2176"/>
      <c r="S771" s="2176"/>
      <c r="T771" s="2176"/>
      <c r="U771" s="2176"/>
      <c r="V771" s="2176"/>
      <c r="W771" s="2176"/>
      <c r="X771" s="2176"/>
      <c r="Y771" s="2176"/>
      <c r="Z771" s="13"/>
      <c r="AA771" s="13"/>
      <c r="AB771" s="13"/>
      <c r="AC771" s="13"/>
    </row>
    <row r="772" spans="1:29" ht="15.75" customHeight="1">
      <c r="A772" s="1933"/>
      <c r="B772" s="2196"/>
      <c r="C772" s="2196"/>
      <c r="D772" s="2197"/>
      <c r="E772" s="2197"/>
      <c r="F772" s="2196"/>
      <c r="G772" s="2196"/>
      <c r="H772" s="2196"/>
      <c r="I772" s="2196"/>
      <c r="J772" s="2196"/>
      <c r="K772" s="2176"/>
      <c r="L772" s="2176"/>
      <c r="M772" s="2176"/>
      <c r="N772" s="2176"/>
      <c r="O772" s="2176"/>
      <c r="P772" s="2176"/>
      <c r="Q772" s="2176"/>
      <c r="R772" s="2176"/>
      <c r="S772" s="2176"/>
      <c r="T772" s="2176"/>
      <c r="U772" s="2176"/>
      <c r="V772" s="2176"/>
      <c r="W772" s="2176"/>
      <c r="X772" s="2176"/>
      <c r="Y772" s="2176"/>
      <c r="Z772" s="13"/>
      <c r="AA772" s="13"/>
      <c r="AB772" s="13"/>
      <c r="AC772" s="13"/>
    </row>
    <row r="773" spans="1:29" ht="15.75" customHeight="1">
      <c r="A773" s="1933"/>
      <c r="B773" s="2196"/>
      <c r="C773" s="2196"/>
      <c r="D773" s="2197"/>
      <c r="E773" s="2197"/>
      <c r="F773" s="2196"/>
      <c r="G773" s="2196"/>
      <c r="H773" s="2196"/>
      <c r="I773" s="2196"/>
      <c r="J773" s="2196"/>
      <c r="K773" s="2176"/>
      <c r="L773" s="2176"/>
      <c r="M773" s="2176"/>
      <c r="N773" s="2176"/>
      <c r="O773" s="2176"/>
      <c r="P773" s="2176"/>
      <c r="Q773" s="2176"/>
      <c r="R773" s="2176"/>
      <c r="S773" s="2176"/>
      <c r="T773" s="2176"/>
      <c r="U773" s="2176"/>
      <c r="V773" s="2176"/>
      <c r="W773" s="2176"/>
      <c r="X773" s="2176"/>
      <c r="Y773" s="2176"/>
      <c r="Z773" s="13"/>
      <c r="AA773" s="13"/>
      <c r="AB773" s="13"/>
      <c r="AC773" s="13"/>
    </row>
    <row r="774" spans="1:29" ht="15.75" customHeight="1">
      <c r="A774" s="1933"/>
      <c r="B774" s="2196"/>
      <c r="C774" s="2196"/>
      <c r="D774" s="2197"/>
      <c r="E774" s="2197"/>
      <c r="F774" s="2196"/>
      <c r="G774" s="2196"/>
      <c r="H774" s="2196"/>
      <c r="I774" s="2196"/>
      <c r="J774" s="2196"/>
      <c r="K774" s="2176"/>
      <c r="L774" s="2176"/>
      <c r="M774" s="2176"/>
      <c r="N774" s="2176"/>
      <c r="O774" s="2176"/>
      <c r="P774" s="2176"/>
      <c r="Q774" s="2176"/>
      <c r="R774" s="2176"/>
      <c r="S774" s="2176"/>
      <c r="T774" s="2176"/>
      <c r="U774" s="2176"/>
      <c r="V774" s="2176"/>
      <c r="W774" s="2176"/>
      <c r="X774" s="2176"/>
      <c r="Y774" s="2176"/>
      <c r="Z774" s="13"/>
      <c r="AA774" s="13"/>
      <c r="AB774" s="13"/>
      <c r="AC774" s="13"/>
    </row>
    <row r="775" spans="1:29" ht="15.75" customHeight="1">
      <c r="A775" s="1933"/>
      <c r="B775" s="2196"/>
      <c r="C775" s="2196"/>
      <c r="D775" s="2197"/>
      <c r="E775" s="2197"/>
      <c r="F775" s="2196"/>
      <c r="G775" s="2196"/>
      <c r="H775" s="2196"/>
      <c r="I775" s="2196"/>
      <c r="J775" s="2196"/>
      <c r="K775" s="2176"/>
      <c r="L775" s="2176"/>
      <c r="M775" s="2176"/>
      <c r="N775" s="2176"/>
      <c r="O775" s="2176"/>
      <c r="P775" s="2176"/>
      <c r="Q775" s="2176"/>
      <c r="R775" s="2176"/>
      <c r="S775" s="2176"/>
      <c r="T775" s="2176"/>
      <c r="U775" s="2176"/>
      <c r="V775" s="2176"/>
      <c r="W775" s="2176"/>
      <c r="X775" s="2176"/>
      <c r="Y775" s="2176"/>
      <c r="Z775" s="13"/>
      <c r="AA775" s="13"/>
      <c r="AB775" s="13"/>
      <c r="AC775" s="13"/>
    </row>
    <row r="776" spans="1:29" ht="15.75" customHeight="1">
      <c r="A776" s="1933"/>
      <c r="B776" s="2196"/>
      <c r="C776" s="2196"/>
      <c r="D776" s="2197"/>
      <c r="E776" s="2197"/>
      <c r="F776" s="2196"/>
      <c r="G776" s="2196"/>
      <c r="H776" s="2196"/>
      <c r="I776" s="2196"/>
      <c r="J776" s="2196"/>
      <c r="K776" s="2176"/>
      <c r="L776" s="2176"/>
      <c r="M776" s="2176"/>
      <c r="N776" s="2176"/>
      <c r="O776" s="2176"/>
      <c r="P776" s="2176"/>
      <c r="Q776" s="2176"/>
      <c r="R776" s="2176"/>
      <c r="S776" s="2176"/>
      <c r="T776" s="2176"/>
      <c r="U776" s="2176"/>
      <c r="V776" s="2176"/>
      <c r="W776" s="2176"/>
      <c r="X776" s="2176"/>
      <c r="Y776" s="2176"/>
      <c r="Z776" s="13"/>
      <c r="AA776" s="13"/>
      <c r="AB776" s="13"/>
      <c r="AC776" s="13"/>
    </row>
    <row r="777" spans="1:29" ht="15.75" customHeight="1">
      <c r="A777" s="1933"/>
      <c r="B777" s="2196"/>
      <c r="C777" s="2196"/>
      <c r="D777" s="2197"/>
      <c r="E777" s="2197"/>
      <c r="F777" s="2196"/>
      <c r="G777" s="2196"/>
      <c r="H777" s="2196"/>
      <c r="I777" s="2196"/>
      <c r="J777" s="2196"/>
      <c r="K777" s="2176"/>
      <c r="L777" s="2176"/>
      <c r="M777" s="2176"/>
      <c r="N777" s="2176"/>
      <c r="O777" s="2176"/>
      <c r="P777" s="2176"/>
      <c r="Q777" s="2176"/>
      <c r="R777" s="2176"/>
      <c r="S777" s="2176"/>
      <c r="T777" s="2176"/>
      <c r="U777" s="2176"/>
      <c r="V777" s="2176"/>
      <c r="W777" s="2176"/>
      <c r="X777" s="2176"/>
      <c r="Y777" s="2176"/>
      <c r="Z777" s="13"/>
      <c r="AA777" s="13"/>
      <c r="AB777" s="13"/>
      <c r="AC777" s="13"/>
    </row>
    <row r="778" spans="1:29" ht="15.75" customHeight="1">
      <c r="A778" s="1933"/>
      <c r="B778" s="2196"/>
      <c r="C778" s="2196"/>
      <c r="D778" s="2197"/>
      <c r="E778" s="2197"/>
      <c r="F778" s="2196"/>
      <c r="G778" s="2196"/>
      <c r="H778" s="2196"/>
      <c r="I778" s="2196"/>
      <c r="J778" s="2196"/>
      <c r="K778" s="2176"/>
      <c r="L778" s="2176"/>
      <c r="M778" s="2176"/>
      <c r="N778" s="2176"/>
      <c r="O778" s="2176"/>
      <c r="P778" s="2176"/>
      <c r="Q778" s="2176"/>
      <c r="R778" s="2176"/>
      <c r="S778" s="2176"/>
      <c r="T778" s="2176"/>
      <c r="U778" s="2176"/>
      <c r="V778" s="2176"/>
      <c r="W778" s="2176"/>
      <c r="X778" s="2176"/>
      <c r="Y778" s="2176"/>
      <c r="Z778" s="13"/>
      <c r="AA778" s="13"/>
      <c r="AB778" s="13"/>
      <c r="AC778" s="13"/>
    </row>
    <row r="779" spans="1:29" ht="15.75" customHeight="1">
      <c r="A779" s="1933"/>
      <c r="B779" s="2196"/>
      <c r="C779" s="2196"/>
      <c r="D779" s="2197"/>
      <c r="E779" s="2197"/>
      <c r="F779" s="2196"/>
      <c r="G779" s="2196"/>
      <c r="H779" s="2196"/>
      <c r="I779" s="2196"/>
      <c r="J779" s="2196"/>
      <c r="K779" s="2176"/>
      <c r="L779" s="2176"/>
      <c r="M779" s="2176"/>
      <c r="N779" s="2176"/>
      <c r="O779" s="2176"/>
      <c r="P779" s="2176"/>
      <c r="Q779" s="2176"/>
      <c r="R779" s="2176"/>
      <c r="S779" s="2176"/>
      <c r="T779" s="2176"/>
      <c r="U779" s="2176"/>
      <c r="V779" s="2176"/>
      <c r="W779" s="2176"/>
      <c r="X779" s="2176"/>
      <c r="Y779" s="2176"/>
      <c r="Z779" s="13"/>
      <c r="AA779" s="13"/>
      <c r="AB779" s="13"/>
      <c r="AC779" s="13"/>
    </row>
    <row r="780" spans="1:29" ht="15.75" customHeight="1">
      <c r="A780" s="1933"/>
      <c r="B780" s="2196"/>
      <c r="C780" s="2196"/>
      <c r="D780" s="2197"/>
      <c r="E780" s="2197"/>
      <c r="F780" s="2196"/>
      <c r="G780" s="2196"/>
      <c r="H780" s="2196"/>
      <c r="I780" s="2196"/>
      <c r="J780" s="2196"/>
      <c r="K780" s="2176"/>
      <c r="L780" s="2176"/>
      <c r="M780" s="2176"/>
      <c r="N780" s="2176"/>
      <c r="O780" s="2176"/>
      <c r="P780" s="2176"/>
      <c r="Q780" s="2176"/>
      <c r="R780" s="2176"/>
      <c r="S780" s="2176"/>
      <c r="T780" s="2176"/>
      <c r="U780" s="2176"/>
      <c r="V780" s="2176"/>
      <c r="W780" s="2176"/>
      <c r="X780" s="2176"/>
      <c r="Y780" s="2176"/>
      <c r="Z780" s="13"/>
      <c r="AA780" s="13"/>
      <c r="AB780" s="13"/>
      <c r="AC780" s="13"/>
    </row>
    <row r="781" spans="1:29" ht="15.75" customHeight="1">
      <c r="A781" s="1933"/>
      <c r="B781" s="2196"/>
      <c r="C781" s="2196"/>
      <c r="D781" s="2197"/>
      <c r="E781" s="2197"/>
      <c r="F781" s="2196"/>
      <c r="G781" s="2196"/>
      <c r="H781" s="2196"/>
      <c r="I781" s="2196"/>
      <c r="J781" s="2196"/>
      <c r="K781" s="2176"/>
      <c r="L781" s="2176"/>
      <c r="M781" s="2176"/>
      <c r="N781" s="2176"/>
      <c r="O781" s="2176"/>
      <c r="P781" s="2176"/>
      <c r="Q781" s="2176"/>
      <c r="R781" s="2176"/>
      <c r="S781" s="2176"/>
      <c r="T781" s="2176"/>
      <c r="U781" s="2176"/>
      <c r="V781" s="2176"/>
      <c r="W781" s="2176"/>
      <c r="X781" s="2176"/>
      <c r="Y781" s="2176"/>
      <c r="Z781" s="13"/>
      <c r="AA781" s="13"/>
      <c r="AB781" s="13"/>
      <c r="AC781" s="13"/>
    </row>
    <row r="782" spans="1:29" ht="15.75" customHeight="1">
      <c r="A782" s="1933"/>
      <c r="B782" s="2196"/>
      <c r="C782" s="2196"/>
      <c r="D782" s="2197"/>
      <c r="E782" s="2197"/>
      <c r="F782" s="2196"/>
      <c r="G782" s="2196"/>
      <c r="H782" s="2196"/>
      <c r="I782" s="2196"/>
      <c r="J782" s="2196"/>
      <c r="K782" s="2176"/>
      <c r="L782" s="2176"/>
      <c r="M782" s="2176"/>
      <c r="N782" s="2176"/>
      <c r="O782" s="2176"/>
      <c r="P782" s="2176"/>
      <c r="Q782" s="2176"/>
      <c r="R782" s="2176"/>
      <c r="S782" s="2176"/>
      <c r="T782" s="2176"/>
      <c r="U782" s="2176"/>
      <c r="V782" s="2176"/>
      <c r="W782" s="2176"/>
      <c r="X782" s="2176"/>
      <c r="Y782" s="2176"/>
      <c r="Z782" s="13"/>
      <c r="AA782" s="13"/>
      <c r="AB782" s="13"/>
      <c r="AC782" s="13"/>
    </row>
    <row r="783" spans="1:29" ht="15.75" customHeight="1">
      <c r="A783" s="1933"/>
      <c r="B783" s="2196"/>
      <c r="C783" s="2196"/>
      <c r="D783" s="2197"/>
      <c r="E783" s="2197"/>
      <c r="F783" s="2196"/>
      <c r="G783" s="2196"/>
      <c r="H783" s="2196"/>
      <c r="I783" s="2196"/>
      <c r="J783" s="2196"/>
      <c r="K783" s="2176"/>
      <c r="L783" s="2176"/>
      <c r="M783" s="2176"/>
      <c r="N783" s="2176"/>
      <c r="O783" s="2176"/>
      <c r="P783" s="2176"/>
      <c r="Q783" s="2176"/>
      <c r="R783" s="2176"/>
      <c r="S783" s="2176"/>
      <c r="T783" s="2176"/>
      <c r="U783" s="2176"/>
      <c r="V783" s="2176"/>
      <c r="W783" s="2176"/>
      <c r="X783" s="2176"/>
      <c r="Y783" s="2176"/>
      <c r="Z783" s="13"/>
      <c r="AA783" s="13"/>
      <c r="AB783" s="13"/>
      <c r="AC783" s="13"/>
    </row>
    <row r="784" spans="1:29" ht="15.75" customHeight="1">
      <c r="A784" s="1933"/>
      <c r="B784" s="2196"/>
      <c r="C784" s="2196"/>
      <c r="D784" s="2197"/>
      <c r="E784" s="2197"/>
      <c r="F784" s="2196"/>
      <c r="G784" s="2196"/>
      <c r="H784" s="2196"/>
      <c r="I784" s="2196"/>
      <c r="J784" s="2196"/>
      <c r="K784" s="2176"/>
      <c r="L784" s="2176"/>
      <c r="M784" s="2176"/>
      <c r="N784" s="2176"/>
      <c r="O784" s="2176"/>
      <c r="P784" s="2176"/>
      <c r="Q784" s="2176"/>
      <c r="R784" s="2176"/>
      <c r="S784" s="2176"/>
      <c r="T784" s="2176"/>
      <c r="U784" s="2176"/>
      <c r="V784" s="2176"/>
      <c r="W784" s="2176"/>
      <c r="X784" s="2176"/>
      <c r="Y784" s="2176"/>
      <c r="Z784" s="13"/>
      <c r="AA784" s="13"/>
      <c r="AB784" s="13"/>
      <c r="AC784" s="13"/>
    </row>
    <row r="785" spans="1:29" ht="15.75" customHeight="1">
      <c r="A785" s="1933"/>
      <c r="B785" s="2196"/>
      <c r="C785" s="2196"/>
      <c r="D785" s="2197"/>
      <c r="E785" s="2197"/>
      <c r="F785" s="2196"/>
      <c r="G785" s="2196"/>
      <c r="H785" s="2196"/>
      <c r="I785" s="2196"/>
      <c r="J785" s="2196"/>
      <c r="K785" s="2176"/>
      <c r="L785" s="2176"/>
      <c r="M785" s="2176"/>
      <c r="N785" s="2176"/>
      <c r="O785" s="2176"/>
      <c r="P785" s="2176"/>
      <c r="Q785" s="2176"/>
      <c r="R785" s="2176"/>
      <c r="S785" s="2176"/>
      <c r="T785" s="2176"/>
      <c r="U785" s="2176"/>
      <c r="V785" s="2176"/>
      <c r="W785" s="2176"/>
      <c r="X785" s="2176"/>
      <c r="Y785" s="2176"/>
      <c r="Z785" s="13"/>
      <c r="AA785" s="13"/>
      <c r="AB785" s="13"/>
      <c r="AC785" s="13"/>
    </row>
    <row r="786" spans="1:29" ht="15.75" customHeight="1">
      <c r="A786" s="1933"/>
      <c r="B786" s="2196"/>
      <c r="C786" s="2196"/>
      <c r="D786" s="2197"/>
      <c r="E786" s="2197"/>
      <c r="F786" s="2196"/>
      <c r="G786" s="2196"/>
      <c r="H786" s="2196"/>
      <c r="I786" s="2196"/>
      <c r="J786" s="2196"/>
      <c r="K786" s="2176"/>
      <c r="L786" s="2176"/>
      <c r="M786" s="2176"/>
      <c r="N786" s="2176"/>
      <c r="O786" s="2176"/>
      <c r="P786" s="2176"/>
      <c r="Q786" s="2176"/>
      <c r="R786" s="2176"/>
      <c r="S786" s="2176"/>
      <c r="T786" s="2176"/>
      <c r="U786" s="2176"/>
      <c r="V786" s="2176"/>
      <c r="W786" s="2176"/>
      <c r="X786" s="2176"/>
      <c r="Y786" s="2176"/>
      <c r="Z786" s="13"/>
      <c r="AA786" s="13"/>
      <c r="AB786" s="13"/>
      <c r="AC786" s="13"/>
    </row>
    <row r="787" spans="1:29" ht="15.75" customHeight="1">
      <c r="A787" s="1933"/>
      <c r="B787" s="2196"/>
      <c r="C787" s="2196"/>
      <c r="D787" s="2197"/>
      <c r="E787" s="2197"/>
      <c r="F787" s="2196"/>
      <c r="G787" s="2196"/>
      <c r="H787" s="2196"/>
      <c r="I787" s="2196"/>
      <c r="J787" s="2196"/>
      <c r="K787" s="2176"/>
      <c r="L787" s="2176"/>
      <c r="M787" s="2176"/>
      <c r="N787" s="2176"/>
      <c r="O787" s="2176"/>
      <c r="P787" s="2176"/>
      <c r="Q787" s="2176"/>
      <c r="R787" s="2176"/>
      <c r="S787" s="2176"/>
      <c r="T787" s="2176"/>
      <c r="U787" s="2176"/>
      <c r="V787" s="2176"/>
      <c r="W787" s="2176"/>
      <c r="X787" s="2176"/>
      <c r="Y787" s="2176"/>
      <c r="Z787" s="13"/>
      <c r="AA787" s="13"/>
      <c r="AB787" s="13"/>
      <c r="AC787" s="13"/>
    </row>
    <row r="788" spans="1:29" ht="15.75" customHeight="1">
      <c r="A788" s="1933"/>
      <c r="B788" s="2196"/>
      <c r="C788" s="2196"/>
      <c r="D788" s="2197"/>
      <c r="E788" s="2197"/>
      <c r="F788" s="2196"/>
      <c r="G788" s="2196"/>
      <c r="H788" s="2196"/>
      <c r="I788" s="2196"/>
      <c r="J788" s="2196"/>
      <c r="K788" s="2176"/>
      <c r="L788" s="2176"/>
      <c r="M788" s="2176"/>
      <c r="N788" s="2176"/>
      <c r="O788" s="2176"/>
      <c r="P788" s="2176"/>
      <c r="Q788" s="2176"/>
      <c r="R788" s="2176"/>
      <c r="S788" s="2176"/>
      <c r="T788" s="2176"/>
      <c r="U788" s="2176"/>
      <c r="V788" s="2176"/>
      <c r="W788" s="2176"/>
      <c r="X788" s="2176"/>
      <c r="Y788" s="2176"/>
      <c r="Z788" s="13"/>
      <c r="AA788" s="13"/>
      <c r="AB788" s="13"/>
      <c r="AC788" s="13"/>
    </row>
    <row r="789" spans="1:29" ht="15.75" customHeight="1">
      <c r="A789" s="1933"/>
      <c r="B789" s="2196"/>
      <c r="C789" s="2196"/>
      <c r="D789" s="2197"/>
      <c r="E789" s="2197"/>
      <c r="F789" s="2196"/>
      <c r="G789" s="2196"/>
      <c r="H789" s="2196"/>
      <c r="I789" s="2196"/>
      <c r="J789" s="2196"/>
      <c r="K789" s="2176"/>
      <c r="L789" s="2176"/>
      <c r="M789" s="2176"/>
      <c r="N789" s="2176"/>
      <c r="O789" s="2176"/>
      <c r="P789" s="2176"/>
      <c r="Q789" s="2176"/>
      <c r="R789" s="2176"/>
      <c r="S789" s="2176"/>
      <c r="T789" s="2176"/>
      <c r="U789" s="2176"/>
      <c r="V789" s="2176"/>
      <c r="W789" s="2176"/>
      <c r="X789" s="2176"/>
      <c r="Y789" s="2176"/>
      <c r="Z789" s="13"/>
      <c r="AA789" s="13"/>
      <c r="AB789" s="13"/>
      <c r="AC789" s="13"/>
    </row>
    <row r="790" spans="1:29" ht="15.75" customHeight="1">
      <c r="A790" s="1933"/>
      <c r="B790" s="2196"/>
      <c r="C790" s="2196"/>
      <c r="D790" s="2197"/>
      <c r="E790" s="2197"/>
      <c r="F790" s="2196"/>
      <c r="G790" s="2196"/>
      <c r="H790" s="2196"/>
      <c r="I790" s="2196"/>
      <c r="J790" s="2196"/>
      <c r="K790" s="2176"/>
      <c r="L790" s="2176"/>
      <c r="M790" s="2176"/>
      <c r="N790" s="2176"/>
      <c r="O790" s="2176"/>
      <c r="P790" s="2176"/>
      <c r="Q790" s="2176"/>
      <c r="R790" s="2176"/>
      <c r="S790" s="2176"/>
      <c r="T790" s="2176"/>
      <c r="U790" s="2176"/>
      <c r="V790" s="2176"/>
      <c r="W790" s="2176"/>
      <c r="X790" s="2176"/>
      <c r="Y790" s="2176"/>
      <c r="Z790" s="13"/>
      <c r="AA790" s="13"/>
      <c r="AB790" s="13"/>
      <c r="AC790" s="13"/>
    </row>
    <row r="791" spans="1:29" ht="15.75" customHeight="1">
      <c r="A791" s="1933"/>
      <c r="B791" s="2196"/>
      <c r="C791" s="2196"/>
      <c r="D791" s="2197"/>
      <c r="E791" s="2197"/>
      <c r="F791" s="2196"/>
      <c r="G791" s="2196"/>
      <c r="H791" s="2196"/>
      <c r="I791" s="2196"/>
      <c r="J791" s="2196"/>
      <c r="K791" s="2176"/>
      <c r="L791" s="2176"/>
      <c r="M791" s="2176"/>
      <c r="N791" s="2176"/>
      <c r="O791" s="2176"/>
      <c r="P791" s="2176"/>
      <c r="Q791" s="2176"/>
      <c r="R791" s="2176"/>
      <c r="S791" s="2176"/>
      <c r="T791" s="2176"/>
      <c r="U791" s="2176"/>
      <c r="V791" s="2176"/>
      <c r="W791" s="2176"/>
      <c r="X791" s="2176"/>
      <c r="Y791" s="2176"/>
      <c r="Z791" s="13"/>
      <c r="AA791" s="13"/>
      <c r="AB791" s="13"/>
      <c r="AC791" s="13"/>
    </row>
    <row r="792" spans="1:29" ht="15.75" customHeight="1">
      <c r="A792" s="1933"/>
      <c r="B792" s="2196"/>
      <c r="C792" s="2196"/>
      <c r="D792" s="2197"/>
      <c r="E792" s="2197"/>
      <c r="F792" s="2196"/>
      <c r="G792" s="2196"/>
      <c r="H792" s="2196"/>
      <c r="I792" s="2196"/>
      <c r="J792" s="2196"/>
      <c r="K792" s="2176"/>
      <c r="L792" s="2176"/>
      <c r="M792" s="2176"/>
      <c r="N792" s="2176"/>
      <c r="O792" s="2176"/>
      <c r="P792" s="2176"/>
      <c r="Q792" s="2176"/>
      <c r="R792" s="2176"/>
      <c r="S792" s="2176"/>
      <c r="T792" s="2176"/>
      <c r="U792" s="2176"/>
      <c r="V792" s="2176"/>
      <c r="W792" s="2176"/>
      <c r="X792" s="2176"/>
      <c r="Y792" s="2176"/>
      <c r="Z792" s="13"/>
      <c r="AA792" s="13"/>
      <c r="AB792" s="13"/>
      <c r="AC792" s="13"/>
    </row>
    <row r="793" spans="1:29" ht="15.75" customHeight="1">
      <c r="A793" s="1933"/>
      <c r="B793" s="2196"/>
      <c r="C793" s="2196"/>
      <c r="D793" s="2197"/>
      <c r="E793" s="2197"/>
      <c r="F793" s="2196"/>
      <c r="G793" s="2196"/>
      <c r="H793" s="2196"/>
      <c r="I793" s="2196"/>
      <c r="J793" s="2196"/>
      <c r="K793" s="2176"/>
      <c r="L793" s="2176"/>
      <c r="M793" s="2176"/>
      <c r="N793" s="2176"/>
      <c r="O793" s="2176"/>
      <c r="P793" s="2176"/>
      <c r="Q793" s="2176"/>
      <c r="R793" s="2176"/>
      <c r="S793" s="2176"/>
      <c r="T793" s="2176"/>
      <c r="U793" s="2176"/>
      <c r="V793" s="2176"/>
      <c r="W793" s="2176"/>
      <c r="X793" s="2176"/>
      <c r="Y793" s="2176"/>
      <c r="Z793" s="13"/>
      <c r="AA793" s="13"/>
      <c r="AB793" s="13"/>
      <c r="AC793" s="13"/>
    </row>
    <row r="794" spans="1:29" ht="15.75" customHeight="1">
      <c r="A794" s="1933"/>
      <c r="B794" s="2196"/>
      <c r="C794" s="2196"/>
      <c r="D794" s="2197"/>
      <c r="E794" s="2197"/>
      <c r="F794" s="2196"/>
      <c r="G794" s="2196"/>
      <c r="H794" s="2196"/>
      <c r="I794" s="2196"/>
      <c r="J794" s="2196"/>
      <c r="K794" s="2176"/>
      <c r="L794" s="2176"/>
      <c r="M794" s="2176"/>
      <c r="N794" s="2176"/>
      <c r="O794" s="2176"/>
      <c r="P794" s="2176"/>
      <c r="Q794" s="2176"/>
      <c r="R794" s="2176"/>
      <c r="S794" s="2176"/>
      <c r="T794" s="2176"/>
      <c r="U794" s="2176"/>
      <c r="V794" s="2176"/>
      <c r="W794" s="2176"/>
      <c r="X794" s="2176"/>
      <c r="Y794" s="2176"/>
      <c r="Z794" s="13"/>
      <c r="AA794" s="13"/>
      <c r="AB794" s="13"/>
      <c r="AC794" s="13"/>
    </row>
    <row r="795" spans="1:29" ht="15.75" customHeight="1">
      <c r="A795" s="1933"/>
      <c r="B795" s="2196"/>
      <c r="C795" s="2196"/>
      <c r="D795" s="2197"/>
      <c r="E795" s="2197"/>
      <c r="F795" s="2196"/>
      <c r="G795" s="2196"/>
      <c r="H795" s="2196"/>
      <c r="I795" s="2196"/>
      <c r="J795" s="2196"/>
      <c r="K795" s="2176"/>
      <c r="L795" s="2176"/>
      <c r="M795" s="2176"/>
      <c r="N795" s="2176"/>
      <c r="O795" s="2176"/>
      <c r="P795" s="2176"/>
      <c r="Q795" s="2176"/>
      <c r="R795" s="2176"/>
      <c r="S795" s="2176"/>
      <c r="T795" s="2176"/>
      <c r="U795" s="2176"/>
      <c r="V795" s="2176"/>
      <c r="W795" s="2176"/>
      <c r="X795" s="2176"/>
      <c r="Y795" s="2176"/>
      <c r="Z795" s="13"/>
      <c r="AA795" s="13"/>
      <c r="AB795" s="13"/>
      <c r="AC795" s="13"/>
    </row>
    <row r="796" spans="1:29" ht="15.75" customHeight="1">
      <c r="A796" s="1933"/>
      <c r="B796" s="2196"/>
      <c r="C796" s="2196"/>
      <c r="D796" s="2197"/>
      <c r="E796" s="2197"/>
      <c r="F796" s="2196"/>
      <c r="G796" s="2196"/>
      <c r="H796" s="2196"/>
      <c r="I796" s="2196"/>
      <c r="J796" s="2196"/>
      <c r="K796" s="2176"/>
      <c r="L796" s="2176"/>
      <c r="M796" s="2176"/>
      <c r="N796" s="2176"/>
      <c r="O796" s="2176"/>
      <c r="P796" s="2176"/>
      <c r="Q796" s="2176"/>
      <c r="R796" s="2176"/>
      <c r="S796" s="2176"/>
      <c r="T796" s="2176"/>
      <c r="U796" s="2176"/>
      <c r="V796" s="2176"/>
      <c r="W796" s="2176"/>
      <c r="X796" s="2176"/>
      <c r="Y796" s="2176"/>
      <c r="Z796" s="13"/>
      <c r="AA796" s="13"/>
      <c r="AB796" s="13"/>
      <c r="AC796" s="13"/>
    </row>
    <row r="797" spans="1:29" ht="15.75" customHeight="1">
      <c r="A797" s="1933"/>
      <c r="B797" s="2196"/>
      <c r="C797" s="2196"/>
      <c r="D797" s="2197"/>
      <c r="E797" s="2197"/>
      <c r="F797" s="2196"/>
      <c r="G797" s="2196"/>
      <c r="H797" s="2196"/>
      <c r="I797" s="2196"/>
      <c r="J797" s="2196"/>
      <c r="K797" s="2176"/>
      <c r="L797" s="2176"/>
      <c r="M797" s="2176"/>
      <c r="N797" s="2176"/>
      <c r="O797" s="2176"/>
      <c r="P797" s="2176"/>
      <c r="Q797" s="2176"/>
      <c r="R797" s="2176"/>
      <c r="S797" s="2176"/>
      <c r="T797" s="2176"/>
      <c r="U797" s="2176"/>
      <c r="V797" s="2176"/>
      <c r="W797" s="2176"/>
      <c r="X797" s="2176"/>
      <c r="Y797" s="2176"/>
      <c r="Z797" s="13"/>
      <c r="AA797" s="13"/>
      <c r="AB797" s="13"/>
      <c r="AC797" s="13"/>
    </row>
    <row r="798" spans="1:29" ht="15.75" customHeight="1">
      <c r="A798" s="1933"/>
      <c r="B798" s="2196"/>
      <c r="C798" s="2196"/>
      <c r="D798" s="2197"/>
      <c r="E798" s="2197"/>
      <c r="F798" s="2196"/>
      <c r="G798" s="2196"/>
      <c r="H798" s="2196"/>
      <c r="I798" s="2196"/>
      <c r="J798" s="2196"/>
      <c r="K798" s="2176"/>
      <c r="L798" s="2176"/>
      <c r="M798" s="2176"/>
      <c r="N798" s="2176"/>
      <c r="O798" s="2176"/>
      <c r="P798" s="2176"/>
      <c r="Q798" s="2176"/>
      <c r="R798" s="2176"/>
      <c r="S798" s="2176"/>
      <c r="T798" s="2176"/>
      <c r="U798" s="2176"/>
      <c r="V798" s="2176"/>
      <c r="W798" s="2176"/>
      <c r="X798" s="2176"/>
      <c r="Y798" s="2176"/>
      <c r="Z798" s="13"/>
      <c r="AA798" s="13"/>
      <c r="AB798" s="13"/>
      <c r="AC798" s="13"/>
    </row>
    <row r="799" spans="1:29" ht="15.75" customHeight="1">
      <c r="A799" s="1933"/>
      <c r="B799" s="2196"/>
      <c r="C799" s="2196"/>
      <c r="D799" s="2197"/>
      <c r="E799" s="2197"/>
      <c r="F799" s="2196"/>
      <c r="G799" s="2196"/>
      <c r="H799" s="2196"/>
      <c r="I799" s="2196"/>
      <c r="J799" s="2196"/>
      <c r="K799" s="2176"/>
      <c r="L799" s="2176"/>
      <c r="M799" s="2176"/>
      <c r="N799" s="2176"/>
      <c r="O799" s="2176"/>
      <c r="P799" s="2176"/>
      <c r="Q799" s="2176"/>
      <c r="R799" s="2176"/>
      <c r="S799" s="2176"/>
      <c r="T799" s="2176"/>
      <c r="U799" s="2176"/>
      <c r="V799" s="2176"/>
      <c r="W799" s="2176"/>
      <c r="X799" s="2176"/>
      <c r="Y799" s="2176"/>
      <c r="Z799" s="13"/>
      <c r="AA799" s="13"/>
      <c r="AB799" s="13"/>
      <c r="AC799" s="13"/>
    </row>
    <row r="800" spans="1:29" ht="15.75" customHeight="1">
      <c r="A800" s="1933"/>
      <c r="B800" s="2196"/>
      <c r="C800" s="2196"/>
      <c r="D800" s="2197"/>
      <c r="E800" s="2197"/>
      <c r="F800" s="2196"/>
      <c r="G800" s="2196"/>
      <c r="H800" s="2196"/>
      <c r="I800" s="2196"/>
      <c r="J800" s="2196"/>
      <c r="K800" s="2176"/>
      <c r="L800" s="2176"/>
      <c r="M800" s="2176"/>
      <c r="N800" s="2176"/>
      <c r="O800" s="2176"/>
      <c r="P800" s="2176"/>
      <c r="Q800" s="2176"/>
      <c r="R800" s="2176"/>
      <c r="S800" s="2176"/>
      <c r="T800" s="2176"/>
      <c r="U800" s="2176"/>
      <c r="V800" s="2176"/>
      <c r="W800" s="2176"/>
      <c r="X800" s="2176"/>
      <c r="Y800" s="2176"/>
      <c r="Z800" s="13"/>
      <c r="AA800" s="13"/>
      <c r="AB800" s="13"/>
      <c r="AC800" s="13"/>
    </row>
    <row r="801" spans="1:29" ht="15.75" customHeight="1">
      <c r="A801" s="1933"/>
      <c r="B801" s="2196"/>
      <c r="C801" s="2196"/>
      <c r="D801" s="2197"/>
      <c r="E801" s="2197"/>
      <c r="F801" s="2196"/>
      <c r="G801" s="2196"/>
      <c r="H801" s="2196"/>
      <c r="I801" s="2196"/>
      <c r="J801" s="2196"/>
      <c r="K801" s="2176"/>
      <c r="L801" s="2176"/>
      <c r="M801" s="2176"/>
      <c r="N801" s="2176"/>
      <c r="O801" s="2176"/>
      <c r="P801" s="2176"/>
      <c r="Q801" s="2176"/>
      <c r="R801" s="2176"/>
      <c r="S801" s="2176"/>
      <c r="T801" s="2176"/>
      <c r="U801" s="2176"/>
      <c r="V801" s="2176"/>
      <c r="W801" s="2176"/>
      <c r="X801" s="2176"/>
      <c r="Y801" s="2176"/>
      <c r="Z801" s="13"/>
      <c r="AA801" s="13"/>
      <c r="AB801" s="13"/>
      <c r="AC801" s="13"/>
    </row>
    <row r="802" spans="1:29" ht="15.75" customHeight="1">
      <c r="A802" s="1933"/>
      <c r="B802" s="2196"/>
      <c r="C802" s="2196"/>
      <c r="D802" s="2197"/>
      <c r="E802" s="2197"/>
      <c r="F802" s="2196"/>
      <c r="G802" s="2196"/>
      <c r="H802" s="2196"/>
      <c r="I802" s="2196"/>
      <c r="J802" s="2196"/>
      <c r="K802" s="2176"/>
      <c r="L802" s="2176"/>
      <c r="M802" s="2176"/>
      <c r="N802" s="2176"/>
      <c r="O802" s="2176"/>
      <c r="P802" s="2176"/>
      <c r="Q802" s="2176"/>
      <c r="R802" s="2176"/>
      <c r="S802" s="2176"/>
      <c r="T802" s="2176"/>
      <c r="U802" s="2176"/>
      <c r="V802" s="2176"/>
      <c r="W802" s="2176"/>
      <c r="X802" s="2176"/>
      <c r="Y802" s="2176"/>
      <c r="Z802" s="13"/>
      <c r="AA802" s="13"/>
      <c r="AB802" s="13"/>
      <c r="AC802" s="13"/>
    </row>
    <row r="803" spans="1:29" ht="15.75" customHeight="1">
      <c r="A803" s="1933"/>
      <c r="B803" s="2196"/>
      <c r="C803" s="2196"/>
      <c r="D803" s="2197"/>
      <c r="E803" s="2197"/>
      <c r="F803" s="2196"/>
      <c r="G803" s="2196"/>
      <c r="H803" s="2196"/>
      <c r="I803" s="2196"/>
      <c r="J803" s="2196"/>
      <c r="K803" s="2176"/>
      <c r="L803" s="2176"/>
      <c r="M803" s="2176"/>
      <c r="N803" s="2176"/>
      <c r="O803" s="2176"/>
      <c r="P803" s="2176"/>
      <c r="Q803" s="2176"/>
      <c r="R803" s="2176"/>
      <c r="S803" s="2176"/>
      <c r="T803" s="2176"/>
      <c r="U803" s="2176"/>
      <c r="V803" s="2176"/>
      <c r="W803" s="2176"/>
      <c r="X803" s="2176"/>
      <c r="Y803" s="2176"/>
      <c r="Z803" s="13"/>
      <c r="AA803" s="13"/>
      <c r="AB803" s="13"/>
      <c r="AC803" s="13"/>
    </row>
    <row r="804" spans="1:29" ht="15.75" customHeight="1">
      <c r="A804" s="1933"/>
      <c r="B804" s="2196"/>
      <c r="C804" s="2196"/>
      <c r="D804" s="2197"/>
      <c r="E804" s="2197"/>
      <c r="F804" s="2196"/>
      <c r="G804" s="2196"/>
      <c r="H804" s="2196"/>
      <c r="I804" s="2196"/>
      <c r="J804" s="2196"/>
      <c r="K804" s="2176"/>
      <c r="L804" s="2176"/>
      <c r="M804" s="2176"/>
      <c r="N804" s="2176"/>
      <c r="O804" s="2176"/>
      <c r="P804" s="2176"/>
      <c r="Q804" s="2176"/>
      <c r="R804" s="2176"/>
      <c r="S804" s="2176"/>
      <c r="T804" s="2176"/>
      <c r="U804" s="2176"/>
      <c r="V804" s="2176"/>
      <c r="W804" s="2176"/>
      <c r="X804" s="2176"/>
      <c r="Y804" s="2176"/>
      <c r="Z804" s="13"/>
      <c r="AA804" s="13"/>
      <c r="AB804" s="13"/>
      <c r="AC804" s="13"/>
    </row>
    <row r="805" spans="1:29" ht="15.75" customHeight="1">
      <c r="A805" s="1933"/>
      <c r="B805" s="2196"/>
      <c r="C805" s="2196"/>
      <c r="D805" s="2197"/>
      <c r="E805" s="2197"/>
      <c r="F805" s="2196"/>
      <c r="G805" s="2196"/>
      <c r="H805" s="2196"/>
      <c r="I805" s="2196"/>
      <c r="J805" s="2196"/>
      <c r="K805" s="2176"/>
      <c r="L805" s="2176"/>
      <c r="M805" s="2176"/>
      <c r="N805" s="2176"/>
      <c r="O805" s="2176"/>
      <c r="P805" s="2176"/>
      <c r="Q805" s="2176"/>
      <c r="R805" s="2176"/>
      <c r="S805" s="2176"/>
      <c r="T805" s="2176"/>
      <c r="U805" s="2176"/>
      <c r="V805" s="2176"/>
      <c r="W805" s="2176"/>
      <c r="X805" s="2176"/>
      <c r="Y805" s="2176"/>
      <c r="Z805" s="13"/>
      <c r="AA805" s="13"/>
      <c r="AB805" s="13"/>
      <c r="AC805" s="13"/>
    </row>
    <row r="806" spans="1:29" ht="15.75" customHeight="1">
      <c r="A806" s="1933"/>
      <c r="B806" s="2196"/>
      <c r="C806" s="2196"/>
      <c r="D806" s="2197"/>
      <c r="E806" s="2197"/>
      <c r="F806" s="2196"/>
      <c r="G806" s="2196"/>
      <c r="H806" s="2196"/>
      <c r="I806" s="2196"/>
      <c r="J806" s="2196"/>
      <c r="K806" s="2176"/>
      <c r="L806" s="2176"/>
      <c r="M806" s="2176"/>
      <c r="N806" s="2176"/>
      <c r="O806" s="2176"/>
      <c r="P806" s="2176"/>
      <c r="Q806" s="2176"/>
      <c r="R806" s="2176"/>
      <c r="S806" s="2176"/>
      <c r="T806" s="2176"/>
      <c r="U806" s="2176"/>
      <c r="V806" s="2176"/>
      <c r="W806" s="2176"/>
      <c r="X806" s="2176"/>
      <c r="Y806" s="2176"/>
      <c r="Z806" s="13"/>
      <c r="AA806" s="13"/>
      <c r="AB806" s="13"/>
      <c r="AC806" s="13"/>
    </row>
    <row r="807" spans="1:29" ht="15.75" customHeight="1">
      <c r="A807" s="1933"/>
      <c r="B807" s="2196"/>
      <c r="C807" s="2196"/>
      <c r="D807" s="2197"/>
      <c r="E807" s="2197"/>
      <c r="F807" s="2196"/>
      <c r="G807" s="2196"/>
      <c r="H807" s="2196"/>
      <c r="I807" s="2196"/>
      <c r="J807" s="2196"/>
      <c r="K807" s="2176"/>
      <c r="L807" s="2176"/>
      <c r="M807" s="2176"/>
      <c r="N807" s="2176"/>
      <c r="O807" s="2176"/>
      <c r="P807" s="2176"/>
      <c r="Q807" s="2176"/>
      <c r="R807" s="2176"/>
      <c r="S807" s="2176"/>
      <c r="T807" s="2176"/>
      <c r="U807" s="2176"/>
      <c r="V807" s="2176"/>
      <c r="W807" s="2176"/>
      <c r="X807" s="2176"/>
      <c r="Y807" s="2176"/>
      <c r="Z807" s="13"/>
      <c r="AA807" s="13"/>
      <c r="AB807" s="13"/>
      <c r="AC807" s="13"/>
    </row>
    <row r="808" spans="1:29" ht="15.75" customHeight="1">
      <c r="A808" s="1933"/>
      <c r="B808" s="2196"/>
      <c r="C808" s="2196"/>
      <c r="D808" s="2197"/>
      <c r="E808" s="2197"/>
      <c r="F808" s="2196"/>
      <c r="G808" s="2196"/>
      <c r="H808" s="2196"/>
      <c r="I808" s="2196"/>
      <c r="J808" s="2196"/>
      <c r="K808" s="2176"/>
      <c r="L808" s="2176"/>
      <c r="M808" s="2176"/>
      <c r="N808" s="2176"/>
      <c r="O808" s="2176"/>
      <c r="P808" s="2176"/>
      <c r="Q808" s="2176"/>
      <c r="R808" s="2176"/>
      <c r="S808" s="2176"/>
      <c r="T808" s="2176"/>
      <c r="U808" s="2176"/>
      <c r="V808" s="2176"/>
      <c r="W808" s="2176"/>
      <c r="X808" s="2176"/>
      <c r="Y808" s="2176"/>
      <c r="Z808" s="13"/>
      <c r="AA808" s="13"/>
      <c r="AB808" s="13"/>
      <c r="AC808" s="13"/>
    </row>
    <row r="809" spans="1:29" ht="15.75" customHeight="1">
      <c r="A809" s="1933"/>
      <c r="B809" s="2196"/>
      <c r="C809" s="2196"/>
      <c r="D809" s="2197"/>
      <c r="E809" s="2197"/>
      <c r="F809" s="2196"/>
      <c r="G809" s="2196"/>
      <c r="H809" s="2196"/>
      <c r="I809" s="2196"/>
      <c r="J809" s="2196"/>
      <c r="K809" s="2176"/>
      <c r="L809" s="2176"/>
      <c r="M809" s="2176"/>
      <c r="N809" s="2176"/>
      <c r="O809" s="2176"/>
      <c r="P809" s="2176"/>
      <c r="Q809" s="2176"/>
      <c r="R809" s="2176"/>
      <c r="S809" s="2176"/>
      <c r="T809" s="2176"/>
      <c r="U809" s="2176"/>
      <c r="V809" s="2176"/>
      <c r="W809" s="2176"/>
      <c r="X809" s="2176"/>
      <c r="Y809" s="2176"/>
      <c r="Z809" s="13"/>
      <c r="AA809" s="13"/>
      <c r="AB809" s="13"/>
      <c r="AC809" s="13"/>
    </row>
    <row r="810" spans="1:29" ht="15.75" customHeight="1">
      <c r="A810" s="1933"/>
      <c r="B810" s="2196"/>
      <c r="C810" s="2196"/>
      <c r="D810" s="2197"/>
      <c r="E810" s="2197"/>
      <c r="F810" s="2196"/>
      <c r="G810" s="2196"/>
      <c r="H810" s="2196"/>
      <c r="I810" s="2196"/>
      <c r="J810" s="2196"/>
      <c r="K810" s="2176"/>
      <c r="L810" s="2176"/>
      <c r="M810" s="2176"/>
      <c r="N810" s="2176"/>
      <c r="O810" s="2176"/>
      <c r="P810" s="2176"/>
      <c r="Q810" s="2176"/>
      <c r="R810" s="2176"/>
      <c r="S810" s="2176"/>
      <c r="T810" s="2176"/>
      <c r="U810" s="2176"/>
      <c r="V810" s="2176"/>
      <c r="W810" s="2176"/>
      <c r="X810" s="2176"/>
      <c r="Y810" s="2176"/>
      <c r="Z810" s="13"/>
      <c r="AA810" s="13"/>
      <c r="AB810" s="13"/>
      <c r="AC810" s="13"/>
    </row>
    <row r="811" spans="1:29" ht="15.75" customHeight="1">
      <c r="A811" s="1933"/>
      <c r="B811" s="2196"/>
      <c r="C811" s="2196"/>
      <c r="D811" s="2197"/>
      <c r="E811" s="2197"/>
      <c r="F811" s="2196"/>
      <c r="G811" s="2196"/>
      <c r="H811" s="2196"/>
      <c r="I811" s="2196"/>
      <c r="J811" s="2196"/>
      <c r="K811" s="2176"/>
      <c r="L811" s="2176"/>
      <c r="M811" s="2176"/>
      <c r="N811" s="2176"/>
      <c r="O811" s="2176"/>
      <c r="P811" s="2176"/>
      <c r="Q811" s="2176"/>
      <c r="R811" s="2176"/>
      <c r="S811" s="2176"/>
      <c r="T811" s="2176"/>
      <c r="U811" s="2176"/>
      <c r="V811" s="2176"/>
      <c r="W811" s="2176"/>
      <c r="X811" s="2176"/>
      <c r="Y811" s="2176"/>
      <c r="Z811" s="13"/>
      <c r="AA811" s="13"/>
      <c r="AB811" s="13"/>
      <c r="AC811" s="13"/>
    </row>
    <row r="812" spans="1:29" ht="15.75" customHeight="1">
      <c r="A812" s="1933"/>
      <c r="B812" s="2196"/>
      <c r="C812" s="2196"/>
      <c r="D812" s="2197"/>
      <c r="E812" s="2197"/>
      <c r="F812" s="2196"/>
      <c r="G812" s="2196"/>
      <c r="H812" s="2196"/>
      <c r="I812" s="2196"/>
      <c r="J812" s="2196"/>
      <c r="K812" s="2176"/>
      <c r="L812" s="2176"/>
      <c r="M812" s="2176"/>
      <c r="N812" s="2176"/>
      <c r="O812" s="2176"/>
      <c r="P812" s="2176"/>
      <c r="Q812" s="2176"/>
      <c r="R812" s="2176"/>
      <c r="S812" s="2176"/>
      <c r="T812" s="2176"/>
      <c r="U812" s="2176"/>
      <c r="V812" s="2176"/>
      <c r="W812" s="2176"/>
      <c r="X812" s="2176"/>
      <c r="Y812" s="2176"/>
      <c r="Z812" s="13"/>
      <c r="AA812" s="13"/>
      <c r="AB812" s="13"/>
      <c r="AC812" s="13"/>
    </row>
    <row r="813" spans="1:29" ht="15.75" customHeight="1">
      <c r="A813" s="1933"/>
      <c r="B813" s="2196"/>
      <c r="C813" s="2196"/>
      <c r="D813" s="2197"/>
      <c r="E813" s="2197"/>
      <c r="F813" s="2196"/>
      <c r="G813" s="2196"/>
      <c r="H813" s="2196"/>
      <c r="I813" s="2196"/>
      <c r="J813" s="2196"/>
      <c r="K813" s="2176"/>
      <c r="L813" s="2176"/>
      <c r="M813" s="2176"/>
      <c r="N813" s="2176"/>
      <c r="O813" s="2176"/>
      <c r="P813" s="2176"/>
      <c r="Q813" s="2176"/>
      <c r="R813" s="2176"/>
      <c r="S813" s="2176"/>
      <c r="T813" s="2176"/>
      <c r="U813" s="2176"/>
      <c r="V813" s="2176"/>
      <c r="W813" s="2176"/>
      <c r="X813" s="2176"/>
      <c r="Y813" s="2176"/>
      <c r="Z813" s="13"/>
      <c r="AA813" s="13"/>
      <c r="AB813" s="13"/>
      <c r="AC813" s="13"/>
    </row>
    <row r="814" spans="1:29" ht="15.75" customHeight="1">
      <c r="A814" s="1933"/>
      <c r="B814" s="2196"/>
      <c r="C814" s="2196"/>
      <c r="D814" s="2197"/>
      <c r="E814" s="2197"/>
      <c r="F814" s="2196"/>
      <c r="G814" s="2196"/>
      <c r="H814" s="2196"/>
      <c r="I814" s="2196"/>
      <c r="J814" s="2196"/>
      <c r="K814" s="2176"/>
      <c r="L814" s="2176"/>
      <c r="M814" s="2176"/>
      <c r="N814" s="2176"/>
      <c r="O814" s="2176"/>
      <c r="P814" s="2176"/>
      <c r="Q814" s="2176"/>
      <c r="R814" s="2176"/>
      <c r="S814" s="2176"/>
      <c r="T814" s="2176"/>
      <c r="U814" s="2176"/>
      <c r="V814" s="2176"/>
      <c r="W814" s="2176"/>
      <c r="X814" s="2176"/>
      <c r="Y814" s="2176"/>
      <c r="Z814" s="13"/>
      <c r="AA814" s="13"/>
      <c r="AB814" s="13"/>
      <c r="AC814" s="13"/>
    </row>
    <row r="815" spans="1:29" ht="15.75" customHeight="1">
      <c r="A815" s="1933"/>
      <c r="B815" s="2196"/>
      <c r="C815" s="2196"/>
      <c r="D815" s="2197"/>
      <c r="E815" s="2197"/>
      <c r="F815" s="2196"/>
      <c r="G815" s="2196"/>
      <c r="H815" s="2196"/>
      <c r="I815" s="2196"/>
      <c r="J815" s="2196"/>
      <c r="K815" s="2176"/>
      <c r="L815" s="2176"/>
      <c r="M815" s="2176"/>
      <c r="N815" s="2176"/>
      <c r="O815" s="2176"/>
      <c r="P815" s="2176"/>
      <c r="Q815" s="2176"/>
      <c r="R815" s="2176"/>
      <c r="S815" s="2176"/>
      <c r="T815" s="2176"/>
      <c r="U815" s="2176"/>
      <c r="V815" s="2176"/>
      <c r="W815" s="2176"/>
      <c r="X815" s="2176"/>
      <c r="Y815" s="2176"/>
      <c r="Z815" s="13"/>
      <c r="AA815" s="13"/>
      <c r="AB815" s="13"/>
      <c r="AC815" s="13"/>
    </row>
    <row r="816" spans="1:29" ht="15.75" customHeight="1">
      <c r="A816" s="1933"/>
      <c r="B816" s="2196"/>
      <c r="C816" s="2196"/>
      <c r="D816" s="2197"/>
      <c r="E816" s="2197"/>
      <c r="F816" s="2196"/>
      <c r="G816" s="2196"/>
      <c r="H816" s="2196"/>
      <c r="I816" s="2196"/>
      <c r="J816" s="2196"/>
      <c r="K816" s="2176"/>
      <c r="L816" s="2176"/>
      <c r="M816" s="2176"/>
      <c r="N816" s="2176"/>
      <c r="O816" s="2176"/>
      <c r="P816" s="2176"/>
      <c r="Q816" s="2176"/>
      <c r="R816" s="2176"/>
      <c r="S816" s="2176"/>
      <c r="T816" s="2176"/>
      <c r="U816" s="2176"/>
      <c r="V816" s="2176"/>
      <c r="W816" s="2176"/>
      <c r="X816" s="2176"/>
      <c r="Y816" s="2176"/>
      <c r="Z816" s="13"/>
      <c r="AA816" s="13"/>
      <c r="AB816" s="13"/>
      <c r="AC816" s="13"/>
    </row>
    <row r="817" spans="1:29" ht="15.75" customHeight="1">
      <c r="A817" s="1933"/>
      <c r="B817" s="2196"/>
      <c r="C817" s="2196"/>
      <c r="D817" s="2197"/>
      <c r="E817" s="2197"/>
      <c r="F817" s="2196"/>
      <c r="G817" s="2196"/>
      <c r="H817" s="2196"/>
      <c r="I817" s="2196"/>
      <c r="J817" s="2196"/>
      <c r="K817" s="2176"/>
      <c r="L817" s="2176"/>
      <c r="M817" s="2176"/>
      <c r="N817" s="2176"/>
      <c r="O817" s="2176"/>
      <c r="P817" s="2176"/>
      <c r="Q817" s="2176"/>
      <c r="R817" s="2176"/>
      <c r="S817" s="2176"/>
      <c r="T817" s="2176"/>
      <c r="U817" s="2176"/>
      <c r="V817" s="2176"/>
      <c r="W817" s="2176"/>
      <c r="X817" s="2176"/>
      <c r="Y817" s="2176"/>
      <c r="Z817" s="13"/>
      <c r="AA817" s="13"/>
      <c r="AB817" s="13"/>
      <c r="AC817" s="13"/>
    </row>
    <row r="818" spans="1:29" ht="15.75" customHeight="1">
      <c r="A818" s="1933"/>
      <c r="B818" s="2196"/>
      <c r="C818" s="2196"/>
      <c r="D818" s="2197"/>
      <c r="E818" s="2197"/>
      <c r="F818" s="2196"/>
      <c r="G818" s="2196"/>
      <c r="H818" s="2196"/>
      <c r="I818" s="2196"/>
      <c r="J818" s="2196"/>
      <c r="K818" s="2176"/>
      <c r="L818" s="2176"/>
      <c r="M818" s="2176"/>
      <c r="N818" s="2176"/>
      <c r="O818" s="2176"/>
      <c r="P818" s="2176"/>
      <c r="Q818" s="2176"/>
      <c r="R818" s="2176"/>
      <c r="S818" s="2176"/>
      <c r="T818" s="2176"/>
      <c r="U818" s="2176"/>
      <c r="V818" s="2176"/>
      <c r="W818" s="2176"/>
      <c r="X818" s="2176"/>
      <c r="Y818" s="2176"/>
      <c r="Z818" s="13"/>
      <c r="AA818" s="13"/>
      <c r="AB818" s="13"/>
      <c r="AC818" s="13"/>
    </row>
    <row r="819" spans="1:29" ht="15.75" customHeight="1">
      <c r="A819" s="1933"/>
      <c r="B819" s="2196"/>
      <c r="C819" s="2196"/>
      <c r="D819" s="2197"/>
      <c r="E819" s="2197"/>
      <c r="F819" s="2196"/>
      <c r="G819" s="2196"/>
      <c r="H819" s="2196"/>
      <c r="I819" s="2196"/>
      <c r="J819" s="2196"/>
      <c r="K819" s="2176"/>
      <c r="L819" s="2176"/>
      <c r="M819" s="2176"/>
      <c r="N819" s="2176"/>
      <c r="O819" s="2176"/>
      <c r="P819" s="2176"/>
      <c r="Q819" s="2176"/>
      <c r="R819" s="2176"/>
      <c r="S819" s="2176"/>
      <c r="T819" s="2176"/>
      <c r="U819" s="2176"/>
      <c r="V819" s="2176"/>
      <c r="W819" s="2176"/>
      <c r="X819" s="2176"/>
      <c r="Y819" s="2176"/>
      <c r="Z819" s="13"/>
      <c r="AA819" s="13"/>
      <c r="AB819" s="13"/>
      <c r="AC819" s="13"/>
    </row>
    <row r="820" spans="1:29" ht="15.75" customHeight="1">
      <c r="A820" s="1933"/>
      <c r="B820" s="2196"/>
      <c r="C820" s="2196"/>
      <c r="D820" s="2197"/>
      <c r="E820" s="2197"/>
      <c r="F820" s="2196"/>
      <c r="G820" s="2196"/>
      <c r="H820" s="2196"/>
      <c r="I820" s="2196"/>
      <c r="J820" s="2196"/>
      <c r="K820" s="2176"/>
      <c r="L820" s="2176"/>
      <c r="M820" s="2176"/>
      <c r="N820" s="2176"/>
      <c r="O820" s="2176"/>
      <c r="P820" s="2176"/>
      <c r="Q820" s="2176"/>
      <c r="R820" s="2176"/>
      <c r="S820" s="2176"/>
      <c r="T820" s="2176"/>
      <c r="U820" s="2176"/>
      <c r="V820" s="2176"/>
      <c r="W820" s="2176"/>
      <c r="X820" s="2176"/>
      <c r="Y820" s="2176"/>
      <c r="Z820" s="13"/>
      <c r="AA820" s="13"/>
      <c r="AB820" s="13"/>
      <c r="AC820" s="13"/>
    </row>
    <row r="821" spans="1:29" ht="15.75" customHeight="1">
      <c r="A821" s="1933"/>
      <c r="B821" s="2196"/>
      <c r="C821" s="2196"/>
      <c r="D821" s="2197"/>
      <c r="E821" s="2197"/>
      <c r="F821" s="2196"/>
      <c r="G821" s="2196"/>
      <c r="H821" s="2196"/>
      <c r="I821" s="2196"/>
      <c r="J821" s="2196"/>
      <c r="K821" s="2176"/>
      <c r="L821" s="2176"/>
      <c r="M821" s="2176"/>
      <c r="N821" s="2176"/>
      <c r="O821" s="2176"/>
      <c r="P821" s="2176"/>
      <c r="Q821" s="2176"/>
      <c r="R821" s="2176"/>
      <c r="S821" s="2176"/>
      <c r="T821" s="2176"/>
      <c r="U821" s="2176"/>
      <c r="V821" s="2176"/>
      <c r="W821" s="2176"/>
      <c r="X821" s="2176"/>
      <c r="Y821" s="2176"/>
      <c r="Z821" s="13"/>
      <c r="AA821" s="13"/>
      <c r="AB821" s="13"/>
      <c r="AC821" s="13"/>
    </row>
    <row r="822" spans="1:29" ht="15.75" customHeight="1">
      <c r="A822" s="1933"/>
      <c r="B822" s="2196"/>
      <c r="C822" s="2196"/>
      <c r="D822" s="2197"/>
      <c r="E822" s="2197"/>
      <c r="F822" s="2196"/>
      <c r="G822" s="2196"/>
      <c r="H822" s="2196"/>
      <c r="I822" s="2196"/>
      <c r="J822" s="2196"/>
      <c r="K822" s="2176"/>
      <c r="L822" s="2176"/>
      <c r="M822" s="2176"/>
      <c r="N822" s="2176"/>
      <c r="O822" s="2176"/>
      <c r="P822" s="2176"/>
      <c r="Q822" s="2176"/>
      <c r="R822" s="2176"/>
      <c r="S822" s="2176"/>
      <c r="T822" s="2176"/>
      <c r="U822" s="2176"/>
      <c r="V822" s="2176"/>
      <c r="W822" s="2176"/>
      <c r="X822" s="2176"/>
      <c r="Y822" s="2176"/>
      <c r="Z822" s="13"/>
      <c r="AA822" s="13"/>
      <c r="AB822" s="13"/>
      <c r="AC822" s="13"/>
    </row>
    <row r="823" spans="1:29" ht="15.75" customHeight="1">
      <c r="A823" s="1933"/>
      <c r="B823" s="2196"/>
      <c r="C823" s="2196"/>
      <c r="D823" s="2197"/>
      <c r="E823" s="2197"/>
      <c r="F823" s="2196"/>
      <c r="G823" s="2196"/>
      <c r="H823" s="2196"/>
      <c r="I823" s="2196"/>
      <c r="J823" s="2196"/>
      <c r="K823" s="2176"/>
      <c r="L823" s="2176"/>
      <c r="M823" s="2176"/>
      <c r="N823" s="2176"/>
      <c r="O823" s="2176"/>
      <c r="P823" s="2176"/>
      <c r="Q823" s="2176"/>
      <c r="R823" s="2176"/>
      <c r="S823" s="2176"/>
      <c r="T823" s="2176"/>
      <c r="U823" s="2176"/>
      <c r="V823" s="2176"/>
      <c r="W823" s="2176"/>
      <c r="X823" s="2176"/>
      <c r="Y823" s="2176"/>
      <c r="Z823" s="13"/>
      <c r="AA823" s="13"/>
      <c r="AB823" s="13"/>
      <c r="AC823" s="13"/>
    </row>
    <row r="824" spans="1:29" ht="15.75" customHeight="1">
      <c r="A824" s="1933"/>
      <c r="B824" s="2196"/>
      <c r="C824" s="2196"/>
      <c r="D824" s="2197"/>
      <c r="E824" s="2197"/>
      <c r="F824" s="2196"/>
      <c r="G824" s="2196"/>
      <c r="H824" s="2196"/>
      <c r="I824" s="2196"/>
      <c r="J824" s="2196"/>
      <c r="K824" s="2176"/>
      <c r="L824" s="2176"/>
      <c r="M824" s="2176"/>
      <c r="N824" s="2176"/>
      <c r="O824" s="2176"/>
      <c r="P824" s="2176"/>
      <c r="Q824" s="2176"/>
      <c r="R824" s="2176"/>
      <c r="S824" s="2176"/>
      <c r="T824" s="2176"/>
      <c r="U824" s="2176"/>
      <c r="V824" s="2176"/>
      <c r="W824" s="2176"/>
      <c r="X824" s="2176"/>
      <c r="Y824" s="2176"/>
      <c r="Z824" s="13"/>
      <c r="AA824" s="13"/>
      <c r="AB824" s="13"/>
      <c r="AC824" s="13"/>
    </row>
    <row r="825" spans="1:29" ht="15.75" customHeight="1">
      <c r="A825" s="1933"/>
      <c r="B825" s="2196"/>
      <c r="C825" s="2196"/>
      <c r="D825" s="2197"/>
      <c r="E825" s="2197"/>
      <c r="F825" s="2196"/>
      <c r="G825" s="2196"/>
      <c r="H825" s="2196"/>
      <c r="I825" s="2196"/>
      <c r="J825" s="2196"/>
      <c r="K825" s="2176"/>
      <c r="L825" s="2176"/>
      <c r="M825" s="2176"/>
      <c r="N825" s="2176"/>
      <c r="O825" s="2176"/>
      <c r="P825" s="2176"/>
      <c r="Q825" s="2176"/>
      <c r="R825" s="2176"/>
      <c r="S825" s="2176"/>
      <c r="T825" s="2176"/>
      <c r="U825" s="2176"/>
      <c r="V825" s="2176"/>
      <c r="W825" s="2176"/>
      <c r="X825" s="2176"/>
      <c r="Y825" s="2176"/>
      <c r="Z825" s="13"/>
      <c r="AA825" s="13"/>
      <c r="AB825" s="13"/>
      <c r="AC825" s="13"/>
    </row>
    <row r="826" spans="1:29" ht="15.75" customHeight="1">
      <c r="A826" s="1933"/>
      <c r="B826" s="2196"/>
      <c r="C826" s="2196"/>
      <c r="D826" s="2197"/>
      <c r="E826" s="2197"/>
      <c r="F826" s="2196"/>
      <c r="G826" s="2196"/>
      <c r="H826" s="2196"/>
      <c r="I826" s="2196"/>
      <c r="J826" s="2196"/>
      <c r="K826" s="2176"/>
      <c r="L826" s="2176"/>
      <c r="M826" s="2176"/>
      <c r="N826" s="2176"/>
      <c r="O826" s="2176"/>
      <c r="P826" s="2176"/>
      <c r="Q826" s="2176"/>
      <c r="R826" s="2176"/>
      <c r="S826" s="2176"/>
      <c r="T826" s="2176"/>
      <c r="U826" s="2176"/>
      <c r="V826" s="2176"/>
      <c r="W826" s="2176"/>
      <c r="X826" s="2176"/>
      <c r="Y826" s="2176"/>
      <c r="Z826" s="13"/>
      <c r="AA826" s="13"/>
      <c r="AB826" s="13"/>
      <c r="AC826" s="13"/>
    </row>
    <row r="827" spans="1:29" ht="15.75" customHeight="1">
      <c r="A827" s="1933"/>
      <c r="B827" s="2196"/>
      <c r="C827" s="2196"/>
      <c r="D827" s="2197"/>
      <c r="E827" s="2197"/>
      <c r="F827" s="2196"/>
      <c r="G827" s="2196"/>
      <c r="H827" s="2196"/>
      <c r="I827" s="2196"/>
      <c r="J827" s="2196"/>
      <c r="K827" s="2176"/>
      <c r="L827" s="2176"/>
      <c r="M827" s="2176"/>
      <c r="N827" s="2176"/>
      <c r="O827" s="2176"/>
      <c r="P827" s="2176"/>
      <c r="Q827" s="2176"/>
      <c r="R827" s="2176"/>
      <c r="S827" s="2176"/>
      <c r="T827" s="2176"/>
      <c r="U827" s="2176"/>
      <c r="V827" s="2176"/>
      <c r="W827" s="2176"/>
      <c r="X827" s="2176"/>
      <c r="Y827" s="2176"/>
      <c r="Z827" s="13"/>
      <c r="AA827" s="13"/>
      <c r="AB827" s="13"/>
      <c r="AC827" s="13"/>
    </row>
    <row r="828" spans="1:29" ht="15.75" customHeight="1">
      <c r="A828" s="1933"/>
      <c r="B828" s="2196"/>
      <c r="C828" s="2196"/>
      <c r="D828" s="2197"/>
      <c r="E828" s="2197"/>
      <c r="F828" s="2196"/>
      <c r="G828" s="2196"/>
      <c r="H828" s="2196"/>
      <c r="I828" s="2196"/>
      <c r="J828" s="2196"/>
      <c r="K828" s="2176"/>
      <c r="L828" s="2176"/>
      <c r="M828" s="2176"/>
      <c r="N828" s="2176"/>
      <c r="O828" s="2176"/>
      <c r="P828" s="2176"/>
      <c r="Q828" s="2176"/>
      <c r="R828" s="2176"/>
      <c r="S828" s="2176"/>
      <c r="T828" s="2176"/>
      <c r="U828" s="2176"/>
      <c r="V828" s="2176"/>
      <c r="W828" s="2176"/>
      <c r="X828" s="2176"/>
      <c r="Y828" s="2176"/>
      <c r="Z828" s="13"/>
      <c r="AA828" s="13"/>
      <c r="AB828" s="13"/>
      <c r="AC828" s="13"/>
    </row>
    <row r="829" spans="1:29" ht="15.75" customHeight="1">
      <c r="A829" s="1933"/>
      <c r="B829" s="2196"/>
      <c r="C829" s="2196"/>
      <c r="D829" s="2197"/>
      <c r="E829" s="2197"/>
      <c r="F829" s="2196"/>
      <c r="G829" s="2196"/>
      <c r="H829" s="2196"/>
      <c r="I829" s="2196"/>
      <c r="J829" s="2196"/>
      <c r="K829" s="2176"/>
      <c r="L829" s="2176"/>
      <c r="M829" s="2176"/>
      <c r="N829" s="2176"/>
      <c r="O829" s="2176"/>
      <c r="P829" s="2176"/>
      <c r="Q829" s="2176"/>
      <c r="R829" s="2176"/>
      <c r="S829" s="2176"/>
      <c r="T829" s="2176"/>
      <c r="U829" s="2176"/>
      <c r="V829" s="2176"/>
      <c r="W829" s="2176"/>
      <c r="X829" s="2176"/>
      <c r="Y829" s="2176"/>
      <c r="Z829" s="13"/>
      <c r="AA829" s="13"/>
      <c r="AB829" s="13"/>
      <c r="AC829" s="13"/>
    </row>
    <row r="830" spans="1:29" ht="15.75" customHeight="1">
      <c r="A830" s="1933"/>
      <c r="B830" s="2196"/>
      <c r="C830" s="2196"/>
      <c r="D830" s="2197"/>
      <c r="E830" s="2197"/>
      <c r="F830" s="2196"/>
      <c r="G830" s="2196"/>
      <c r="H830" s="2196"/>
      <c r="I830" s="2196"/>
      <c r="J830" s="2196"/>
      <c r="K830" s="2176"/>
      <c r="L830" s="2176"/>
      <c r="M830" s="2176"/>
      <c r="N830" s="2176"/>
      <c r="O830" s="2176"/>
      <c r="P830" s="2176"/>
      <c r="Q830" s="2176"/>
      <c r="R830" s="2176"/>
      <c r="S830" s="2176"/>
      <c r="T830" s="2176"/>
      <c r="U830" s="2176"/>
      <c r="V830" s="2176"/>
      <c r="W830" s="2176"/>
      <c r="X830" s="2176"/>
      <c r="Y830" s="2176"/>
      <c r="Z830" s="13"/>
      <c r="AA830" s="13"/>
      <c r="AB830" s="13"/>
      <c r="AC830" s="13"/>
    </row>
    <row r="831" spans="1:29" ht="15.75" customHeight="1">
      <c r="A831" s="1933"/>
      <c r="B831" s="2196"/>
      <c r="C831" s="2196"/>
      <c r="D831" s="2197"/>
      <c r="E831" s="2197"/>
      <c r="F831" s="2196"/>
      <c r="G831" s="2196"/>
      <c r="H831" s="2196"/>
      <c r="I831" s="2196"/>
      <c r="J831" s="2196"/>
      <c r="K831" s="2176"/>
      <c r="L831" s="2176"/>
      <c r="M831" s="2176"/>
      <c r="N831" s="2176"/>
      <c r="O831" s="2176"/>
      <c r="P831" s="2176"/>
      <c r="Q831" s="2176"/>
      <c r="R831" s="2176"/>
      <c r="S831" s="2176"/>
      <c r="T831" s="2176"/>
      <c r="U831" s="2176"/>
      <c r="V831" s="2176"/>
      <c r="W831" s="2176"/>
      <c r="X831" s="2176"/>
      <c r="Y831" s="2176"/>
      <c r="Z831" s="13"/>
      <c r="AA831" s="13"/>
      <c r="AB831" s="13"/>
      <c r="AC831" s="13"/>
    </row>
    <row r="832" spans="1:29" ht="15.75" customHeight="1">
      <c r="A832" s="1933"/>
      <c r="B832" s="2196"/>
      <c r="C832" s="2196"/>
      <c r="D832" s="2197"/>
      <c r="E832" s="2197"/>
      <c r="F832" s="2196"/>
      <c r="G832" s="2196"/>
      <c r="H832" s="2196"/>
      <c r="I832" s="2196"/>
      <c r="J832" s="2196"/>
      <c r="K832" s="2176"/>
      <c r="L832" s="2176"/>
      <c r="M832" s="2176"/>
      <c r="N832" s="2176"/>
      <c r="O832" s="2176"/>
      <c r="P832" s="2176"/>
      <c r="Q832" s="2176"/>
      <c r="R832" s="2176"/>
      <c r="S832" s="2176"/>
      <c r="T832" s="2176"/>
      <c r="U832" s="2176"/>
      <c r="V832" s="2176"/>
      <c r="W832" s="2176"/>
      <c r="X832" s="2176"/>
      <c r="Y832" s="2176"/>
      <c r="Z832" s="13"/>
      <c r="AA832" s="13"/>
      <c r="AB832" s="13"/>
      <c r="AC832" s="13"/>
    </row>
    <row r="833" spans="1:29" ht="15.75" customHeight="1">
      <c r="A833" s="1933"/>
      <c r="B833" s="2196"/>
      <c r="C833" s="2196"/>
      <c r="D833" s="2197"/>
      <c r="E833" s="2197"/>
      <c r="F833" s="2196"/>
      <c r="G833" s="2196"/>
      <c r="H833" s="2196"/>
      <c r="I833" s="2196"/>
      <c r="J833" s="2196"/>
      <c r="K833" s="2176"/>
      <c r="L833" s="2176"/>
      <c r="M833" s="2176"/>
      <c r="N833" s="2176"/>
      <c r="O833" s="2176"/>
      <c r="P833" s="2176"/>
      <c r="Q833" s="2176"/>
      <c r="R833" s="2176"/>
      <c r="S833" s="2176"/>
      <c r="T833" s="2176"/>
      <c r="U833" s="2176"/>
      <c r="V833" s="2176"/>
      <c r="W833" s="2176"/>
      <c r="X833" s="2176"/>
      <c r="Y833" s="2176"/>
      <c r="Z833" s="13"/>
      <c r="AA833" s="13"/>
      <c r="AB833" s="13"/>
      <c r="AC833" s="13"/>
    </row>
    <row r="834" spans="1:29" ht="15.75" customHeight="1">
      <c r="A834" s="1933"/>
      <c r="B834" s="2196"/>
      <c r="C834" s="2196"/>
      <c r="D834" s="2197"/>
      <c r="E834" s="2197"/>
      <c r="F834" s="2196"/>
      <c r="G834" s="2196"/>
      <c r="H834" s="2196"/>
      <c r="I834" s="2196"/>
      <c r="J834" s="2196"/>
      <c r="K834" s="2176"/>
      <c r="L834" s="2176"/>
      <c r="M834" s="2176"/>
      <c r="N834" s="2176"/>
      <c r="O834" s="2176"/>
      <c r="P834" s="2176"/>
      <c r="Q834" s="2176"/>
      <c r="R834" s="2176"/>
      <c r="S834" s="2176"/>
      <c r="T834" s="2176"/>
      <c r="U834" s="2176"/>
      <c r="V834" s="2176"/>
      <c r="W834" s="2176"/>
      <c r="X834" s="2176"/>
      <c r="Y834" s="2176"/>
      <c r="Z834" s="13"/>
      <c r="AA834" s="13"/>
      <c r="AB834" s="13"/>
      <c r="AC834" s="13"/>
    </row>
    <row r="835" spans="1:29" ht="15.75" customHeight="1">
      <c r="A835" s="1933"/>
      <c r="B835" s="2196"/>
      <c r="C835" s="2196"/>
      <c r="D835" s="2197"/>
      <c r="E835" s="2197"/>
      <c r="F835" s="2196"/>
      <c r="G835" s="2196"/>
      <c r="H835" s="2196"/>
      <c r="I835" s="2196"/>
      <c r="J835" s="2196"/>
      <c r="K835" s="2176"/>
      <c r="L835" s="2176"/>
      <c r="M835" s="2176"/>
      <c r="N835" s="2176"/>
      <c r="O835" s="2176"/>
      <c r="P835" s="2176"/>
      <c r="Q835" s="2176"/>
      <c r="R835" s="2176"/>
      <c r="S835" s="2176"/>
      <c r="T835" s="2176"/>
      <c r="U835" s="2176"/>
      <c r="V835" s="2176"/>
      <c r="W835" s="2176"/>
      <c r="X835" s="2176"/>
      <c r="Y835" s="2176"/>
      <c r="Z835" s="13"/>
      <c r="AA835" s="13"/>
      <c r="AB835" s="13"/>
      <c r="AC835" s="13"/>
    </row>
    <row r="836" spans="1:29" ht="15.75" customHeight="1">
      <c r="A836" s="1933"/>
      <c r="B836" s="2196"/>
      <c r="C836" s="2196"/>
      <c r="D836" s="2197"/>
      <c r="E836" s="2197"/>
      <c r="F836" s="2196"/>
      <c r="G836" s="2196"/>
      <c r="H836" s="2196"/>
      <c r="I836" s="2196"/>
      <c r="J836" s="2196"/>
      <c r="K836" s="2176"/>
      <c r="L836" s="2176"/>
      <c r="M836" s="2176"/>
      <c r="N836" s="2176"/>
      <c r="O836" s="2176"/>
      <c r="P836" s="2176"/>
      <c r="Q836" s="2176"/>
      <c r="R836" s="2176"/>
      <c r="S836" s="2176"/>
      <c r="T836" s="2176"/>
      <c r="U836" s="2176"/>
      <c r="V836" s="2176"/>
      <c r="W836" s="2176"/>
      <c r="X836" s="2176"/>
      <c r="Y836" s="2176"/>
      <c r="Z836" s="13"/>
      <c r="AA836" s="13"/>
      <c r="AB836" s="13"/>
      <c r="AC836" s="13"/>
    </row>
    <row r="837" spans="1:29" ht="15.75" customHeight="1">
      <c r="A837" s="1933"/>
      <c r="B837" s="2196"/>
      <c r="C837" s="2196"/>
      <c r="D837" s="2197"/>
      <c r="E837" s="2197"/>
      <c r="F837" s="2196"/>
      <c r="G837" s="2196"/>
      <c r="H837" s="2196"/>
      <c r="I837" s="2196"/>
      <c r="J837" s="2196"/>
      <c r="K837" s="2176"/>
      <c r="L837" s="2176"/>
      <c r="M837" s="2176"/>
      <c r="N837" s="2176"/>
      <c r="O837" s="2176"/>
      <c r="P837" s="2176"/>
      <c r="Q837" s="2176"/>
      <c r="R837" s="2176"/>
      <c r="S837" s="2176"/>
      <c r="T837" s="2176"/>
      <c r="U837" s="2176"/>
      <c r="V837" s="2176"/>
      <c r="W837" s="2176"/>
      <c r="X837" s="2176"/>
      <c r="Y837" s="2176"/>
      <c r="Z837" s="13"/>
      <c r="AA837" s="13"/>
      <c r="AB837" s="13"/>
      <c r="AC837" s="13"/>
    </row>
    <row r="838" spans="1:29" ht="15.75" customHeight="1">
      <c r="A838" s="1933"/>
      <c r="B838" s="2196"/>
      <c r="C838" s="2196"/>
      <c r="D838" s="2197"/>
      <c r="E838" s="2197"/>
      <c r="F838" s="2196"/>
      <c r="G838" s="2196"/>
      <c r="H838" s="2196"/>
      <c r="I838" s="2196"/>
      <c r="J838" s="2196"/>
      <c r="K838" s="2176"/>
      <c r="L838" s="2176"/>
      <c r="M838" s="2176"/>
      <c r="N838" s="2176"/>
      <c r="O838" s="2176"/>
      <c r="P838" s="2176"/>
      <c r="Q838" s="2176"/>
      <c r="R838" s="2176"/>
      <c r="S838" s="2176"/>
      <c r="T838" s="2176"/>
      <c r="U838" s="2176"/>
      <c r="V838" s="2176"/>
      <c r="W838" s="2176"/>
      <c r="X838" s="2176"/>
      <c r="Y838" s="2176"/>
      <c r="Z838" s="13"/>
      <c r="AA838" s="13"/>
      <c r="AB838" s="13"/>
      <c r="AC838" s="13"/>
    </row>
    <row r="839" spans="1:29" ht="15.75" customHeight="1">
      <c r="A839" s="1933"/>
      <c r="B839" s="2196"/>
      <c r="C839" s="2196"/>
      <c r="D839" s="2197"/>
      <c r="E839" s="2197"/>
      <c r="F839" s="2196"/>
      <c r="G839" s="2196"/>
      <c r="H839" s="2196"/>
      <c r="I839" s="2196"/>
      <c r="J839" s="2196"/>
      <c r="K839" s="2176"/>
      <c r="L839" s="2176"/>
      <c r="M839" s="2176"/>
      <c r="N839" s="2176"/>
      <c r="O839" s="2176"/>
      <c r="P839" s="2176"/>
      <c r="Q839" s="2176"/>
      <c r="R839" s="2176"/>
      <c r="S839" s="2176"/>
      <c r="T839" s="2176"/>
      <c r="U839" s="2176"/>
      <c r="V839" s="2176"/>
      <c r="W839" s="2176"/>
      <c r="X839" s="2176"/>
      <c r="Y839" s="2176"/>
      <c r="Z839" s="13"/>
      <c r="AA839" s="13"/>
      <c r="AB839" s="13"/>
      <c r="AC839" s="13"/>
    </row>
    <row r="840" spans="1:29" ht="15.75" customHeight="1">
      <c r="A840" s="1933"/>
      <c r="B840" s="2196"/>
      <c r="C840" s="2196"/>
      <c r="D840" s="2197"/>
      <c r="E840" s="2197"/>
      <c r="F840" s="2196"/>
      <c r="G840" s="2196"/>
      <c r="H840" s="2196"/>
      <c r="I840" s="2196"/>
      <c r="J840" s="2196"/>
      <c r="K840" s="2176"/>
      <c r="L840" s="2176"/>
      <c r="M840" s="2176"/>
      <c r="N840" s="2176"/>
      <c r="O840" s="2176"/>
      <c r="P840" s="2176"/>
      <c r="Q840" s="2176"/>
      <c r="R840" s="2176"/>
      <c r="S840" s="2176"/>
      <c r="T840" s="2176"/>
      <c r="U840" s="2176"/>
      <c r="V840" s="2176"/>
      <c r="W840" s="2176"/>
      <c r="X840" s="2176"/>
      <c r="Y840" s="2176"/>
      <c r="Z840" s="13"/>
      <c r="AA840" s="13"/>
      <c r="AB840" s="13"/>
      <c r="AC840" s="13"/>
    </row>
    <row r="841" spans="1:29" ht="15.75" customHeight="1">
      <c r="A841" s="1933"/>
      <c r="B841" s="2196"/>
      <c r="C841" s="2196"/>
      <c r="D841" s="2197"/>
      <c r="E841" s="2197"/>
      <c r="F841" s="2196"/>
      <c r="G841" s="2196"/>
      <c r="H841" s="2196"/>
      <c r="I841" s="2196"/>
      <c r="J841" s="2196"/>
      <c r="K841" s="2176"/>
      <c r="L841" s="2176"/>
      <c r="M841" s="2176"/>
      <c r="N841" s="2176"/>
      <c r="O841" s="2176"/>
      <c r="P841" s="2176"/>
      <c r="Q841" s="2176"/>
      <c r="R841" s="2176"/>
      <c r="S841" s="2176"/>
      <c r="T841" s="2176"/>
      <c r="U841" s="2176"/>
      <c r="V841" s="2176"/>
      <c r="W841" s="2176"/>
      <c r="X841" s="2176"/>
      <c r="Y841" s="2176"/>
      <c r="Z841" s="13"/>
      <c r="AA841" s="13"/>
      <c r="AB841" s="13"/>
      <c r="AC841" s="13"/>
    </row>
    <row r="842" spans="1:29" ht="15.75" customHeight="1">
      <c r="A842" s="1933"/>
      <c r="B842" s="2196"/>
      <c r="C842" s="2196"/>
      <c r="D842" s="2197"/>
      <c r="E842" s="2197"/>
      <c r="F842" s="2196"/>
      <c r="G842" s="2196"/>
      <c r="H842" s="2196"/>
      <c r="I842" s="2196"/>
      <c r="J842" s="2196"/>
      <c r="K842" s="2176"/>
      <c r="L842" s="2176"/>
      <c r="M842" s="2176"/>
      <c r="N842" s="2176"/>
      <c r="O842" s="2176"/>
      <c r="P842" s="2176"/>
      <c r="Q842" s="2176"/>
      <c r="R842" s="2176"/>
      <c r="S842" s="2176"/>
      <c r="T842" s="2176"/>
      <c r="U842" s="2176"/>
      <c r="V842" s="2176"/>
      <c r="W842" s="2176"/>
      <c r="X842" s="2176"/>
      <c r="Y842" s="2176"/>
      <c r="Z842" s="13"/>
      <c r="AA842" s="13"/>
      <c r="AB842" s="13"/>
      <c r="AC842" s="13"/>
    </row>
    <row r="843" spans="1:29" ht="15.75" customHeight="1">
      <c r="A843" s="1933"/>
      <c r="B843" s="2196"/>
      <c r="C843" s="2196"/>
      <c r="D843" s="2197"/>
      <c r="E843" s="2197"/>
      <c r="F843" s="2196"/>
      <c r="G843" s="2196"/>
      <c r="H843" s="2196"/>
      <c r="I843" s="2196"/>
      <c r="J843" s="2196"/>
      <c r="K843" s="2176"/>
      <c r="L843" s="2176"/>
      <c r="M843" s="2176"/>
      <c r="N843" s="2176"/>
      <c r="O843" s="2176"/>
      <c r="P843" s="2176"/>
      <c r="Q843" s="2176"/>
      <c r="R843" s="2176"/>
      <c r="S843" s="2176"/>
      <c r="T843" s="2176"/>
      <c r="U843" s="2176"/>
      <c r="V843" s="2176"/>
      <c r="W843" s="2176"/>
      <c r="X843" s="2176"/>
      <c r="Y843" s="2176"/>
      <c r="Z843" s="13"/>
      <c r="AA843" s="13"/>
      <c r="AB843" s="13"/>
      <c r="AC843" s="13"/>
    </row>
    <row r="844" spans="1:29" ht="15.75" customHeight="1">
      <c r="A844" s="1933"/>
      <c r="B844" s="2196"/>
      <c r="C844" s="2196"/>
      <c r="D844" s="2197"/>
      <c r="E844" s="2197"/>
      <c r="F844" s="2196"/>
      <c r="G844" s="2196"/>
      <c r="H844" s="2196"/>
      <c r="I844" s="2196"/>
      <c r="J844" s="2196"/>
      <c r="K844" s="2176"/>
      <c r="L844" s="2176"/>
      <c r="M844" s="2176"/>
      <c r="N844" s="2176"/>
      <c r="O844" s="2176"/>
      <c r="P844" s="2176"/>
      <c r="Q844" s="2176"/>
      <c r="R844" s="2176"/>
      <c r="S844" s="2176"/>
      <c r="T844" s="2176"/>
      <c r="U844" s="2176"/>
      <c r="V844" s="2176"/>
      <c r="W844" s="2176"/>
      <c r="X844" s="2176"/>
      <c r="Y844" s="2176"/>
      <c r="Z844" s="13"/>
      <c r="AA844" s="13"/>
      <c r="AB844" s="13"/>
      <c r="AC844" s="13"/>
    </row>
    <row r="845" spans="1:29" ht="15.75" customHeight="1">
      <c r="A845" s="1933"/>
      <c r="B845" s="2196"/>
      <c r="C845" s="2196"/>
      <c r="D845" s="2197"/>
      <c r="E845" s="2197"/>
      <c r="F845" s="2196"/>
      <c r="G845" s="2196"/>
      <c r="H845" s="2196"/>
      <c r="I845" s="2196"/>
      <c r="J845" s="2196"/>
      <c r="K845" s="2176"/>
      <c r="L845" s="2176"/>
      <c r="M845" s="2176"/>
      <c r="N845" s="2176"/>
      <c r="O845" s="2176"/>
      <c r="P845" s="2176"/>
      <c r="Q845" s="2176"/>
      <c r="R845" s="2176"/>
      <c r="S845" s="2176"/>
      <c r="T845" s="2176"/>
      <c r="U845" s="2176"/>
      <c r="V845" s="2176"/>
      <c r="W845" s="2176"/>
      <c r="X845" s="2176"/>
      <c r="Y845" s="2176"/>
      <c r="Z845" s="13"/>
      <c r="AA845" s="13"/>
      <c r="AB845" s="13"/>
      <c r="AC845" s="13"/>
    </row>
    <row r="846" spans="1:29" ht="15.75" customHeight="1">
      <c r="A846" s="1933"/>
      <c r="B846" s="2196"/>
      <c r="C846" s="2196"/>
      <c r="D846" s="2197"/>
      <c r="E846" s="2197"/>
      <c r="F846" s="2196"/>
      <c r="G846" s="2196"/>
      <c r="H846" s="2196"/>
      <c r="I846" s="2196"/>
      <c r="J846" s="2196"/>
      <c r="K846" s="2176"/>
      <c r="L846" s="2176"/>
      <c r="M846" s="2176"/>
      <c r="N846" s="2176"/>
      <c r="O846" s="2176"/>
      <c r="P846" s="2176"/>
      <c r="Q846" s="2176"/>
      <c r="R846" s="2176"/>
      <c r="S846" s="2176"/>
      <c r="T846" s="2176"/>
      <c r="U846" s="2176"/>
      <c r="V846" s="2176"/>
      <c r="W846" s="2176"/>
      <c r="X846" s="2176"/>
      <c r="Y846" s="2176"/>
      <c r="Z846" s="13"/>
      <c r="AA846" s="13"/>
      <c r="AB846" s="13"/>
      <c r="AC846" s="13"/>
    </row>
    <row r="847" spans="1:29" ht="15.75" customHeight="1">
      <c r="A847" s="1933"/>
      <c r="B847" s="2196"/>
      <c r="C847" s="2196"/>
      <c r="D847" s="2197"/>
      <c r="E847" s="2197"/>
      <c r="F847" s="2196"/>
      <c r="G847" s="2196"/>
      <c r="H847" s="2196"/>
      <c r="I847" s="2196"/>
      <c r="J847" s="2196"/>
      <c r="K847" s="2176"/>
      <c r="L847" s="2176"/>
      <c r="M847" s="2176"/>
      <c r="N847" s="2176"/>
      <c r="O847" s="2176"/>
      <c r="P847" s="2176"/>
      <c r="Q847" s="2176"/>
      <c r="R847" s="2176"/>
      <c r="S847" s="2176"/>
      <c r="T847" s="2176"/>
      <c r="U847" s="2176"/>
      <c r="V847" s="2176"/>
      <c r="W847" s="2176"/>
      <c r="X847" s="2176"/>
      <c r="Y847" s="2176"/>
      <c r="Z847" s="13"/>
      <c r="AA847" s="13"/>
      <c r="AB847" s="13"/>
      <c r="AC847" s="13"/>
    </row>
    <row r="848" spans="1:29" ht="15.75" customHeight="1">
      <c r="A848" s="1933"/>
      <c r="B848" s="2196"/>
      <c r="C848" s="2196"/>
      <c r="D848" s="2197"/>
      <c r="E848" s="2197"/>
      <c r="F848" s="2196"/>
      <c r="G848" s="2196"/>
      <c r="H848" s="2196"/>
      <c r="I848" s="2196"/>
      <c r="J848" s="2196"/>
      <c r="K848" s="2176"/>
      <c r="L848" s="2176"/>
      <c r="M848" s="2176"/>
      <c r="N848" s="2176"/>
      <c r="O848" s="2176"/>
      <c r="P848" s="2176"/>
      <c r="Q848" s="2176"/>
      <c r="R848" s="2176"/>
      <c r="S848" s="2176"/>
      <c r="T848" s="2176"/>
      <c r="U848" s="2176"/>
      <c r="V848" s="2176"/>
      <c r="W848" s="2176"/>
      <c r="X848" s="2176"/>
      <c r="Y848" s="2176"/>
      <c r="Z848" s="13"/>
      <c r="AA848" s="13"/>
      <c r="AB848" s="13"/>
      <c r="AC848" s="13"/>
    </row>
    <row r="849" spans="1:29" ht="15.75" customHeight="1">
      <c r="A849" s="1933"/>
      <c r="B849" s="2196"/>
      <c r="C849" s="2196"/>
      <c r="D849" s="2197"/>
      <c r="E849" s="2197"/>
      <c r="F849" s="2196"/>
      <c r="G849" s="2196"/>
      <c r="H849" s="2196"/>
      <c r="I849" s="2196"/>
      <c r="J849" s="2196"/>
      <c r="K849" s="2176"/>
      <c r="L849" s="2176"/>
      <c r="M849" s="2176"/>
      <c r="N849" s="2176"/>
      <c r="O849" s="2176"/>
      <c r="P849" s="2176"/>
      <c r="Q849" s="2176"/>
      <c r="R849" s="2176"/>
      <c r="S849" s="2176"/>
      <c r="T849" s="2176"/>
      <c r="U849" s="2176"/>
      <c r="V849" s="2176"/>
      <c r="W849" s="2176"/>
      <c r="X849" s="2176"/>
      <c r="Y849" s="2176"/>
      <c r="Z849" s="13"/>
      <c r="AA849" s="13"/>
      <c r="AB849" s="13"/>
      <c r="AC849" s="13"/>
    </row>
    <row r="850" spans="1:29" ht="15.75" customHeight="1">
      <c r="A850" s="1933"/>
      <c r="B850" s="2196"/>
      <c r="C850" s="2196"/>
      <c r="D850" s="2197"/>
      <c r="E850" s="2197"/>
      <c r="F850" s="2196"/>
      <c r="G850" s="2196"/>
      <c r="H850" s="2196"/>
      <c r="I850" s="2196"/>
      <c r="J850" s="2196"/>
      <c r="K850" s="2176"/>
      <c r="L850" s="2176"/>
      <c r="M850" s="2176"/>
      <c r="N850" s="2176"/>
      <c r="O850" s="2176"/>
      <c r="P850" s="2176"/>
      <c r="Q850" s="2176"/>
      <c r="R850" s="2176"/>
      <c r="S850" s="2176"/>
      <c r="T850" s="2176"/>
      <c r="U850" s="2176"/>
      <c r="V850" s="2176"/>
      <c r="W850" s="2176"/>
      <c r="X850" s="2176"/>
      <c r="Y850" s="2176"/>
      <c r="Z850" s="13"/>
      <c r="AA850" s="13"/>
      <c r="AB850" s="13"/>
      <c r="AC850" s="13"/>
    </row>
    <row r="851" spans="1:29" ht="15.75" customHeight="1">
      <c r="A851" s="1933"/>
      <c r="B851" s="2196"/>
      <c r="C851" s="2196"/>
      <c r="D851" s="2197"/>
      <c r="E851" s="2197"/>
      <c r="F851" s="2196"/>
      <c r="G851" s="2196"/>
      <c r="H851" s="2196"/>
      <c r="I851" s="2196"/>
      <c r="J851" s="2196"/>
      <c r="K851" s="2176"/>
      <c r="L851" s="2176"/>
      <c r="M851" s="2176"/>
      <c r="N851" s="2176"/>
      <c r="O851" s="2176"/>
      <c r="P851" s="2176"/>
      <c r="Q851" s="2176"/>
      <c r="R851" s="2176"/>
      <c r="S851" s="2176"/>
      <c r="T851" s="2176"/>
      <c r="U851" s="2176"/>
      <c r="V851" s="2176"/>
      <c r="W851" s="2176"/>
      <c r="X851" s="2176"/>
      <c r="Y851" s="2176"/>
      <c r="Z851" s="13"/>
      <c r="AA851" s="13"/>
      <c r="AB851" s="13"/>
      <c r="AC851" s="13"/>
    </row>
    <row r="852" spans="1:29" ht="15.75" customHeight="1">
      <c r="A852" s="1933"/>
      <c r="B852" s="2196"/>
      <c r="C852" s="2196"/>
      <c r="D852" s="2197"/>
      <c r="E852" s="2197"/>
      <c r="F852" s="2196"/>
      <c r="G852" s="2196"/>
      <c r="H852" s="2196"/>
      <c r="I852" s="2196"/>
      <c r="J852" s="2196"/>
      <c r="K852" s="2176"/>
      <c r="L852" s="2176"/>
      <c r="M852" s="2176"/>
      <c r="N852" s="2176"/>
      <c r="O852" s="2176"/>
      <c r="P852" s="2176"/>
      <c r="Q852" s="2176"/>
      <c r="R852" s="2176"/>
      <c r="S852" s="2176"/>
      <c r="T852" s="2176"/>
      <c r="U852" s="2176"/>
      <c r="V852" s="2176"/>
      <c r="W852" s="2176"/>
      <c r="X852" s="2176"/>
      <c r="Y852" s="2176"/>
      <c r="Z852" s="13"/>
      <c r="AA852" s="13"/>
      <c r="AB852" s="13"/>
      <c r="AC852" s="13"/>
    </row>
    <row r="853" spans="1:29" ht="15.75" customHeight="1">
      <c r="A853" s="1933"/>
      <c r="B853" s="2196"/>
      <c r="C853" s="2196"/>
      <c r="D853" s="2197"/>
      <c r="E853" s="2197"/>
      <c r="F853" s="2196"/>
      <c r="G853" s="2196"/>
      <c r="H853" s="2196"/>
      <c r="I853" s="2196"/>
      <c r="J853" s="2196"/>
      <c r="K853" s="2176"/>
      <c r="L853" s="2176"/>
      <c r="M853" s="2176"/>
      <c r="N853" s="2176"/>
      <c r="O853" s="2176"/>
      <c r="P853" s="2176"/>
      <c r="Q853" s="2176"/>
      <c r="R853" s="2176"/>
      <c r="S853" s="2176"/>
      <c r="T853" s="2176"/>
      <c r="U853" s="2176"/>
      <c r="V853" s="2176"/>
      <c r="W853" s="2176"/>
      <c r="X853" s="2176"/>
      <c r="Y853" s="2176"/>
      <c r="Z853" s="13"/>
      <c r="AA853" s="13"/>
      <c r="AB853" s="13"/>
      <c r="AC853" s="13"/>
    </row>
    <row r="854" spans="1:29" ht="15.75" customHeight="1">
      <c r="A854" s="1933"/>
      <c r="B854" s="2196"/>
      <c r="C854" s="2196"/>
      <c r="D854" s="2197"/>
      <c r="E854" s="2197"/>
      <c r="F854" s="2196"/>
      <c r="G854" s="2196"/>
      <c r="H854" s="2196"/>
      <c r="I854" s="2196"/>
      <c r="J854" s="2196"/>
      <c r="K854" s="2176"/>
      <c r="L854" s="2176"/>
      <c r="M854" s="2176"/>
      <c r="N854" s="2176"/>
      <c r="O854" s="2176"/>
      <c r="P854" s="2176"/>
      <c r="Q854" s="2176"/>
      <c r="R854" s="2176"/>
      <c r="S854" s="2176"/>
      <c r="T854" s="2176"/>
      <c r="U854" s="2176"/>
      <c r="V854" s="2176"/>
      <c r="W854" s="2176"/>
      <c r="X854" s="2176"/>
      <c r="Y854" s="2176"/>
      <c r="Z854" s="13"/>
      <c r="AA854" s="13"/>
      <c r="AB854" s="13"/>
      <c r="AC854" s="13"/>
    </row>
    <row r="855" spans="1:29" ht="15.75" customHeight="1">
      <c r="A855" s="1933"/>
      <c r="B855" s="2196"/>
      <c r="C855" s="2196"/>
      <c r="D855" s="2197"/>
      <c r="E855" s="2197"/>
      <c r="F855" s="2196"/>
      <c r="G855" s="2196"/>
      <c r="H855" s="2196"/>
      <c r="I855" s="2196"/>
      <c r="J855" s="2196"/>
      <c r="K855" s="2176"/>
      <c r="L855" s="2176"/>
      <c r="M855" s="2176"/>
      <c r="N855" s="2176"/>
      <c r="O855" s="2176"/>
      <c r="P855" s="2176"/>
      <c r="Q855" s="2176"/>
      <c r="R855" s="2176"/>
      <c r="S855" s="2176"/>
      <c r="T855" s="2176"/>
      <c r="U855" s="2176"/>
      <c r="V855" s="2176"/>
      <c r="W855" s="2176"/>
      <c r="X855" s="2176"/>
      <c r="Y855" s="2176"/>
      <c r="Z855" s="13"/>
      <c r="AA855" s="13"/>
      <c r="AB855" s="13"/>
      <c r="AC855" s="13"/>
    </row>
    <row r="856" spans="1:29" ht="15.75" customHeight="1">
      <c r="A856" s="1933"/>
      <c r="B856" s="2196"/>
      <c r="C856" s="2196"/>
      <c r="D856" s="2197"/>
      <c r="E856" s="2197"/>
      <c r="F856" s="2196"/>
      <c r="G856" s="2196"/>
      <c r="H856" s="2196"/>
      <c r="I856" s="2196"/>
      <c r="J856" s="2196"/>
      <c r="K856" s="2176"/>
      <c r="L856" s="2176"/>
      <c r="M856" s="2176"/>
      <c r="N856" s="2176"/>
      <c r="O856" s="2176"/>
      <c r="P856" s="2176"/>
      <c r="Q856" s="2176"/>
      <c r="R856" s="2176"/>
      <c r="S856" s="2176"/>
      <c r="T856" s="2176"/>
      <c r="U856" s="2176"/>
      <c r="V856" s="2176"/>
      <c r="W856" s="2176"/>
      <c r="X856" s="2176"/>
      <c r="Y856" s="2176"/>
      <c r="Z856" s="13"/>
      <c r="AA856" s="13"/>
      <c r="AB856" s="13"/>
      <c r="AC856" s="13"/>
    </row>
    <row r="857" spans="1:29" ht="15.75" customHeight="1">
      <c r="A857" s="1933"/>
      <c r="B857" s="2196"/>
      <c r="C857" s="2196"/>
      <c r="D857" s="2197"/>
      <c r="E857" s="2197"/>
      <c r="F857" s="2196"/>
      <c r="G857" s="2196"/>
      <c r="H857" s="2196"/>
      <c r="I857" s="2196"/>
      <c r="J857" s="2196"/>
      <c r="K857" s="2176"/>
      <c r="L857" s="2176"/>
      <c r="M857" s="2176"/>
      <c r="N857" s="2176"/>
      <c r="O857" s="2176"/>
      <c r="P857" s="2176"/>
      <c r="Q857" s="2176"/>
      <c r="R857" s="2176"/>
      <c r="S857" s="2176"/>
      <c r="T857" s="2176"/>
      <c r="U857" s="2176"/>
      <c r="V857" s="2176"/>
      <c r="W857" s="2176"/>
      <c r="X857" s="2176"/>
      <c r="Y857" s="2176"/>
      <c r="Z857" s="13"/>
      <c r="AA857" s="13"/>
      <c r="AB857" s="13"/>
      <c r="AC857" s="13"/>
    </row>
    <row r="858" spans="1:29" ht="15.75" customHeight="1">
      <c r="A858" s="1933"/>
      <c r="B858" s="2196"/>
      <c r="C858" s="2196"/>
      <c r="D858" s="2197"/>
      <c r="E858" s="2197"/>
      <c r="F858" s="2196"/>
      <c r="G858" s="2196"/>
      <c r="H858" s="2196"/>
      <c r="I858" s="2196"/>
      <c r="J858" s="2196"/>
      <c r="K858" s="2176"/>
      <c r="L858" s="2176"/>
      <c r="M858" s="2176"/>
      <c r="N858" s="2176"/>
      <c r="O858" s="2176"/>
      <c r="P858" s="2176"/>
      <c r="Q858" s="2176"/>
      <c r="R858" s="2176"/>
      <c r="S858" s="2176"/>
      <c r="T858" s="2176"/>
      <c r="U858" s="2176"/>
      <c r="V858" s="2176"/>
      <c r="W858" s="2176"/>
      <c r="X858" s="2176"/>
      <c r="Y858" s="2176"/>
      <c r="Z858" s="13"/>
      <c r="AA858" s="13"/>
      <c r="AB858" s="13"/>
      <c r="AC858" s="13"/>
    </row>
    <row r="859" spans="1:29" ht="15.75" customHeight="1">
      <c r="A859" s="1933"/>
      <c r="B859" s="2196"/>
      <c r="C859" s="2196"/>
      <c r="D859" s="2197"/>
      <c r="E859" s="2197"/>
      <c r="F859" s="2196"/>
      <c r="G859" s="2196"/>
      <c r="H859" s="2196"/>
      <c r="I859" s="2196"/>
      <c r="J859" s="2196"/>
      <c r="K859" s="2176"/>
      <c r="L859" s="2176"/>
      <c r="M859" s="2176"/>
      <c r="N859" s="2176"/>
      <c r="O859" s="2176"/>
      <c r="P859" s="2176"/>
      <c r="Q859" s="2176"/>
      <c r="R859" s="2176"/>
      <c r="S859" s="2176"/>
      <c r="T859" s="2176"/>
      <c r="U859" s="2176"/>
      <c r="V859" s="2176"/>
      <c r="W859" s="2176"/>
      <c r="X859" s="2176"/>
      <c r="Y859" s="2176"/>
      <c r="Z859" s="13"/>
      <c r="AA859" s="13"/>
      <c r="AB859" s="13"/>
      <c r="AC859" s="13"/>
    </row>
    <row r="860" spans="1:29" ht="15.75" customHeight="1">
      <c r="A860" s="1933"/>
      <c r="B860" s="2196"/>
      <c r="C860" s="2196"/>
      <c r="D860" s="2197"/>
      <c r="E860" s="2197"/>
      <c r="F860" s="2196"/>
      <c r="G860" s="2196"/>
      <c r="H860" s="2196"/>
      <c r="I860" s="2196"/>
      <c r="J860" s="2196"/>
      <c r="K860" s="2176"/>
      <c r="L860" s="2176"/>
      <c r="M860" s="2176"/>
      <c r="N860" s="2176"/>
      <c r="O860" s="2176"/>
      <c r="P860" s="2176"/>
      <c r="Q860" s="2176"/>
      <c r="R860" s="2176"/>
      <c r="S860" s="2176"/>
      <c r="T860" s="2176"/>
      <c r="U860" s="2176"/>
      <c r="V860" s="2176"/>
      <c r="W860" s="2176"/>
      <c r="X860" s="2176"/>
      <c r="Y860" s="2176"/>
      <c r="Z860" s="13"/>
      <c r="AA860" s="13"/>
      <c r="AB860" s="13"/>
      <c r="AC860" s="13"/>
    </row>
    <row r="861" spans="1:29" ht="15.75" customHeight="1">
      <c r="A861" s="1933"/>
      <c r="B861" s="2196"/>
      <c r="C861" s="2196"/>
      <c r="D861" s="2197"/>
      <c r="E861" s="2197"/>
      <c r="F861" s="2196"/>
      <c r="G861" s="2196"/>
      <c r="H861" s="2196"/>
      <c r="I861" s="2196"/>
      <c r="J861" s="2196"/>
      <c r="K861" s="2176"/>
      <c r="L861" s="2176"/>
      <c r="M861" s="2176"/>
      <c r="N861" s="2176"/>
      <c r="O861" s="2176"/>
      <c r="P861" s="2176"/>
      <c r="Q861" s="2176"/>
      <c r="R861" s="2176"/>
      <c r="S861" s="2176"/>
      <c r="T861" s="2176"/>
      <c r="U861" s="2176"/>
      <c r="V861" s="2176"/>
      <c r="W861" s="2176"/>
      <c r="X861" s="2176"/>
      <c r="Y861" s="2176"/>
      <c r="Z861" s="13"/>
      <c r="AA861" s="13"/>
      <c r="AB861" s="13"/>
      <c r="AC861" s="13"/>
    </row>
    <row r="862" spans="1:29" ht="15.75" customHeight="1">
      <c r="A862" s="1933"/>
      <c r="B862" s="2196"/>
      <c r="C862" s="2196"/>
      <c r="D862" s="2197"/>
      <c r="E862" s="2197"/>
      <c r="F862" s="2196"/>
      <c r="G862" s="2196"/>
      <c r="H862" s="2196"/>
      <c r="I862" s="2196"/>
      <c r="J862" s="2196"/>
      <c r="K862" s="2176"/>
      <c r="L862" s="2176"/>
      <c r="M862" s="2176"/>
      <c r="N862" s="2176"/>
      <c r="O862" s="2176"/>
      <c r="P862" s="2176"/>
      <c r="Q862" s="2176"/>
      <c r="R862" s="2176"/>
      <c r="S862" s="2176"/>
      <c r="T862" s="2176"/>
      <c r="U862" s="2176"/>
      <c r="V862" s="2176"/>
      <c r="W862" s="2176"/>
      <c r="X862" s="2176"/>
      <c r="Y862" s="2176"/>
      <c r="Z862" s="13"/>
      <c r="AA862" s="13"/>
      <c r="AB862" s="13"/>
      <c r="AC862" s="13"/>
    </row>
    <row r="863" spans="1:29" ht="15.75" customHeight="1">
      <c r="A863" s="1933"/>
      <c r="B863" s="2196"/>
      <c r="C863" s="2196"/>
      <c r="D863" s="2197"/>
      <c r="E863" s="2197"/>
      <c r="F863" s="2196"/>
      <c r="G863" s="2196"/>
      <c r="H863" s="2196"/>
      <c r="I863" s="2196"/>
      <c r="J863" s="2196"/>
      <c r="K863" s="2176"/>
      <c r="L863" s="2176"/>
      <c r="M863" s="2176"/>
      <c r="N863" s="2176"/>
      <c r="O863" s="2176"/>
      <c r="P863" s="2176"/>
      <c r="Q863" s="2176"/>
      <c r="R863" s="2176"/>
      <c r="S863" s="2176"/>
      <c r="T863" s="2176"/>
      <c r="U863" s="2176"/>
      <c r="V863" s="2176"/>
      <c r="W863" s="2176"/>
      <c r="X863" s="2176"/>
      <c r="Y863" s="2176"/>
      <c r="Z863" s="13"/>
      <c r="AA863" s="13"/>
      <c r="AB863" s="13"/>
      <c r="AC863" s="13"/>
    </row>
    <row r="864" spans="1:29" ht="15.75" customHeight="1">
      <c r="A864" s="1933"/>
      <c r="B864" s="2196"/>
      <c r="C864" s="2196"/>
      <c r="D864" s="2197"/>
      <c r="E864" s="2197"/>
      <c r="F864" s="2196"/>
      <c r="G864" s="2196"/>
      <c r="H864" s="2196"/>
      <c r="I864" s="2196"/>
      <c r="J864" s="2196"/>
      <c r="K864" s="2176"/>
      <c r="L864" s="2176"/>
      <c r="M864" s="2176"/>
      <c r="N864" s="2176"/>
      <c r="O864" s="2176"/>
      <c r="P864" s="2176"/>
      <c r="Q864" s="2176"/>
      <c r="R864" s="2176"/>
      <c r="S864" s="2176"/>
      <c r="T864" s="2176"/>
      <c r="U864" s="2176"/>
      <c r="V864" s="2176"/>
      <c r="W864" s="2176"/>
      <c r="X864" s="2176"/>
      <c r="Y864" s="2176"/>
      <c r="Z864" s="13"/>
      <c r="AA864" s="13"/>
      <c r="AB864" s="13"/>
      <c r="AC864" s="13"/>
    </row>
    <row r="865" spans="1:29" ht="15.75" customHeight="1">
      <c r="A865" s="1933"/>
      <c r="B865" s="2196"/>
      <c r="C865" s="2196"/>
      <c r="D865" s="2197"/>
      <c r="E865" s="2197"/>
      <c r="F865" s="2196"/>
      <c r="G865" s="2196"/>
      <c r="H865" s="2196"/>
      <c r="I865" s="2196"/>
      <c r="J865" s="2196"/>
      <c r="K865" s="2176"/>
      <c r="L865" s="2176"/>
      <c r="M865" s="2176"/>
      <c r="N865" s="2176"/>
      <c r="O865" s="2176"/>
      <c r="P865" s="2176"/>
      <c r="Q865" s="2176"/>
      <c r="R865" s="2176"/>
      <c r="S865" s="2176"/>
      <c r="T865" s="2176"/>
      <c r="U865" s="2176"/>
      <c r="V865" s="2176"/>
      <c r="W865" s="2176"/>
      <c r="X865" s="2176"/>
      <c r="Y865" s="2176"/>
      <c r="Z865" s="13"/>
      <c r="AA865" s="13"/>
      <c r="AB865" s="13"/>
      <c r="AC865" s="13"/>
    </row>
    <row r="866" spans="1:29" ht="15.75" customHeight="1">
      <c r="A866" s="1933"/>
      <c r="B866" s="2196"/>
      <c r="C866" s="2196"/>
      <c r="D866" s="2197"/>
      <c r="E866" s="2197"/>
      <c r="F866" s="2196"/>
      <c r="G866" s="2196"/>
      <c r="H866" s="2196"/>
      <c r="I866" s="2196"/>
      <c r="J866" s="2196"/>
      <c r="K866" s="2176"/>
      <c r="L866" s="2176"/>
      <c r="M866" s="2176"/>
      <c r="N866" s="2176"/>
      <c r="O866" s="2176"/>
      <c r="P866" s="2176"/>
      <c r="Q866" s="2176"/>
      <c r="R866" s="2176"/>
      <c r="S866" s="2176"/>
      <c r="T866" s="2176"/>
      <c r="U866" s="2176"/>
      <c r="V866" s="2176"/>
      <c r="W866" s="2176"/>
      <c r="X866" s="2176"/>
      <c r="Y866" s="2176"/>
      <c r="Z866" s="13"/>
      <c r="AA866" s="13"/>
      <c r="AB866" s="13"/>
      <c r="AC866" s="13"/>
    </row>
    <row r="867" spans="1:29" ht="15.75" customHeight="1">
      <c r="A867" s="1933"/>
      <c r="B867" s="2196"/>
      <c r="C867" s="2196"/>
      <c r="D867" s="2197"/>
      <c r="E867" s="2197"/>
      <c r="F867" s="2196"/>
      <c r="G867" s="2196"/>
      <c r="H867" s="2196"/>
      <c r="I867" s="2196"/>
      <c r="J867" s="2196"/>
      <c r="K867" s="2176"/>
      <c r="L867" s="2176"/>
      <c r="M867" s="2176"/>
      <c r="N867" s="2176"/>
      <c r="O867" s="2176"/>
      <c r="P867" s="2176"/>
      <c r="Q867" s="2176"/>
      <c r="R867" s="2176"/>
      <c r="S867" s="2176"/>
      <c r="T867" s="2176"/>
      <c r="U867" s="2176"/>
      <c r="V867" s="2176"/>
      <c r="W867" s="2176"/>
      <c r="X867" s="2176"/>
      <c r="Y867" s="2176"/>
      <c r="Z867" s="13"/>
      <c r="AA867" s="13"/>
      <c r="AB867" s="13"/>
      <c r="AC867" s="13"/>
    </row>
    <row r="868" spans="1:29" ht="15.75" customHeight="1">
      <c r="A868" s="1933"/>
      <c r="B868" s="2196"/>
      <c r="C868" s="2196"/>
      <c r="D868" s="2197"/>
      <c r="E868" s="2197"/>
      <c r="F868" s="2196"/>
      <c r="G868" s="2196"/>
      <c r="H868" s="2196"/>
      <c r="I868" s="2196"/>
      <c r="J868" s="2196"/>
      <c r="K868" s="2176"/>
      <c r="L868" s="2176"/>
      <c r="M868" s="2176"/>
      <c r="N868" s="2176"/>
      <c r="O868" s="2176"/>
      <c r="P868" s="2176"/>
      <c r="Q868" s="2176"/>
      <c r="R868" s="2176"/>
      <c r="S868" s="2176"/>
      <c r="T868" s="2176"/>
      <c r="U868" s="2176"/>
      <c r="V868" s="2176"/>
      <c r="W868" s="2176"/>
      <c r="X868" s="2176"/>
      <c r="Y868" s="2176"/>
      <c r="Z868" s="13"/>
      <c r="AA868" s="13"/>
      <c r="AB868" s="13"/>
      <c r="AC868" s="13"/>
    </row>
    <row r="869" spans="1:29" ht="15.75" customHeight="1">
      <c r="A869" s="1933"/>
      <c r="B869" s="2196"/>
      <c r="C869" s="2196"/>
      <c r="D869" s="2197"/>
      <c r="E869" s="2197"/>
      <c r="F869" s="2196"/>
      <c r="G869" s="2196"/>
      <c r="H869" s="2196"/>
      <c r="I869" s="2196"/>
      <c r="J869" s="2196"/>
      <c r="K869" s="2176"/>
      <c r="L869" s="2176"/>
      <c r="M869" s="2176"/>
      <c r="N869" s="2176"/>
      <c r="O869" s="2176"/>
      <c r="P869" s="2176"/>
      <c r="Q869" s="2176"/>
      <c r="R869" s="2176"/>
      <c r="S869" s="2176"/>
      <c r="T869" s="2176"/>
      <c r="U869" s="2176"/>
      <c r="V869" s="2176"/>
      <c r="W869" s="2176"/>
      <c r="X869" s="2176"/>
      <c r="Y869" s="2176"/>
      <c r="Z869" s="13"/>
      <c r="AA869" s="13"/>
      <c r="AB869" s="13"/>
      <c r="AC869" s="13"/>
    </row>
    <row r="870" spans="1:29" ht="15.75" customHeight="1">
      <c r="A870" s="1933"/>
      <c r="B870" s="2196"/>
      <c r="C870" s="2196"/>
      <c r="D870" s="2197"/>
      <c r="E870" s="2197"/>
      <c r="F870" s="2196"/>
      <c r="G870" s="2196"/>
      <c r="H870" s="2196"/>
      <c r="I870" s="2196"/>
      <c r="J870" s="2196"/>
      <c r="K870" s="2176"/>
      <c r="L870" s="2176"/>
      <c r="M870" s="2176"/>
      <c r="N870" s="2176"/>
      <c r="O870" s="2176"/>
      <c r="P870" s="2176"/>
      <c r="Q870" s="2176"/>
      <c r="R870" s="2176"/>
      <c r="S870" s="2176"/>
      <c r="T870" s="2176"/>
      <c r="U870" s="2176"/>
      <c r="V870" s="2176"/>
      <c r="W870" s="2176"/>
      <c r="X870" s="2176"/>
      <c r="Y870" s="2176"/>
      <c r="Z870" s="13"/>
      <c r="AA870" s="13"/>
      <c r="AB870" s="13"/>
      <c r="AC870" s="13"/>
    </row>
    <row r="871" spans="1:29" ht="15.75" customHeight="1">
      <c r="A871" s="1933"/>
      <c r="B871" s="2196"/>
      <c r="C871" s="2196"/>
      <c r="D871" s="2197"/>
      <c r="E871" s="2197"/>
      <c r="F871" s="2196"/>
      <c r="G871" s="2196"/>
      <c r="H871" s="2196"/>
      <c r="I871" s="2196"/>
      <c r="J871" s="2196"/>
      <c r="K871" s="2176"/>
      <c r="L871" s="2176"/>
      <c r="M871" s="2176"/>
      <c r="N871" s="2176"/>
      <c r="O871" s="2176"/>
      <c r="P871" s="2176"/>
      <c r="Q871" s="2176"/>
      <c r="R871" s="2176"/>
      <c r="S871" s="2176"/>
      <c r="T871" s="2176"/>
      <c r="U871" s="2176"/>
      <c r="V871" s="2176"/>
      <c r="W871" s="2176"/>
      <c r="X871" s="2176"/>
      <c r="Y871" s="2176"/>
      <c r="Z871" s="13"/>
      <c r="AA871" s="13"/>
      <c r="AB871" s="13"/>
      <c r="AC871" s="13"/>
    </row>
    <row r="872" spans="1:29" ht="15.75" customHeight="1">
      <c r="A872" s="1933"/>
      <c r="B872" s="2196"/>
      <c r="C872" s="2196"/>
      <c r="D872" s="2197"/>
      <c r="E872" s="2197"/>
      <c r="F872" s="2196"/>
      <c r="G872" s="2196"/>
      <c r="H872" s="2196"/>
      <c r="I872" s="2196"/>
      <c r="J872" s="2196"/>
      <c r="K872" s="2176"/>
      <c r="L872" s="2176"/>
      <c r="M872" s="2176"/>
      <c r="N872" s="2176"/>
      <c r="O872" s="2176"/>
      <c r="P872" s="2176"/>
      <c r="Q872" s="2176"/>
      <c r="R872" s="2176"/>
      <c r="S872" s="2176"/>
      <c r="T872" s="2176"/>
      <c r="U872" s="2176"/>
      <c r="V872" s="2176"/>
      <c r="W872" s="2176"/>
      <c r="X872" s="2176"/>
      <c r="Y872" s="2176"/>
      <c r="Z872" s="13"/>
      <c r="AA872" s="13"/>
      <c r="AB872" s="13"/>
      <c r="AC872" s="13"/>
    </row>
    <row r="873" spans="1:29" ht="15.75" customHeight="1">
      <c r="A873" s="1933"/>
      <c r="B873" s="2196"/>
      <c r="C873" s="2196"/>
      <c r="D873" s="2197"/>
      <c r="E873" s="2197"/>
      <c r="F873" s="2196"/>
      <c r="G873" s="2196"/>
      <c r="H873" s="2196"/>
      <c r="I873" s="2196"/>
      <c r="J873" s="2196"/>
      <c r="K873" s="2176"/>
      <c r="L873" s="2176"/>
      <c r="M873" s="2176"/>
      <c r="N873" s="2176"/>
      <c r="O873" s="2176"/>
      <c r="P873" s="2176"/>
      <c r="Q873" s="2176"/>
      <c r="R873" s="2176"/>
      <c r="S873" s="2176"/>
      <c r="T873" s="2176"/>
      <c r="U873" s="2176"/>
      <c r="V873" s="2176"/>
      <c r="W873" s="2176"/>
      <c r="X873" s="2176"/>
      <c r="Y873" s="2176"/>
      <c r="Z873" s="13"/>
      <c r="AA873" s="13"/>
      <c r="AB873" s="13"/>
      <c r="AC873" s="13"/>
    </row>
    <row r="874" spans="1:29" ht="15.75" customHeight="1">
      <c r="A874" s="1933"/>
      <c r="B874" s="2196"/>
      <c r="C874" s="2196"/>
      <c r="D874" s="2197"/>
      <c r="E874" s="2197"/>
      <c r="F874" s="2196"/>
      <c r="G874" s="2196"/>
      <c r="H874" s="2196"/>
      <c r="I874" s="2196"/>
      <c r="J874" s="2196"/>
      <c r="K874" s="2176"/>
      <c r="L874" s="2176"/>
      <c r="M874" s="2176"/>
      <c r="N874" s="2176"/>
      <c r="O874" s="2176"/>
      <c r="P874" s="2176"/>
      <c r="Q874" s="2176"/>
      <c r="R874" s="2176"/>
      <c r="S874" s="2176"/>
      <c r="T874" s="2176"/>
      <c r="U874" s="2176"/>
      <c r="V874" s="2176"/>
      <c r="W874" s="2176"/>
      <c r="X874" s="2176"/>
      <c r="Y874" s="2176"/>
      <c r="Z874" s="13"/>
      <c r="AA874" s="13"/>
      <c r="AB874" s="13"/>
      <c r="AC874" s="13"/>
    </row>
    <row r="875" spans="1:29" ht="15.75" customHeight="1">
      <c r="A875" s="1933"/>
      <c r="B875" s="2196"/>
      <c r="C875" s="2196"/>
      <c r="D875" s="2197"/>
      <c r="E875" s="2197"/>
      <c r="F875" s="2196"/>
      <c r="G875" s="2196"/>
      <c r="H875" s="2196"/>
      <c r="I875" s="2196"/>
      <c r="J875" s="2196"/>
      <c r="K875" s="2176"/>
      <c r="L875" s="2176"/>
      <c r="M875" s="2176"/>
      <c r="N875" s="2176"/>
      <c r="O875" s="2176"/>
      <c r="P875" s="2176"/>
      <c r="Q875" s="2176"/>
      <c r="R875" s="2176"/>
      <c r="S875" s="2176"/>
      <c r="T875" s="2176"/>
      <c r="U875" s="2176"/>
      <c r="V875" s="2176"/>
      <c r="W875" s="2176"/>
      <c r="X875" s="2176"/>
      <c r="Y875" s="2176"/>
      <c r="Z875" s="13"/>
      <c r="AA875" s="13"/>
      <c r="AB875" s="13"/>
      <c r="AC875" s="13"/>
    </row>
    <row r="876" spans="1:29" ht="15.75" customHeight="1">
      <c r="A876" s="1933"/>
      <c r="B876" s="2196"/>
      <c r="C876" s="2196"/>
      <c r="D876" s="2197"/>
      <c r="E876" s="2197"/>
      <c r="F876" s="2196"/>
      <c r="G876" s="2196"/>
      <c r="H876" s="2196"/>
      <c r="I876" s="2196"/>
      <c r="J876" s="2196"/>
      <c r="K876" s="2176"/>
      <c r="L876" s="2176"/>
      <c r="M876" s="2176"/>
      <c r="N876" s="2176"/>
      <c r="O876" s="2176"/>
      <c r="P876" s="2176"/>
      <c r="Q876" s="2176"/>
      <c r="R876" s="2176"/>
      <c r="S876" s="2176"/>
      <c r="T876" s="2176"/>
      <c r="U876" s="2176"/>
      <c r="V876" s="2176"/>
      <c r="W876" s="2176"/>
      <c r="X876" s="2176"/>
      <c r="Y876" s="2176"/>
      <c r="Z876" s="13"/>
      <c r="AA876" s="13"/>
      <c r="AB876" s="13"/>
      <c r="AC876" s="13"/>
    </row>
    <row r="877" spans="1:29" ht="15.75" customHeight="1">
      <c r="A877" s="1933"/>
      <c r="B877" s="2196"/>
      <c r="C877" s="2196"/>
      <c r="D877" s="2197"/>
      <c r="E877" s="2197"/>
      <c r="F877" s="2196"/>
      <c r="G877" s="2196"/>
      <c r="H877" s="2196"/>
      <c r="I877" s="2196"/>
      <c r="J877" s="2196"/>
      <c r="K877" s="2176"/>
      <c r="L877" s="2176"/>
      <c r="M877" s="2176"/>
      <c r="N877" s="2176"/>
      <c r="O877" s="2176"/>
      <c r="P877" s="2176"/>
      <c r="Q877" s="2176"/>
      <c r="R877" s="2176"/>
      <c r="S877" s="2176"/>
      <c r="T877" s="2176"/>
      <c r="U877" s="2176"/>
      <c r="V877" s="2176"/>
      <c r="W877" s="2176"/>
      <c r="X877" s="2176"/>
      <c r="Y877" s="2176"/>
      <c r="Z877" s="13"/>
      <c r="AA877" s="13"/>
      <c r="AB877" s="13"/>
      <c r="AC877" s="13"/>
    </row>
    <row r="878" spans="1:29" ht="15.75" customHeight="1">
      <c r="A878" s="1933"/>
      <c r="B878" s="2196"/>
      <c r="C878" s="2196"/>
      <c r="D878" s="2197"/>
      <c r="E878" s="2197"/>
      <c r="F878" s="2196"/>
      <c r="G878" s="2196"/>
      <c r="H878" s="2196"/>
      <c r="I878" s="2196"/>
      <c r="J878" s="2196"/>
      <c r="K878" s="2176"/>
      <c r="L878" s="2176"/>
      <c r="M878" s="2176"/>
      <c r="N878" s="2176"/>
      <c r="O878" s="2176"/>
      <c r="P878" s="2176"/>
      <c r="Q878" s="2176"/>
      <c r="R878" s="2176"/>
      <c r="S878" s="2176"/>
      <c r="T878" s="2176"/>
      <c r="U878" s="2176"/>
      <c r="V878" s="2176"/>
      <c r="W878" s="2176"/>
      <c r="X878" s="2176"/>
      <c r="Y878" s="2176"/>
      <c r="Z878" s="13"/>
      <c r="AA878" s="13"/>
      <c r="AB878" s="13"/>
      <c r="AC878" s="13"/>
    </row>
    <row r="879" spans="1:29" ht="15.75" customHeight="1">
      <c r="A879" s="1933"/>
      <c r="B879" s="2196"/>
      <c r="C879" s="2196"/>
      <c r="D879" s="2197"/>
      <c r="E879" s="2197"/>
      <c r="F879" s="2196"/>
      <c r="G879" s="2196"/>
      <c r="H879" s="2196"/>
      <c r="I879" s="2196"/>
      <c r="J879" s="2196"/>
      <c r="K879" s="2176"/>
      <c r="L879" s="2176"/>
      <c r="M879" s="2176"/>
      <c r="N879" s="2176"/>
      <c r="O879" s="2176"/>
      <c r="P879" s="2176"/>
      <c r="Q879" s="2176"/>
      <c r="R879" s="2176"/>
      <c r="S879" s="2176"/>
      <c r="T879" s="2176"/>
      <c r="U879" s="2176"/>
      <c r="V879" s="2176"/>
      <c r="W879" s="2176"/>
      <c r="X879" s="2176"/>
      <c r="Y879" s="2176"/>
      <c r="Z879" s="13"/>
      <c r="AA879" s="13"/>
      <c r="AB879" s="13"/>
      <c r="AC879" s="13"/>
    </row>
    <row r="880" spans="1:29" ht="15.75" customHeight="1">
      <c r="A880" s="1933"/>
      <c r="B880" s="2196"/>
      <c r="C880" s="2196"/>
      <c r="D880" s="2197"/>
      <c r="E880" s="2197"/>
      <c r="F880" s="2196"/>
      <c r="G880" s="2196"/>
      <c r="H880" s="2196"/>
      <c r="I880" s="2196"/>
      <c r="J880" s="2196"/>
      <c r="K880" s="2176"/>
      <c r="L880" s="2176"/>
      <c r="M880" s="2176"/>
      <c r="N880" s="2176"/>
      <c r="O880" s="2176"/>
      <c r="P880" s="2176"/>
      <c r="Q880" s="2176"/>
      <c r="R880" s="2176"/>
      <c r="S880" s="2176"/>
      <c r="T880" s="2176"/>
      <c r="U880" s="2176"/>
      <c r="V880" s="2176"/>
      <c r="W880" s="2176"/>
      <c r="X880" s="2176"/>
      <c r="Y880" s="2176"/>
      <c r="Z880" s="13"/>
      <c r="AA880" s="13"/>
      <c r="AB880" s="13"/>
      <c r="AC880" s="13"/>
    </row>
    <row r="881" spans="1:29" ht="15.75" customHeight="1">
      <c r="A881" s="1933"/>
      <c r="B881" s="2196"/>
      <c r="C881" s="2196"/>
      <c r="D881" s="2197"/>
      <c r="E881" s="2197"/>
      <c r="F881" s="2196"/>
      <c r="G881" s="2196"/>
      <c r="H881" s="2196"/>
      <c r="I881" s="2196"/>
      <c r="J881" s="2196"/>
      <c r="K881" s="2176"/>
      <c r="L881" s="2176"/>
      <c r="M881" s="2176"/>
      <c r="N881" s="2176"/>
      <c r="O881" s="2176"/>
      <c r="P881" s="2176"/>
      <c r="Q881" s="2176"/>
      <c r="R881" s="2176"/>
      <c r="S881" s="2176"/>
      <c r="T881" s="2176"/>
      <c r="U881" s="2176"/>
      <c r="V881" s="2176"/>
      <c r="W881" s="2176"/>
      <c r="X881" s="2176"/>
      <c r="Y881" s="2176"/>
      <c r="Z881" s="13"/>
      <c r="AA881" s="13"/>
      <c r="AB881" s="13"/>
      <c r="AC881" s="13"/>
    </row>
    <row r="882" spans="1:29" ht="15.75" customHeight="1">
      <c r="A882" s="1933"/>
      <c r="B882" s="2196"/>
      <c r="C882" s="2196"/>
      <c r="D882" s="2197"/>
      <c r="E882" s="2197"/>
      <c r="F882" s="2196"/>
      <c r="G882" s="2196"/>
      <c r="H882" s="2196"/>
      <c r="I882" s="2196"/>
      <c r="J882" s="2196"/>
      <c r="K882" s="2176"/>
      <c r="L882" s="2176"/>
      <c r="M882" s="2176"/>
      <c r="N882" s="2176"/>
      <c r="O882" s="2176"/>
      <c r="P882" s="2176"/>
      <c r="Q882" s="2176"/>
      <c r="R882" s="2176"/>
      <c r="S882" s="2176"/>
      <c r="T882" s="2176"/>
      <c r="U882" s="2176"/>
      <c r="V882" s="2176"/>
      <c r="W882" s="2176"/>
      <c r="X882" s="2176"/>
      <c r="Y882" s="2176"/>
      <c r="Z882" s="13"/>
      <c r="AA882" s="13"/>
      <c r="AB882" s="13"/>
      <c r="AC882" s="13"/>
    </row>
    <row r="883" spans="1:29" ht="15.75" customHeight="1">
      <c r="A883" s="1933"/>
      <c r="B883" s="2196"/>
      <c r="C883" s="2196"/>
      <c r="D883" s="2197"/>
      <c r="E883" s="2197"/>
      <c r="F883" s="2196"/>
      <c r="G883" s="2196"/>
      <c r="H883" s="2196"/>
      <c r="I883" s="2196"/>
      <c r="J883" s="2196"/>
      <c r="K883" s="2176"/>
      <c r="L883" s="2176"/>
      <c r="M883" s="2176"/>
      <c r="N883" s="2176"/>
      <c r="O883" s="2176"/>
      <c r="P883" s="2176"/>
      <c r="Q883" s="2176"/>
      <c r="R883" s="2176"/>
      <c r="S883" s="2176"/>
      <c r="T883" s="2176"/>
      <c r="U883" s="2176"/>
      <c r="V883" s="2176"/>
      <c r="W883" s="2176"/>
      <c r="X883" s="2176"/>
      <c r="Y883" s="2176"/>
      <c r="Z883" s="13"/>
      <c r="AA883" s="13"/>
      <c r="AB883" s="13"/>
      <c r="AC883" s="13"/>
    </row>
    <row r="884" spans="1:29" ht="15.75" customHeight="1">
      <c r="A884" s="1933"/>
      <c r="B884" s="2196"/>
      <c r="C884" s="2196"/>
      <c r="D884" s="2197"/>
      <c r="E884" s="2197"/>
      <c r="F884" s="2196"/>
      <c r="G884" s="2196"/>
      <c r="H884" s="2196"/>
      <c r="I884" s="2196"/>
      <c r="J884" s="2196"/>
      <c r="K884" s="2176"/>
      <c r="L884" s="2176"/>
      <c r="M884" s="2176"/>
      <c r="N884" s="2176"/>
      <c r="O884" s="2176"/>
      <c r="P884" s="2176"/>
      <c r="Q884" s="2176"/>
      <c r="R884" s="2176"/>
      <c r="S884" s="2176"/>
      <c r="T884" s="2176"/>
      <c r="U884" s="2176"/>
      <c r="V884" s="2176"/>
      <c r="W884" s="2176"/>
      <c r="X884" s="2176"/>
      <c r="Y884" s="2176"/>
      <c r="Z884" s="13"/>
      <c r="AA884" s="13"/>
      <c r="AB884" s="13"/>
      <c r="AC884" s="13"/>
    </row>
    <row r="885" spans="1:29" ht="15.75" customHeight="1">
      <c r="A885" s="1933"/>
      <c r="B885" s="2196"/>
      <c r="C885" s="2196"/>
      <c r="D885" s="2197"/>
      <c r="E885" s="2197"/>
      <c r="F885" s="2196"/>
      <c r="G885" s="2196"/>
      <c r="H885" s="2196"/>
      <c r="I885" s="2196"/>
      <c r="J885" s="2196"/>
      <c r="K885" s="2176"/>
      <c r="L885" s="2176"/>
      <c r="M885" s="2176"/>
      <c r="N885" s="2176"/>
      <c r="O885" s="2176"/>
      <c r="P885" s="2176"/>
      <c r="Q885" s="2176"/>
      <c r="R885" s="2176"/>
      <c r="S885" s="2176"/>
      <c r="T885" s="2176"/>
      <c r="U885" s="2176"/>
      <c r="V885" s="2176"/>
      <c r="W885" s="2176"/>
      <c r="X885" s="2176"/>
      <c r="Y885" s="2176"/>
      <c r="Z885" s="13"/>
      <c r="AA885" s="13"/>
      <c r="AB885" s="13"/>
      <c r="AC885" s="13"/>
    </row>
    <row r="886" spans="1:29" ht="15.75" customHeight="1">
      <c r="A886" s="1933"/>
      <c r="B886" s="2196"/>
      <c r="C886" s="2196"/>
      <c r="D886" s="2197"/>
      <c r="E886" s="2197"/>
      <c r="F886" s="2196"/>
      <c r="G886" s="2196"/>
      <c r="H886" s="2196"/>
      <c r="I886" s="2196"/>
      <c r="J886" s="2196"/>
      <c r="K886" s="2176"/>
      <c r="L886" s="2176"/>
      <c r="M886" s="2176"/>
      <c r="N886" s="2176"/>
      <c r="O886" s="2176"/>
      <c r="P886" s="2176"/>
      <c r="Q886" s="2176"/>
      <c r="R886" s="2176"/>
      <c r="S886" s="2176"/>
      <c r="T886" s="2176"/>
      <c r="U886" s="2176"/>
      <c r="V886" s="2176"/>
      <c r="W886" s="2176"/>
      <c r="X886" s="2176"/>
      <c r="Y886" s="2176"/>
      <c r="Z886" s="13"/>
      <c r="AA886" s="13"/>
      <c r="AB886" s="13"/>
      <c r="AC886" s="13"/>
    </row>
    <row r="887" spans="1:29" ht="15.75" customHeight="1">
      <c r="A887" s="1933"/>
      <c r="B887" s="2196"/>
      <c r="C887" s="2196"/>
      <c r="D887" s="2197"/>
      <c r="E887" s="2197"/>
      <c r="F887" s="2196"/>
      <c r="G887" s="2196"/>
      <c r="H887" s="2196"/>
      <c r="I887" s="2196"/>
      <c r="J887" s="2196"/>
      <c r="K887" s="2176"/>
      <c r="L887" s="2176"/>
      <c r="M887" s="2176"/>
      <c r="N887" s="2176"/>
      <c r="O887" s="2176"/>
      <c r="P887" s="2176"/>
      <c r="Q887" s="2176"/>
      <c r="R887" s="2176"/>
      <c r="S887" s="2176"/>
      <c r="T887" s="2176"/>
      <c r="U887" s="2176"/>
      <c r="V887" s="2176"/>
      <c r="W887" s="2176"/>
      <c r="X887" s="2176"/>
      <c r="Y887" s="2176"/>
      <c r="Z887" s="13"/>
      <c r="AA887" s="13"/>
      <c r="AB887" s="13"/>
      <c r="AC887" s="13"/>
    </row>
    <row r="888" spans="1:29" ht="15.75" customHeight="1">
      <c r="A888" s="1933"/>
      <c r="B888" s="2196"/>
      <c r="C888" s="2196"/>
      <c r="D888" s="2197"/>
      <c r="E888" s="2197"/>
      <c r="F888" s="2196"/>
      <c r="G888" s="2196"/>
      <c r="H888" s="2196"/>
      <c r="I888" s="2196"/>
      <c r="J888" s="2196"/>
      <c r="K888" s="2176"/>
      <c r="L888" s="2176"/>
      <c r="M888" s="2176"/>
      <c r="N888" s="2176"/>
      <c r="O888" s="2176"/>
      <c r="P888" s="2176"/>
      <c r="Q888" s="2176"/>
      <c r="R888" s="2176"/>
      <c r="S888" s="2176"/>
      <c r="T888" s="2176"/>
      <c r="U888" s="2176"/>
      <c r="V888" s="2176"/>
      <c r="W888" s="2176"/>
      <c r="X888" s="2176"/>
      <c r="Y888" s="2176"/>
      <c r="Z888" s="13"/>
      <c r="AA888" s="13"/>
      <c r="AB888" s="13"/>
      <c r="AC888" s="13"/>
    </row>
    <row r="889" spans="1:29" ht="15.75" customHeight="1">
      <c r="A889" s="1933"/>
      <c r="B889" s="2196"/>
      <c r="C889" s="2196"/>
      <c r="D889" s="2197"/>
      <c r="E889" s="2197"/>
      <c r="F889" s="2196"/>
      <c r="G889" s="2196"/>
      <c r="H889" s="2196"/>
      <c r="I889" s="2196"/>
      <c r="J889" s="2196"/>
      <c r="K889" s="2176"/>
      <c r="L889" s="2176"/>
      <c r="M889" s="2176"/>
      <c r="N889" s="2176"/>
      <c r="O889" s="2176"/>
      <c r="P889" s="2176"/>
      <c r="Q889" s="2176"/>
      <c r="R889" s="2176"/>
      <c r="S889" s="2176"/>
      <c r="T889" s="2176"/>
      <c r="U889" s="2176"/>
      <c r="V889" s="2176"/>
      <c r="W889" s="2176"/>
      <c r="X889" s="2176"/>
      <c r="Y889" s="2176"/>
      <c r="Z889" s="13"/>
      <c r="AA889" s="13"/>
      <c r="AB889" s="13"/>
      <c r="AC889" s="13"/>
    </row>
    <row r="890" spans="1:29" ht="15.75" customHeight="1">
      <c r="A890" s="1933"/>
      <c r="B890" s="2196"/>
      <c r="C890" s="2196"/>
      <c r="D890" s="2197"/>
      <c r="E890" s="2197"/>
      <c r="F890" s="2196"/>
      <c r="G890" s="2196"/>
      <c r="H890" s="2196"/>
      <c r="I890" s="2196"/>
      <c r="J890" s="2196"/>
      <c r="K890" s="2176"/>
      <c r="L890" s="2176"/>
      <c r="M890" s="2176"/>
      <c r="N890" s="2176"/>
      <c r="O890" s="2176"/>
      <c r="P890" s="2176"/>
      <c r="Q890" s="2176"/>
      <c r="R890" s="2176"/>
      <c r="S890" s="2176"/>
      <c r="T890" s="2176"/>
      <c r="U890" s="2176"/>
      <c r="V890" s="2176"/>
      <c r="W890" s="2176"/>
      <c r="X890" s="2176"/>
      <c r="Y890" s="2176"/>
      <c r="Z890" s="13"/>
      <c r="AA890" s="13"/>
      <c r="AB890" s="13"/>
      <c r="AC890" s="13"/>
    </row>
    <row r="891" spans="1:29" ht="15.75" customHeight="1">
      <c r="A891" s="1933"/>
      <c r="B891" s="2196"/>
      <c r="C891" s="2196"/>
      <c r="D891" s="2197"/>
      <c r="E891" s="2197"/>
      <c r="F891" s="2196"/>
      <c r="G891" s="2196"/>
      <c r="H891" s="2196"/>
      <c r="I891" s="2196"/>
      <c r="J891" s="2196"/>
      <c r="K891" s="2176"/>
      <c r="L891" s="2176"/>
      <c r="M891" s="2176"/>
      <c r="N891" s="2176"/>
      <c r="O891" s="2176"/>
      <c r="P891" s="2176"/>
      <c r="Q891" s="2176"/>
      <c r="R891" s="2176"/>
      <c r="S891" s="2176"/>
      <c r="T891" s="2176"/>
      <c r="U891" s="2176"/>
      <c r="V891" s="2176"/>
      <c r="W891" s="2176"/>
      <c r="X891" s="2176"/>
      <c r="Y891" s="2176"/>
      <c r="Z891" s="13"/>
      <c r="AA891" s="13"/>
      <c r="AB891" s="13"/>
      <c r="AC891" s="13"/>
    </row>
    <row r="892" spans="1:29" ht="15.75" customHeight="1">
      <c r="A892" s="1933"/>
      <c r="B892" s="2196"/>
      <c r="C892" s="2196"/>
      <c r="D892" s="2197"/>
      <c r="E892" s="2197"/>
      <c r="F892" s="2196"/>
      <c r="G892" s="2196"/>
      <c r="H892" s="2196"/>
      <c r="I892" s="2196"/>
      <c r="J892" s="2196"/>
      <c r="K892" s="2176"/>
      <c r="L892" s="2176"/>
      <c r="M892" s="2176"/>
      <c r="N892" s="2176"/>
      <c r="O892" s="2176"/>
      <c r="P892" s="2176"/>
      <c r="Q892" s="2176"/>
      <c r="R892" s="2176"/>
      <c r="S892" s="2176"/>
      <c r="T892" s="2176"/>
      <c r="U892" s="2176"/>
      <c r="V892" s="2176"/>
      <c r="W892" s="2176"/>
      <c r="X892" s="2176"/>
      <c r="Y892" s="2176"/>
      <c r="Z892" s="13"/>
      <c r="AA892" s="13"/>
      <c r="AB892" s="13"/>
      <c r="AC892" s="13"/>
    </row>
    <row r="893" spans="1:29" ht="15.75" customHeight="1">
      <c r="A893" s="1933"/>
      <c r="B893" s="2196"/>
      <c r="C893" s="2196"/>
      <c r="D893" s="2197"/>
      <c r="E893" s="2197"/>
      <c r="F893" s="2196"/>
      <c r="G893" s="2196"/>
      <c r="H893" s="2196"/>
      <c r="I893" s="2196"/>
      <c r="J893" s="2196"/>
      <c r="K893" s="2176"/>
      <c r="L893" s="2176"/>
      <c r="M893" s="2176"/>
      <c r="N893" s="2176"/>
      <c r="O893" s="2176"/>
      <c r="P893" s="2176"/>
      <c r="Q893" s="2176"/>
      <c r="R893" s="2176"/>
      <c r="S893" s="2176"/>
      <c r="T893" s="2176"/>
      <c r="U893" s="2176"/>
      <c r="V893" s="2176"/>
      <c r="W893" s="2176"/>
      <c r="X893" s="2176"/>
      <c r="Y893" s="2176"/>
      <c r="Z893" s="13"/>
      <c r="AA893" s="13"/>
      <c r="AB893" s="13"/>
      <c r="AC893" s="13"/>
    </row>
    <row r="894" spans="1:29" ht="15.75" customHeight="1">
      <c r="A894" s="1933"/>
      <c r="B894" s="2196"/>
      <c r="C894" s="2196"/>
      <c r="D894" s="2197"/>
      <c r="E894" s="2197"/>
      <c r="F894" s="2196"/>
      <c r="G894" s="2196"/>
      <c r="H894" s="2196"/>
      <c r="I894" s="2196"/>
      <c r="J894" s="2196"/>
      <c r="K894" s="2176"/>
      <c r="L894" s="2176"/>
      <c r="M894" s="2176"/>
      <c r="N894" s="2176"/>
      <c r="O894" s="2176"/>
      <c r="P894" s="2176"/>
      <c r="Q894" s="2176"/>
      <c r="R894" s="2176"/>
      <c r="S894" s="2176"/>
      <c r="T894" s="2176"/>
      <c r="U894" s="2176"/>
      <c r="V894" s="2176"/>
      <c r="W894" s="2176"/>
      <c r="X894" s="2176"/>
      <c r="Y894" s="2176"/>
      <c r="Z894" s="13"/>
      <c r="AA894" s="13"/>
      <c r="AB894" s="13"/>
      <c r="AC894" s="13"/>
    </row>
    <row r="895" spans="1:29" ht="15.75" customHeight="1">
      <c r="A895" s="1933"/>
      <c r="B895" s="2196"/>
      <c r="C895" s="2196"/>
      <c r="D895" s="2197"/>
      <c r="E895" s="2197"/>
      <c r="F895" s="2196"/>
      <c r="G895" s="2196"/>
      <c r="H895" s="2196"/>
      <c r="I895" s="2196"/>
      <c r="J895" s="2196"/>
      <c r="K895" s="2176"/>
      <c r="L895" s="2176"/>
      <c r="M895" s="2176"/>
      <c r="N895" s="2176"/>
      <c r="O895" s="2176"/>
      <c r="P895" s="2176"/>
      <c r="Q895" s="2176"/>
      <c r="R895" s="2176"/>
      <c r="S895" s="2176"/>
      <c r="T895" s="2176"/>
      <c r="U895" s="2176"/>
      <c r="V895" s="2176"/>
      <c r="W895" s="2176"/>
      <c r="X895" s="2176"/>
      <c r="Y895" s="2176"/>
      <c r="Z895" s="13"/>
      <c r="AA895" s="13"/>
      <c r="AB895" s="13"/>
      <c r="AC895" s="13"/>
    </row>
    <row r="896" spans="1:29" ht="15.75" customHeight="1">
      <c r="A896" s="1933"/>
      <c r="B896" s="2196"/>
      <c r="C896" s="2196"/>
      <c r="D896" s="2197"/>
      <c r="E896" s="2197"/>
      <c r="F896" s="2196"/>
      <c r="G896" s="2196"/>
      <c r="H896" s="2196"/>
      <c r="I896" s="2196"/>
      <c r="J896" s="2196"/>
      <c r="K896" s="2176"/>
      <c r="L896" s="2176"/>
      <c r="M896" s="2176"/>
      <c r="N896" s="2176"/>
      <c r="O896" s="2176"/>
      <c r="P896" s="2176"/>
      <c r="Q896" s="2176"/>
      <c r="R896" s="2176"/>
      <c r="S896" s="2176"/>
      <c r="T896" s="2176"/>
      <c r="U896" s="2176"/>
      <c r="V896" s="2176"/>
      <c r="W896" s="2176"/>
      <c r="X896" s="2176"/>
      <c r="Y896" s="2176"/>
      <c r="Z896" s="13"/>
      <c r="AA896" s="13"/>
      <c r="AB896" s="13"/>
      <c r="AC896" s="13"/>
    </row>
    <row r="897" spans="1:29" ht="15.75" customHeight="1">
      <c r="A897" s="1933"/>
      <c r="B897" s="2196"/>
      <c r="C897" s="2196"/>
      <c r="D897" s="2197"/>
      <c r="E897" s="2197"/>
      <c r="F897" s="2196"/>
      <c r="G897" s="2196"/>
      <c r="H897" s="2196"/>
      <c r="I897" s="2196"/>
      <c r="J897" s="2196"/>
      <c r="K897" s="2176"/>
      <c r="L897" s="2176"/>
      <c r="M897" s="2176"/>
      <c r="N897" s="2176"/>
      <c r="O897" s="2176"/>
      <c r="P897" s="2176"/>
      <c r="Q897" s="2176"/>
      <c r="R897" s="2176"/>
      <c r="S897" s="2176"/>
      <c r="T897" s="2176"/>
      <c r="U897" s="2176"/>
      <c r="V897" s="2176"/>
      <c r="W897" s="2176"/>
      <c r="X897" s="2176"/>
      <c r="Y897" s="2176"/>
      <c r="Z897" s="13"/>
      <c r="AA897" s="13"/>
      <c r="AB897" s="13"/>
      <c r="AC897" s="13"/>
    </row>
    <row r="898" spans="1:29" ht="15.75" customHeight="1">
      <c r="A898" s="1933"/>
      <c r="B898" s="2196"/>
      <c r="C898" s="2196"/>
      <c r="D898" s="2197"/>
      <c r="E898" s="2197"/>
      <c r="F898" s="2196"/>
      <c r="G898" s="2196"/>
      <c r="H898" s="2196"/>
      <c r="I898" s="2196"/>
      <c r="J898" s="2196"/>
      <c r="K898" s="2176"/>
      <c r="L898" s="2176"/>
      <c r="M898" s="2176"/>
      <c r="N898" s="2176"/>
      <c r="O898" s="2176"/>
      <c r="P898" s="2176"/>
      <c r="Q898" s="2176"/>
      <c r="R898" s="2176"/>
      <c r="S898" s="2176"/>
      <c r="T898" s="2176"/>
      <c r="U898" s="2176"/>
      <c r="V898" s="2176"/>
      <c r="W898" s="2176"/>
      <c r="X898" s="2176"/>
      <c r="Y898" s="2176"/>
      <c r="Z898" s="13"/>
      <c r="AA898" s="13"/>
      <c r="AB898" s="13"/>
      <c r="AC898" s="13"/>
    </row>
    <row r="899" spans="1:29" ht="15.75" customHeight="1">
      <c r="A899" s="1933"/>
      <c r="B899" s="2196"/>
      <c r="C899" s="2196"/>
      <c r="D899" s="2197"/>
      <c r="E899" s="2197"/>
      <c r="F899" s="2196"/>
      <c r="G899" s="2196"/>
      <c r="H899" s="2196"/>
      <c r="I899" s="2196"/>
      <c r="J899" s="2196"/>
      <c r="K899" s="2176"/>
      <c r="L899" s="2176"/>
      <c r="M899" s="2176"/>
      <c r="N899" s="2176"/>
      <c r="O899" s="2176"/>
      <c r="P899" s="2176"/>
      <c r="Q899" s="2176"/>
      <c r="R899" s="2176"/>
      <c r="S899" s="2176"/>
      <c r="T899" s="2176"/>
      <c r="U899" s="2176"/>
      <c r="V899" s="2176"/>
      <c r="W899" s="2176"/>
      <c r="X899" s="2176"/>
      <c r="Y899" s="2176"/>
      <c r="Z899" s="13"/>
      <c r="AA899" s="13"/>
      <c r="AB899" s="13"/>
      <c r="AC899" s="13"/>
    </row>
    <row r="900" spans="1:29" ht="15.75" customHeight="1">
      <c r="A900" s="1933"/>
      <c r="B900" s="2196"/>
      <c r="C900" s="2196"/>
      <c r="D900" s="2197"/>
      <c r="E900" s="2197"/>
      <c r="F900" s="2196"/>
      <c r="G900" s="2196"/>
      <c r="H900" s="2196"/>
      <c r="I900" s="2196"/>
      <c r="J900" s="2196"/>
      <c r="K900" s="2176"/>
      <c r="L900" s="2176"/>
      <c r="M900" s="2176"/>
      <c r="N900" s="2176"/>
      <c r="O900" s="2176"/>
      <c r="P900" s="2176"/>
      <c r="Q900" s="2176"/>
      <c r="R900" s="2176"/>
      <c r="S900" s="2176"/>
      <c r="T900" s="2176"/>
      <c r="U900" s="2176"/>
      <c r="V900" s="2176"/>
      <c r="W900" s="2176"/>
      <c r="X900" s="2176"/>
      <c r="Y900" s="2176"/>
      <c r="Z900" s="13"/>
      <c r="AA900" s="13"/>
      <c r="AB900" s="13"/>
      <c r="AC900" s="13"/>
    </row>
    <row r="901" spans="1:29" ht="15.75" customHeight="1">
      <c r="A901" s="1933"/>
      <c r="B901" s="2196"/>
      <c r="C901" s="2196"/>
      <c r="D901" s="2197"/>
      <c r="E901" s="2197"/>
      <c r="F901" s="2196"/>
      <c r="G901" s="2196"/>
      <c r="H901" s="2196"/>
      <c r="I901" s="2196"/>
      <c r="J901" s="2196"/>
      <c r="K901" s="2176"/>
      <c r="L901" s="2176"/>
      <c r="M901" s="2176"/>
      <c r="N901" s="2176"/>
      <c r="O901" s="2176"/>
      <c r="P901" s="2176"/>
      <c r="Q901" s="2176"/>
      <c r="R901" s="2176"/>
      <c r="S901" s="2176"/>
      <c r="T901" s="2176"/>
      <c r="U901" s="2176"/>
      <c r="V901" s="2176"/>
      <c r="W901" s="2176"/>
      <c r="X901" s="2176"/>
      <c r="Y901" s="2176"/>
      <c r="Z901" s="13"/>
      <c r="AA901" s="13"/>
      <c r="AB901" s="13"/>
      <c r="AC901" s="13"/>
    </row>
    <row r="902" spans="1:29" ht="15.75" customHeight="1">
      <c r="A902" s="1933"/>
      <c r="B902" s="2196"/>
      <c r="C902" s="2196"/>
      <c r="D902" s="2197"/>
      <c r="E902" s="2197"/>
      <c r="F902" s="2196"/>
      <c r="G902" s="2196"/>
      <c r="H902" s="2196"/>
      <c r="I902" s="2196"/>
      <c r="J902" s="2196"/>
      <c r="K902" s="2176"/>
      <c r="L902" s="2176"/>
      <c r="M902" s="2176"/>
      <c r="N902" s="2176"/>
      <c r="O902" s="2176"/>
      <c r="P902" s="2176"/>
      <c r="Q902" s="2176"/>
      <c r="R902" s="2176"/>
      <c r="S902" s="2176"/>
      <c r="T902" s="2176"/>
      <c r="U902" s="2176"/>
      <c r="V902" s="2176"/>
      <c r="W902" s="2176"/>
      <c r="X902" s="2176"/>
      <c r="Y902" s="2176"/>
      <c r="Z902" s="13"/>
      <c r="AA902" s="13"/>
      <c r="AB902" s="13"/>
      <c r="AC902" s="13"/>
    </row>
    <row r="903" spans="1:29" ht="15.75" customHeight="1">
      <c r="A903" s="1933"/>
      <c r="B903" s="2196"/>
      <c r="C903" s="2196"/>
      <c r="D903" s="2197"/>
      <c r="E903" s="2197"/>
      <c r="F903" s="2196"/>
      <c r="G903" s="2196"/>
      <c r="H903" s="2196"/>
      <c r="I903" s="2196"/>
      <c r="J903" s="2196"/>
      <c r="K903" s="2176"/>
      <c r="L903" s="2176"/>
      <c r="M903" s="2176"/>
      <c r="N903" s="2176"/>
      <c r="O903" s="2176"/>
      <c r="P903" s="2176"/>
      <c r="Q903" s="2176"/>
      <c r="R903" s="2176"/>
      <c r="S903" s="2176"/>
      <c r="T903" s="2176"/>
      <c r="U903" s="2176"/>
      <c r="V903" s="2176"/>
      <c r="W903" s="2176"/>
      <c r="X903" s="2176"/>
      <c r="Y903" s="2176"/>
      <c r="Z903" s="13"/>
      <c r="AA903" s="13"/>
      <c r="AB903" s="13"/>
      <c r="AC903" s="13"/>
    </row>
    <row r="904" spans="1:29" ht="15.75" customHeight="1">
      <c r="A904" s="1933"/>
      <c r="B904" s="2196"/>
      <c r="C904" s="2196"/>
      <c r="D904" s="2197"/>
      <c r="E904" s="2197"/>
      <c r="F904" s="2196"/>
      <c r="G904" s="2196"/>
      <c r="H904" s="2196"/>
      <c r="I904" s="2196"/>
      <c r="J904" s="2196"/>
      <c r="K904" s="2176"/>
      <c r="L904" s="2176"/>
      <c r="M904" s="2176"/>
      <c r="N904" s="2176"/>
      <c r="O904" s="2176"/>
      <c r="P904" s="2176"/>
      <c r="Q904" s="2176"/>
      <c r="R904" s="2176"/>
      <c r="S904" s="2176"/>
      <c r="T904" s="2176"/>
      <c r="U904" s="2176"/>
      <c r="V904" s="2176"/>
      <c r="W904" s="2176"/>
      <c r="X904" s="2176"/>
      <c r="Y904" s="2176"/>
      <c r="Z904" s="13"/>
      <c r="AA904" s="13"/>
      <c r="AB904" s="13"/>
      <c r="AC904" s="13"/>
    </row>
    <row r="905" spans="1:29" ht="15.75" customHeight="1">
      <c r="A905" s="1933"/>
      <c r="B905" s="2196"/>
      <c r="C905" s="2196"/>
      <c r="D905" s="2197"/>
      <c r="E905" s="2197"/>
      <c r="F905" s="2196"/>
      <c r="G905" s="2196"/>
      <c r="H905" s="2196"/>
      <c r="I905" s="2196"/>
      <c r="J905" s="2196"/>
      <c r="K905" s="2176"/>
      <c r="L905" s="2176"/>
      <c r="M905" s="2176"/>
      <c r="N905" s="2176"/>
      <c r="O905" s="2176"/>
      <c r="P905" s="2176"/>
      <c r="Q905" s="2176"/>
      <c r="R905" s="2176"/>
      <c r="S905" s="2176"/>
      <c r="T905" s="2176"/>
      <c r="U905" s="2176"/>
      <c r="V905" s="2176"/>
      <c r="W905" s="2176"/>
      <c r="X905" s="2176"/>
      <c r="Y905" s="2176"/>
      <c r="Z905" s="13"/>
      <c r="AA905" s="13"/>
      <c r="AB905" s="13"/>
      <c r="AC905" s="13"/>
    </row>
    <row r="906" spans="1:29" ht="15.75" customHeight="1">
      <c r="A906" s="1933"/>
      <c r="B906" s="2196"/>
      <c r="C906" s="2196"/>
      <c r="D906" s="2197"/>
      <c r="E906" s="2197"/>
      <c r="F906" s="2196"/>
      <c r="G906" s="2196"/>
      <c r="H906" s="2196"/>
      <c r="I906" s="2196"/>
      <c r="J906" s="2196"/>
      <c r="K906" s="2176"/>
      <c r="L906" s="2176"/>
      <c r="M906" s="2176"/>
      <c r="N906" s="2176"/>
      <c r="O906" s="2176"/>
      <c r="P906" s="2176"/>
      <c r="Q906" s="2176"/>
      <c r="R906" s="2176"/>
      <c r="S906" s="2176"/>
      <c r="T906" s="2176"/>
      <c r="U906" s="2176"/>
      <c r="V906" s="2176"/>
      <c r="W906" s="2176"/>
      <c r="X906" s="2176"/>
      <c r="Y906" s="2176"/>
      <c r="Z906" s="13"/>
      <c r="AA906" s="13"/>
      <c r="AB906" s="13"/>
      <c r="AC906" s="13"/>
    </row>
    <row r="907" spans="1:29" ht="15.75" customHeight="1">
      <c r="A907" s="1933"/>
      <c r="B907" s="2196"/>
      <c r="C907" s="2196"/>
      <c r="D907" s="2197"/>
      <c r="E907" s="2197"/>
      <c r="F907" s="2196"/>
      <c r="G907" s="2196"/>
      <c r="H907" s="2196"/>
      <c r="I907" s="2196"/>
      <c r="J907" s="2196"/>
      <c r="K907" s="2176"/>
      <c r="L907" s="2176"/>
      <c r="M907" s="2176"/>
      <c r="N907" s="2176"/>
      <c r="O907" s="2176"/>
      <c r="P907" s="2176"/>
      <c r="Q907" s="2176"/>
      <c r="R907" s="2176"/>
      <c r="S907" s="2176"/>
      <c r="T907" s="2176"/>
      <c r="U907" s="2176"/>
      <c r="V907" s="2176"/>
      <c r="W907" s="2176"/>
      <c r="X907" s="2176"/>
      <c r="Y907" s="2176"/>
      <c r="Z907" s="13"/>
      <c r="AA907" s="13"/>
      <c r="AB907" s="13"/>
      <c r="AC907" s="13"/>
    </row>
    <row r="908" spans="1:29" ht="15.75" customHeight="1">
      <c r="A908" s="1933"/>
      <c r="B908" s="2196"/>
      <c r="C908" s="2196"/>
      <c r="D908" s="2197"/>
      <c r="E908" s="2197"/>
      <c r="F908" s="2196"/>
      <c r="G908" s="2196"/>
      <c r="H908" s="2196"/>
      <c r="I908" s="2196"/>
      <c r="J908" s="2196"/>
      <c r="K908" s="2176"/>
      <c r="L908" s="2176"/>
      <c r="M908" s="2176"/>
      <c r="N908" s="2176"/>
      <c r="O908" s="2176"/>
      <c r="P908" s="2176"/>
      <c r="Q908" s="2176"/>
      <c r="R908" s="2176"/>
      <c r="S908" s="2176"/>
      <c r="T908" s="2176"/>
      <c r="U908" s="2176"/>
      <c r="V908" s="2176"/>
      <c r="W908" s="2176"/>
      <c r="X908" s="2176"/>
      <c r="Y908" s="2176"/>
      <c r="Z908" s="13"/>
      <c r="AA908" s="13"/>
      <c r="AB908" s="13"/>
      <c r="AC908" s="13"/>
    </row>
    <row r="909" spans="1:29" ht="15.75" customHeight="1">
      <c r="A909" s="1933"/>
      <c r="B909" s="2196"/>
      <c r="C909" s="2196"/>
      <c r="D909" s="2197"/>
      <c r="E909" s="2197"/>
      <c r="F909" s="2196"/>
      <c r="G909" s="2196"/>
      <c r="H909" s="2196"/>
      <c r="I909" s="2196"/>
      <c r="J909" s="2196"/>
      <c r="K909" s="2176"/>
      <c r="L909" s="2176"/>
      <c r="M909" s="2176"/>
      <c r="N909" s="2176"/>
      <c r="O909" s="2176"/>
      <c r="P909" s="2176"/>
      <c r="Q909" s="2176"/>
      <c r="R909" s="2176"/>
      <c r="S909" s="2176"/>
      <c r="T909" s="2176"/>
      <c r="U909" s="2176"/>
      <c r="V909" s="2176"/>
      <c r="W909" s="2176"/>
      <c r="X909" s="2176"/>
      <c r="Y909" s="2176"/>
      <c r="Z909" s="13"/>
      <c r="AA909" s="13"/>
      <c r="AB909" s="13"/>
      <c r="AC909" s="13"/>
    </row>
    <row r="910" spans="1:29" ht="15.75" customHeight="1">
      <c r="A910" s="1933"/>
      <c r="B910" s="2196"/>
      <c r="C910" s="2196"/>
      <c r="D910" s="2197"/>
      <c r="E910" s="2197"/>
      <c r="F910" s="2196"/>
      <c r="G910" s="2196"/>
      <c r="H910" s="2196"/>
      <c r="I910" s="2196"/>
      <c r="J910" s="2196"/>
      <c r="K910" s="2176"/>
      <c r="L910" s="2176"/>
      <c r="M910" s="2176"/>
      <c r="N910" s="2176"/>
      <c r="O910" s="2176"/>
      <c r="P910" s="2176"/>
      <c r="Q910" s="2176"/>
      <c r="R910" s="2176"/>
      <c r="S910" s="2176"/>
      <c r="T910" s="2176"/>
      <c r="U910" s="2176"/>
      <c r="V910" s="2176"/>
      <c r="W910" s="2176"/>
      <c r="X910" s="2176"/>
      <c r="Y910" s="2176"/>
      <c r="Z910" s="13"/>
      <c r="AA910" s="13"/>
      <c r="AB910" s="13"/>
      <c r="AC910" s="13"/>
    </row>
    <row r="911" spans="1:29" ht="15.75" customHeight="1">
      <c r="A911" s="1933"/>
      <c r="B911" s="2196"/>
      <c r="C911" s="2196"/>
      <c r="D911" s="2197"/>
      <c r="E911" s="2197"/>
      <c r="F911" s="2196"/>
      <c r="G911" s="2196"/>
      <c r="H911" s="2196"/>
      <c r="I911" s="2196"/>
      <c r="J911" s="2196"/>
      <c r="K911" s="2176"/>
      <c r="L911" s="2176"/>
      <c r="M911" s="2176"/>
      <c r="N911" s="2176"/>
      <c r="O911" s="2176"/>
      <c r="P911" s="2176"/>
      <c r="Q911" s="2176"/>
      <c r="R911" s="2176"/>
      <c r="S911" s="2176"/>
      <c r="T911" s="2176"/>
      <c r="U911" s="2176"/>
      <c r="V911" s="2176"/>
      <c r="W911" s="2176"/>
      <c r="X911" s="2176"/>
      <c r="Y911" s="2176"/>
      <c r="Z911" s="13"/>
      <c r="AA911" s="13"/>
      <c r="AB911" s="13"/>
      <c r="AC911" s="13"/>
    </row>
    <row r="912" spans="1:29" ht="15.75" customHeight="1">
      <c r="A912" s="1933"/>
      <c r="B912" s="2196"/>
      <c r="C912" s="2196"/>
      <c r="D912" s="2197"/>
      <c r="E912" s="2197"/>
      <c r="F912" s="2196"/>
      <c r="G912" s="2196"/>
      <c r="H912" s="2196"/>
      <c r="I912" s="2196"/>
      <c r="J912" s="2196"/>
      <c r="K912" s="2176"/>
      <c r="L912" s="2176"/>
      <c r="M912" s="2176"/>
      <c r="N912" s="2176"/>
      <c r="O912" s="2176"/>
      <c r="P912" s="2176"/>
      <c r="Q912" s="2176"/>
      <c r="R912" s="2176"/>
      <c r="S912" s="2176"/>
      <c r="T912" s="2176"/>
      <c r="U912" s="2176"/>
      <c r="V912" s="2176"/>
      <c r="W912" s="2176"/>
      <c r="X912" s="2176"/>
      <c r="Y912" s="2176"/>
      <c r="Z912" s="13"/>
      <c r="AA912" s="13"/>
      <c r="AB912" s="13"/>
      <c r="AC912" s="13"/>
    </row>
    <row r="913" spans="1:29" ht="15.75" customHeight="1">
      <c r="A913" s="1933"/>
      <c r="B913" s="2196"/>
      <c r="C913" s="2196"/>
      <c r="D913" s="2197"/>
      <c r="E913" s="2197"/>
      <c r="F913" s="2196"/>
      <c r="G913" s="2196"/>
      <c r="H913" s="2196"/>
      <c r="I913" s="2196"/>
      <c r="J913" s="2196"/>
      <c r="K913" s="2176"/>
      <c r="L913" s="2176"/>
      <c r="M913" s="2176"/>
      <c r="N913" s="2176"/>
      <c r="O913" s="2176"/>
      <c r="P913" s="2176"/>
      <c r="Q913" s="2176"/>
      <c r="R913" s="2176"/>
      <c r="S913" s="2176"/>
      <c r="T913" s="2176"/>
      <c r="U913" s="2176"/>
      <c r="V913" s="2176"/>
      <c r="W913" s="2176"/>
      <c r="X913" s="2176"/>
      <c r="Y913" s="2176"/>
      <c r="Z913" s="13"/>
      <c r="AA913" s="13"/>
      <c r="AB913" s="13"/>
      <c r="AC913" s="13"/>
    </row>
    <row r="914" spans="1:29" ht="15.75" customHeight="1">
      <c r="A914" s="1933"/>
      <c r="B914" s="2196"/>
      <c r="C914" s="2196"/>
      <c r="D914" s="2197"/>
      <c r="E914" s="2197"/>
      <c r="F914" s="2196"/>
      <c r="G914" s="2196"/>
      <c r="H914" s="2196"/>
      <c r="I914" s="2196"/>
      <c r="J914" s="2196"/>
      <c r="K914" s="2176"/>
      <c r="L914" s="2176"/>
      <c r="M914" s="2176"/>
      <c r="N914" s="2176"/>
      <c r="O914" s="2176"/>
      <c r="P914" s="2176"/>
      <c r="Q914" s="2176"/>
      <c r="R914" s="2176"/>
      <c r="S914" s="2176"/>
      <c r="T914" s="2176"/>
      <c r="U914" s="2176"/>
      <c r="V914" s="2176"/>
      <c r="W914" s="2176"/>
      <c r="X914" s="2176"/>
      <c r="Y914" s="2176"/>
      <c r="Z914" s="13"/>
      <c r="AA914" s="13"/>
      <c r="AB914" s="13"/>
      <c r="AC914" s="13"/>
    </row>
    <row r="915" spans="1:29" ht="15.75" customHeight="1">
      <c r="A915" s="1933"/>
      <c r="B915" s="2196"/>
      <c r="C915" s="2196"/>
      <c r="D915" s="2197"/>
      <c r="E915" s="2197"/>
      <c r="F915" s="2196"/>
      <c r="G915" s="2196"/>
      <c r="H915" s="2196"/>
      <c r="I915" s="2196"/>
      <c r="J915" s="2196"/>
      <c r="K915" s="2176"/>
      <c r="L915" s="2176"/>
      <c r="M915" s="2176"/>
      <c r="N915" s="2176"/>
      <c r="O915" s="2176"/>
      <c r="P915" s="2176"/>
      <c r="Q915" s="2176"/>
      <c r="R915" s="2176"/>
      <c r="S915" s="2176"/>
      <c r="T915" s="2176"/>
      <c r="U915" s="2176"/>
      <c r="V915" s="2176"/>
      <c r="W915" s="2176"/>
      <c r="X915" s="2176"/>
      <c r="Y915" s="2176"/>
      <c r="Z915" s="13"/>
      <c r="AA915" s="13"/>
      <c r="AB915" s="13"/>
      <c r="AC915" s="13"/>
    </row>
    <row r="916" spans="1:29" ht="15.75" customHeight="1">
      <c r="A916" s="1933"/>
      <c r="B916" s="2196"/>
      <c r="C916" s="2196"/>
      <c r="D916" s="2197"/>
      <c r="E916" s="2197"/>
      <c r="F916" s="2196"/>
      <c r="G916" s="2196"/>
      <c r="H916" s="2196"/>
      <c r="I916" s="2196"/>
      <c r="J916" s="2196"/>
      <c r="K916" s="2176"/>
      <c r="L916" s="2176"/>
      <c r="M916" s="2176"/>
      <c r="N916" s="2176"/>
      <c r="O916" s="2176"/>
      <c r="P916" s="2176"/>
      <c r="Q916" s="2176"/>
      <c r="R916" s="2176"/>
      <c r="S916" s="2176"/>
      <c r="T916" s="2176"/>
      <c r="U916" s="2176"/>
      <c r="V916" s="2176"/>
      <c r="W916" s="2176"/>
      <c r="X916" s="2176"/>
      <c r="Y916" s="2176"/>
      <c r="Z916" s="13"/>
      <c r="AA916" s="13"/>
      <c r="AB916" s="13"/>
      <c r="AC916" s="13"/>
    </row>
    <row r="917" spans="1:29" ht="15.75" customHeight="1">
      <c r="A917" s="1933"/>
      <c r="B917" s="2196"/>
      <c r="C917" s="2196"/>
      <c r="D917" s="2197"/>
      <c r="E917" s="2197"/>
      <c r="F917" s="2196"/>
      <c r="G917" s="2196"/>
      <c r="H917" s="2196"/>
      <c r="I917" s="2196"/>
      <c r="J917" s="2196"/>
      <c r="K917" s="2176"/>
      <c r="L917" s="2176"/>
      <c r="M917" s="2176"/>
      <c r="N917" s="2176"/>
      <c r="O917" s="2176"/>
      <c r="P917" s="2176"/>
      <c r="Q917" s="2176"/>
      <c r="R917" s="2176"/>
      <c r="S917" s="2176"/>
      <c r="T917" s="2176"/>
      <c r="U917" s="2176"/>
      <c r="V917" s="2176"/>
      <c r="W917" s="2176"/>
      <c r="X917" s="2176"/>
      <c r="Y917" s="2176"/>
      <c r="Z917" s="13"/>
      <c r="AA917" s="13"/>
      <c r="AB917" s="13"/>
      <c r="AC917" s="13"/>
    </row>
    <row r="918" spans="1:29" ht="15.75" customHeight="1">
      <c r="A918" s="1933"/>
      <c r="B918" s="2196"/>
      <c r="C918" s="2196"/>
      <c r="D918" s="2197"/>
      <c r="E918" s="2197"/>
      <c r="F918" s="2196"/>
      <c r="G918" s="2196"/>
      <c r="H918" s="2196"/>
      <c r="I918" s="2196"/>
      <c r="J918" s="2196"/>
      <c r="K918" s="2176"/>
      <c r="L918" s="2176"/>
      <c r="M918" s="2176"/>
      <c r="N918" s="2176"/>
      <c r="O918" s="2176"/>
      <c r="P918" s="2176"/>
      <c r="Q918" s="2176"/>
      <c r="R918" s="2176"/>
      <c r="S918" s="2176"/>
      <c r="T918" s="2176"/>
      <c r="U918" s="2176"/>
      <c r="V918" s="2176"/>
      <c r="W918" s="2176"/>
      <c r="X918" s="2176"/>
      <c r="Y918" s="2176"/>
      <c r="Z918" s="13"/>
      <c r="AA918" s="13"/>
      <c r="AB918" s="13"/>
      <c r="AC918" s="13"/>
    </row>
    <row r="919" spans="1:29" ht="15.75" customHeight="1">
      <c r="A919" s="1933"/>
      <c r="B919" s="2196"/>
      <c r="C919" s="2196"/>
      <c r="D919" s="2197"/>
      <c r="E919" s="2197"/>
      <c r="F919" s="2196"/>
      <c r="G919" s="2196"/>
      <c r="H919" s="2196"/>
      <c r="I919" s="2196"/>
      <c r="J919" s="2196"/>
      <c r="K919" s="2176"/>
      <c r="L919" s="2176"/>
      <c r="M919" s="2176"/>
      <c r="N919" s="2176"/>
      <c r="O919" s="2176"/>
      <c r="P919" s="2176"/>
      <c r="Q919" s="2176"/>
      <c r="R919" s="2176"/>
      <c r="S919" s="2176"/>
      <c r="T919" s="2176"/>
      <c r="U919" s="2176"/>
      <c r="V919" s="2176"/>
      <c r="W919" s="2176"/>
      <c r="X919" s="2176"/>
      <c r="Y919" s="2176"/>
      <c r="Z919" s="13"/>
      <c r="AA919" s="13"/>
      <c r="AB919" s="13"/>
      <c r="AC919" s="13"/>
    </row>
    <row r="920" spans="1:29" ht="15.75" customHeight="1">
      <c r="A920" s="1933"/>
      <c r="B920" s="2196"/>
      <c r="C920" s="2196"/>
      <c r="D920" s="2197"/>
      <c r="E920" s="2197"/>
      <c r="F920" s="2196"/>
      <c r="G920" s="2196"/>
      <c r="H920" s="2196"/>
      <c r="I920" s="2196"/>
      <c r="J920" s="2196"/>
      <c r="K920" s="2176"/>
      <c r="L920" s="2176"/>
      <c r="M920" s="2176"/>
      <c r="N920" s="2176"/>
      <c r="O920" s="2176"/>
      <c r="P920" s="2176"/>
      <c r="Q920" s="2176"/>
      <c r="R920" s="2176"/>
      <c r="S920" s="2176"/>
      <c r="T920" s="2176"/>
      <c r="U920" s="2176"/>
      <c r="V920" s="2176"/>
      <c r="W920" s="2176"/>
      <c r="X920" s="2176"/>
      <c r="Y920" s="2176"/>
      <c r="Z920" s="13"/>
      <c r="AA920" s="13"/>
      <c r="AB920" s="13"/>
      <c r="AC920" s="13"/>
    </row>
    <row r="921" spans="1:29" ht="15.75" customHeight="1">
      <c r="A921" s="1933"/>
      <c r="B921" s="2196"/>
      <c r="C921" s="2196"/>
      <c r="D921" s="2197"/>
      <c r="E921" s="2197"/>
      <c r="F921" s="2196"/>
      <c r="G921" s="2196"/>
      <c r="H921" s="2196"/>
      <c r="I921" s="2196"/>
      <c r="J921" s="2196"/>
      <c r="K921" s="2176"/>
      <c r="L921" s="2176"/>
      <c r="M921" s="2176"/>
      <c r="N921" s="2176"/>
      <c r="O921" s="2176"/>
      <c r="P921" s="2176"/>
      <c r="Q921" s="2176"/>
      <c r="R921" s="2176"/>
      <c r="S921" s="2176"/>
      <c r="T921" s="2176"/>
      <c r="U921" s="2176"/>
      <c r="V921" s="2176"/>
      <c r="W921" s="2176"/>
      <c r="X921" s="2176"/>
      <c r="Y921" s="2176"/>
      <c r="Z921" s="13"/>
      <c r="AA921" s="13"/>
      <c r="AB921" s="13"/>
      <c r="AC921" s="13"/>
    </row>
    <row r="922" spans="1:29" ht="15.75" customHeight="1">
      <c r="A922" s="1933"/>
      <c r="B922" s="2196"/>
      <c r="C922" s="2196"/>
      <c r="D922" s="2197"/>
      <c r="E922" s="2197"/>
      <c r="F922" s="2196"/>
      <c r="G922" s="2196"/>
      <c r="H922" s="2196"/>
      <c r="I922" s="2196"/>
      <c r="J922" s="2196"/>
      <c r="K922" s="2176"/>
      <c r="L922" s="2176"/>
      <c r="M922" s="2176"/>
      <c r="N922" s="2176"/>
      <c r="O922" s="2176"/>
      <c r="P922" s="2176"/>
      <c r="Q922" s="2176"/>
      <c r="R922" s="2176"/>
      <c r="S922" s="2176"/>
      <c r="T922" s="2176"/>
      <c r="U922" s="2176"/>
      <c r="V922" s="2176"/>
      <c r="W922" s="2176"/>
      <c r="X922" s="2176"/>
      <c r="Y922" s="2176"/>
      <c r="Z922" s="13"/>
      <c r="AA922" s="13"/>
      <c r="AB922" s="13"/>
      <c r="AC922" s="13"/>
    </row>
    <row r="923" spans="1:29" ht="15.75" customHeight="1">
      <c r="A923" s="1933"/>
      <c r="B923" s="2196"/>
      <c r="C923" s="2196"/>
      <c r="D923" s="2197"/>
      <c r="E923" s="2197"/>
      <c r="F923" s="2196"/>
      <c r="G923" s="2196"/>
      <c r="H923" s="2196"/>
      <c r="I923" s="2196"/>
      <c r="J923" s="2196"/>
      <c r="K923" s="2176"/>
      <c r="L923" s="2176"/>
      <c r="M923" s="2176"/>
      <c r="N923" s="2176"/>
      <c r="O923" s="2176"/>
      <c r="P923" s="2176"/>
      <c r="Q923" s="2176"/>
      <c r="R923" s="2176"/>
      <c r="S923" s="2176"/>
      <c r="T923" s="2176"/>
      <c r="U923" s="2176"/>
      <c r="V923" s="2176"/>
      <c r="W923" s="2176"/>
      <c r="X923" s="2176"/>
      <c r="Y923" s="2176"/>
      <c r="Z923" s="13"/>
      <c r="AA923" s="13"/>
      <c r="AB923" s="13"/>
      <c r="AC923" s="13"/>
    </row>
    <row r="924" spans="1:29" ht="15.75" customHeight="1">
      <c r="A924" s="1933"/>
      <c r="B924" s="2196"/>
      <c r="C924" s="2196"/>
      <c r="D924" s="2197"/>
      <c r="E924" s="2197"/>
      <c r="F924" s="2196"/>
      <c r="G924" s="2196"/>
      <c r="H924" s="2196"/>
      <c r="I924" s="2196"/>
      <c r="J924" s="2196"/>
      <c r="K924" s="2176"/>
      <c r="L924" s="2176"/>
      <c r="M924" s="2176"/>
      <c r="N924" s="2176"/>
      <c r="O924" s="2176"/>
      <c r="P924" s="2176"/>
      <c r="Q924" s="2176"/>
      <c r="R924" s="2176"/>
      <c r="S924" s="2176"/>
      <c r="T924" s="2176"/>
      <c r="U924" s="2176"/>
      <c r="V924" s="2176"/>
      <c r="W924" s="2176"/>
      <c r="X924" s="2176"/>
      <c r="Y924" s="2176"/>
      <c r="Z924" s="13"/>
      <c r="AA924" s="13"/>
      <c r="AB924" s="13"/>
      <c r="AC924" s="13"/>
    </row>
    <row r="925" spans="1:29" ht="15.75" customHeight="1">
      <c r="A925" s="1933"/>
      <c r="B925" s="2196"/>
      <c r="C925" s="2196"/>
      <c r="D925" s="2197"/>
      <c r="E925" s="2197"/>
      <c r="F925" s="2196"/>
      <c r="G925" s="2196"/>
      <c r="H925" s="2196"/>
      <c r="I925" s="2196"/>
      <c r="J925" s="2196"/>
      <c r="K925" s="2176"/>
      <c r="L925" s="2176"/>
      <c r="M925" s="2176"/>
      <c r="N925" s="2176"/>
      <c r="O925" s="2176"/>
      <c r="P925" s="2176"/>
      <c r="Q925" s="2176"/>
      <c r="R925" s="2176"/>
      <c r="S925" s="2176"/>
      <c r="T925" s="2176"/>
      <c r="U925" s="2176"/>
      <c r="V925" s="2176"/>
      <c r="W925" s="2176"/>
      <c r="X925" s="2176"/>
      <c r="Y925" s="2176"/>
      <c r="Z925" s="13"/>
      <c r="AA925" s="13"/>
      <c r="AB925" s="13"/>
      <c r="AC925" s="13"/>
    </row>
    <row r="926" spans="1:29" ht="15.75" customHeight="1">
      <c r="A926" s="1933"/>
      <c r="B926" s="2196"/>
      <c r="C926" s="2196"/>
      <c r="D926" s="2197"/>
      <c r="E926" s="2197"/>
      <c r="F926" s="2196"/>
      <c r="G926" s="2196"/>
      <c r="H926" s="2196"/>
      <c r="I926" s="2196"/>
      <c r="J926" s="2196"/>
      <c r="K926" s="2176"/>
      <c r="L926" s="2176"/>
      <c r="M926" s="2176"/>
      <c r="N926" s="2176"/>
      <c r="O926" s="2176"/>
      <c r="P926" s="2176"/>
      <c r="Q926" s="2176"/>
      <c r="R926" s="2176"/>
      <c r="S926" s="2176"/>
      <c r="T926" s="2176"/>
      <c r="U926" s="2176"/>
      <c r="V926" s="2176"/>
      <c r="W926" s="2176"/>
      <c r="X926" s="2176"/>
      <c r="Y926" s="2176"/>
      <c r="Z926" s="13"/>
      <c r="AA926" s="13"/>
      <c r="AB926" s="13"/>
      <c r="AC926" s="13"/>
    </row>
    <row r="927" spans="1:29" ht="15.75" customHeight="1">
      <c r="A927" s="1933"/>
      <c r="B927" s="2196"/>
      <c r="C927" s="2196"/>
      <c r="D927" s="2197"/>
      <c r="E927" s="2197"/>
      <c r="F927" s="2196"/>
      <c r="G927" s="2196"/>
      <c r="H927" s="2196"/>
      <c r="I927" s="2196"/>
      <c r="J927" s="2196"/>
      <c r="K927" s="2176"/>
      <c r="L927" s="2176"/>
      <c r="M927" s="2176"/>
      <c r="N927" s="2176"/>
      <c r="O927" s="2176"/>
      <c r="P927" s="2176"/>
      <c r="Q927" s="2176"/>
      <c r="R927" s="2176"/>
      <c r="S927" s="2176"/>
      <c r="T927" s="2176"/>
      <c r="U927" s="2176"/>
      <c r="V927" s="2176"/>
      <c r="W927" s="2176"/>
      <c r="X927" s="2176"/>
      <c r="Y927" s="2176"/>
      <c r="Z927" s="13"/>
      <c r="AA927" s="13"/>
      <c r="AB927" s="13"/>
      <c r="AC927" s="13"/>
    </row>
    <row r="928" spans="1:29" ht="15.75" customHeight="1">
      <c r="A928" s="1933"/>
      <c r="B928" s="2196"/>
      <c r="C928" s="2196"/>
      <c r="D928" s="2197"/>
      <c r="E928" s="2197"/>
      <c r="F928" s="2196"/>
      <c r="G928" s="2196"/>
      <c r="H928" s="2196"/>
      <c r="I928" s="2196"/>
      <c r="J928" s="2196"/>
      <c r="K928" s="2176"/>
      <c r="L928" s="2176"/>
      <c r="M928" s="2176"/>
      <c r="N928" s="2176"/>
      <c r="O928" s="2176"/>
      <c r="P928" s="2176"/>
      <c r="Q928" s="2176"/>
      <c r="R928" s="2176"/>
      <c r="S928" s="2176"/>
      <c r="T928" s="2176"/>
      <c r="U928" s="2176"/>
      <c r="V928" s="2176"/>
      <c r="W928" s="2176"/>
      <c r="X928" s="2176"/>
      <c r="Y928" s="2176"/>
      <c r="Z928" s="13"/>
      <c r="AA928" s="13"/>
      <c r="AB928" s="13"/>
      <c r="AC928" s="13"/>
    </row>
    <row r="929" spans="1:29" ht="15.75" customHeight="1">
      <c r="A929" s="1933"/>
      <c r="B929" s="2196"/>
      <c r="C929" s="2196"/>
      <c r="D929" s="2197"/>
      <c r="E929" s="2197"/>
      <c r="F929" s="2196"/>
      <c r="G929" s="2196"/>
      <c r="H929" s="2196"/>
      <c r="I929" s="2196"/>
      <c r="J929" s="2196"/>
      <c r="K929" s="2176"/>
      <c r="L929" s="2176"/>
      <c r="M929" s="2176"/>
      <c r="N929" s="2176"/>
      <c r="O929" s="2176"/>
      <c r="P929" s="2176"/>
      <c r="Q929" s="2176"/>
      <c r="R929" s="2176"/>
      <c r="S929" s="2176"/>
      <c r="T929" s="2176"/>
      <c r="U929" s="2176"/>
      <c r="V929" s="2176"/>
      <c r="W929" s="2176"/>
      <c r="X929" s="2176"/>
      <c r="Y929" s="2176"/>
      <c r="Z929" s="13"/>
      <c r="AA929" s="13"/>
      <c r="AB929" s="13"/>
      <c r="AC929" s="13"/>
    </row>
    <row r="930" spans="1:29" ht="15.75" customHeight="1">
      <c r="A930" s="1933"/>
      <c r="B930" s="2196"/>
      <c r="C930" s="2196"/>
      <c r="D930" s="2197"/>
      <c r="E930" s="2197"/>
      <c r="F930" s="2196"/>
      <c r="G930" s="2196"/>
      <c r="H930" s="2196"/>
      <c r="I930" s="2196"/>
      <c r="J930" s="2196"/>
      <c r="K930" s="2176"/>
      <c r="L930" s="2176"/>
      <c r="M930" s="2176"/>
      <c r="N930" s="2176"/>
      <c r="O930" s="2176"/>
      <c r="P930" s="2176"/>
      <c r="Q930" s="2176"/>
      <c r="R930" s="2176"/>
      <c r="S930" s="2176"/>
      <c r="T930" s="2176"/>
      <c r="U930" s="2176"/>
      <c r="V930" s="2176"/>
      <c r="W930" s="2176"/>
      <c r="X930" s="2176"/>
      <c r="Y930" s="2176"/>
      <c r="Z930" s="13"/>
      <c r="AA930" s="13"/>
      <c r="AB930" s="13"/>
      <c r="AC930" s="13"/>
    </row>
    <row r="931" spans="1:29" ht="15.75" customHeight="1">
      <c r="A931" s="1933"/>
      <c r="B931" s="2196"/>
      <c r="C931" s="2196"/>
      <c r="D931" s="2197"/>
      <c r="E931" s="2197"/>
      <c r="F931" s="2196"/>
      <c r="G931" s="2196"/>
      <c r="H931" s="2196"/>
      <c r="I931" s="2196"/>
      <c r="J931" s="2196"/>
      <c r="K931" s="2176"/>
      <c r="L931" s="2176"/>
      <c r="M931" s="2176"/>
      <c r="N931" s="2176"/>
      <c r="O931" s="2176"/>
      <c r="P931" s="2176"/>
      <c r="Q931" s="2176"/>
      <c r="R931" s="2176"/>
      <c r="S931" s="2176"/>
      <c r="T931" s="2176"/>
      <c r="U931" s="2176"/>
      <c r="V931" s="2176"/>
      <c r="W931" s="2176"/>
      <c r="X931" s="2176"/>
      <c r="Y931" s="2176"/>
      <c r="Z931" s="13"/>
      <c r="AA931" s="13"/>
      <c r="AB931" s="13"/>
      <c r="AC931" s="13"/>
    </row>
    <row r="932" spans="1:29" ht="15.75" customHeight="1">
      <c r="A932" s="1933"/>
      <c r="B932" s="2196"/>
      <c r="C932" s="2196"/>
      <c r="D932" s="2197"/>
      <c r="E932" s="2197"/>
      <c r="F932" s="2196"/>
      <c r="G932" s="2196"/>
      <c r="H932" s="2196"/>
      <c r="I932" s="2196"/>
      <c r="J932" s="2196"/>
      <c r="K932" s="2176"/>
      <c r="L932" s="2176"/>
      <c r="M932" s="2176"/>
      <c r="N932" s="2176"/>
      <c r="O932" s="2176"/>
      <c r="P932" s="2176"/>
      <c r="Q932" s="2176"/>
      <c r="R932" s="2176"/>
      <c r="S932" s="2176"/>
      <c r="T932" s="2176"/>
      <c r="U932" s="2176"/>
      <c r="V932" s="2176"/>
      <c r="W932" s="2176"/>
      <c r="X932" s="2176"/>
      <c r="Y932" s="2176"/>
      <c r="Z932" s="13"/>
      <c r="AA932" s="13"/>
      <c r="AB932" s="13"/>
      <c r="AC932" s="13"/>
    </row>
    <row r="933" spans="1:29" ht="15.75" customHeight="1">
      <c r="A933" s="1933"/>
      <c r="B933" s="2196"/>
      <c r="C933" s="2196"/>
      <c r="D933" s="2197"/>
      <c r="E933" s="2197"/>
      <c r="F933" s="2196"/>
      <c r="G933" s="2196"/>
      <c r="H933" s="2196"/>
      <c r="I933" s="2196"/>
      <c r="J933" s="2196"/>
      <c r="K933" s="2176"/>
      <c r="L933" s="2176"/>
      <c r="M933" s="2176"/>
      <c r="N933" s="2176"/>
      <c r="O933" s="2176"/>
      <c r="P933" s="2176"/>
      <c r="Q933" s="2176"/>
      <c r="R933" s="2176"/>
      <c r="S933" s="2176"/>
      <c r="T933" s="2176"/>
      <c r="U933" s="2176"/>
      <c r="V933" s="2176"/>
      <c r="W933" s="2176"/>
      <c r="X933" s="2176"/>
      <c r="Y933" s="2176"/>
      <c r="Z933" s="13"/>
      <c r="AA933" s="13"/>
      <c r="AB933" s="13"/>
      <c r="AC933" s="13"/>
    </row>
    <row r="934" spans="1:29" ht="15.75" customHeight="1">
      <c r="A934" s="1933"/>
      <c r="B934" s="2196"/>
      <c r="C934" s="2196"/>
      <c r="D934" s="2197"/>
      <c r="E934" s="2197"/>
      <c r="F934" s="2196"/>
      <c r="G934" s="2196"/>
      <c r="H934" s="2196"/>
      <c r="I934" s="2196"/>
      <c r="J934" s="2196"/>
      <c r="K934" s="2176"/>
      <c r="L934" s="2176"/>
      <c r="M934" s="2176"/>
      <c r="N934" s="2176"/>
      <c r="O934" s="2176"/>
      <c r="P934" s="2176"/>
      <c r="Q934" s="2176"/>
      <c r="R934" s="2176"/>
      <c r="S934" s="2176"/>
      <c r="T934" s="2176"/>
      <c r="U934" s="2176"/>
      <c r="V934" s="2176"/>
      <c r="W934" s="2176"/>
      <c r="X934" s="2176"/>
      <c r="Y934" s="2176"/>
      <c r="Z934" s="13"/>
      <c r="AA934" s="13"/>
      <c r="AB934" s="13"/>
      <c r="AC934" s="13"/>
    </row>
    <row r="935" spans="1:29" ht="15.75" customHeight="1">
      <c r="A935" s="1933"/>
      <c r="B935" s="2196"/>
      <c r="C935" s="2196"/>
      <c r="D935" s="2197"/>
      <c r="E935" s="2197"/>
      <c r="F935" s="2196"/>
      <c r="G935" s="2196"/>
      <c r="H935" s="2196"/>
      <c r="I935" s="2196"/>
      <c r="J935" s="2196"/>
      <c r="K935" s="2176"/>
      <c r="L935" s="2176"/>
      <c r="M935" s="2176"/>
      <c r="N935" s="2176"/>
      <c r="O935" s="2176"/>
      <c r="P935" s="2176"/>
      <c r="Q935" s="2176"/>
      <c r="R935" s="2176"/>
      <c r="S935" s="2176"/>
      <c r="T935" s="2176"/>
      <c r="U935" s="2176"/>
      <c r="V935" s="2176"/>
      <c r="W935" s="2176"/>
      <c r="X935" s="2176"/>
      <c r="Y935" s="2176"/>
      <c r="Z935" s="13"/>
      <c r="AA935" s="13"/>
      <c r="AB935" s="13"/>
      <c r="AC935" s="13"/>
    </row>
    <row r="936" spans="1:29" ht="15.75" customHeight="1">
      <c r="A936" s="1933"/>
      <c r="B936" s="2196"/>
      <c r="C936" s="2196"/>
      <c r="D936" s="2197"/>
      <c r="E936" s="2197"/>
      <c r="F936" s="2196"/>
      <c r="G936" s="2196"/>
      <c r="H936" s="2196"/>
      <c r="I936" s="2196"/>
      <c r="J936" s="2196"/>
      <c r="K936" s="2176"/>
      <c r="L936" s="2176"/>
      <c r="M936" s="2176"/>
      <c r="N936" s="2176"/>
      <c r="O936" s="2176"/>
      <c r="P936" s="2176"/>
      <c r="Q936" s="2176"/>
      <c r="R936" s="2176"/>
      <c r="S936" s="2176"/>
      <c r="T936" s="2176"/>
      <c r="U936" s="2176"/>
      <c r="V936" s="2176"/>
      <c r="W936" s="2176"/>
      <c r="X936" s="2176"/>
      <c r="Y936" s="2176"/>
      <c r="Z936" s="13"/>
      <c r="AA936" s="13"/>
      <c r="AB936" s="13"/>
      <c r="AC936" s="13"/>
    </row>
    <row r="937" spans="1:29" ht="15.75" customHeight="1">
      <c r="A937" s="1933"/>
      <c r="B937" s="2196"/>
      <c r="C937" s="2196"/>
      <c r="D937" s="2197"/>
      <c r="E937" s="2197"/>
      <c r="F937" s="2196"/>
      <c r="G937" s="2196"/>
      <c r="H937" s="2196"/>
      <c r="I937" s="2196"/>
      <c r="J937" s="2196"/>
      <c r="K937" s="2176"/>
      <c r="L937" s="2176"/>
      <c r="M937" s="2176"/>
      <c r="N937" s="2176"/>
      <c r="O937" s="2176"/>
      <c r="P937" s="2176"/>
      <c r="Q937" s="2176"/>
      <c r="R937" s="2176"/>
      <c r="S937" s="2176"/>
      <c r="T937" s="2176"/>
      <c r="U937" s="2176"/>
      <c r="V937" s="2176"/>
      <c r="W937" s="2176"/>
      <c r="X937" s="2176"/>
      <c r="Y937" s="2176"/>
      <c r="Z937" s="13"/>
      <c r="AA937" s="13"/>
      <c r="AB937" s="13"/>
      <c r="AC937" s="13"/>
    </row>
    <row r="938" spans="1:29" ht="15.75" customHeight="1">
      <c r="A938" s="1933"/>
      <c r="B938" s="2196"/>
      <c r="C938" s="2196"/>
      <c r="D938" s="2197"/>
      <c r="E938" s="2197"/>
      <c r="F938" s="2196"/>
      <c r="G938" s="2196"/>
      <c r="H938" s="2196"/>
      <c r="I938" s="2196"/>
      <c r="J938" s="2196"/>
      <c r="K938" s="2176"/>
      <c r="L938" s="2176"/>
      <c r="M938" s="2176"/>
      <c r="N938" s="2176"/>
      <c r="O938" s="2176"/>
      <c r="P938" s="2176"/>
      <c r="Q938" s="2176"/>
      <c r="R938" s="2176"/>
      <c r="S938" s="2176"/>
      <c r="T938" s="2176"/>
      <c r="U938" s="2176"/>
      <c r="V938" s="2176"/>
      <c r="W938" s="2176"/>
      <c r="X938" s="2176"/>
      <c r="Y938" s="2176"/>
      <c r="Z938" s="13"/>
      <c r="AA938" s="13"/>
      <c r="AB938" s="13"/>
      <c r="AC938" s="13"/>
    </row>
    <row r="939" spans="1:29" ht="15.75" customHeight="1">
      <c r="A939" s="1933"/>
      <c r="B939" s="2196"/>
      <c r="C939" s="2196"/>
      <c r="D939" s="2197"/>
      <c r="E939" s="2197"/>
      <c r="F939" s="2196"/>
      <c r="G939" s="2196"/>
      <c r="H939" s="2196"/>
      <c r="I939" s="2196"/>
      <c r="J939" s="2196"/>
      <c r="K939" s="2176"/>
      <c r="L939" s="2176"/>
      <c r="M939" s="2176"/>
      <c r="N939" s="2176"/>
      <c r="O939" s="2176"/>
      <c r="P939" s="2176"/>
      <c r="Q939" s="2176"/>
      <c r="R939" s="2176"/>
      <c r="S939" s="2176"/>
      <c r="T939" s="2176"/>
      <c r="U939" s="2176"/>
      <c r="V939" s="2176"/>
      <c r="W939" s="2176"/>
      <c r="X939" s="2176"/>
      <c r="Y939" s="2176"/>
      <c r="Z939" s="13"/>
      <c r="AA939" s="13"/>
      <c r="AB939" s="13"/>
      <c r="AC939" s="13"/>
    </row>
    <row r="940" spans="1:29" ht="15.75" customHeight="1">
      <c r="A940" s="1933"/>
      <c r="B940" s="2196"/>
      <c r="C940" s="2196"/>
      <c r="D940" s="2197"/>
      <c r="E940" s="2197"/>
      <c r="F940" s="2196"/>
      <c r="G940" s="2196"/>
      <c r="H940" s="2196"/>
      <c r="I940" s="2196"/>
      <c r="J940" s="2196"/>
      <c r="K940" s="2176"/>
      <c r="L940" s="2176"/>
      <c r="M940" s="2176"/>
      <c r="N940" s="2176"/>
      <c r="O940" s="2176"/>
      <c r="P940" s="2176"/>
      <c r="Q940" s="2176"/>
      <c r="R940" s="2176"/>
      <c r="S940" s="2176"/>
      <c r="T940" s="2176"/>
      <c r="U940" s="2176"/>
      <c r="V940" s="2176"/>
      <c r="W940" s="2176"/>
      <c r="X940" s="2176"/>
      <c r="Y940" s="2176"/>
      <c r="Z940" s="13"/>
      <c r="AA940" s="13"/>
      <c r="AB940" s="13"/>
      <c r="AC940" s="13"/>
    </row>
    <row r="941" spans="1:29" ht="15.75" customHeight="1">
      <c r="A941" s="1933"/>
      <c r="B941" s="2196"/>
      <c r="C941" s="2196"/>
      <c r="D941" s="2197"/>
      <c r="E941" s="2197"/>
      <c r="F941" s="2196"/>
      <c r="G941" s="2196"/>
      <c r="H941" s="2196"/>
      <c r="I941" s="2196"/>
      <c r="J941" s="2196"/>
      <c r="K941" s="2176"/>
      <c r="L941" s="2176"/>
      <c r="M941" s="2176"/>
      <c r="N941" s="2176"/>
      <c r="O941" s="2176"/>
      <c r="P941" s="2176"/>
      <c r="Q941" s="2176"/>
      <c r="R941" s="2176"/>
      <c r="S941" s="2176"/>
      <c r="T941" s="2176"/>
      <c r="U941" s="2176"/>
      <c r="V941" s="2176"/>
      <c r="W941" s="2176"/>
      <c r="X941" s="2176"/>
      <c r="Y941" s="2176"/>
      <c r="Z941" s="13"/>
      <c r="AA941" s="13"/>
      <c r="AB941" s="13"/>
      <c r="AC941" s="13"/>
    </row>
    <row r="942" spans="1:29" ht="15.75" customHeight="1">
      <c r="A942" s="1933"/>
      <c r="B942" s="2196"/>
      <c r="C942" s="2196"/>
      <c r="D942" s="2197"/>
      <c r="E942" s="2197"/>
      <c r="F942" s="2196"/>
      <c r="G942" s="2196"/>
      <c r="H942" s="2196"/>
      <c r="I942" s="2196"/>
      <c r="J942" s="2196"/>
      <c r="K942" s="2176"/>
      <c r="L942" s="2176"/>
      <c r="M942" s="2176"/>
      <c r="N942" s="2176"/>
      <c r="O942" s="2176"/>
      <c r="P942" s="2176"/>
      <c r="Q942" s="2176"/>
      <c r="R942" s="2176"/>
      <c r="S942" s="2176"/>
      <c r="T942" s="2176"/>
      <c r="U942" s="2176"/>
      <c r="V942" s="2176"/>
      <c r="W942" s="2176"/>
      <c r="X942" s="2176"/>
      <c r="Y942" s="2176"/>
      <c r="Z942" s="13"/>
      <c r="AA942" s="13"/>
      <c r="AB942" s="13"/>
      <c r="AC942" s="13"/>
    </row>
    <row r="943" spans="1:29" ht="15.75" customHeight="1">
      <c r="A943" s="1933"/>
      <c r="B943" s="2196"/>
      <c r="C943" s="2196"/>
      <c r="D943" s="2197"/>
      <c r="E943" s="2197"/>
      <c r="F943" s="2196"/>
      <c r="G943" s="2196"/>
      <c r="H943" s="2196"/>
      <c r="I943" s="2196"/>
      <c r="J943" s="2196"/>
      <c r="K943" s="2176"/>
      <c r="L943" s="2176"/>
      <c r="M943" s="2176"/>
      <c r="N943" s="2176"/>
      <c r="O943" s="2176"/>
      <c r="P943" s="2176"/>
      <c r="Q943" s="2176"/>
      <c r="R943" s="2176"/>
      <c r="S943" s="2176"/>
      <c r="T943" s="2176"/>
      <c r="U943" s="2176"/>
      <c r="V943" s="2176"/>
      <c r="W943" s="2176"/>
      <c r="X943" s="2176"/>
      <c r="Y943" s="2176"/>
      <c r="Z943" s="13"/>
      <c r="AA943" s="13"/>
      <c r="AB943" s="13"/>
      <c r="AC943" s="13"/>
    </row>
    <row r="944" spans="1:29" ht="15.75" customHeight="1">
      <c r="A944" s="1933"/>
      <c r="B944" s="2196"/>
      <c r="C944" s="2196"/>
      <c r="D944" s="2197"/>
      <c r="E944" s="2197"/>
      <c r="F944" s="2196"/>
      <c r="G944" s="2196"/>
      <c r="H944" s="2196"/>
      <c r="I944" s="2196"/>
      <c r="J944" s="2196"/>
      <c r="K944" s="2176"/>
      <c r="L944" s="2176"/>
      <c r="M944" s="2176"/>
      <c r="N944" s="2176"/>
      <c r="O944" s="2176"/>
      <c r="P944" s="2176"/>
      <c r="Q944" s="2176"/>
      <c r="R944" s="2176"/>
      <c r="S944" s="2176"/>
      <c r="T944" s="2176"/>
      <c r="U944" s="2176"/>
      <c r="V944" s="2176"/>
      <c r="W944" s="2176"/>
      <c r="X944" s="2176"/>
      <c r="Y944" s="2176"/>
      <c r="Z944" s="13"/>
      <c r="AA944" s="13"/>
      <c r="AB944" s="13"/>
      <c r="AC944" s="13"/>
    </row>
    <row r="945" spans="1:29" ht="15.75" customHeight="1">
      <c r="A945" s="1933"/>
      <c r="B945" s="2196"/>
      <c r="C945" s="2196"/>
      <c r="D945" s="2197"/>
      <c r="E945" s="2197"/>
      <c r="F945" s="2196"/>
      <c r="G945" s="2196"/>
      <c r="H945" s="2196"/>
      <c r="I945" s="2196"/>
      <c r="J945" s="2196"/>
      <c r="K945" s="2176"/>
      <c r="L945" s="2176"/>
      <c r="M945" s="2176"/>
      <c r="N945" s="2176"/>
      <c r="O945" s="2176"/>
      <c r="P945" s="2176"/>
      <c r="Q945" s="2176"/>
      <c r="R945" s="2176"/>
      <c r="S945" s="2176"/>
      <c r="T945" s="2176"/>
      <c r="U945" s="2176"/>
      <c r="V945" s="2176"/>
      <c r="W945" s="2176"/>
      <c r="X945" s="2176"/>
      <c r="Y945" s="2176"/>
      <c r="Z945" s="13"/>
      <c r="AA945" s="13"/>
      <c r="AB945" s="13"/>
      <c r="AC945" s="13"/>
    </row>
    <row r="946" spans="1:29" ht="15.75" customHeight="1">
      <c r="A946" s="1933"/>
      <c r="B946" s="2196"/>
      <c r="C946" s="2196"/>
      <c r="D946" s="2197"/>
      <c r="E946" s="2197"/>
      <c r="F946" s="2196"/>
      <c r="G946" s="2196"/>
      <c r="H946" s="2196"/>
      <c r="I946" s="2196"/>
      <c r="J946" s="2196"/>
      <c r="K946" s="2176"/>
      <c r="L946" s="2176"/>
      <c r="M946" s="2176"/>
      <c r="N946" s="2176"/>
      <c r="O946" s="2176"/>
      <c r="P946" s="2176"/>
      <c r="Q946" s="2176"/>
      <c r="R946" s="2176"/>
      <c r="S946" s="2176"/>
      <c r="T946" s="2176"/>
      <c r="U946" s="2176"/>
      <c r="V946" s="2176"/>
      <c r="W946" s="2176"/>
      <c r="X946" s="2176"/>
      <c r="Y946" s="2176"/>
      <c r="Z946" s="13"/>
      <c r="AA946" s="13"/>
      <c r="AB946" s="13"/>
      <c r="AC946" s="13"/>
    </row>
    <row r="947" spans="1:29" ht="15.75" customHeight="1">
      <c r="A947" s="1933"/>
      <c r="B947" s="2196"/>
      <c r="C947" s="2196"/>
      <c r="D947" s="2197"/>
      <c r="E947" s="2197"/>
      <c r="F947" s="2196"/>
      <c r="G947" s="2196"/>
      <c r="H947" s="2196"/>
      <c r="I947" s="2196"/>
      <c r="J947" s="2196"/>
      <c r="K947" s="2176"/>
      <c r="L947" s="2176"/>
      <c r="M947" s="2176"/>
      <c r="N947" s="2176"/>
      <c r="O947" s="2176"/>
      <c r="P947" s="2176"/>
      <c r="Q947" s="2176"/>
      <c r="R947" s="2176"/>
      <c r="S947" s="2176"/>
      <c r="T947" s="2176"/>
      <c r="U947" s="2176"/>
      <c r="V947" s="2176"/>
      <c r="W947" s="2176"/>
      <c r="X947" s="2176"/>
      <c r="Y947" s="2176"/>
      <c r="Z947" s="13"/>
      <c r="AA947" s="13"/>
      <c r="AB947" s="13"/>
      <c r="AC947" s="13"/>
    </row>
    <row r="948" spans="1:29" ht="15.75" customHeight="1">
      <c r="A948" s="1933"/>
      <c r="B948" s="2196"/>
      <c r="C948" s="2196"/>
      <c r="D948" s="2197"/>
      <c r="E948" s="2197"/>
      <c r="F948" s="2196"/>
      <c r="G948" s="2196"/>
      <c r="H948" s="2196"/>
      <c r="I948" s="2196"/>
      <c r="J948" s="2196"/>
      <c r="K948" s="2176"/>
      <c r="L948" s="2176"/>
      <c r="M948" s="2176"/>
      <c r="N948" s="2176"/>
      <c r="O948" s="2176"/>
      <c r="P948" s="2176"/>
      <c r="Q948" s="2176"/>
      <c r="R948" s="2176"/>
      <c r="S948" s="2176"/>
      <c r="T948" s="2176"/>
      <c r="U948" s="2176"/>
      <c r="V948" s="2176"/>
      <c r="W948" s="2176"/>
      <c r="X948" s="2176"/>
      <c r="Y948" s="2176"/>
      <c r="Z948" s="13"/>
      <c r="AA948" s="13"/>
      <c r="AB948" s="13"/>
      <c r="AC948" s="13"/>
    </row>
    <row r="949" spans="1:29" ht="15.75" customHeight="1">
      <c r="A949" s="1933"/>
      <c r="B949" s="2196"/>
      <c r="C949" s="2196"/>
      <c r="D949" s="2197"/>
      <c r="E949" s="2197"/>
      <c r="F949" s="2196"/>
      <c r="G949" s="2196"/>
      <c r="H949" s="2196"/>
      <c r="I949" s="2196"/>
      <c r="J949" s="2196"/>
      <c r="K949" s="2176"/>
      <c r="L949" s="2176"/>
      <c r="M949" s="2176"/>
      <c r="N949" s="2176"/>
      <c r="O949" s="2176"/>
      <c r="P949" s="2176"/>
      <c r="Q949" s="2176"/>
      <c r="R949" s="2176"/>
      <c r="S949" s="2176"/>
      <c r="T949" s="2176"/>
      <c r="U949" s="2176"/>
      <c r="V949" s="2176"/>
      <c r="W949" s="2176"/>
      <c r="X949" s="2176"/>
      <c r="Y949" s="2176"/>
      <c r="Z949" s="13"/>
      <c r="AA949" s="13"/>
      <c r="AB949" s="13"/>
      <c r="AC949" s="13"/>
    </row>
    <row r="950" spans="1:29" ht="15.75" customHeight="1">
      <c r="A950" s="1933"/>
      <c r="B950" s="2196"/>
      <c r="C950" s="2196"/>
      <c r="D950" s="2197"/>
      <c r="E950" s="2197"/>
      <c r="F950" s="2196"/>
      <c r="G950" s="2196"/>
      <c r="H950" s="2196"/>
      <c r="I950" s="2196"/>
      <c r="J950" s="2196"/>
      <c r="K950" s="2176"/>
      <c r="L950" s="2176"/>
      <c r="M950" s="2176"/>
      <c r="N950" s="2176"/>
      <c r="O950" s="2176"/>
      <c r="P950" s="2176"/>
      <c r="Q950" s="2176"/>
      <c r="R950" s="2176"/>
      <c r="S950" s="2176"/>
      <c r="T950" s="2176"/>
      <c r="U950" s="2176"/>
      <c r="V950" s="2176"/>
      <c r="W950" s="2176"/>
      <c r="X950" s="2176"/>
      <c r="Y950" s="2176"/>
      <c r="Z950" s="13"/>
      <c r="AA950" s="13"/>
      <c r="AB950" s="13"/>
      <c r="AC950" s="13"/>
    </row>
    <row r="951" spans="1:29" ht="15.75" customHeight="1">
      <c r="A951" s="1933"/>
      <c r="B951" s="2196"/>
      <c r="C951" s="2196"/>
      <c r="D951" s="2197"/>
      <c r="E951" s="2197"/>
      <c r="F951" s="2196"/>
      <c r="G951" s="2196"/>
      <c r="H951" s="2196"/>
      <c r="I951" s="2196"/>
      <c r="J951" s="2196"/>
      <c r="K951" s="2176"/>
      <c r="L951" s="2176"/>
      <c r="M951" s="2176"/>
      <c r="N951" s="2176"/>
      <c r="O951" s="2176"/>
      <c r="P951" s="2176"/>
      <c r="Q951" s="2176"/>
      <c r="R951" s="2176"/>
      <c r="S951" s="2176"/>
      <c r="T951" s="2176"/>
      <c r="U951" s="2176"/>
      <c r="V951" s="2176"/>
      <c r="W951" s="2176"/>
      <c r="X951" s="2176"/>
      <c r="Y951" s="2176"/>
      <c r="Z951" s="13"/>
      <c r="AA951" s="13"/>
      <c r="AB951" s="13"/>
      <c r="AC951" s="13"/>
    </row>
    <row r="952" spans="1:29" ht="15.75" customHeight="1">
      <c r="A952" s="1933"/>
      <c r="B952" s="2196"/>
      <c r="C952" s="2196"/>
      <c r="D952" s="2197"/>
      <c r="E952" s="2197"/>
      <c r="F952" s="2196"/>
      <c r="G952" s="2196"/>
      <c r="H952" s="2196"/>
      <c r="I952" s="2196"/>
      <c r="J952" s="2196"/>
      <c r="K952" s="2176"/>
      <c r="L952" s="2176"/>
      <c r="M952" s="2176"/>
      <c r="N952" s="2176"/>
      <c r="O952" s="2176"/>
      <c r="P952" s="2176"/>
      <c r="Q952" s="2176"/>
      <c r="R952" s="2176"/>
      <c r="S952" s="2176"/>
      <c r="T952" s="2176"/>
      <c r="U952" s="2176"/>
      <c r="V952" s="2176"/>
      <c r="W952" s="2176"/>
      <c r="X952" s="2176"/>
      <c r="Y952" s="2176"/>
      <c r="Z952" s="13"/>
      <c r="AA952" s="13"/>
      <c r="AB952" s="13"/>
      <c r="AC952" s="13"/>
    </row>
    <row r="953" spans="1:29" ht="15.75" customHeight="1">
      <c r="A953" s="1933"/>
      <c r="B953" s="2196"/>
      <c r="C953" s="2196"/>
      <c r="D953" s="2197"/>
      <c r="E953" s="2197"/>
      <c r="F953" s="2196"/>
      <c r="G953" s="2196"/>
      <c r="H953" s="2196"/>
      <c r="I953" s="2196"/>
      <c r="J953" s="2196"/>
      <c r="K953" s="2176"/>
      <c r="L953" s="2176"/>
      <c r="M953" s="2176"/>
      <c r="N953" s="2176"/>
      <c r="O953" s="2176"/>
      <c r="P953" s="2176"/>
      <c r="Q953" s="2176"/>
      <c r="R953" s="2176"/>
      <c r="S953" s="2176"/>
      <c r="T953" s="2176"/>
      <c r="U953" s="2176"/>
      <c r="V953" s="2176"/>
      <c r="W953" s="2176"/>
      <c r="X953" s="2176"/>
      <c r="Y953" s="2176"/>
      <c r="Z953" s="13"/>
      <c r="AA953" s="13"/>
      <c r="AB953" s="13"/>
      <c r="AC953" s="13"/>
    </row>
    <row r="954" spans="1:29" ht="15.75" customHeight="1">
      <c r="A954" s="1933"/>
      <c r="B954" s="2196"/>
      <c r="C954" s="2196"/>
      <c r="D954" s="2197"/>
      <c r="E954" s="2197"/>
      <c r="F954" s="2196"/>
      <c r="G954" s="2196"/>
      <c r="H954" s="2196"/>
      <c r="I954" s="2196"/>
      <c r="J954" s="2196"/>
      <c r="K954" s="2176"/>
      <c r="L954" s="2176"/>
      <c r="M954" s="2176"/>
      <c r="N954" s="2176"/>
      <c r="O954" s="2176"/>
      <c r="P954" s="2176"/>
      <c r="Q954" s="2176"/>
      <c r="R954" s="2176"/>
      <c r="S954" s="2176"/>
      <c r="T954" s="2176"/>
      <c r="U954" s="2176"/>
      <c r="V954" s="2176"/>
      <c r="W954" s="2176"/>
      <c r="X954" s="2176"/>
      <c r="Y954" s="2176"/>
      <c r="Z954" s="13"/>
      <c r="AA954" s="13"/>
      <c r="AB954" s="13"/>
      <c r="AC954" s="13"/>
    </row>
    <row r="955" spans="1:29" ht="15.75" customHeight="1">
      <c r="A955" s="1933"/>
      <c r="B955" s="2196"/>
      <c r="C955" s="2196"/>
      <c r="D955" s="2197"/>
      <c r="E955" s="2197"/>
      <c r="F955" s="2196"/>
      <c r="G955" s="2196"/>
      <c r="H955" s="2196"/>
      <c r="I955" s="2196"/>
      <c r="J955" s="2196"/>
      <c r="K955" s="2176"/>
      <c r="L955" s="2176"/>
      <c r="M955" s="2176"/>
      <c r="N955" s="2176"/>
      <c r="O955" s="2176"/>
      <c r="P955" s="2176"/>
      <c r="Q955" s="2176"/>
      <c r="R955" s="2176"/>
      <c r="S955" s="2176"/>
      <c r="T955" s="2176"/>
      <c r="U955" s="2176"/>
      <c r="V955" s="2176"/>
      <c r="W955" s="2176"/>
      <c r="X955" s="2176"/>
      <c r="Y955" s="2176"/>
      <c r="Z955" s="13"/>
      <c r="AA955" s="13"/>
      <c r="AB955" s="13"/>
      <c r="AC955" s="13"/>
    </row>
    <row r="956" spans="1:29" ht="15.75" customHeight="1">
      <c r="A956" s="1933"/>
      <c r="B956" s="2196"/>
      <c r="C956" s="2196"/>
      <c r="D956" s="2197"/>
      <c r="E956" s="2197"/>
      <c r="F956" s="2196"/>
      <c r="G956" s="2196"/>
      <c r="H956" s="2196"/>
      <c r="I956" s="2196"/>
      <c r="J956" s="2196"/>
      <c r="K956" s="2176"/>
      <c r="L956" s="2176"/>
      <c r="M956" s="2176"/>
      <c r="N956" s="2176"/>
      <c r="O956" s="2176"/>
      <c r="P956" s="2176"/>
      <c r="Q956" s="2176"/>
      <c r="R956" s="2176"/>
      <c r="S956" s="2176"/>
      <c r="T956" s="2176"/>
      <c r="U956" s="2176"/>
      <c r="V956" s="2176"/>
      <c r="W956" s="2176"/>
      <c r="X956" s="2176"/>
      <c r="Y956" s="2176"/>
      <c r="Z956" s="13"/>
      <c r="AA956" s="13"/>
      <c r="AB956" s="13"/>
      <c r="AC956" s="13"/>
    </row>
    <row r="957" spans="1:29" ht="15.75" customHeight="1">
      <c r="A957" s="1933"/>
      <c r="B957" s="2196"/>
      <c r="C957" s="2196"/>
      <c r="D957" s="2197"/>
      <c r="E957" s="2197"/>
      <c r="F957" s="2196"/>
      <c r="G957" s="2196"/>
      <c r="H957" s="2196"/>
      <c r="I957" s="2196"/>
      <c r="J957" s="2196"/>
      <c r="K957" s="2176"/>
      <c r="L957" s="2176"/>
      <c r="M957" s="2176"/>
      <c r="N957" s="2176"/>
      <c r="O957" s="2176"/>
      <c r="P957" s="2176"/>
      <c r="Q957" s="2176"/>
      <c r="R957" s="2176"/>
      <c r="S957" s="2176"/>
      <c r="T957" s="2176"/>
      <c r="U957" s="2176"/>
      <c r="V957" s="2176"/>
      <c r="W957" s="2176"/>
      <c r="X957" s="2176"/>
      <c r="Y957" s="2176"/>
      <c r="Z957" s="13"/>
      <c r="AA957" s="13"/>
      <c r="AB957" s="13"/>
      <c r="AC957" s="13"/>
    </row>
    <row r="958" spans="1:29" ht="15.75" customHeight="1">
      <c r="A958" s="1933"/>
      <c r="B958" s="2196"/>
      <c r="C958" s="2196"/>
      <c r="D958" s="2197"/>
      <c r="E958" s="2197"/>
      <c r="F958" s="2196"/>
      <c r="G958" s="2196"/>
      <c r="H958" s="2196"/>
      <c r="I958" s="2196"/>
      <c r="J958" s="2196"/>
      <c r="K958" s="2176"/>
      <c r="L958" s="2176"/>
      <c r="M958" s="2176"/>
      <c r="N958" s="2176"/>
      <c r="O958" s="2176"/>
      <c r="P958" s="2176"/>
      <c r="Q958" s="2176"/>
      <c r="R958" s="2176"/>
      <c r="S958" s="2176"/>
      <c r="T958" s="2176"/>
      <c r="U958" s="2176"/>
      <c r="V958" s="2176"/>
      <c r="W958" s="2176"/>
      <c r="X958" s="2176"/>
      <c r="Y958" s="2176"/>
      <c r="Z958" s="13"/>
      <c r="AA958" s="13"/>
      <c r="AB958" s="13"/>
      <c r="AC958" s="13"/>
    </row>
    <row r="959" spans="1:29" ht="15.75" customHeight="1">
      <c r="A959" s="1933"/>
      <c r="B959" s="2196"/>
      <c r="C959" s="2196"/>
      <c r="D959" s="2197"/>
      <c r="E959" s="2197"/>
      <c r="F959" s="2196"/>
      <c r="G959" s="2196"/>
      <c r="H959" s="2196"/>
      <c r="I959" s="2196"/>
      <c r="J959" s="2196"/>
      <c r="K959" s="2176"/>
      <c r="L959" s="2176"/>
      <c r="M959" s="2176"/>
      <c r="N959" s="2176"/>
      <c r="O959" s="2176"/>
      <c r="P959" s="2176"/>
      <c r="Q959" s="2176"/>
      <c r="R959" s="2176"/>
      <c r="S959" s="2176"/>
      <c r="T959" s="2176"/>
      <c r="U959" s="2176"/>
      <c r="V959" s="2176"/>
      <c r="W959" s="2176"/>
      <c r="X959" s="2176"/>
      <c r="Y959" s="2176"/>
      <c r="Z959" s="13"/>
      <c r="AA959" s="13"/>
      <c r="AB959" s="13"/>
      <c r="AC959" s="13"/>
    </row>
    <row r="960" spans="1:29" ht="15.75" customHeight="1">
      <c r="A960" s="1933"/>
      <c r="B960" s="2196"/>
      <c r="C960" s="2196"/>
      <c r="D960" s="2197"/>
      <c r="E960" s="2197"/>
      <c r="F960" s="2196"/>
      <c r="G960" s="2196"/>
      <c r="H960" s="2196"/>
      <c r="I960" s="2196"/>
      <c r="J960" s="2196"/>
      <c r="K960" s="2176"/>
      <c r="L960" s="2176"/>
      <c r="M960" s="2176"/>
      <c r="N960" s="2176"/>
      <c r="O960" s="2176"/>
      <c r="P960" s="2176"/>
      <c r="Q960" s="2176"/>
      <c r="R960" s="2176"/>
      <c r="S960" s="2176"/>
      <c r="T960" s="2176"/>
      <c r="U960" s="2176"/>
      <c r="V960" s="2176"/>
      <c r="W960" s="2176"/>
      <c r="X960" s="2176"/>
      <c r="Y960" s="2176"/>
      <c r="Z960" s="13"/>
      <c r="AA960" s="13"/>
      <c r="AB960" s="13"/>
      <c r="AC960" s="13"/>
    </row>
    <row r="961" spans="1:29" ht="15.75" customHeight="1">
      <c r="A961" s="1933"/>
      <c r="B961" s="2196"/>
      <c r="C961" s="2196"/>
      <c r="D961" s="2197"/>
      <c r="E961" s="2197"/>
      <c r="F961" s="2196"/>
      <c r="G961" s="2196"/>
      <c r="H961" s="2196"/>
      <c r="I961" s="2196"/>
      <c r="J961" s="2196"/>
      <c r="K961" s="2176"/>
      <c r="L961" s="2176"/>
      <c r="M961" s="2176"/>
      <c r="N961" s="2176"/>
      <c r="O961" s="2176"/>
      <c r="P961" s="2176"/>
      <c r="Q961" s="2176"/>
      <c r="R961" s="2176"/>
      <c r="S961" s="2176"/>
      <c r="T961" s="2176"/>
      <c r="U961" s="2176"/>
      <c r="V961" s="2176"/>
      <c r="W961" s="2176"/>
      <c r="X961" s="2176"/>
      <c r="Y961" s="2176"/>
      <c r="Z961" s="13"/>
      <c r="AA961" s="13"/>
      <c r="AB961" s="13"/>
      <c r="AC961" s="13"/>
    </row>
    <row r="962" spans="1:29" ht="15.75" customHeight="1">
      <c r="A962" s="1933"/>
      <c r="B962" s="2196"/>
      <c r="C962" s="2196"/>
      <c r="D962" s="2197"/>
      <c r="E962" s="2197"/>
      <c r="F962" s="2196"/>
      <c r="G962" s="2196"/>
      <c r="H962" s="2196"/>
      <c r="I962" s="2196"/>
      <c r="J962" s="2196"/>
      <c r="K962" s="2176"/>
      <c r="L962" s="2176"/>
      <c r="M962" s="2176"/>
      <c r="N962" s="2176"/>
      <c r="O962" s="2176"/>
      <c r="P962" s="2176"/>
      <c r="Q962" s="2176"/>
      <c r="R962" s="2176"/>
      <c r="S962" s="2176"/>
      <c r="T962" s="2176"/>
      <c r="U962" s="2176"/>
      <c r="V962" s="2176"/>
      <c r="W962" s="2176"/>
      <c r="X962" s="2176"/>
      <c r="Y962" s="2176"/>
      <c r="Z962" s="13"/>
      <c r="AA962" s="13"/>
      <c r="AB962" s="13"/>
      <c r="AC962" s="13"/>
    </row>
    <row r="963" spans="1:29" ht="15.75" customHeight="1">
      <c r="A963" s="1933"/>
      <c r="B963" s="2196"/>
      <c r="C963" s="2196"/>
      <c r="D963" s="2197"/>
      <c r="E963" s="2197"/>
      <c r="F963" s="2196"/>
      <c r="G963" s="2196"/>
      <c r="H963" s="2196"/>
      <c r="I963" s="2196"/>
      <c r="J963" s="2196"/>
      <c r="K963" s="2176"/>
      <c r="L963" s="2176"/>
      <c r="M963" s="2176"/>
      <c r="N963" s="2176"/>
      <c r="O963" s="2176"/>
      <c r="P963" s="2176"/>
      <c r="Q963" s="2176"/>
      <c r="R963" s="2176"/>
      <c r="S963" s="2176"/>
      <c r="T963" s="2176"/>
      <c r="U963" s="2176"/>
      <c r="V963" s="2176"/>
      <c r="W963" s="2176"/>
      <c r="X963" s="2176"/>
      <c r="Y963" s="2176"/>
      <c r="Z963" s="13"/>
      <c r="AA963" s="13"/>
      <c r="AB963" s="13"/>
      <c r="AC963" s="13"/>
    </row>
    <row r="964" spans="1:29" ht="15.75" customHeight="1">
      <c r="A964" s="1933"/>
      <c r="B964" s="2196"/>
      <c r="C964" s="2196"/>
      <c r="D964" s="2197"/>
      <c r="E964" s="2197"/>
      <c r="F964" s="2196"/>
      <c r="G964" s="2196"/>
      <c r="H964" s="2196"/>
      <c r="I964" s="2196"/>
      <c r="J964" s="2196"/>
      <c r="K964" s="2176"/>
      <c r="L964" s="2176"/>
      <c r="M964" s="2176"/>
      <c r="N964" s="2176"/>
      <c r="O964" s="2176"/>
      <c r="P964" s="2176"/>
      <c r="Q964" s="2176"/>
      <c r="R964" s="2176"/>
      <c r="S964" s="2176"/>
      <c r="T964" s="2176"/>
      <c r="U964" s="2176"/>
      <c r="V964" s="2176"/>
      <c r="W964" s="2176"/>
      <c r="X964" s="2176"/>
      <c r="Y964" s="2176"/>
      <c r="Z964" s="13"/>
      <c r="AA964" s="13"/>
      <c r="AB964" s="13"/>
      <c r="AC964" s="13"/>
    </row>
    <row r="965" spans="1:29" ht="15.75" customHeight="1">
      <c r="A965" s="1933"/>
      <c r="B965" s="2196"/>
      <c r="C965" s="2196"/>
      <c r="D965" s="2197"/>
      <c r="E965" s="2197"/>
      <c r="F965" s="2196"/>
      <c r="G965" s="2196"/>
      <c r="H965" s="2196"/>
      <c r="I965" s="2196"/>
      <c r="J965" s="2196"/>
      <c r="K965" s="2176"/>
      <c r="L965" s="2176"/>
      <c r="M965" s="2176"/>
      <c r="N965" s="2176"/>
      <c r="O965" s="2176"/>
      <c r="P965" s="2176"/>
      <c r="Q965" s="2176"/>
      <c r="R965" s="2176"/>
      <c r="S965" s="2176"/>
      <c r="T965" s="2176"/>
      <c r="U965" s="2176"/>
      <c r="V965" s="2176"/>
      <c r="W965" s="2176"/>
      <c r="X965" s="2176"/>
      <c r="Y965" s="2176"/>
      <c r="Z965" s="13"/>
      <c r="AA965" s="13"/>
      <c r="AB965" s="13"/>
      <c r="AC965" s="13"/>
    </row>
    <row r="966" spans="1:29" ht="15.75" customHeight="1">
      <c r="A966" s="1933"/>
      <c r="B966" s="2196"/>
      <c r="C966" s="2196"/>
      <c r="D966" s="2197"/>
      <c r="E966" s="2197"/>
      <c r="F966" s="2196"/>
      <c r="G966" s="2196"/>
      <c r="H966" s="2196"/>
      <c r="I966" s="2196"/>
      <c r="J966" s="2196"/>
      <c r="K966" s="2176"/>
      <c r="L966" s="2176"/>
      <c r="M966" s="2176"/>
      <c r="N966" s="2176"/>
      <c r="O966" s="2176"/>
      <c r="P966" s="2176"/>
      <c r="Q966" s="2176"/>
      <c r="R966" s="2176"/>
      <c r="S966" s="2176"/>
      <c r="T966" s="2176"/>
      <c r="U966" s="2176"/>
      <c r="V966" s="2176"/>
      <c r="W966" s="2176"/>
      <c r="X966" s="2176"/>
      <c r="Y966" s="2176"/>
      <c r="Z966" s="13"/>
      <c r="AA966" s="13"/>
      <c r="AB966" s="13"/>
      <c r="AC966" s="13"/>
    </row>
    <row r="967" spans="1:29" ht="15.75" customHeight="1">
      <c r="A967" s="1933"/>
      <c r="B967" s="2196"/>
      <c r="C967" s="2196"/>
      <c r="D967" s="2197"/>
      <c r="E967" s="2197"/>
      <c r="F967" s="2196"/>
      <c r="G967" s="2196"/>
      <c r="H967" s="2196"/>
      <c r="I967" s="2196"/>
      <c r="J967" s="2196"/>
      <c r="K967" s="2176"/>
      <c r="L967" s="2176"/>
      <c r="M967" s="2176"/>
      <c r="N967" s="2176"/>
      <c r="O967" s="2176"/>
      <c r="P967" s="2176"/>
      <c r="Q967" s="2176"/>
      <c r="R967" s="2176"/>
      <c r="S967" s="2176"/>
      <c r="T967" s="2176"/>
      <c r="U967" s="2176"/>
      <c r="V967" s="2176"/>
      <c r="W967" s="2176"/>
      <c r="X967" s="2176"/>
      <c r="Y967" s="2176"/>
      <c r="Z967" s="13"/>
      <c r="AA967" s="13"/>
      <c r="AB967" s="13"/>
      <c r="AC967" s="13"/>
    </row>
    <row r="968" spans="1:29" ht="15.75" customHeight="1">
      <c r="A968" s="1933"/>
      <c r="B968" s="2196"/>
      <c r="C968" s="2196"/>
      <c r="D968" s="2197"/>
      <c r="E968" s="2197"/>
      <c r="F968" s="2196"/>
      <c r="G968" s="2196"/>
      <c r="H968" s="2196"/>
      <c r="I968" s="2196"/>
      <c r="J968" s="2196"/>
      <c r="K968" s="2176"/>
      <c r="L968" s="2176"/>
      <c r="M968" s="2176"/>
      <c r="N968" s="2176"/>
      <c r="O968" s="2176"/>
      <c r="P968" s="2176"/>
      <c r="Q968" s="2176"/>
      <c r="R968" s="2176"/>
      <c r="S968" s="2176"/>
      <c r="T968" s="2176"/>
      <c r="U968" s="2176"/>
      <c r="V968" s="2176"/>
      <c r="W968" s="2176"/>
      <c r="X968" s="2176"/>
      <c r="Y968" s="2176"/>
      <c r="Z968" s="13"/>
      <c r="AA968" s="13"/>
      <c r="AB968" s="13"/>
      <c r="AC968" s="13"/>
    </row>
    <row r="969" spans="1:29" ht="15.75" customHeight="1">
      <c r="A969" s="1933"/>
      <c r="B969" s="2196"/>
      <c r="C969" s="2196"/>
      <c r="D969" s="2197"/>
      <c r="E969" s="2197"/>
      <c r="F969" s="2196"/>
      <c r="G969" s="2196"/>
      <c r="H969" s="2196"/>
      <c r="I969" s="2196"/>
      <c r="J969" s="2196"/>
      <c r="K969" s="2176"/>
      <c r="L969" s="2176"/>
      <c r="M969" s="2176"/>
      <c r="N969" s="2176"/>
      <c r="O969" s="2176"/>
      <c r="P969" s="2176"/>
      <c r="Q969" s="2176"/>
      <c r="R969" s="2176"/>
      <c r="S969" s="2176"/>
      <c r="T969" s="2176"/>
      <c r="U969" s="2176"/>
      <c r="V969" s="2176"/>
      <c r="W969" s="2176"/>
      <c r="X969" s="2176"/>
      <c r="Y969" s="2176"/>
      <c r="Z969" s="13"/>
      <c r="AA969" s="13"/>
      <c r="AB969" s="13"/>
      <c r="AC969" s="13"/>
    </row>
    <row r="970" spans="1:29" ht="15.75" customHeight="1">
      <c r="A970" s="1933"/>
      <c r="B970" s="2196"/>
      <c r="C970" s="2196"/>
      <c r="D970" s="2197"/>
      <c r="E970" s="2197"/>
      <c r="F970" s="2196"/>
      <c r="G970" s="2196"/>
      <c r="H970" s="2196"/>
      <c r="I970" s="2196"/>
      <c r="J970" s="2196"/>
      <c r="K970" s="2176"/>
      <c r="L970" s="2176"/>
      <c r="M970" s="2176"/>
      <c r="N970" s="2176"/>
      <c r="O970" s="2176"/>
      <c r="P970" s="2176"/>
      <c r="Q970" s="2176"/>
      <c r="R970" s="2176"/>
      <c r="S970" s="2176"/>
      <c r="T970" s="2176"/>
      <c r="U970" s="2176"/>
      <c r="V970" s="2176"/>
      <c r="W970" s="2176"/>
      <c r="X970" s="2176"/>
      <c r="Y970" s="2176"/>
      <c r="Z970" s="13"/>
      <c r="AA970" s="13"/>
      <c r="AB970" s="13"/>
      <c r="AC970" s="13"/>
    </row>
    <row r="971" spans="1:29" ht="15.75" customHeight="1">
      <c r="A971" s="1933"/>
      <c r="B971" s="2196"/>
      <c r="C971" s="2196"/>
      <c r="D971" s="2197"/>
      <c r="E971" s="2197"/>
      <c r="F971" s="2196"/>
      <c r="G971" s="2196"/>
      <c r="H971" s="2196"/>
      <c r="I971" s="2196"/>
      <c r="J971" s="2196"/>
      <c r="K971" s="2176"/>
      <c r="L971" s="2176"/>
      <c r="M971" s="2176"/>
      <c r="N971" s="2176"/>
      <c r="O971" s="2176"/>
      <c r="P971" s="2176"/>
      <c r="Q971" s="2176"/>
      <c r="R971" s="2176"/>
      <c r="S971" s="2176"/>
      <c r="T971" s="2176"/>
      <c r="U971" s="2176"/>
      <c r="V971" s="2176"/>
      <c r="W971" s="2176"/>
      <c r="X971" s="2176"/>
      <c r="Y971" s="2176"/>
      <c r="Z971" s="13"/>
      <c r="AA971" s="13"/>
      <c r="AB971" s="13"/>
      <c r="AC971" s="13"/>
    </row>
    <row r="972" spans="1:29" ht="15.75" customHeight="1">
      <c r="A972" s="1933"/>
      <c r="B972" s="2196"/>
      <c r="C972" s="2196"/>
      <c r="D972" s="2197"/>
      <c r="E972" s="2197"/>
      <c r="F972" s="2196"/>
      <c r="G972" s="2196"/>
      <c r="H972" s="2196"/>
      <c r="I972" s="2196"/>
      <c r="J972" s="2196"/>
      <c r="K972" s="2176"/>
      <c r="L972" s="2176"/>
      <c r="M972" s="2176"/>
      <c r="N972" s="2176"/>
      <c r="O972" s="2176"/>
      <c r="P972" s="2176"/>
      <c r="Q972" s="2176"/>
      <c r="R972" s="2176"/>
      <c r="S972" s="2176"/>
      <c r="T972" s="2176"/>
      <c r="U972" s="2176"/>
      <c r="V972" s="2176"/>
      <c r="W972" s="2176"/>
      <c r="X972" s="2176"/>
      <c r="Y972" s="2176"/>
      <c r="Z972" s="13"/>
      <c r="AA972" s="13"/>
      <c r="AB972" s="13"/>
      <c r="AC972" s="13"/>
    </row>
    <row r="973" spans="1:29" ht="15.75" customHeight="1">
      <c r="A973" s="1933"/>
      <c r="B973" s="2196"/>
      <c r="C973" s="2196"/>
      <c r="D973" s="2197"/>
      <c r="E973" s="2197"/>
      <c r="F973" s="2196"/>
      <c r="G973" s="2196"/>
      <c r="H973" s="2196"/>
      <c r="I973" s="2196"/>
      <c r="J973" s="2196"/>
      <c r="K973" s="2176"/>
      <c r="L973" s="2176"/>
      <c r="M973" s="2176"/>
      <c r="N973" s="2176"/>
      <c r="O973" s="2176"/>
      <c r="P973" s="2176"/>
      <c r="Q973" s="2176"/>
      <c r="R973" s="2176"/>
      <c r="S973" s="2176"/>
      <c r="T973" s="2176"/>
      <c r="U973" s="2176"/>
      <c r="V973" s="2176"/>
      <c r="W973" s="2176"/>
      <c r="X973" s="2176"/>
      <c r="Y973" s="2176"/>
      <c r="Z973" s="13"/>
      <c r="AA973" s="13"/>
      <c r="AB973" s="13"/>
      <c r="AC973" s="13"/>
    </row>
    <row r="974" spans="1:29" ht="15.75" customHeight="1">
      <c r="A974" s="1933"/>
      <c r="B974" s="2196"/>
      <c r="C974" s="2196"/>
      <c r="D974" s="2197"/>
      <c r="E974" s="2197"/>
      <c r="F974" s="2196"/>
      <c r="G974" s="2196"/>
      <c r="H974" s="2196"/>
      <c r="I974" s="2196"/>
      <c r="J974" s="2196"/>
      <c r="K974" s="2176"/>
      <c r="L974" s="2176"/>
      <c r="M974" s="2176"/>
      <c r="N974" s="2176"/>
      <c r="O974" s="2176"/>
      <c r="P974" s="2176"/>
      <c r="Q974" s="2176"/>
      <c r="R974" s="2176"/>
      <c r="S974" s="2176"/>
      <c r="T974" s="2176"/>
      <c r="U974" s="2176"/>
      <c r="V974" s="2176"/>
      <c r="W974" s="2176"/>
      <c r="X974" s="2176"/>
      <c r="Y974" s="2176"/>
      <c r="Z974" s="13"/>
      <c r="AA974" s="13"/>
      <c r="AB974" s="13"/>
      <c r="AC974" s="13"/>
    </row>
    <row r="975" spans="1:29" ht="15.75" customHeight="1">
      <c r="A975" s="1933"/>
      <c r="B975" s="2196"/>
      <c r="C975" s="2196"/>
      <c r="D975" s="2197"/>
      <c r="E975" s="2197"/>
      <c r="F975" s="2196"/>
      <c r="G975" s="2196"/>
      <c r="H975" s="2196"/>
      <c r="I975" s="2196"/>
      <c r="J975" s="2196"/>
      <c r="K975" s="2176"/>
      <c r="L975" s="2176"/>
      <c r="M975" s="2176"/>
      <c r="N975" s="2176"/>
      <c r="O975" s="2176"/>
      <c r="P975" s="2176"/>
      <c r="Q975" s="2176"/>
      <c r="R975" s="2176"/>
      <c r="S975" s="2176"/>
      <c r="T975" s="2176"/>
      <c r="U975" s="2176"/>
      <c r="V975" s="2176"/>
      <c r="W975" s="2176"/>
      <c r="X975" s="2176"/>
      <c r="Y975" s="2176"/>
      <c r="Z975" s="13"/>
      <c r="AA975" s="13"/>
      <c r="AB975" s="13"/>
      <c r="AC975" s="13"/>
    </row>
    <row r="976" spans="1:29" ht="15.75" customHeight="1">
      <c r="A976" s="1933"/>
      <c r="B976" s="2196"/>
      <c r="C976" s="2196"/>
      <c r="D976" s="2197"/>
      <c r="E976" s="2197"/>
      <c r="F976" s="2196"/>
      <c r="G976" s="2196"/>
      <c r="H976" s="2196"/>
      <c r="I976" s="2196"/>
      <c r="J976" s="2196"/>
      <c r="K976" s="2176"/>
      <c r="L976" s="2176"/>
      <c r="M976" s="2176"/>
      <c r="N976" s="2176"/>
      <c r="O976" s="2176"/>
      <c r="P976" s="2176"/>
      <c r="Q976" s="2176"/>
      <c r="R976" s="2176"/>
      <c r="S976" s="2176"/>
      <c r="T976" s="2176"/>
      <c r="U976" s="2176"/>
      <c r="V976" s="2176"/>
      <c r="W976" s="2176"/>
      <c r="X976" s="2176"/>
      <c r="Y976" s="2176"/>
      <c r="Z976" s="13"/>
      <c r="AA976" s="13"/>
      <c r="AB976" s="13"/>
      <c r="AC976" s="13"/>
    </row>
    <row r="977" spans="1:29" ht="15.75" customHeight="1">
      <c r="A977" s="1933"/>
      <c r="B977" s="2196"/>
      <c r="C977" s="2196"/>
      <c r="D977" s="2197"/>
      <c r="E977" s="2197"/>
      <c r="F977" s="2196"/>
      <c r="G977" s="2196"/>
      <c r="H977" s="2196"/>
      <c r="I977" s="2196"/>
      <c r="J977" s="2196"/>
      <c r="K977" s="2176"/>
      <c r="L977" s="2176"/>
      <c r="M977" s="2176"/>
      <c r="N977" s="2176"/>
      <c r="O977" s="2176"/>
      <c r="P977" s="2176"/>
      <c r="Q977" s="2176"/>
      <c r="R977" s="2176"/>
      <c r="S977" s="2176"/>
      <c r="T977" s="2176"/>
      <c r="U977" s="2176"/>
      <c r="V977" s="2176"/>
      <c r="W977" s="2176"/>
      <c r="X977" s="2176"/>
      <c r="Y977" s="2176"/>
      <c r="Z977" s="13"/>
      <c r="AA977" s="13"/>
      <c r="AB977" s="13"/>
      <c r="AC977" s="13"/>
    </row>
    <row r="978" spans="1:29" ht="15.75" customHeight="1">
      <c r="A978" s="1933"/>
      <c r="B978" s="2196"/>
      <c r="C978" s="2196"/>
      <c r="D978" s="2197"/>
      <c r="E978" s="2197"/>
      <c r="F978" s="2196"/>
      <c r="G978" s="2196"/>
      <c r="H978" s="2196"/>
      <c r="I978" s="2196"/>
      <c r="J978" s="2196"/>
      <c r="K978" s="2176"/>
      <c r="L978" s="2176"/>
      <c r="M978" s="2176"/>
      <c r="N978" s="2176"/>
      <c r="O978" s="2176"/>
      <c r="P978" s="2176"/>
      <c r="Q978" s="2176"/>
      <c r="R978" s="2176"/>
      <c r="S978" s="2176"/>
      <c r="T978" s="2176"/>
      <c r="U978" s="2176"/>
      <c r="V978" s="2176"/>
      <c r="W978" s="2176"/>
      <c r="X978" s="2176"/>
      <c r="Y978" s="2176"/>
      <c r="Z978" s="13"/>
      <c r="AA978" s="13"/>
      <c r="AB978" s="13"/>
      <c r="AC978" s="13"/>
    </row>
    <row r="979" spans="1:29" ht="15.75" customHeight="1">
      <c r="A979" s="1933"/>
      <c r="B979" s="2196"/>
      <c r="C979" s="2196"/>
      <c r="D979" s="2197"/>
      <c r="E979" s="2197"/>
      <c r="F979" s="2196"/>
      <c r="G979" s="2196"/>
      <c r="H979" s="2196"/>
      <c r="I979" s="2196"/>
      <c r="J979" s="2196"/>
      <c r="K979" s="2176"/>
      <c r="L979" s="2176"/>
      <c r="M979" s="2176"/>
      <c r="N979" s="2176"/>
      <c r="O979" s="2176"/>
      <c r="P979" s="2176"/>
      <c r="Q979" s="2176"/>
      <c r="R979" s="2176"/>
      <c r="S979" s="2176"/>
      <c r="T979" s="2176"/>
      <c r="U979" s="2176"/>
      <c r="V979" s="2176"/>
      <c r="W979" s="2176"/>
      <c r="X979" s="2176"/>
      <c r="Y979" s="2176"/>
      <c r="Z979" s="13"/>
      <c r="AA979" s="13"/>
      <c r="AB979" s="13"/>
      <c r="AC979" s="13"/>
    </row>
    <row r="980" spans="1:29" ht="15.75" customHeight="1">
      <c r="A980" s="1933"/>
      <c r="B980" s="2196"/>
      <c r="C980" s="2196"/>
      <c r="D980" s="2197"/>
      <c r="E980" s="2197"/>
      <c r="F980" s="2196"/>
      <c r="G980" s="2196"/>
      <c r="H980" s="2196"/>
      <c r="I980" s="2196"/>
      <c r="J980" s="2196"/>
      <c r="K980" s="2176"/>
      <c r="L980" s="2176"/>
      <c r="M980" s="2176"/>
      <c r="N980" s="2176"/>
      <c r="O980" s="2176"/>
      <c r="P980" s="2176"/>
      <c r="Q980" s="2176"/>
      <c r="R980" s="2176"/>
      <c r="S980" s="2176"/>
      <c r="T980" s="2176"/>
      <c r="U980" s="2176"/>
      <c r="V980" s="2176"/>
      <c r="W980" s="2176"/>
      <c r="X980" s="2176"/>
      <c r="Y980" s="2176"/>
      <c r="Z980" s="13"/>
      <c r="AA980" s="13"/>
      <c r="AB980" s="13"/>
      <c r="AC980" s="13"/>
    </row>
    <row r="981" spans="1:29" ht="15.75" customHeight="1">
      <c r="A981" s="1933"/>
      <c r="B981" s="2196"/>
      <c r="C981" s="2196"/>
      <c r="D981" s="2197"/>
      <c r="E981" s="2197"/>
      <c r="F981" s="2196"/>
      <c r="G981" s="2196"/>
      <c r="H981" s="2196"/>
      <c r="I981" s="2196"/>
      <c r="J981" s="2196"/>
      <c r="K981" s="2176"/>
      <c r="L981" s="2176"/>
      <c r="M981" s="2176"/>
      <c r="N981" s="2176"/>
      <c r="O981" s="2176"/>
      <c r="P981" s="2176"/>
      <c r="Q981" s="2176"/>
      <c r="R981" s="2176"/>
      <c r="S981" s="2176"/>
      <c r="T981" s="2176"/>
      <c r="U981" s="2176"/>
      <c r="V981" s="2176"/>
      <c r="W981" s="2176"/>
      <c r="X981" s="2176"/>
      <c r="Y981" s="2176"/>
      <c r="Z981" s="13"/>
      <c r="AA981" s="13"/>
      <c r="AB981" s="13"/>
      <c r="AC981" s="13"/>
    </row>
    <row r="982" spans="1:29" ht="15.75" customHeight="1">
      <c r="A982" s="1933"/>
      <c r="B982" s="2196"/>
      <c r="C982" s="2196"/>
      <c r="D982" s="2197"/>
      <c r="E982" s="2197"/>
      <c r="F982" s="2196"/>
      <c r="G982" s="2196"/>
      <c r="H982" s="2196"/>
      <c r="I982" s="2196"/>
      <c r="J982" s="2196"/>
      <c r="K982" s="2176"/>
      <c r="L982" s="2176"/>
      <c r="M982" s="2176"/>
      <c r="N982" s="2176"/>
      <c r="O982" s="2176"/>
      <c r="P982" s="2176"/>
      <c r="Q982" s="2176"/>
      <c r="R982" s="2176"/>
      <c r="S982" s="2176"/>
      <c r="T982" s="2176"/>
      <c r="U982" s="2176"/>
      <c r="V982" s="2176"/>
      <c r="W982" s="2176"/>
      <c r="X982" s="2176"/>
      <c r="Y982" s="2176"/>
      <c r="Z982" s="13"/>
      <c r="AA982" s="13"/>
      <c r="AB982" s="13"/>
      <c r="AC982" s="13"/>
    </row>
    <row r="983" spans="1:29" ht="15.75" customHeight="1">
      <c r="A983" s="1933"/>
      <c r="B983" s="2196"/>
      <c r="C983" s="2196"/>
      <c r="D983" s="2197"/>
      <c r="E983" s="2197"/>
      <c r="F983" s="2196"/>
      <c r="G983" s="2196"/>
      <c r="H983" s="2196"/>
      <c r="I983" s="2196"/>
      <c r="J983" s="2196"/>
      <c r="K983" s="2176"/>
      <c r="L983" s="2176"/>
      <c r="M983" s="2176"/>
      <c r="N983" s="2176"/>
      <c r="O983" s="2176"/>
      <c r="P983" s="2176"/>
      <c r="Q983" s="2176"/>
      <c r="R983" s="2176"/>
      <c r="S983" s="2176"/>
      <c r="T983" s="2176"/>
      <c r="U983" s="2176"/>
      <c r="V983" s="2176"/>
      <c r="W983" s="2176"/>
      <c r="X983" s="2176"/>
      <c r="Y983" s="2176"/>
      <c r="Z983" s="13"/>
      <c r="AA983" s="13"/>
      <c r="AB983" s="13"/>
      <c r="AC983" s="13"/>
    </row>
    <row r="984" spans="1:29" ht="15.75" customHeight="1">
      <c r="A984" s="1933"/>
      <c r="B984" s="2196"/>
      <c r="C984" s="2196"/>
      <c r="D984" s="2197"/>
      <c r="E984" s="2197"/>
      <c r="F984" s="2196"/>
      <c r="G984" s="2196"/>
      <c r="H984" s="2196"/>
      <c r="I984" s="2196"/>
      <c r="J984" s="2196"/>
      <c r="K984" s="2176"/>
      <c r="L984" s="2176"/>
      <c r="M984" s="2176"/>
      <c r="N984" s="2176"/>
      <c r="O984" s="2176"/>
      <c r="P984" s="2176"/>
      <c r="Q984" s="2176"/>
      <c r="R984" s="2176"/>
      <c r="S984" s="2176"/>
      <c r="T984" s="2176"/>
      <c r="U984" s="2176"/>
      <c r="V984" s="2176"/>
      <c r="W984" s="2176"/>
      <c r="X984" s="2176"/>
      <c r="Y984" s="2176"/>
      <c r="Z984" s="13"/>
      <c r="AA984" s="13"/>
      <c r="AB984" s="13"/>
      <c r="AC984" s="13"/>
    </row>
    <row r="985" spans="1:29" ht="15.75" customHeight="1">
      <c r="A985" s="1933"/>
      <c r="B985" s="2196"/>
      <c r="C985" s="2196"/>
      <c r="D985" s="2197"/>
      <c r="E985" s="2197"/>
      <c r="F985" s="2196"/>
      <c r="G985" s="2196"/>
      <c r="H985" s="2196"/>
      <c r="I985" s="2196"/>
      <c r="J985" s="2196"/>
      <c r="K985" s="2176"/>
      <c r="L985" s="2176"/>
      <c r="M985" s="2176"/>
      <c r="N985" s="2176"/>
      <c r="O985" s="2176"/>
      <c r="P985" s="2176"/>
      <c r="Q985" s="2176"/>
      <c r="R985" s="2176"/>
      <c r="S985" s="2176"/>
      <c r="T985" s="2176"/>
      <c r="U985" s="2176"/>
      <c r="V985" s="2176"/>
      <c r="W985" s="2176"/>
      <c r="X985" s="2176"/>
      <c r="Y985" s="2176"/>
      <c r="Z985" s="13"/>
      <c r="AA985" s="13"/>
      <c r="AB985" s="13"/>
      <c r="AC985" s="13"/>
    </row>
    <row r="986" spans="1:29" ht="15.75" customHeight="1">
      <c r="A986" s="1933"/>
      <c r="B986" s="2196"/>
      <c r="C986" s="2196"/>
      <c r="D986" s="2197"/>
      <c r="E986" s="2197"/>
      <c r="F986" s="2196"/>
      <c r="G986" s="2196"/>
      <c r="H986" s="2196"/>
      <c r="I986" s="2196"/>
      <c r="J986" s="2196"/>
      <c r="K986" s="2176"/>
      <c r="L986" s="2176"/>
      <c r="M986" s="2176"/>
      <c r="N986" s="2176"/>
      <c r="O986" s="2176"/>
      <c r="P986" s="2176"/>
      <c r="Q986" s="2176"/>
      <c r="R986" s="2176"/>
      <c r="S986" s="2176"/>
      <c r="T986" s="2176"/>
      <c r="U986" s="2176"/>
      <c r="V986" s="2176"/>
      <c r="W986" s="2176"/>
      <c r="X986" s="2176"/>
      <c r="Y986" s="2176"/>
      <c r="Z986" s="13"/>
      <c r="AA986" s="13"/>
      <c r="AB986" s="13"/>
      <c r="AC986" s="13"/>
    </row>
    <row r="987" spans="1:29" ht="15.75" customHeight="1">
      <c r="A987" s="1933"/>
      <c r="B987" s="2196"/>
      <c r="C987" s="2196"/>
      <c r="D987" s="2197"/>
      <c r="E987" s="2197"/>
      <c r="F987" s="2196"/>
      <c r="G987" s="2196"/>
      <c r="H987" s="2196"/>
      <c r="I987" s="2196"/>
      <c r="J987" s="2196"/>
      <c r="K987" s="2176"/>
      <c r="L987" s="2176"/>
      <c r="M987" s="2176"/>
      <c r="N987" s="2176"/>
      <c r="O987" s="2176"/>
      <c r="P987" s="2176"/>
      <c r="Q987" s="2176"/>
      <c r="R987" s="2176"/>
      <c r="S987" s="2176"/>
      <c r="T987" s="2176"/>
      <c r="U987" s="2176"/>
      <c r="V987" s="2176"/>
      <c r="W987" s="2176"/>
      <c r="X987" s="2176"/>
      <c r="Y987" s="2176"/>
      <c r="Z987" s="13"/>
      <c r="AA987" s="13"/>
      <c r="AB987" s="13"/>
      <c r="AC987" s="13"/>
    </row>
    <row r="988" spans="1:29" ht="15.75" customHeight="1">
      <c r="A988" s="1933"/>
      <c r="B988" s="2196"/>
      <c r="C988" s="2196"/>
      <c r="D988" s="2197"/>
      <c r="E988" s="2197"/>
      <c r="F988" s="2196"/>
      <c r="G988" s="2196"/>
      <c r="H988" s="2196"/>
      <c r="I988" s="2196"/>
      <c r="J988" s="2196"/>
      <c r="K988" s="2176"/>
      <c r="L988" s="2176"/>
      <c r="M988" s="2176"/>
      <c r="N988" s="2176"/>
      <c r="O988" s="2176"/>
      <c r="P988" s="2176"/>
      <c r="Q988" s="2176"/>
      <c r="R988" s="2176"/>
      <c r="S988" s="2176"/>
      <c r="T988" s="2176"/>
      <c r="U988" s="2176"/>
      <c r="V988" s="2176"/>
      <c r="W988" s="2176"/>
      <c r="X988" s="2176"/>
      <c r="Y988" s="2176"/>
      <c r="Z988" s="13"/>
      <c r="AA988" s="13"/>
      <c r="AB988" s="13"/>
      <c r="AC988" s="13"/>
    </row>
    <row r="989" spans="1:29" ht="15.75" customHeight="1">
      <c r="A989" s="1933"/>
      <c r="B989" s="2196"/>
      <c r="C989" s="2196"/>
      <c r="D989" s="2197"/>
      <c r="E989" s="2197"/>
      <c r="F989" s="2196"/>
      <c r="G989" s="2196"/>
      <c r="H989" s="2196"/>
      <c r="I989" s="2196"/>
      <c r="J989" s="2196"/>
      <c r="K989" s="2176"/>
      <c r="L989" s="2176"/>
      <c r="M989" s="2176"/>
      <c r="N989" s="2176"/>
      <c r="O989" s="2176"/>
      <c r="P989" s="2176"/>
      <c r="Q989" s="2176"/>
      <c r="R989" s="2176"/>
      <c r="S989" s="2176"/>
      <c r="T989" s="2176"/>
      <c r="U989" s="2176"/>
      <c r="V989" s="2176"/>
      <c r="W989" s="2176"/>
      <c r="X989" s="2176"/>
      <c r="Y989" s="2176"/>
      <c r="Z989" s="13"/>
      <c r="AA989" s="13"/>
      <c r="AB989" s="13"/>
      <c r="AC989" s="13"/>
    </row>
    <row r="990" spans="1:29" ht="15.75" customHeight="1">
      <c r="A990" s="1933"/>
      <c r="B990" s="2196"/>
      <c r="C990" s="2196"/>
      <c r="D990" s="2197"/>
      <c r="E990" s="2197"/>
      <c r="F990" s="2196"/>
      <c r="G990" s="2196"/>
      <c r="H990" s="2196"/>
      <c r="I990" s="2196"/>
      <c r="J990" s="2196"/>
      <c r="K990" s="2176"/>
      <c r="L990" s="2176"/>
      <c r="M990" s="2176"/>
      <c r="N990" s="2176"/>
      <c r="O990" s="2176"/>
      <c r="P990" s="2176"/>
      <c r="Q990" s="2176"/>
      <c r="R990" s="2176"/>
      <c r="S990" s="2176"/>
      <c r="T990" s="2176"/>
      <c r="U990" s="2176"/>
      <c r="V990" s="2176"/>
      <c r="W990" s="2176"/>
      <c r="X990" s="2176"/>
      <c r="Y990" s="2176"/>
      <c r="Z990" s="13"/>
      <c r="AA990" s="13"/>
      <c r="AB990" s="13"/>
      <c r="AC990" s="13"/>
    </row>
    <row r="991" spans="1:29" ht="15.75" customHeight="1">
      <c r="A991" s="1933"/>
      <c r="B991" s="2196"/>
      <c r="C991" s="2196"/>
      <c r="D991" s="2197"/>
      <c r="E991" s="2197"/>
      <c r="F991" s="2196"/>
      <c r="G991" s="2196"/>
      <c r="H991" s="2196"/>
      <c r="I991" s="2196"/>
      <c r="J991" s="2196"/>
      <c r="K991" s="2176"/>
      <c r="L991" s="2176"/>
      <c r="M991" s="2176"/>
      <c r="N991" s="2176"/>
      <c r="O991" s="2176"/>
      <c r="P991" s="2176"/>
      <c r="Q991" s="2176"/>
      <c r="R991" s="2176"/>
      <c r="S991" s="2176"/>
      <c r="T991" s="2176"/>
      <c r="U991" s="2176"/>
      <c r="V991" s="2176"/>
      <c r="W991" s="2176"/>
      <c r="X991" s="2176"/>
      <c r="Y991" s="2176"/>
      <c r="Z991" s="13"/>
      <c r="AA991" s="13"/>
      <c r="AB991" s="13"/>
      <c r="AC991" s="13"/>
    </row>
    <row r="992" spans="1:29" ht="15.75" customHeight="1">
      <c r="A992" s="1933"/>
      <c r="B992" s="2196"/>
      <c r="C992" s="2196"/>
      <c r="D992" s="2197"/>
      <c r="E992" s="2197"/>
      <c r="F992" s="2196"/>
      <c r="G992" s="2196"/>
      <c r="H992" s="2196"/>
      <c r="I992" s="2196"/>
      <c r="J992" s="2196"/>
      <c r="K992" s="2176"/>
      <c r="L992" s="2176"/>
      <c r="M992" s="2176"/>
      <c r="N992" s="2176"/>
      <c r="O992" s="2176"/>
      <c r="P992" s="2176"/>
      <c r="Q992" s="2176"/>
      <c r="R992" s="2176"/>
      <c r="S992" s="2176"/>
      <c r="T992" s="2176"/>
      <c r="U992" s="2176"/>
      <c r="V992" s="2176"/>
      <c r="W992" s="2176"/>
      <c r="X992" s="2176"/>
      <c r="Y992" s="2176"/>
      <c r="Z992" s="13"/>
      <c r="AA992" s="13"/>
      <c r="AB992" s="13"/>
      <c r="AC992" s="13"/>
    </row>
    <row r="993" spans="1:29" ht="15.75" customHeight="1">
      <c r="A993" s="1933"/>
      <c r="B993" s="2196"/>
      <c r="C993" s="2196"/>
      <c r="D993" s="2197"/>
      <c r="E993" s="2197"/>
      <c r="F993" s="2196"/>
      <c r="G993" s="2196"/>
      <c r="H993" s="2196"/>
      <c r="I993" s="2196"/>
      <c r="J993" s="2196"/>
      <c r="K993" s="2176"/>
      <c r="L993" s="2176"/>
      <c r="M993" s="2176"/>
      <c r="N993" s="2176"/>
      <c r="O993" s="2176"/>
      <c r="P993" s="2176"/>
      <c r="Q993" s="2176"/>
      <c r="R993" s="2176"/>
      <c r="S993" s="2176"/>
      <c r="T993" s="2176"/>
      <c r="U993" s="2176"/>
      <c r="V993" s="2176"/>
      <c r="W993" s="2176"/>
      <c r="X993" s="2176"/>
      <c r="Y993" s="2176"/>
      <c r="Z993" s="13"/>
      <c r="AA993" s="13"/>
      <c r="AB993" s="13"/>
      <c r="AC993" s="13"/>
    </row>
    <row r="994" spans="1:29" ht="15.75" customHeight="1">
      <c r="A994" s="1933"/>
      <c r="B994" s="2196"/>
      <c r="C994" s="2196"/>
      <c r="D994" s="2197"/>
      <c r="E994" s="2197"/>
      <c r="F994" s="2196"/>
      <c r="G994" s="2196"/>
      <c r="H994" s="2196"/>
      <c r="I994" s="2196"/>
      <c r="J994" s="2196"/>
      <c r="K994" s="2176"/>
      <c r="L994" s="2176"/>
      <c r="M994" s="2176"/>
      <c r="N994" s="2176"/>
      <c r="O994" s="2176"/>
      <c r="P994" s="2176"/>
      <c r="Q994" s="2176"/>
      <c r="R994" s="2176"/>
      <c r="S994" s="2176"/>
      <c r="T994" s="2176"/>
      <c r="U994" s="2176"/>
      <c r="V994" s="2176"/>
      <c r="W994" s="2176"/>
      <c r="X994" s="2176"/>
      <c r="Y994" s="2176"/>
      <c r="Z994" s="13"/>
      <c r="AA994" s="13"/>
      <c r="AB994" s="13"/>
      <c r="AC994" s="13"/>
    </row>
    <row r="995" spans="1:29" ht="15.75" customHeight="1">
      <c r="A995" s="1933"/>
      <c r="B995" s="2196"/>
      <c r="C995" s="2196"/>
      <c r="D995" s="2197"/>
      <c r="E995" s="2197"/>
      <c r="F995" s="2196"/>
      <c r="G995" s="2196"/>
      <c r="H995" s="2196"/>
      <c r="I995" s="2196"/>
      <c r="J995" s="2196"/>
      <c r="K995" s="2176"/>
      <c r="L995" s="2176"/>
      <c r="M995" s="2176"/>
      <c r="N995" s="2176"/>
      <c r="O995" s="2176"/>
      <c r="P995" s="2176"/>
      <c r="Q995" s="2176"/>
      <c r="R995" s="2176"/>
      <c r="S995" s="2176"/>
      <c r="T995" s="2176"/>
      <c r="U995" s="2176"/>
      <c r="V995" s="2176"/>
      <c r="W995" s="2176"/>
      <c r="X995" s="2176"/>
      <c r="Y995" s="2176"/>
      <c r="Z995" s="13"/>
      <c r="AA995" s="13"/>
      <c r="AB995" s="13"/>
      <c r="AC995" s="13"/>
    </row>
    <row r="996" spans="1:29" ht="15.75" customHeight="1">
      <c r="A996" s="1933"/>
      <c r="B996" s="2196"/>
      <c r="C996" s="2196"/>
      <c r="D996" s="2197"/>
      <c r="E996" s="2197"/>
      <c r="F996" s="2196"/>
      <c r="G996" s="2196"/>
      <c r="H996" s="2196"/>
      <c r="I996" s="2196"/>
      <c r="J996" s="2196"/>
      <c r="K996" s="2176"/>
      <c r="L996" s="2176"/>
      <c r="M996" s="2176"/>
      <c r="N996" s="2176"/>
      <c r="O996" s="2176"/>
      <c r="P996" s="2176"/>
      <c r="Q996" s="2176"/>
      <c r="R996" s="2176"/>
      <c r="S996" s="2176"/>
      <c r="T996" s="2176"/>
      <c r="U996" s="2176"/>
      <c r="V996" s="2176"/>
      <c r="W996" s="2176"/>
      <c r="X996" s="2176"/>
      <c r="Y996" s="2176"/>
      <c r="Z996" s="13"/>
      <c r="AA996" s="13"/>
      <c r="AB996" s="13"/>
      <c r="AC996" s="13"/>
    </row>
    <row r="997" spans="1:29" ht="15.75" customHeight="1">
      <c r="A997" s="1933"/>
      <c r="B997" s="2196"/>
      <c r="C997" s="2196"/>
      <c r="D997" s="2197"/>
      <c r="E997" s="2197"/>
      <c r="F997" s="2196"/>
      <c r="G997" s="2196"/>
      <c r="H997" s="2196"/>
      <c r="I997" s="2196"/>
      <c r="J997" s="2196"/>
      <c r="K997" s="2176"/>
      <c r="L997" s="2176"/>
      <c r="M997" s="2176"/>
      <c r="N997" s="2176"/>
      <c r="O997" s="2176"/>
      <c r="P997" s="2176"/>
      <c r="Q997" s="2176"/>
      <c r="R997" s="2176"/>
      <c r="S997" s="2176"/>
      <c r="T997" s="2176"/>
      <c r="U997" s="2176"/>
      <c r="V997" s="2176"/>
      <c r="W997" s="2176"/>
      <c r="X997" s="2176"/>
      <c r="Y997" s="2176"/>
      <c r="Z997" s="13"/>
      <c r="AA997" s="13"/>
      <c r="AB997" s="13"/>
      <c r="AC997" s="13"/>
    </row>
    <row r="998" spans="1:29" ht="15.75" customHeight="1">
      <c r="A998" s="1933"/>
      <c r="B998" s="2196"/>
      <c r="C998" s="2196"/>
      <c r="D998" s="2197"/>
      <c r="E998" s="2197"/>
      <c r="F998" s="2196"/>
      <c r="G998" s="2196"/>
      <c r="H998" s="2196"/>
      <c r="I998" s="2196"/>
      <c r="J998" s="2196"/>
      <c r="K998" s="2176"/>
      <c r="L998" s="2176"/>
      <c r="M998" s="2176"/>
      <c r="N998" s="2176"/>
      <c r="O998" s="2176"/>
      <c r="P998" s="2176"/>
      <c r="Q998" s="2176"/>
      <c r="R998" s="2176"/>
      <c r="S998" s="2176"/>
      <c r="T998" s="2176"/>
      <c r="U998" s="2176"/>
      <c r="V998" s="2176"/>
      <c r="W998" s="2176"/>
      <c r="X998" s="2176"/>
      <c r="Y998" s="2176"/>
      <c r="Z998" s="13"/>
      <c r="AA998" s="13"/>
      <c r="AB998" s="13"/>
      <c r="AC998" s="13"/>
    </row>
    <row r="999" spans="1:29" ht="15.75" customHeight="1">
      <c r="A999" s="1933"/>
      <c r="B999" s="2196"/>
      <c r="C999" s="2196"/>
      <c r="D999" s="2197"/>
      <c r="E999" s="2197"/>
      <c r="F999" s="2196"/>
      <c r="G999" s="2196"/>
      <c r="H999" s="2196"/>
      <c r="I999" s="2196"/>
      <c r="J999" s="2196"/>
      <c r="K999" s="2176"/>
      <c r="L999" s="2176"/>
      <c r="M999" s="2176"/>
      <c r="N999" s="2176"/>
      <c r="O999" s="2176"/>
      <c r="P999" s="2176"/>
      <c r="Q999" s="2176"/>
      <c r="R999" s="2176"/>
      <c r="S999" s="2176"/>
      <c r="T999" s="2176"/>
      <c r="U999" s="2176"/>
      <c r="V999" s="2176"/>
      <c r="W999" s="2176"/>
      <c r="X999" s="2176"/>
      <c r="Y999" s="2176"/>
      <c r="Z999" s="13"/>
      <c r="AA999" s="13"/>
      <c r="AB999" s="13"/>
      <c r="AC999" s="13"/>
    </row>
    <row r="1000" spans="1:29" ht="15.75" customHeight="1">
      <c r="A1000" s="1933"/>
      <c r="B1000" s="2196"/>
      <c r="C1000" s="2196"/>
      <c r="D1000" s="2197"/>
      <c r="E1000" s="2197"/>
      <c r="F1000" s="2196"/>
      <c r="G1000" s="2196"/>
      <c r="H1000" s="2196"/>
      <c r="I1000" s="2196"/>
      <c r="J1000" s="2196"/>
      <c r="K1000" s="2176"/>
      <c r="L1000" s="2176"/>
      <c r="M1000" s="2176"/>
      <c r="N1000" s="2176"/>
      <c r="O1000" s="2176"/>
      <c r="P1000" s="2176"/>
      <c r="Q1000" s="2176"/>
      <c r="R1000" s="2176"/>
      <c r="S1000" s="2176"/>
      <c r="T1000" s="2176"/>
      <c r="U1000" s="2176"/>
      <c r="V1000" s="2176"/>
      <c r="W1000" s="2176"/>
      <c r="X1000" s="2176"/>
      <c r="Y1000" s="2176"/>
      <c r="Z1000" s="13"/>
      <c r="AA1000" s="13"/>
      <c r="AB1000" s="13"/>
      <c r="AC1000" s="13"/>
    </row>
    <row r="1001" spans="1:29" ht="15.75" customHeight="1">
      <c r="A1001" s="1933"/>
      <c r="B1001" s="2196"/>
      <c r="C1001" s="2196"/>
      <c r="D1001" s="2197"/>
      <c r="E1001" s="2197"/>
      <c r="F1001" s="2196"/>
      <c r="G1001" s="2196"/>
      <c r="H1001" s="2196"/>
      <c r="I1001" s="2196"/>
      <c r="J1001" s="2196"/>
      <c r="K1001" s="2176"/>
      <c r="L1001" s="2176"/>
      <c r="M1001" s="2176"/>
      <c r="N1001" s="2176"/>
      <c r="O1001" s="2176"/>
      <c r="P1001" s="2176"/>
      <c r="Q1001" s="2176"/>
      <c r="R1001" s="2176"/>
      <c r="S1001" s="2176"/>
      <c r="T1001" s="2176"/>
      <c r="U1001" s="2176"/>
      <c r="V1001" s="2176"/>
      <c r="W1001" s="2176"/>
      <c r="X1001" s="2176"/>
      <c r="Y1001" s="2176"/>
      <c r="Z1001" s="13"/>
      <c r="AA1001" s="13"/>
      <c r="AB1001" s="13"/>
      <c r="AC1001" s="13"/>
    </row>
    <row r="1002" spans="1:29" ht="15.75" customHeight="1">
      <c r="A1002" s="1933"/>
      <c r="B1002" s="2196"/>
      <c r="C1002" s="2196"/>
      <c r="D1002" s="2197"/>
      <c r="E1002" s="2197"/>
      <c r="F1002" s="2196"/>
      <c r="G1002" s="2196"/>
      <c r="H1002" s="2196"/>
      <c r="I1002" s="2196"/>
      <c r="J1002" s="2196"/>
      <c r="K1002" s="2176"/>
      <c r="L1002" s="2176"/>
      <c r="M1002" s="2176"/>
      <c r="N1002" s="2176"/>
      <c r="O1002" s="2176"/>
      <c r="P1002" s="2176"/>
      <c r="Q1002" s="2176"/>
      <c r="R1002" s="2176"/>
      <c r="S1002" s="2176"/>
      <c r="T1002" s="2176"/>
      <c r="U1002" s="2176"/>
      <c r="V1002" s="2176"/>
      <c r="W1002" s="2176"/>
      <c r="X1002" s="2176"/>
      <c r="Y1002" s="2176"/>
      <c r="Z1002" s="13"/>
      <c r="AA1002" s="13"/>
      <c r="AB1002" s="13"/>
      <c r="AC1002" s="13"/>
    </row>
    <row r="1003" spans="1:29" ht="15.75" customHeight="1">
      <c r="A1003" s="1933"/>
      <c r="B1003" s="2196"/>
      <c r="C1003" s="2196"/>
      <c r="D1003" s="2197"/>
      <c r="E1003" s="2197"/>
      <c r="F1003" s="2196"/>
      <c r="G1003" s="2196"/>
      <c r="H1003" s="2196"/>
      <c r="I1003" s="2196"/>
      <c r="J1003" s="2196"/>
      <c r="K1003" s="2176"/>
      <c r="L1003" s="2176"/>
      <c r="M1003" s="2176"/>
      <c r="N1003" s="2176"/>
      <c r="O1003" s="2176"/>
      <c r="P1003" s="2176"/>
      <c r="Q1003" s="2176"/>
      <c r="R1003" s="2176"/>
      <c r="S1003" s="2176"/>
      <c r="T1003" s="2176"/>
      <c r="U1003" s="2176"/>
      <c r="V1003" s="2176"/>
      <c r="W1003" s="2176"/>
      <c r="X1003" s="2176"/>
      <c r="Y1003" s="2176"/>
      <c r="Z1003" s="13"/>
      <c r="AA1003" s="13"/>
      <c r="AB1003" s="13"/>
      <c r="AC1003" s="13"/>
    </row>
    <row r="1004" spans="1:29" ht="15.75" customHeight="1">
      <c r="A1004" s="1933"/>
      <c r="B1004" s="2196"/>
      <c r="C1004" s="2196"/>
      <c r="D1004" s="2197"/>
      <c r="E1004" s="2197"/>
      <c r="F1004" s="2196"/>
      <c r="G1004" s="2196"/>
      <c r="H1004" s="2196"/>
      <c r="I1004" s="2196"/>
      <c r="J1004" s="2196"/>
      <c r="K1004" s="2176"/>
      <c r="L1004" s="2176"/>
      <c r="M1004" s="2176"/>
      <c r="N1004" s="2176"/>
      <c r="O1004" s="2176"/>
      <c r="P1004" s="2176"/>
      <c r="Q1004" s="2176"/>
      <c r="R1004" s="2176"/>
      <c r="S1004" s="2176"/>
      <c r="T1004" s="2176"/>
      <c r="U1004" s="2176"/>
      <c r="V1004" s="2176"/>
      <c r="W1004" s="2176"/>
      <c r="X1004" s="2176"/>
      <c r="Y1004" s="2176"/>
      <c r="Z1004" s="13"/>
      <c r="AA1004" s="13"/>
      <c r="AB1004" s="13"/>
      <c r="AC1004" s="13"/>
    </row>
    <row r="1005" spans="1:29" ht="15.75" customHeight="1">
      <c r="A1005" s="1933"/>
      <c r="B1005" s="2196"/>
      <c r="C1005" s="2196"/>
      <c r="D1005" s="2197"/>
      <c r="E1005" s="2197"/>
      <c r="F1005" s="2196"/>
      <c r="G1005" s="2196"/>
      <c r="H1005" s="2196"/>
      <c r="I1005" s="2196"/>
      <c r="J1005" s="2196"/>
      <c r="K1005" s="2176"/>
      <c r="L1005" s="2176"/>
      <c r="M1005" s="2176"/>
      <c r="N1005" s="2176"/>
      <c r="O1005" s="2176"/>
      <c r="P1005" s="2176"/>
      <c r="Q1005" s="2176"/>
      <c r="R1005" s="2176"/>
      <c r="S1005" s="2176"/>
      <c r="T1005" s="2176"/>
      <c r="U1005" s="2176"/>
      <c r="V1005" s="2176"/>
      <c r="W1005" s="2176"/>
      <c r="X1005" s="2176"/>
      <c r="Y1005" s="2176"/>
      <c r="Z1005" s="13"/>
      <c r="AA1005" s="13"/>
      <c r="AB1005" s="13"/>
      <c r="AC1005" s="13"/>
    </row>
    <row r="1006" spans="1:29" ht="15.75" customHeight="1">
      <c r="A1006" s="1933"/>
      <c r="B1006" s="2196"/>
      <c r="C1006" s="2196"/>
      <c r="D1006" s="2197"/>
      <c r="E1006" s="2197"/>
      <c r="F1006" s="2196"/>
      <c r="G1006" s="2196"/>
      <c r="H1006" s="2196"/>
      <c r="I1006" s="2196"/>
      <c r="J1006" s="2196"/>
      <c r="K1006" s="2176"/>
      <c r="L1006" s="2176"/>
      <c r="M1006" s="2176"/>
      <c r="N1006" s="2176"/>
      <c r="O1006" s="2176"/>
      <c r="P1006" s="2176"/>
      <c r="Q1006" s="2176"/>
      <c r="R1006" s="2176"/>
      <c r="S1006" s="2176"/>
      <c r="T1006" s="2176"/>
      <c r="U1006" s="2176"/>
      <c r="V1006" s="2176"/>
      <c r="W1006" s="2176"/>
      <c r="X1006" s="2176"/>
      <c r="Y1006" s="2176"/>
      <c r="Z1006" s="13"/>
      <c r="AA1006" s="13"/>
      <c r="AB1006" s="13"/>
      <c r="AC1006" s="13"/>
    </row>
    <row r="1007" spans="1:29" ht="15.75" customHeight="1">
      <c r="A1007" s="1933"/>
      <c r="B1007" s="2196"/>
      <c r="C1007" s="2196"/>
      <c r="D1007" s="2197"/>
      <c r="E1007" s="2197"/>
      <c r="F1007" s="2196"/>
      <c r="G1007" s="2196"/>
      <c r="H1007" s="2196"/>
      <c r="I1007" s="2196"/>
      <c r="J1007" s="2196"/>
      <c r="K1007" s="2176"/>
      <c r="L1007" s="2176"/>
      <c r="M1007" s="2176"/>
      <c r="N1007" s="2176"/>
      <c r="O1007" s="2176"/>
      <c r="P1007" s="2176"/>
      <c r="Q1007" s="2176"/>
      <c r="R1007" s="2176"/>
      <c r="S1007" s="2176"/>
      <c r="T1007" s="2176"/>
      <c r="U1007" s="2176"/>
      <c r="V1007" s="2176"/>
      <c r="W1007" s="2176"/>
      <c r="X1007" s="2176"/>
      <c r="Y1007" s="2176"/>
      <c r="Z1007" s="13"/>
      <c r="AA1007" s="13"/>
      <c r="AB1007" s="13"/>
      <c r="AC1007" s="13"/>
    </row>
    <row r="1008" spans="1:29" ht="15.75" customHeight="1">
      <c r="A1008" s="1933"/>
      <c r="B1008" s="2196"/>
      <c r="C1008" s="2196"/>
      <c r="D1008" s="2197"/>
      <c r="E1008" s="2197"/>
      <c r="F1008" s="2196"/>
      <c r="G1008" s="2196"/>
      <c r="H1008" s="2196"/>
      <c r="I1008" s="2196"/>
      <c r="J1008" s="2196"/>
      <c r="K1008" s="2176"/>
      <c r="L1008" s="2176"/>
      <c r="M1008" s="2176"/>
      <c r="N1008" s="2176"/>
      <c r="O1008" s="2176"/>
      <c r="P1008" s="2176"/>
      <c r="Q1008" s="2176"/>
      <c r="R1008" s="2176"/>
      <c r="S1008" s="2176"/>
      <c r="T1008" s="2176"/>
      <c r="U1008" s="2176"/>
      <c r="V1008" s="2176"/>
      <c r="W1008" s="2176"/>
      <c r="X1008" s="2176"/>
      <c r="Y1008" s="2176"/>
      <c r="Z1008" s="13"/>
      <c r="AA1008" s="13"/>
      <c r="AB1008" s="13"/>
      <c r="AC1008" s="13"/>
    </row>
    <row r="1009" spans="1:29" ht="15.75" customHeight="1">
      <c r="A1009" s="1933"/>
      <c r="B1009" s="2196"/>
      <c r="C1009" s="2196"/>
      <c r="D1009" s="2197"/>
      <c r="E1009" s="2197"/>
      <c r="F1009" s="2196"/>
      <c r="G1009" s="2196"/>
      <c r="H1009" s="2196"/>
      <c r="I1009" s="2196"/>
      <c r="J1009" s="2196"/>
      <c r="K1009" s="2176"/>
      <c r="L1009" s="2176"/>
      <c r="M1009" s="2176"/>
      <c r="N1009" s="2176"/>
      <c r="O1009" s="2176"/>
      <c r="P1009" s="2176"/>
      <c r="Q1009" s="2176"/>
      <c r="R1009" s="2176"/>
      <c r="S1009" s="2176"/>
      <c r="T1009" s="2176"/>
      <c r="U1009" s="2176"/>
      <c r="V1009" s="2176"/>
      <c r="W1009" s="2176"/>
      <c r="X1009" s="2176"/>
      <c r="Y1009" s="2176"/>
      <c r="Z1009" s="13"/>
      <c r="AA1009" s="13"/>
      <c r="AB1009" s="13"/>
      <c r="AC1009" s="13"/>
    </row>
    <row r="1010" spans="1:29" ht="15.75" customHeight="1">
      <c r="A1010" s="1933"/>
      <c r="B1010" s="2196"/>
      <c r="C1010" s="2196"/>
      <c r="D1010" s="2197"/>
      <c r="E1010" s="2197"/>
      <c r="F1010" s="2196"/>
      <c r="G1010" s="2196"/>
      <c r="H1010" s="2196"/>
      <c r="I1010" s="2196"/>
      <c r="J1010" s="2196"/>
      <c r="K1010" s="2176"/>
      <c r="L1010" s="2176"/>
      <c r="M1010" s="2176"/>
      <c r="N1010" s="2176"/>
      <c r="O1010" s="2176"/>
      <c r="P1010" s="2176"/>
      <c r="Q1010" s="2176"/>
      <c r="R1010" s="2176"/>
      <c r="S1010" s="2176"/>
      <c r="T1010" s="2176"/>
      <c r="U1010" s="2176"/>
      <c r="V1010" s="2176"/>
      <c r="W1010" s="2176"/>
      <c r="X1010" s="2176"/>
      <c r="Y1010" s="2176"/>
      <c r="Z1010" s="13"/>
      <c r="AA1010" s="13"/>
      <c r="AB1010" s="13"/>
      <c r="AC1010" s="13"/>
    </row>
    <row r="1011" spans="1:29" ht="15.75" customHeight="1">
      <c r="A1011" s="1933"/>
      <c r="B1011" s="2196"/>
      <c r="C1011" s="2196"/>
      <c r="D1011" s="2197"/>
      <c r="E1011" s="2197"/>
      <c r="F1011" s="2196"/>
      <c r="G1011" s="2196"/>
      <c r="H1011" s="2196"/>
      <c r="I1011" s="2196"/>
      <c r="J1011" s="2196"/>
      <c r="K1011" s="2176"/>
      <c r="L1011" s="2176"/>
      <c r="M1011" s="2176"/>
      <c r="N1011" s="2176"/>
      <c r="O1011" s="2176"/>
      <c r="P1011" s="2176"/>
      <c r="Q1011" s="2176"/>
      <c r="R1011" s="2176"/>
      <c r="S1011" s="2176"/>
      <c r="T1011" s="2176"/>
      <c r="U1011" s="2176"/>
      <c r="V1011" s="2176"/>
      <c r="W1011" s="2176"/>
      <c r="X1011" s="2176"/>
      <c r="Y1011" s="2176"/>
      <c r="Z1011" s="13"/>
      <c r="AA1011" s="13"/>
      <c r="AB1011" s="13"/>
      <c r="AC1011" s="13"/>
    </row>
    <row r="1012" spans="1:29">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row>
  </sheetData>
  <sheetProtection algorithmName="SHA-512" hashValue="VrllhyaM9v1bul3cK7a1I76RVOcnUBSZXXoYIhr0fKtvyQO8N6i6BUa9T2XuaaFR1kgA7Qd66v1LmxXtHdmxMA==" saltValue="R0AV97TvUtIgFxap73SwmA==" spinCount="100000" sheet="1" objects="1" scenarios="1"/>
  <protectedRanges>
    <protectedRange sqref="X6:X287" name="vàng"/>
  </protectedRanges>
  <mergeCells count="77">
    <mergeCell ref="K88:N88"/>
    <mergeCell ref="O88:R88"/>
    <mergeCell ref="K109:N109"/>
    <mergeCell ref="O109:R109"/>
    <mergeCell ref="S109:V109"/>
    <mergeCell ref="O122:R122"/>
    <mergeCell ref="S122:V122"/>
    <mergeCell ref="W122:W123"/>
    <mergeCell ref="I187:I188"/>
    <mergeCell ref="K187:N187"/>
    <mergeCell ref="O187:R187"/>
    <mergeCell ref="S187:V187"/>
    <mergeCell ref="S169:V169"/>
    <mergeCell ref="W169:W170"/>
    <mergeCell ref="A120:B120"/>
    <mergeCell ref="I109:I110"/>
    <mergeCell ref="I122:I123"/>
    <mergeCell ref="A145:B145"/>
    <mergeCell ref="K122:N122"/>
    <mergeCell ref="A225:B225"/>
    <mergeCell ref="S228:V228"/>
    <mergeCell ref="W187:W188"/>
    <mergeCell ref="A208:B208"/>
    <mergeCell ref="I211:I212"/>
    <mergeCell ref="K211:N211"/>
    <mergeCell ref="O211:R211"/>
    <mergeCell ref="S211:V211"/>
    <mergeCell ref="W211:W212"/>
    <mergeCell ref="W228:W229"/>
    <mergeCell ref="I228:I229"/>
    <mergeCell ref="K228:N228"/>
    <mergeCell ref="O228:R228"/>
    <mergeCell ref="S248:V248"/>
    <mergeCell ref="P289:W289"/>
    <mergeCell ref="P290:W290"/>
    <mergeCell ref="A245:B245"/>
    <mergeCell ref="I248:I249"/>
    <mergeCell ref="K248:N248"/>
    <mergeCell ref="O248:R248"/>
    <mergeCell ref="W248:W249"/>
    <mergeCell ref="I88:I89"/>
    <mergeCell ref="A271:B271"/>
    <mergeCell ref="O4:R4"/>
    <mergeCell ref="S4:V4"/>
    <mergeCell ref="A1:B1"/>
    <mergeCell ref="K1:V1"/>
    <mergeCell ref="A2:B2"/>
    <mergeCell ref="K2:V2"/>
    <mergeCell ref="A3:W3"/>
    <mergeCell ref="A4:A5"/>
    <mergeCell ref="B4:B5"/>
    <mergeCell ref="W4:W5"/>
    <mergeCell ref="E4:I4"/>
    <mergeCell ref="K4:N4"/>
    <mergeCell ref="A47:B47"/>
    <mergeCell ref="K49:N49"/>
    <mergeCell ref="I49:I50"/>
    <mergeCell ref="I67:I68"/>
    <mergeCell ref="K67:N67"/>
    <mergeCell ref="O67:R67"/>
    <mergeCell ref="S67:V67"/>
    <mergeCell ref="O49:R49"/>
    <mergeCell ref="S49:V49"/>
    <mergeCell ref="W49:W50"/>
    <mergeCell ref="S88:V88"/>
    <mergeCell ref="W88:W89"/>
    <mergeCell ref="W67:W68"/>
    <mergeCell ref="S148:V148"/>
    <mergeCell ref="W148:W149"/>
    <mergeCell ref="W109:W110"/>
    <mergeCell ref="A184:B184"/>
    <mergeCell ref="I148:I149"/>
    <mergeCell ref="I169:I170"/>
    <mergeCell ref="K169:N169"/>
    <mergeCell ref="O169:R169"/>
    <mergeCell ref="K148:N148"/>
    <mergeCell ref="O148:R14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workbookViewId="0">
      <pane xSplit="3" ySplit="4" topLeftCell="G38" activePane="bottomRight" state="frozen"/>
      <selection pane="topRight" activeCell="D1" sqref="D1"/>
      <selection pane="bottomLeft" activeCell="A5" sqref="A5"/>
      <selection pane="bottomRight" activeCell="D1" sqref="D1"/>
    </sheetView>
  </sheetViews>
  <sheetFormatPr defaultColWidth="11.42578125" defaultRowHeight="15"/>
  <cols>
    <col min="1" max="1" width="17.85546875" style="1840" customWidth="1"/>
    <col min="2" max="2" width="30.7109375" style="1164" customWidth="1"/>
    <col min="3" max="3" width="41" customWidth="1"/>
    <col min="4" max="4" width="30.85546875" customWidth="1"/>
    <col min="5" max="5" width="27.5703125" customWidth="1"/>
    <col min="6" max="6" width="16.7109375" customWidth="1"/>
    <col min="7" max="7" width="14.140625" customWidth="1"/>
    <col min="8" max="8" width="13.7109375" customWidth="1"/>
    <col min="9" max="9" width="18.140625" customWidth="1"/>
    <col min="10" max="10" width="13.28515625" customWidth="1"/>
    <col min="11" max="11" width="21" customWidth="1"/>
    <col min="12" max="12" width="13.42578125" customWidth="1"/>
    <col min="13" max="13" width="13.85546875" customWidth="1"/>
    <col min="19" max="19" width="23.85546875" customWidth="1"/>
    <col min="20" max="20" width="21.28515625" customWidth="1"/>
    <col min="21" max="21" width="21.7109375" customWidth="1"/>
  </cols>
  <sheetData>
    <row r="1" spans="1:21" ht="18.95" customHeight="1">
      <c r="A1" s="2743" t="s">
        <v>59</v>
      </c>
      <c r="B1" s="2743"/>
      <c r="C1" s="2743"/>
      <c r="D1" s="2584"/>
      <c r="E1" s="2584"/>
      <c r="F1" s="2584"/>
      <c r="G1" s="2584"/>
      <c r="H1" s="2584"/>
      <c r="I1" s="2584"/>
      <c r="J1" s="2584"/>
      <c r="K1" s="2584"/>
      <c r="L1" s="2584"/>
      <c r="M1" s="2584"/>
      <c r="N1" s="2584"/>
      <c r="O1" s="2584"/>
      <c r="P1" s="2584"/>
      <c r="Q1" s="2584"/>
      <c r="R1" s="2584"/>
      <c r="S1" s="2584"/>
      <c r="T1" s="2584"/>
      <c r="U1" s="2584"/>
    </row>
    <row r="2" spans="1:21" ht="38.25" customHeight="1">
      <c r="A2" s="2744" t="s">
        <v>60</v>
      </c>
      <c r="B2" s="2744"/>
      <c r="C2" s="2744"/>
    </row>
    <row r="3" spans="1:21" ht="56.25">
      <c r="A3" s="2741" t="s">
        <v>61</v>
      </c>
      <c r="B3" s="2762" t="s">
        <v>62</v>
      </c>
      <c r="C3" s="2741" t="s">
        <v>63</v>
      </c>
      <c r="D3" s="2528" t="s">
        <v>64</v>
      </c>
      <c r="E3" s="1853" t="s">
        <v>65</v>
      </c>
      <c r="F3" s="1853" t="s">
        <v>66</v>
      </c>
      <c r="G3" s="2761" t="s">
        <v>67</v>
      </c>
      <c r="H3" s="2761"/>
      <c r="I3" s="2761"/>
      <c r="J3" s="2761"/>
      <c r="K3" s="2761"/>
      <c r="L3" s="2761"/>
      <c r="M3" s="2761"/>
      <c r="N3" s="2761"/>
      <c r="O3" s="2761"/>
      <c r="P3" s="2761"/>
      <c r="Q3" s="2761"/>
      <c r="R3" s="2761"/>
      <c r="S3" s="2741" t="s">
        <v>68</v>
      </c>
      <c r="T3" s="1853" t="s">
        <v>69</v>
      </c>
      <c r="U3" s="1854" t="s">
        <v>70</v>
      </c>
    </row>
    <row r="4" spans="1:21" ht="27.95" customHeight="1">
      <c r="A4" s="2742"/>
      <c r="B4" s="2763"/>
      <c r="C4" s="2742"/>
      <c r="D4" s="2529"/>
      <c r="E4" s="1853"/>
      <c r="F4" s="1853"/>
      <c r="G4" s="1853" t="s">
        <v>71</v>
      </c>
      <c r="H4" s="1853" t="s">
        <v>72</v>
      </c>
      <c r="I4" s="1853" t="s">
        <v>73</v>
      </c>
      <c r="J4" s="1853" t="s">
        <v>74</v>
      </c>
      <c r="K4" s="1853" t="s">
        <v>75</v>
      </c>
      <c r="L4" s="1853" t="s">
        <v>76</v>
      </c>
      <c r="M4" s="1853" t="s">
        <v>77</v>
      </c>
      <c r="N4" s="1853" t="s">
        <v>78</v>
      </c>
      <c r="O4" s="1853" t="s">
        <v>79</v>
      </c>
      <c r="P4" s="1853" t="s">
        <v>80</v>
      </c>
      <c r="Q4" s="1853" t="s">
        <v>81</v>
      </c>
      <c r="R4" s="1853" t="s">
        <v>82</v>
      </c>
      <c r="S4" s="2742"/>
      <c r="T4" s="1853"/>
      <c r="U4" s="1854"/>
    </row>
    <row r="5" spans="1:21" ht="30">
      <c r="A5" s="2769" t="s">
        <v>83</v>
      </c>
      <c r="B5" s="2746" t="s">
        <v>84</v>
      </c>
      <c r="C5" s="1844" t="str">
        <f>'Bieu5-Nhu cau mua sam sua chua'!B37</f>
        <v>Kinh phí văn phòng phẩm khoán cho Trường, Khoa, Viện nhận</v>
      </c>
      <c r="D5" s="2549" t="s">
        <v>85</v>
      </c>
      <c r="E5" s="2579" t="s">
        <v>86</v>
      </c>
      <c r="F5" s="2578" t="s">
        <v>87</v>
      </c>
      <c r="G5" s="1841"/>
      <c r="H5" s="1841"/>
      <c r="I5" s="1841"/>
      <c r="J5" s="1841"/>
      <c r="K5" s="1841"/>
      <c r="L5" s="1841"/>
      <c r="M5" s="1841"/>
      <c r="N5" s="1841"/>
      <c r="O5" s="1841"/>
      <c r="P5" s="1841"/>
      <c r="Q5" s="1841"/>
      <c r="R5" s="1841"/>
      <c r="S5" s="1845"/>
      <c r="T5" s="1845"/>
      <c r="U5" s="1845"/>
    </row>
    <row r="6" spans="1:21" ht="30">
      <c r="A6" s="2769"/>
      <c r="B6" s="2747"/>
      <c r="C6" s="1844" t="str">
        <f>'Bieu5-Nhu cau mua sam sua chua'!B44</f>
        <v>Tiền phấn cho giảng  viên</v>
      </c>
      <c r="D6" s="2549" t="s">
        <v>88</v>
      </c>
      <c r="E6" s="2579" t="s">
        <v>86</v>
      </c>
      <c r="F6" s="2578" t="s">
        <v>87</v>
      </c>
      <c r="G6" s="1841"/>
      <c r="H6" s="1841"/>
      <c r="I6" s="1841"/>
      <c r="J6" s="1841"/>
      <c r="K6" s="1841"/>
      <c r="L6" s="1841"/>
      <c r="M6" s="1841"/>
      <c r="N6" s="1841"/>
      <c r="O6" s="1841"/>
      <c r="P6" s="1841"/>
      <c r="Q6" s="1841"/>
      <c r="R6" s="1841"/>
      <c r="S6" s="1845"/>
      <c r="T6" s="1845"/>
      <c r="U6" s="1845"/>
    </row>
    <row r="7" spans="1:21" ht="17.25">
      <c r="A7" s="2769"/>
      <c r="B7" s="2748"/>
      <c r="C7" s="1844" t="s">
        <v>89</v>
      </c>
      <c r="D7" s="1844"/>
      <c r="E7" s="2579" t="s">
        <v>86</v>
      </c>
      <c r="F7" s="2578" t="s">
        <v>87</v>
      </c>
      <c r="G7" s="1841"/>
      <c r="H7" s="1841"/>
      <c r="I7" s="1841"/>
      <c r="J7" s="1841"/>
      <c r="K7" s="1841"/>
      <c r="L7" s="1841"/>
      <c r="M7" s="1841"/>
      <c r="N7" s="1841"/>
      <c r="O7" s="1841"/>
      <c r="P7" s="1841"/>
      <c r="Q7" s="1841"/>
      <c r="R7" s="1841"/>
      <c r="S7" s="1845"/>
      <c r="T7" s="1845"/>
      <c r="U7" s="1845"/>
    </row>
    <row r="8" spans="1:21" ht="30">
      <c r="A8" s="2769"/>
      <c r="B8" s="2770" t="s">
        <v>90</v>
      </c>
      <c r="C8" s="1844" t="str">
        <f>'Bieu5-Nhu cau mua sam sua chua'!B8</f>
        <v>Mua sắm trang thiết bị</v>
      </c>
      <c r="D8" s="2549" t="s">
        <v>91</v>
      </c>
      <c r="E8" s="2579" t="s">
        <v>86</v>
      </c>
      <c r="F8" s="2578" t="s">
        <v>87</v>
      </c>
      <c r="G8" s="1841"/>
      <c r="H8" s="1841"/>
      <c r="I8" s="1841"/>
      <c r="J8" s="1841"/>
      <c r="K8" s="1841"/>
      <c r="L8" s="1841"/>
      <c r="M8" s="1841"/>
      <c r="N8" s="1841"/>
      <c r="O8" s="1841"/>
      <c r="P8" s="1841"/>
      <c r="Q8" s="1841"/>
      <c r="R8" s="1841"/>
      <c r="S8" s="1845"/>
      <c r="T8" s="1845"/>
      <c r="U8" s="1845"/>
    </row>
    <row r="9" spans="1:21" ht="30">
      <c r="A9" s="2769"/>
      <c r="B9" s="2770"/>
      <c r="C9" s="1844" t="str">
        <f>'Bieu5-Nhu cau mua sam sua chua'!B15</f>
        <v>Danh mục giáo trình, tài liệu đề nghị mua</v>
      </c>
      <c r="D9" s="2549" t="s">
        <v>92</v>
      </c>
      <c r="E9" s="2579" t="s">
        <v>86</v>
      </c>
      <c r="F9" s="2578" t="s">
        <v>87</v>
      </c>
      <c r="G9" s="1841"/>
      <c r="H9" s="1841"/>
      <c r="I9" s="1841"/>
      <c r="J9" s="1841"/>
      <c r="K9" s="1841"/>
      <c r="L9" s="1841"/>
      <c r="M9" s="1841"/>
      <c r="N9" s="1841"/>
      <c r="O9" s="1841"/>
      <c r="P9" s="1841"/>
      <c r="Q9" s="1841"/>
      <c r="R9" s="1841"/>
      <c r="S9" s="1845"/>
      <c r="T9" s="1845"/>
      <c r="U9" s="1845"/>
    </row>
    <row r="10" spans="1:21" ht="30">
      <c r="A10" s="2769"/>
      <c r="B10" s="2770"/>
      <c r="C10" s="1844" t="str">
        <f>'Bieu 4a-KP thuc hanh thi nghiem'!B8</f>
        <v>Kế hoạch hóa chất, vật tư phục vụ thực hành thí nghiệm</v>
      </c>
      <c r="D10" s="2548" t="s">
        <v>93</v>
      </c>
      <c r="E10" s="2579" t="s">
        <v>86</v>
      </c>
      <c r="F10" s="2578" t="s">
        <v>87</v>
      </c>
      <c r="G10" s="1841"/>
      <c r="H10" s="1841"/>
      <c r="I10" s="1841"/>
      <c r="J10" s="1841"/>
      <c r="K10" s="1841"/>
      <c r="L10" s="1841"/>
      <c r="M10" s="1841"/>
      <c r="N10" s="1841"/>
      <c r="O10" s="1841"/>
      <c r="P10" s="1841"/>
      <c r="Q10" s="1841"/>
      <c r="R10" s="1841"/>
      <c r="S10" s="1845"/>
      <c r="T10" s="1845"/>
      <c r="U10" s="1845"/>
    </row>
    <row r="11" spans="1:21" ht="30">
      <c r="A11" s="2771" t="s">
        <v>94</v>
      </c>
      <c r="B11" s="2745" t="s">
        <v>95</v>
      </c>
      <c r="C11" s="1847" t="str">
        <f>'Bieu 6 Ke hoach can bo'!B6</f>
        <v>KẾ HOẠCH TUYỂN DỤNG, BỔ SUNG NGƯỜI LÀM VIỆC</v>
      </c>
      <c r="D11" s="2550" t="s">
        <v>96</v>
      </c>
      <c r="E11" s="2579" t="s">
        <v>97</v>
      </c>
      <c r="F11" s="2578" t="s">
        <v>87</v>
      </c>
      <c r="G11" s="2580"/>
      <c r="H11" s="2580"/>
      <c r="I11" s="2580"/>
      <c r="J11" s="2580"/>
      <c r="K11" s="2580"/>
      <c r="L11" s="2580"/>
      <c r="M11" s="2580"/>
      <c r="N11" s="2580"/>
      <c r="O11" s="2580"/>
      <c r="P11" s="2580"/>
      <c r="Q11" s="2580"/>
      <c r="R11" s="2580"/>
      <c r="S11" s="2581"/>
      <c r="T11" s="2581"/>
      <c r="U11" s="2581"/>
    </row>
    <row r="12" spans="1:21" ht="45">
      <c r="A12" s="2771"/>
      <c r="B12" s="2745"/>
      <c r="C12" s="1847" t="str">
        <f>'Bieu 6 Ke hoach can bo'!B43</f>
        <v>KẾ HOẠCH NGHỈ HƯU, TINH GIẢN BIÊN CHẾ, KÉO DÀI THỜI GIAN CÔNG TÁC</v>
      </c>
      <c r="D12" s="2550" t="s">
        <v>98</v>
      </c>
      <c r="E12" s="2579" t="s">
        <v>97</v>
      </c>
      <c r="F12" s="2578" t="s">
        <v>87</v>
      </c>
      <c r="G12" s="1846"/>
      <c r="H12" s="1846"/>
      <c r="I12" s="1846"/>
      <c r="J12" s="1846"/>
      <c r="K12" s="1846"/>
      <c r="L12" s="1846"/>
      <c r="M12" s="1846"/>
      <c r="N12" s="1846"/>
      <c r="O12" s="1846"/>
      <c r="P12" s="1846"/>
      <c r="Q12" s="1846"/>
      <c r="R12" s="1846"/>
      <c r="S12" s="1848"/>
      <c r="T12" s="1848"/>
      <c r="U12" s="1848"/>
    </row>
    <row r="13" spans="1:21" ht="30">
      <c r="A13" s="2771"/>
      <c r="B13" s="2745"/>
      <c r="C13" s="1847" t="str">
        <f>'Bieu 6 Ke hoach can bo'!B62</f>
        <v>KẾ HOẠCH NGHỈ PHÉP, NGHỈ KHÔNG LƯƠNG, THAI SẢN</v>
      </c>
      <c r="D13" s="2550" t="s">
        <v>99</v>
      </c>
      <c r="E13" s="2579" t="s">
        <v>97</v>
      </c>
      <c r="F13" s="2578" t="s">
        <v>87</v>
      </c>
      <c r="G13" s="1846"/>
      <c r="H13" s="1846"/>
      <c r="I13" s="1846"/>
      <c r="J13" s="1846"/>
      <c r="K13" s="1846"/>
      <c r="L13" s="1846"/>
      <c r="M13" s="1846"/>
      <c r="N13" s="1846"/>
      <c r="O13" s="1846"/>
      <c r="P13" s="1846"/>
      <c r="Q13" s="1846"/>
      <c r="R13" s="1846"/>
      <c r="S13" s="1848"/>
      <c r="T13" s="1848"/>
      <c r="U13" s="1848"/>
    </row>
    <row r="14" spans="1:21" ht="30">
      <c r="A14" s="2771"/>
      <c r="B14" s="2745" t="s">
        <v>100</v>
      </c>
      <c r="C14" s="1847" t="str">
        <f>'Bieu 6 Ke hoach can bo'!B71</f>
        <v>KẾ HOẠCH ĐÀO TẠO NÂNG CAO TRÌNH ĐỘ CHUYÊN MÔN</v>
      </c>
      <c r="D14" s="2550" t="s">
        <v>101</v>
      </c>
      <c r="E14" s="2579" t="s">
        <v>97</v>
      </c>
      <c r="F14" s="2578" t="s">
        <v>87</v>
      </c>
      <c r="G14" s="1846"/>
      <c r="H14" s="1846"/>
      <c r="I14" s="1846"/>
      <c r="J14" s="1846"/>
      <c r="K14" s="1846"/>
      <c r="L14" s="1846"/>
      <c r="M14" s="1846"/>
      <c r="N14" s="1846"/>
      <c r="O14" s="1846"/>
      <c r="P14" s="1846"/>
      <c r="Q14" s="1846"/>
      <c r="R14" s="1846"/>
      <c r="S14" s="1848"/>
      <c r="T14" s="1848"/>
      <c r="U14" s="1848"/>
    </row>
    <row r="15" spans="1:21" ht="45">
      <c r="A15" s="2771"/>
      <c r="B15" s="2745"/>
      <c r="C15" s="1847" t="str">
        <f>'Bieu 6 Ke hoach can bo'!B109</f>
        <v>KẾ HOẠCH BỒI DƯỠNG CÁN BỘ (bồi dưỡng chức danh nghề nghiệp, ngoại ngữ, tin học, chuyên môn nghiệp vụ, …..)</v>
      </c>
      <c r="D15" s="2550" t="s">
        <v>102</v>
      </c>
      <c r="E15" s="2579" t="s">
        <v>97</v>
      </c>
      <c r="F15" s="2578" t="s">
        <v>87</v>
      </c>
      <c r="G15" s="1846"/>
      <c r="H15" s="1846"/>
      <c r="I15" s="1846"/>
      <c r="J15" s="1846"/>
      <c r="K15" s="1846"/>
      <c r="L15" s="1846"/>
      <c r="M15" s="1846"/>
      <c r="N15" s="1846"/>
      <c r="O15" s="1846"/>
      <c r="P15" s="1846"/>
      <c r="Q15" s="1846"/>
      <c r="R15" s="1846"/>
      <c r="S15" s="1848"/>
      <c r="T15" s="1848"/>
      <c r="U15" s="1848"/>
    </row>
    <row r="16" spans="1:21" ht="30">
      <c r="A16" s="2771"/>
      <c r="B16" s="2745"/>
      <c r="C16" s="1847" t="str">
        <f>'Bieu 6 Ke hoach can bo'!B204</f>
        <v>KẾ HOẠCH BỔ NHIỆM GS, PGS VÀ THAY ĐỔI CHỨC DANH NGHỀ NGHIỆP</v>
      </c>
      <c r="D16" s="2550" t="s">
        <v>103</v>
      </c>
      <c r="E16" s="2579" t="s">
        <v>97</v>
      </c>
      <c r="F16" s="2578" t="s">
        <v>87</v>
      </c>
      <c r="G16" s="1846"/>
      <c r="H16" s="1846"/>
      <c r="I16" s="1846"/>
      <c r="J16" s="1846"/>
      <c r="K16" s="1846"/>
      <c r="L16" s="1846"/>
      <c r="M16" s="1846"/>
      <c r="N16" s="1846"/>
      <c r="O16" s="1846"/>
      <c r="P16" s="1846"/>
      <c r="Q16" s="1846"/>
      <c r="R16" s="1846"/>
      <c r="S16" s="1848"/>
      <c r="T16" s="1848"/>
      <c r="U16" s="1848"/>
    </row>
    <row r="17" spans="1:21" ht="60">
      <c r="A17" s="2764" t="s">
        <v>104</v>
      </c>
      <c r="B17" s="2765" t="s">
        <v>105</v>
      </c>
      <c r="C17" s="1850" t="str">
        <f>'7a-KH NCKH'!B8</f>
        <v>ĐỀ TÀI CÓ SỬ DỤNG NGUỒN KINH PHÍ NGÂN SÁCH CẤP QUA GIAO DỰ TOÁN CỦA BỘ GIÁO DỤC VÀ ĐÀO TẠO</v>
      </c>
      <c r="D17" s="2561" t="s">
        <v>106</v>
      </c>
      <c r="E17" s="2579" t="s">
        <v>97</v>
      </c>
      <c r="F17" s="2578" t="s">
        <v>87</v>
      </c>
      <c r="G17" s="1849"/>
      <c r="H17" s="1849"/>
      <c r="I17" s="1849"/>
      <c r="J17" s="1849"/>
      <c r="K17" s="1849"/>
      <c r="L17" s="1849"/>
      <c r="M17" s="1849"/>
      <c r="N17" s="1849"/>
      <c r="O17" s="1849"/>
      <c r="P17" s="1849"/>
      <c r="Q17" s="1849"/>
      <c r="R17" s="1849"/>
      <c r="S17" s="1851"/>
      <c r="T17" s="1851"/>
      <c r="U17" s="1851"/>
    </row>
    <row r="18" spans="1:21" ht="45">
      <c r="A18" s="2764"/>
      <c r="B18" s="2765"/>
      <c r="C18" s="1850" t="str">
        <f>'7a-KH NCKH'!B31</f>
        <v>NHIỆM VỤ KHOA HỌC CÔNG NGHỆ SỬ DỤNG NGUỒN KINH PHÍ TRƯỜNG ĐẠI HỌC VINH</v>
      </c>
      <c r="D18" s="2561" t="s">
        <v>107</v>
      </c>
      <c r="E18" s="2579" t="s">
        <v>97</v>
      </c>
      <c r="F18" s="2578" t="s">
        <v>87</v>
      </c>
      <c r="G18" s="1849"/>
      <c r="H18" s="1849"/>
      <c r="I18" s="1849"/>
      <c r="J18" s="1849"/>
      <c r="K18" s="1849"/>
      <c r="L18" s="1849"/>
      <c r="M18" s="1849"/>
      <c r="N18" s="1849"/>
      <c r="O18" s="1849"/>
      <c r="P18" s="1849"/>
      <c r="Q18" s="1849"/>
      <c r="R18" s="1849"/>
      <c r="S18" s="1851"/>
      <c r="T18" s="1851"/>
      <c r="U18" s="1851"/>
    </row>
    <row r="19" spans="1:21" ht="30">
      <c r="A19" s="2764"/>
      <c r="B19" s="2765"/>
      <c r="C19" s="1852" t="str">
        <f>'7a-KH NCKH'!B133</f>
        <v>CÁC NHIỆM VỤ KHCN ĐƯỢC TỔ CHỨC KHÁC CẤP KINH PHÍ</v>
      </c>
      <c r="D19" s="2561" t="s">
        <v>108</v>
      </c>
      <c r="E19" s="2579" t="s">
        <v>97</v>
      </c>
      <c r="F19" s="2578" t="s">
        <v>87</v>
      </c>
      <c r="G19" s="1852"/>
      <c r="H19" s="1852"/>
      <c r="I19" s="1852"/>
      <c r="J19" s="1852"/>
      <c r="K19" s="1852"/>
      <c r="L19" s="1852"/>
      <c r="M19" s="1852"/>
      <c r="N19" s="1852"/>
      <c r="O19" s="1852"/>
      <c r="P19" s="1852"/>
      <c r="Q19" s="1852"/>
      <c r="R19" s="1852"/>
      <c r="S19" s="2582"/>
      <c r="T19" s="2582"/>
      <c r="U19" s="2582"/>
    </row>
    <row r="20" spans="1:21" ht="17.25">
      <c r="A20" s="2764"/>
      <c r="B20" s="2765" t="s">
        <v>109</v>
      </c>
      <c r="C20" s="1852" t="str">
        <f>'7b Kế hoạch công bố '!B7</f>
        <v>Số lượng công bố trên WoS</v>
      </c>
      <c r="D20" s="2562" t="s">
        <v>110</v>
      </c>
      <c r="E20" s="2579" t="s">
        <v>97</v>
      </c>
      <c r="F20" s="2578" t="s">
        <v>87</v>
      </c>
      <c r="G20" s="1852"/>
      <c r="H20" s="1852"/>
      <c r="I20" s="1852"/>
      <c r="J20" s="1852"/>
      <c r="K20" s="1852"/>
      <c r="L20" s="1852"/>
      <c r="M20" s="1852"/>
      <c r="N20" s="1852"/>
      <c r="O20" s="1852"/>
      <c r="P20" s="1852"/>
      <c r="Q20" s="1852"/>
      <c r="R20" s="1852"/>
      <c r="S20" s="2582"/>
      <c r="T20" s="2582"/>
      <c r="U20" s="2582"/>
    </row>
    <row r="21" spans="1:21" ht="17.25">
      <c r="A21" s="2764"/>
      <c r="B21" s="2765"/>
      <c r="C21" s="1852" t="str">
        <f>'7b Kế hoạch công bố '!B20</f>
        <v>Số lượng công bố trên Scopus</v>
      </c>
      <c r="D21" s="2562" t="s">
        <v>111</v>
      </c>
      <c r="E21" s="2579" t="s">
        <v>97</v>
      </c>
      <c r="F21" s="2578" t="s">
        <v>87</v>
      </c>
      <c r="G21" s="1852"/>
      <c r="H21" s="1852"/>
      <c r="I21" s="1852"/>
      <c r="J21" s="1852"/>
      <c r="K21" s="1852"/>
      <c r="L21" s="1852"/>
      <c r="M21" s="1852"/>
      <c r="N21" s="1852"/>
      <c r="O21" s="1852"/>
      <c r="P21" s="1852"/>
      <c r="Q21" s="1852"/>
      <c r="R21" s="1852"/>
      <c r="S21" s="2582"/>
      <c r="T21" s="2582"/>
      <c r="U21" s="2582"/>
    </row>
    <row r="22" spans="1:21" ht="30">
      <c r="A22" s="2764"/>
      <c r="B22" s="2765"/>
      <c r="C22" s="1852" t="str">
        <f>'7b Kế hoạch công bố '!B33</f>
        <v>Số lượng công bố trên tạp chí khoa học, kỷ yếu hội nghị, hội thảo quốc tế khác</v>
      </c>
      <c r="D22" s="2562" t="s">
        <v>112</v>
      </c>
      <c r="E22" s="2579" t="s">
        <v>97</v>
      </c>
      <c r="F22" s="2578" t="s">
        <v>87</v>
      </c>
      <c r="G22" s="1852"/>
      <c r="H22" s="1852"/>
      <c r="I22" s="1852"/>
      <c r="J22" s="1852"/>
      <c r="K22" s="1852"/>
      <c r="L22" s="1852"/>
      <c r="M22" s="1852"/>
      <c r="N22" s="1852"/>
      <c r="O22" s="1852"/>
      <c r="P22" s="1852"/>
      <c r="Q22" s="1852"/>
      <c r="R22" s="1852"/>
      <c r="S22" s="2582"/>
      <c r="T22" s="2582"/>
      <c r="U22" s="2582"/>
    </row>
    <row r="23" spans="1:21" ht="30">
      <c r="A23" s="2764"/>
      <c r="B23" s="2765"/>
      <c r="C23" s="1852" t="str">
        <f>'7b Kế hoạch công bố '!B46</f>
        <v>Số lượng công bố trên các tạp chí khoa học trong nước</v>
      </c>
      <c r="D23" s="2562" t="s">
        <v>112</v>
      </c>
      <c r="E23" s="2579" t="s">
        <v>97</v>
      </c>
      <c r="F23" s="2578" t="s">
        <v>87</v>
      </c>
      <c r="G23" s="1852"/>
      <c r="H23" s="1852"/>
      <c r="I23" s="1852"/>
      <c r="J23" s="1852"/>
      <c r="K23" s="1852"/>
      <c r="L23" s="1852"/>
      <c r="M23" s="1852"/>
      <c r="N23" s="1852"/>
      <c r="O23" s="1852"/>
      <c r="P23" s="1852"/>
      <c r="Q23" s="1852"/>
      <c r="R23" s="1852"/>
      <c r="S23" s="2582"/>
      <c r="T23" s="2582"/>
      <c r="U23" s="2582"/>
    </row>
    <row r="24" spans="1:21" ht="30">
      <c r="A24" s="2764"/>
      <c r="B24" s="2765"/>
      <c r="C24" s="1852" t="str">
        <f>'7b Kế hoạch công bố '!B59</f>
        <v>Số lượng công bố trên các kỷ yếu hội nghị, hội thảo trong nước</v>
      </c>
      <c r="D24" s="2562" t="s">
        <v>113</v>
      </c>
      <c r="E24" s="2579" t="s">
        <v>97</v>
      </c>
      <c r="F24" s="2578" t="s">
        <v>87</v>
      </c>
      <c r="G24" s="1852"/>
      <c r="H24" s="1852"/>
      <c r="I24" s="1852"/>
      <c r="J24" s="1852"/>
      <c r="K24" s="1852"/>
      <c r="L24" s="1852"/>
      <c r="M24" s="1852"/>
      <c r="N24" s="1852"/>
      <c r="O24" s="1852"/>
      <c r="P24" s="1852"/>
      <c r="Q24" s="1852"/>
      <c r="R24" s="1852"/>
      <c r="S24" s="2582"/>
      <c r="T24" s="2582"/>
      <c r="U24" s="2582"/>
    </row>
    <row r="25" spans="1:21" ht="17.25">
      <c r="A25" s="2764"/>
      <c r="B25" s="2765"/>
      <c r="C25" s="1852" t="str">
        <f>'7b Kế hoạch công bố '!B72</f>
        <v>Các loại hình công bố khác</v>
      </c>
      <c r="D25" s="2562" t="s">
        <v>114</v>
      </c>
      <c r="E25" s="2579" t="s">
        <v>97</v>
      </c>
      <c r="F25" s="2578" t="s">
        <v>87</v>
      </c>
      <c r="G25" s="1852"/>
      <c r="H25" s="1852"/>
      <c r="I25" s="1852"/>
      <c r="J25" s="1852"/>
      <c r="K25" s="1852"/>
      <c r="L25" s="1852"/>
      <c r="M25" s="1852"/>
      <c r="N25" s="1852"/>
      <c r="O25" s="1852"/>
      <c r="P25" s="1852"/>
      <c r="Q25" s="1852"/>
      <c r="R25" s="1852"/>
      <c r="S25" s="2582"/>
      <c r="T25" s="2582"/>
      <c r="U25" s="2582"/>
    </row>
    <row r="26" spans="1:21" ht="45">
      <c r="A26" s="2764"/>
      <c r="B26" s="1852" t="s">
        <v>115</v>
      </c>
      <c r="C26" s="1852" t="str">
        <f>'Bieu 6 Ke hoach can bo'!B124</f>
        <v>KẾ HOẠCH THAM GIA HỘI NGHỊ, HỘI THẢO, TẬP HUẤN, THỰC TẬP SINH, HỢP TÁC KHOA HỌC</v>
      </c>
      <c r="D26" s="2561" t="s">
        <v>116</v>
      </c>
      <c r="E26" s="2579" t="s">
        <v>97</v>
      </c>
      <c r="F26" s="2578" t="s">
        <v>87</v>
      </c>
      <c r="G26" s="1852"/>
      <c r="H26" s="1852"/>
      <c r="I26" s="1852"/>
      <c r="J26" s="1852"/>
      <c r="K26" s="1852"/>
      <c r="L26" s="1852"/>
      <c r="M26" s="1852"/>
      <c r="N26" s="1852"/>
      <c r="O26" s="1852"/>
      <c r="P26" s="1852"/>
      <c r="Q26" s="1852"/>
      <c r="R26" s="1852"/>
      <c r="S26" s="2582"/>
      <c r="T26" s="2582"/>
      <c r="U26" s="2582"/>
    </row>
    <row r="27" spans="1:21" ht="17.25">
      <c r="A27" s="2764"/>
      <c r="B27" s="2766" t="s">
        <v>117</v>
      </c>
      <c r="C27" s="1852" t="str">
        <f>'Bieu 8a Bien soan GT'!B7</f>
        <v>Kế hoạch Xuất bản giáo trình đại học</v>
      </c>
      <c r="D27" s="2562" t="s">
        <v>118</v>
      </c>
      <c r="E27" s="2579" t="s">
        <v>86</v>
      </c>
      <c r="F27" s="2578" t="s">
        <v>87</v>
      </c>
      <c r="G27" s="1852"/>
      <c r="H27" s="1852"/>
      <c r="I27" s="1852"/>
      <c r="J27" s="1852"/>
      <c r="K27" s="1852"/>
      <c r="L27" s="1852"/>
      <c r="M27" s="1852"/>
      <c r="N27" s="1852"/>
      <c r="O27" s="1852"/>
      <c r="P27" s="1852"/>
      <c r="Q27" s="1852"/>
      <c r="R27" s="1852"/>
      <c r="S27" s="2582"/>
      <c r="T27" s="2582"/>
      <c r="U27" s="2582"/>
    </row>
    <row r="28" spans="1:21" ht="17.25">
      <c r="A28" s="2764"/>
      <c r="B28" s="2766"/>
      <c r="C28" s="1852" t="str">
        <f>'Bieu 8a Bien soan GT'!B25</f>
        <v>Kế hoạch Xuất bản giáo trình sau đại học</v>
      </c>
      <c r="D28" s="2562" t="s">
        <v>119</v>
      </c>
      <c r="E28" s="2579" t="s">
        <v>86</v>
      </c>
      <c r="F28" s="2578" t="s">
        <v>87</v>
      </c>
      <c r="G28" s="1852"/>
      <c r="H28" s="1852"/>
      <c r="I28" s="1852"/>
      <c r="J28" s="1852"/>
      <c r="K28" s="1852"/>
      <c r="L28" s="1852"/>
      <c r="M28" s="1852"/>
      <c r="N28" s="1852"/>
      <c r="O28" s="1852"/>
      <c r="P28" s="1852"/>
      <c r="Q28" s="1852"/>
      <c r="R28" s="1852"/>
      <c r="S28" s="2582"/>
      <c r="T28" s="2582"/>
      <c r="U28" s="2582"/>
    </row>
    <row r="29" spans="1:21" ht="30">
      <c r="A29" s="2764"/>
      <c r="B29" s="1852" t="s">
        <v>120</v>
      </c>
      <c r="C29" s="1852"/>
      <c r="D29" s="2562" t="s">
        <v>119</v>
      </c>
      <c r="E29" s="2579" t="s">
        <v>86</v>
      </c>
      <c r="F29" s="2578" t="s">
        <v>87</v>
      </c>
      <c r="G29" s="1852"/>
      <c r="H29" s="1852"/>
      <c r="I29" s="1852"/>
      <c r="J29" s="1852"/>
      <c r="K29" s="1852"/>
      <c r="L29" s="1852"/>
      <c r="M29" s="1852"/>
      <c r="N29" s="1852"/>
      <c r="O29" s="1852"/>
      <c r="P29" s="1852"/>
      <c r="Q29" s="1852"/>
      <c r="R29" s="1852"/>
      <c r="S29" s="2582"/>
      <c r="T29" s="2582"/>
      <c r="U29" s="2582"/>
    </row>
    <row r="30" spans="1:21" ht="17.25">
      <c r="A30" s="2592"/>
      <c r="B30" s="2593"/>
      <c r="C30" s="1852"/>
      <c r="D30" s="2562"/>
      <c r="E30" s="2579"/>
      <c r="F30" s="2578"/>
      <c r="G30" s="1852"/>
      <c r="H30" s="1852"/>
      <c r="I30" s="1852"/>
      <c r="J30" s="1852"/>
      <c r="K30" s="1852"/>
      <c r="L30" s="1852"/>
      <c r="M30" s="1852"/>
      <c r="N30" s="1852"/>
      <c r="O30" s="1852"/>
      <c r="P30" s="1852"/>
      <c r="Q30" s="1852"/>
      <c r="R30" s="1852"/>
      <c r="S30" s="2582"/>
      <c r="T30" s="2582"/>
      <c r="U30" s="2582"/>
    </row>
    <row r="31" spans="1:21" ht="17.25">
      <c r="A31" s="2592"/>
      <c r="B31" s="2593"/>
      <c r="C31" s="1852"/>
      <c r="D31" s="2562"/>
      <c r="E31" s="2579"/>
      <c r="F31" s="2578"/>
      <c r="G31" s="1852"/>
      <c r="H31" s="1852"/>
      <c r="I31" s="1852"/>
      <c r="J31" s="1852"/>
      <c r="K31" s="1852"/>
      <c r="L31" s="1852"/>
      <c r="M31" s="1852"/>
      <c r="N31" s="1852"/>
      <c r="O31" s="1852"/>
      <c r="P31" s="1852"/>
      <c r="Q31" s="1852"/>
      <c r="R31" s="1852"/>
      <c r="S31" s="2582"/>
      <c r="T31" s="2582"/>
      <c r="U31" s="2582"/>
    </row>
    <row r="32" spans="1:21" ht="17.25">
      <c r="A32" s="2592"/>
      <c r="B32" s="2593"/>
      <c r="C32" s="1852"/>
      <c r="D32" s="2562"/>
      <c r="E32" s="2579"/>
      <c r="F32" s="2578"/>
      <c r="G32" s="1852"/>
      <c r="H32" s="1852"/>
      <c r="I32" s="1852"/>
      <c r="J32" s="1852"/>
      <c r="K32" s="1852"/>
      <c r="L32" s="1852"/>
      <c r="M32" s="1852"/>
      <c r="N32" s="1852"/>
      <c r="O32" s="1852"/>
      <c r="P32" s="1852"/>
      <c r="Q32" s="1852"/>
      <c r="R32" s="1852"/>
      <c r="S32" s="2582"/>
      <c r="T32" s="2582"/>
      <c r="U32" s="2582"/>
    </row>
    <row r="33" spans="1:21" ht="17.25">
      <c r="A33" s="2592"/>
      <c r="B33" s="2593"/>
      <c r="C33" s="1852"/>
      <c r="D33" s="2562"/>
      <c r="E33" s="2579"/>
      <c r="F33" s="2578"/>
      <c r="G33" s="1852"/>
      <c r="H33" s="1852"/>
      <c r="I33" s="1852"/>
      <c r="J33" s="1852"/>
      <c r="K33" s="1852"/>
      <c r="L33" s="1852"/>
      <c r="M33" s="1852"/>
      <c r="N33" s="1852"/>
      <c r="O33" s="1852"/>
      <c r="P33" s="1852"/>
      <c r="Q33" s="1852"/>
      <c r="R33" s="1852"/>
      <c r="S33" s="2582"/>
      <c r="T33" s="2582"/>
      <c r="U33" s="2582"/>
    </row>
    <row r="34" spans="1:21" ht="17.25">
      <c r="A34" s="2592"/>
      <c r="B34" s="2593"/>
      <c r="C34" s="1852"/>
      <c r="D34" s="2562"/>
      <c r="E34" s="2579"/>
      <c r="F34" s="2578"/>
      <c r="G34" s="1852"/>
      <c r="H34" s="1852"/>
      <c r="I34" s="1852"/>
      <c r="J34" s="1852"/>
      <c r="K34" s="1852"/>
      <c r="L34" s="1852"/>
      <c r="M34" s="1852"/>
      <c r="N34" s="1852"/>
      <c r="O34" s="1852"/>
      <c r="P34" s="1852"/>
      <c r="Q34" s="1852"/>
      <c r="R34" s="1852"/>
      <c r="S34" s="2582"/>
      <c r="T34" s="2582"/>
      <c r="U34" s="2582"/>
    </row>
    <row r="35" spans="1:21" ht="17.25">
      <c r="A35" s="2594"/>
      <c r="B35" s="2595"/>
      <c r="C35" s="2596"/>
      <c r="D35" s="2597"/>
      <c r="E35" s="2598"/>
      <c r="F35" s="2599"/>
      <c r="G35" s="2596"/>
      <c r="H35" s="2596"/>
      <c r="I35" s="2596"/>
      <c r="J35" s="2596"/>
      <c r="K35" s="2596"/>
      <c r="L35" s="2596"/>
      <c r="M35" s="2596"/>
      <c r="N35" s="2596"/>
      <c r="O35" s="2596"/>
      <c r="P35" s="2596"/>
      <c r="Q35" s="2596"/>
      <c r="R35" s="2596"/>
      <c r="S35" s="2600"/>
      <c r="T35" s="2600"/>
      <c r="U35" s="2600"/>
    </row>
    <row r="36" spans="1:21" ht="17.25">
      <c r="A36" s="2594"/>
      <c r="B36" s="2595"/>
      <c r="C36" s="2596"/>
      <c r="D36" s="2597"/>
      <c r="E36" s="2598"/>
      <c r="F36" s="2599"/>
      <c r="G36" s="2596"/>
      <c r="H36" s="2596"/>
      <c r="I36" s="2596"/>
      <c r="J36" s="2596"/>
      <c r="K36" s="2596"/>
      <c r="L36" s="2596"/>
      <c r="M36" s="2596"/>
      <c r="N36" s="2596"/>
      <c r="O36" s="2596"/>
      <c r="P36" s="2596"/>
      <c r="Q36" s="2596"/>
      <c r="R36" s="2596"/>
      <c r="S36" s="2600"/>
      <c r="T36" s="2600"/>
      <c r="U36" s="2600"/>
    </row>
    <row r="37" spans="1:21" ht="17.25">
      <c r="A37" s="2594"/>
      <c r="B37" s="2595"/>
      <c r="C37" s="2596"/>
      <c r="D37" s="2597"/>
      <c r="E37" s="2598"/>
      <c r="F37" s="2599"/>
      <c r="G37" s="2596"/>
      <c r="H37" s="2596"/>
      <c r="I37" s="2596"/>
      <c r="J37" s="2596"/>
      <c r="K37" s="2596"/>
      <c r="L37" s="2596"/>
      <c r="M37" s="2596"/>
      <c r="N37" s="2596"/>
      <c r="O37" s="2596"/>
      <c r="P37" s="2596"/>
      <c r="Q37" s="2596"/>
      <c r="R37" s="2596"/>
      <c r="S37" s="2600"/>
      <c r="T37" s="2600"/>
      <c r="U37" s="2600"/>
    </row>
    <row r="38" spans="1:21" ht="17.25">
      <c r="A38" s="2752" t="s">
        <v>121</v>
      </c>
      <c r="B38" s="2749" t="s">
        <v>122</v>
      </c>
      <c r="C38" s="2596" t="s">
        <v>123</v>
      </c>
      <c r="D38" s="2597"/>
      <c r="E38" s="2598" t="s">
        <v>86</v>
      </c>
      <c r="F38" s="2598" t="s">
        <v>124</v>
      </c>
      <c r="G38" s="2596" t="s">
        <v>125</v>
      </c>
      <c r="H38" s="2596" t="s">
        <v>125</v>
      </c>
      <c r="I38" s="2596"/>
      <c r="J38" s="2596"/>
      <c r="K38" s="2596" t="s">
        <v>126</v>
      </c>
      <c r="L38" s="2596" t="s">
        <v>127</v>
      </c>
      <c r="M38" s="2596" t="s">
        <v>127</v>
      </c>
      <c r="N38" s="2596"/>
      <c r="O38" s="2596"/>
      <c r="P38" s="2596"/>
      <c r="Q38" s="2596"/>
      <c r="R38" s="2596"/>
      <c r="S38" s="2600"/>
      <c r="T38" s="2600"/>
      <c r="U38" s="2600"/>
    </row>
    <row r="39" spans="1:21" ht="17.25">
      <c r="A39" s="2753"/>
      <c r="B39" s="2750"/>
      <c r="C39" s="2596" t="s">
        <v>128</v>
      </c>
      <c r="D39" s="2597"/>
      <c r="E39" s="2598" t="s">
        <v>86</v>
      </c>
      <c r="F39" s="2599" t="s">
        <v>124</v>
      </c>
      <c r="G39" s="2596" t="s">
        <v>129</v>
      </c>
      <c r="H39" s="2596" t="s">
        <v>129</v>
      </c>
      <c r="I39" s="2596" t="s">
        <v>129</v>
      </c>
      <c r="J39" s="2596"/>
      <c r="K39" s="2596"/>
      <c r="L39" s="2596" t="s">
        <v>130</v>
      </c>
      <c r="M39" s="2596"/>
      <c r="N39" s="2596"/>
      <c r="O39" s="2596"/>
      <c r="P39" s="2596"/>
      <c r="Q39" s="2596"/>
      <c r="R39" s="2596"/>
      <c r="S39" s="2600"/>
      <c r="T39" s="2600"/>
      <c r="U39" s="2600"/>
    </row>
    <row r="40" spans="1:21" ht="17.25">
      <c r="A40" s="2753"/>
      <c r="B40" s="2750"/>
      <c r="C40" s="2596" t="s">
        <v>131</v>
      </c>
      <c r="D40" s="2597"/>
      <c r="E40" s="2598" t="s">
        <v>86</v>
      </c>
      <c r="F40" s="2599" t="s">
        <v>124</v>
      </c>
      <c r="G40" s="2596" t="s">
        <v>132</v>
      </c>
      <c r="H40" s="2596"/>
      <c r="I40" s="2596"/>
      <c r="J40" s="2596"/>
      <c r="K40" s="2596" t="s">
        <v>133</v>
      </c>
      <c r="L40" s="2596"/>
      <c r="M40" s="2596"/>
      <c r="N40" s="2596"/>
      <c r="O40" s="2596"/>
      <c r="P40" s="2596"/>
      <c r="Q40" s="2596"/>
      <c r="R40" s="2596"/>
      <c r="S40" s="2600"/>
      <c r="T40" s="2600"/>
      <c r="U40" s="2600"/>
    </row>
    <row r="41" spans="1:21" ht="17.25">
      <c r="A41" s="2753"/>
      <c r="B41" s="2750"/>
      <c r="C41" s="2596" t="s">
        <v>134</v>
      </c>
      <c r="D41" s="2597"/>
      <c r="E41" s="2598" t="s">
        <v>86</v>
      </c>
      <c r="F41" s="2599" t="s">
        <v>124</v>
      </c>
      <c r="G41" s="2596"/>
      <c r="H41" s="2596"/>
      <c r="I41" s="2596"/>
      <c r="J41" s="2596"/>
      <c r="K41" s="2596" t="s">
        <v>135</v>
      </c>
      <c r="L41" s="2596"/>
      <c r="M41" s="2596"/>
      <c r="N41" s="2596"/>
      <c r="O41" s="2596"/>
      <c r="P41" s="2596"/>
      <c r="Q41" s="2596"/>
      <c r="R41" s="2596"/>
      <c r="S41" s="2600"/>
      <c r="T41" s="2600"/>
      <c r="U41" s="2600"/>
    </row>
    <row r="42" spans="1:21" ht="30">
      <c r="A42" s="2753"/>
      <c r="B42" s="2750"/>
      <c r="C42" s="2596" t="s">
        <v>136</v>
      </c>
      <c r="D42" s="2597"/>
      <c r="E42" s="2598" t="s">
        <v>86</v>
      </c>
      <c r="F42" s="2599" t="s">
        <v>137</v>
      </c>
      <c r="G42" s="2596"/>
      <c r="H42" s="2596"/>
      <c r="I42" s="2596"/>
      <c r="J42" s="2596" t="s">
        <v>138</v>
      </c>
      <c r="K42" s="2596"/>
      <c r="L42" s="2596"/>
      <c r="M42" s="2596"/>
      <c r="N42" s="2596"/>
      <c r="O42" s="2596"/>
      <c r="P42" s="2596"/>
      <c r="Q42" s="2596"/>
      <c r="R42" s="2596"/>
      <c r="S42" s="2600"/>
      <c r="T42" s="2600"/>
      <c r="U42" s="2600"/>
    </row>
    <row r="43" spans="1:21" ht="17.25">
      <c r="A43" s="2753"/>
      <c r="B43" s="2750"/>
      <c r="C43" s="2596" t="s">
        <v>139</v>
      </c>
      <c r="D43" s="2597"/>
      <c r="E43" s="2598" t="s">
        <v>86</v>
      </c>
      <c r="F43" s="2599" t="s">
        <v>137</v>
      </c>
      <c r="G43" s="2596"/>
      <c r="H43" s="2596"/>
      <c r="I43" s="2596" t="s">
        <v>140</v>
      </c>
      <c r="J43" s="2596"/>
      <c r="K43" s="2596" t="s">
        <v>141</v>
      </c>
      <c r="L43" s="2596"/>
      <c r="M43" s="2596"/>
      <c r="N43" s="2596"/>
      <c r="O43" s="2596"/>
      <c r="P43" s="2596"/>
      <c r="Q43" s="2596"/>
      <c r="R43" s="2596"/>
      <c r="S43" s="2600"/>
      <c r="T43" s="2600"/>
      <c r="U43" s="2600"/>
    </row>
    <row r="44" spans="1:21" ht="45">
      <c r="A44" s="2753"/>
      <c r="B44" s="2750"/>
      <c r="C44" s="2596" t="s">
        <v>142</v>
      </c>
      <c r="D44" s="2601" t="s">
        <v>143</v>
      </c>
      <c r="E44" s="2598" t="s">
        <v>86</v>
      </c>
      <c r="F44" s="2599" t="s">
        <v>87</v>
      </c>
      <c r="G44" s="2596" t="s">
        <v>144</v>
      </c>
      <c r="H44" s="2596" t="s">
        <v>144</v>
      </c>
      <c r="I44" s="2596"/>
      <c r="J44" s="2596" t="s">
        <v>145</v>
      </c>
      <c r="K44" s="2596" t="s">
        <v>146</v>
      </c>
      <c r="L44" s="2596" t="s">
        <v>146</v>
      </c>
      <c r="M44" s="2596" t="s">
        <v>147</v>
      </c>
      <c r="N44" s="2596" t="s">
        <v>148</v>
      </c>
      <c r="O44" s="2596"/>
      <c r="P44" s="2596"/>
      <c r="Q44" s="2596"/>
      <c r="R44" s="2596"/>
      <c r="S44" s="2600"/>
      <c r="T44" s="2600"/>
      <c r="U44" s="2600"/>
    </row>
    <row r="45" spans="1:21" ht="30">
      <c r="A45" s="2753"/>
      <c r="B45" s="2751"/>
      <c r="C45" s="2596" t="s">
        <v>149</v>
      </c>
      <c r="D45" s="2601" t="s">
        <v>150</v>
      </c>
      <c r="E45" s="2598" t="s">
        <v>86</v>
      </c>
      <c r="F45" s="2599" t="s">
        <v>87</v>
      </c>
      <c r="G45" s="2596"/>
      <c r="H45" s="2596"/>
      <c r="I45" s="2596"/>
      <c r="J45" s="2596"/>
      <c r="K45" s="2596"/>
      <c r="L45" s="2596"/>
      <c r="M45" s="2596"/>
      <c r="N45" s="2596"/>
      <c r="O45" s="2596"/>
      <c r="P45" s="2596"/>
      <c r="Q45" s="2596"/>
      <c r="R45" s="2596"/>
      <c r="S45" s="2600"/>
      <c r="T45" s="2600"/>
      <c r="U45" s="2600"/>
    </row>
    <row r="46" spans="1:21" ht="45">
      <c r="A46" s="2753"/>
      <c r="B46" s="2596" t="s">
        <v>151</v>
      </c>
      <c r="C46" s="2596" t="s">
        <v>152</v>
      </c>
      <c r="D46" s="2601" t="s">
        <v>153</v>
      </c>
      <c r="E46" s="2598" t="s">
        <v>154</v>
      </c>
      <c r="F46" s="2599" t="s">
        <v>87</v>
      </c>
      <c r="G46" s="2596"/>
      <c r="H46" s="2596"/>
      <c r="I46" s="2596"/>
      <c r="J46" s="2596"/>
      <c r="K46" s="2596"/>
      <c r="L46" s="2596"/>
      <c r="M46" s="2596"/>
      <c r="N46" s="2596"/>
      <c r="O46" s="2596"/>
      <c r="P46" s="2596"/>
      <c r="Q46" s="2596"/>
      <c r="R46" s="2596"/>
      <c r="S46" s="2600"/>
      <c r="T46" s="2600"/>
      <c r="U46" s="2600"/>
    </row>
    <row r="47" spans="1:21" ht="30">
      <c r="A47" s="2753"/>
      <c r="B47" s="2739" t="s">
        <v>155</v>
      </c>
      <c r="C47" s="2596" t="s">
        <v>156</v>
      </c>
      <c r="D47" s="2597" t="s">
        <v>157</v>
      </c>
      <c r="E47" s="2598" t="s">
        <v>86</v>
      </c>
      <c r="F47" s="2599" t="s">
        <v>87</v>
      </c>
      <c r="G47" s="2596"/>
      <c r="H47" s="2596"/>
      <c r="I47" s="2596"/>
      <c r="J47" s="2596"/>
      <c r="K47" s="2596"/>
      <c r="L47" s="2596"/>
      <c r="M47" s="2596"/>
      <c r="N47" s="2596"/>
      <c r="O47" s="2596"/>
      <c r="P47" s="2596"/>
      <c r="Q47" s="2596"/>
      <c r="R47" s="2596"/>
      <c r="S47" s="2600"/>
      <c r="T47" s="2600"/>
      <c r="U47" s="2600"/>
    </row>
    <row r="48" spans="1:21" ht="45">
      <c r="A48" s="2753"/>
      <c r="B48" s="2772"/>
      <c r="C48" s="2596" t="s">
        <v>158</v>
      </c>
      <c r="D48" s="2597" t="s">
        <v>159</v>
      </c>
      <c r="E48" s="2598" t="s">
        <v>86</v>
      </c>
      <c r="F48" s="2599" t="s">
        <v>87</v>
      </c>
      <c r="G48" s="2596"/>
      <c r="H48" s="2596"/>
      <c r="I48" s="2596"/>
      <c r="J48" s="2596" t="s">
        <v>160</v>
      </c>
      <c r="K48" s="2596"/>
      <c r="L48" s="2596"/>
      <c r="M48" s="2596"/>
      <c r="N48" s="2596"/>
      <c r="O48" s="2596"/>
      <c r="P48" s="2596"/>
      <c r="Q48" s="2596"/>
      <c r="R48" s="2596"/>
      <c r="S48" s="2600"/>
      <c r="T48" s="2600"/>
      <c r="U48" s="2600"/>
    </row>
    <row r="49" spans="1:21" ht="30">
      <c r="A49" s="2753"/>
      <c r="B49" s="2740"/>
      <c r="C49" s="2596" t="s">
        <v>161</v>
      </c>
      <c r="D49" s="2597" t="s">
        <v>162</v>
      </c>
      <c r="E49" s="2598" t="s">
        <v>86</v>
      </c>
      <c r="F49" s="2599" t="s">
        <v>87</v>
      </c>
      <c r="G49" s="2596"/>
      <c r="H49" s="2596"/>
      <c r="I49" s="2596"/>
      <c r="J49" s="2596"/>
      <c r="K49" s="2596"/>
      <c r="L49" s="2596"/>
      <c r="M49" s="2596"/>
      <c r="N49" s="2596"/>
      <c r="O49" s="2596"/>
      <c r="P49" s="2596"/>
      <c r="Q49" s="2596"/>
      <c r="R49" s="2596"/>
      <c r="S49" s="2600"/>
      <c r="T49" s="2600"/>
      <c r="U49" s="2600"/>
    </row>
    <row r="50" spans="1:21" ht="30">
      <c r="A50" s="2753"/>
      <c r="B50" s="2739" t="s">
        <v>163</v>
      </c>
      <c r="C50" s="2596" t="s">
        <v>164</v>
      </c>
      <c r="D50" s="2597" t="s">
        <v>162</v>
      </c>
      <c r="E50" s="2598" t="s">
        <v>86</v>
      </c>
      <c r="F50" s="2599" t="s">
        <v>87</v>
      </c>
      <c r="G50" s="2596"/>
      <c r="H50" s="2596"/>
      <c r="I50" s="2596"/>
      <c r="J50" s="2596"/>
      <c r="K50" s="2596"/>
      <c r="L50" s="2596"/>
      <c r="M50" s="2596"/>
      <c r="N50" s="2596"/>
      <c r="O50" s="2596"/>
      <c r="P50" s="2596"/>
      <c r="Q50" s="2596"/>
      <c r="R50" s="2596"/>
      <c r="S50" s="2600"/>
      <c r="T50" s="2600"/>
      <c r="U50" s="2600"/>
    </row>
    <row r="51" spans="1:21" ht="30">
      <c r="A51" s="2753"/>
      <c r="B51" s="2740"/>
      <c r="C51" s="2596" t="s">
        <v>165</v>
      </c>
      <c r="D51" s="2597" t="s">
        <v>162</v>
      </c>
      <c r="E51" s="2598" t="s">
        <v>86</v>
      </c>
      <c r="F51" s="2599" t="s">
        <v>87</v>
      </c>
      <c r="G51" s="2596"/>
      <c r="H51" s="2596"/>
      <c r="I51" s="2596"/>
      <c r="J51" s="2596"/>
      <c r="K51" s="2596"/>
      <c r="L51" s="2596"/>
      <c r="M51" s="2596"/>
      <c r="N51" s="2596"/>
      <c r="O51" s="2596"/>
      <c r="P51" s="2596"/>
      <c r="Q51" s="2596"/>
      <c r="R51" s="2596"/>
      <c r="S51" s="2600"/>
      <c r="T51" s="2600"/>
      <c r="U51" s="2600"/>
    </row>
    <row r="52" spans="1:21" ht="30">
      <c r="A52" s="2753"/>
      <c r="B52" s="2767" t="s">
        <v>166</v>
      </c>
      <c r="C52" s="2596" t="s">
        <v>167</v>
      </c>
      <c r="D52" s="2601" t="s">
        <v>168</v>
      </c>
      <c r="E52" s="2598" t="s">
        <v>97</v>
      </c>
      <c r="F52" s="2599" t="s">
        <v>87</v>
      </c>
      <c r="G52" s="2596"/>
      <c r="H52" s="2596"/>
      <c r="I52" s="2596"/>
      <c r="J52" s="2596"/>
      <c r="K52" s="2596"/>
      <c r="L52" s="2596"/>
      <c r="M52" s="2596"/>
      <c r="N52" s="2596"/>
      <c r="O52" s="2596"/>
      <c r="P52" s="2596"/>
      <c r="Q52" s="2596"/>
      <c r="R52" s="2596"/>
      <c r="S52" s="2600"/>
      <c r="T52" s="2600"/>
      <c r="U52" s="2600"/>
    </row>
    <row r="53" spans="1:21" ht="30">
      <c r="A53" s="2753"/>
      <c r="B53" s="2767"/>
      <c r="C53" s="2596" t="s">
        <v>169</v>
      </c>
      <c r="D53" s="2601" t="s">
        <v>168</v>
      </c>
      <c r="E53" s="2598" t="s">
        <v>97</v>
      </c>
      <c r="F53" s="2599" t="s">
        <v>87</v>
      </c>
      <c r="G53" s="2596"/>
      <c r="H53" s="2596"/>
      <c r="I53" s="2596"/>
      <c r="J53" s="2596"/>
      <c r="K53" s="2596"/>
      <c r="L53" s="2596"/>
      <c r="M53" s="2596"/>
      <c r="N53" s="2596"/>
      <c r="O53" s="2596"/>
      <c r="P53" s="2596"/>
      <c r="Q53" s="2596"/>
      <c r="R53" s="2596"/>
      <c r="S53" s="2600"/>
      <c r="T53" s="2600"/>
      <c r="U53" s="2600"/>
    </row>
    <row r="54" spans="1:21" ht="30">
      <c r="A54" s="2753"/>
      <c r="B54" s="2768" t="s">
        <v>170</v>
      </c>
      <c r="C54" s="2596" t="s">
        <v>171</v>
      </c>
      <c r="D54" s="2601" t="s">
        <v>172</v>
      </c>
      <c r="E54" s="2598" t="s">
        <v>154</v>
      </c>
      <c r="F54" s="2599" t="s">
        <v>87</v>
      </c>
      <c r="G54" s="2596"/>
      <c r="H54" s="2596"/>
      <c r="I54" s="2596"/>
      <c r="J54" s="2596"/>
      <c r="K54" s="2596"/>
      <c r="L54" s="2596"/>
      <c r="M54" s="2596"/>
      <c r="N54" s="2596"/>
      <c r="O54" s="2596"/>
      <c r="P54" s="2596"/>
      <c r="Q54" s="2596"/>
      <c r="R54" s="2596"/>
      <c r="S54" s="2600"/>
      <c r="T54" s="2600"/>
      <c r="U54" s="2600"/>
    </row>
    <row r="55" spans="1:21" ht="30">
      <c r="A55" s="2753"/>
      <c r="B55" s="2768"/>
      <c r="C55" s="2596" t="s">
        <v>173</v>
      </c>
      <c r="D55" s="2601" t="s">
        <v>172</v>
      </c>
      <c r="E55" s="2598" t="s">
        <v>154</v>
      </c>
      <c r="F55" s="2599" t="s">
        <v>87</v>
      </c>
      <c r="G55" s="2596"/>
      <c r="H55" s="2596"/>
      <c r="I55" s="2596"/>
      <c r="J55" s="2596"/>
      <c r="K55" s="2596"/>
      <c r="L55" s="2596"/>
      <c r="M55" s="2596"/>
      <c r="N55" s="2596"/>
      <c r="O55" s="2596"/>
      <c r="P55" s="2596"/>
      <c r="Q55" s="2596"/>
      <c r="R55" s="2596"/>
      <c r="S55" s="2600"/>
      <c r="T55" s="2600"/>
      <c r="U55" s="2600"/>
    </row>
    <row r="56" spans="1:21" ht="45">
      <c r="A56" s="2753"/>
      <c r="B56" s="2768"/>
      <c r="C56" s="2596" t="s">
        <v>174</v>
      </c>
      <c r="D56" s="2601" t="s">
        <v>172</v>
      </c>
      <c r="E56" s="2598" t="s">
        <v>154</v>
      </c>
      <c r="F56" s="2599" t="s">
        <v>87</v>
      </c>
      <c r="G56" s="2596"/>
      <c r="H56" s="2596"/>
      <c r="I56" s="2596" t="s">
        <v>175</v>
      </c>
      <c r="J56" s="2596" t="s">
        <v>175</v>
      </c>
      <c r="K56" s="2596"/>
      <c r="L56" s="2596"/>
      <c r="M56" s="2596"/>
      <c r="N56" s="2596"/>
      <c r="O56" s="2596"/>
      <c r="P56" s="2596"/>
      <c r="Q56" s="2596"/>
      <c r="R56" s="2596"/>
      <c r="S56" s="2600"/>
      <c r="T56" s="2600"/>
      <c r="U56" s="2600"/>
    </row>
    <row r="57" spans="1:21" ht="45">
      <c r="A57" s="2754"/>
      <c r="B57" s="2768"/>
      <c r="C57" s="2596" t="s">
        <v>176</v>
      </c>
      <c r="D57" s="2601" t="s">
        <v>172</v>
      </c>
      <c r="E57" s="2598" t="s">
        <v>154</v>
      </c>
      <c r="F57" s="2599" t="s">
        <v>87</v>
      </c>
      <c r="G57" s="2596"/>
      <c r="H57" s="2596"/>
      <c r="I57" s="2596"/>
      <c r="J57" s="2596" t="s">
        <v>175</v>
      </c>
      <c r="K57" s="2596"/>
      <c r="L57" s="2596"/>
      <c r="M57" s="2596"/>
      <c r="N57" s="2596"/>
      <c r="O57" s="2596"/>
      <c r="P57" s="2596"/>
      <c r="Q57" s="2596"/>
      <c r="R57" s="2596"/>
      <c r="S57" s="2600"/>
      <c r="T57" s="2600"/>
      <c r="U57" s="2600"/>
    </row>
    <row r="58" spans="1:21" ht="17.25">
      <c r="A58" s="2758" t="s">
        <v>177</v>
      </c>
      <c r="B58" s="2755" t="s">
        <v>178</v>
      </c>
      <c r="C58" s="1842" t="str">
        <f>'Bieu 9 Ke hoach boi duong'!B14</f>
        <v>Chứng chỉ chức danh nghề nghiệp</v>
      </c>
      <c r="D58" s="2565" t="s">
        <v>179</v>
      </c>
      <c r="E58" s="2579" t="s">
        <v>154</v>
      </c>
      <c r="F58" s="2577" t="s">
        <v>180</v>
      </c>
      <c r="G58" s="1842"/>
      <c r="H58" s="1842"/>
      <c r="I58" s="1842"/>
      <c r="J58" s="1842"/>
      <c r="K58" s="1842"/>
      <c r="L58" s="1842"/>
      <c r="M58" s="1842"/>
      <c r="N58" s="1842"/>
      <c r="O58" s="1842"/>
      <c r="P58" s="1842"/>
      <c r="Q58" s="1842"/>
      <c r="R58" s="1842"/>
      <c r="S58" s="2583"/>
      <c r="T58" s="2583"/>
      <c r="U58" s="2583"/>
    </row>
    <row r="59" spans="1:21" ht="17.25">
      <c r="A59" s="2759"/>
      <c r="B59" s="2756"/>
      <c r="C59" s="1842" t="str">
        <f>'Bieu 9 Ke hoach boi duong'!B15</f>
        <v>Chứng chỉ nghiệp vụ sư phạm</v>
      </c>
      <c r="D59" s="2565" t="s">
        <v>179</v>
      </c>
      <c r="E59" s="2579" t="s">
        <v>154</v>
      </c>
      <c r="F59" s="2577" t="s">
        <v>180</v>
      </c>
      <c r="G59" s="1842"/>
      <c r="H59" s="1842"/>
      <c r="I59" s="1842"/>
      <c r="J59" s="1842"/>
      <c r="K59" s="1842"/>
      <c r="L59" s="1842"/>
      <c r="M59" s="1842"/>
      <c r="N59" s="1842"/>
      <c r="O59" s="1842"/>
      <c r="P59" s="1842"/>
      <c r="Q59" s="1842"/>
      <c r="R59" s="1842"/>
      <c r="S59" s="2583"/>
      <c r="T59" s="2583"/>
      <c r="U59" s="2583"/>
    </row>
    <row r="60" spans="1:21" ht="17.25">
      <c r="A60" s="2759"/>
      <c r="B60" s="2756"/>
      <c r="C60" s="1842" t="str">
        <f>'Bieu 9 Ke hoach boi duong'!B16</f>
        <v>Chứng chỉ kế toán</v>
      </c>
      <c r="D60" s="2565" t="s">
        <v>179</v>
      </c>
      <c r="E60" s="2579" t="s">
        <v>154</v>
      </c>
      <c r="F60" s="2577" t="s">
        <v>180</v>
      </c>
      <c r="G60" s="1842"/>
      <c r="H60" s="1842"/>
      <c r="I60" s="1842"/>
      <c r="J60" s="1842"/>
      <c r="K60" s="1842"/>
      <c r="L60" s="1842"/>
      <c r="M60" s="1842"/>
      <c r="N60" s="1842"/>
      <c r="O60" s="1842"/>
      <c r="P60" s="1842"/>
      <c r="Q60" s="1842"/>
      <c r="R60" s="1842"/>
      <c r="S60" s="2583"/>
      <c r="T60" s="2583"/>
      <c r="U60" s="2583"/>
    </row>
    <row r="61" spans="1:21" ht="17.25">
      <c r="A61" s="2759"/>
      <c r="B61" s="2756"/>
      <c r="C61" s="1842" t="str">
        <f>'Bieu 9 Ke hoach boi duong'!B18</f>
        <v>Chứng chỉ bồi dưỡng cán bộ quản lý giáo dục</v>
      </c>
      <c r="D61" s="2565" t="s">
        <v>179</v>
      </c>
      <c r="E61" s="2579" t="s">
        <v>154</v>
      </c>
      <c r="F61" s="2577" t="s">
        <v>180</v>
      </c>
      <c r="G61" s="1842"/>
      <c r="H61" s="1842"/>
      <c r="I61" s="1842"/>
      <c r="J61" s="1842"/>
      <c r="K61" s="1842"/>
      <c r="L61" s="1842"/>
      <c r="M61" s="1842"/>
      <c r="N61" s="1842"/>
      <c r="O61" s="1842"/>
      <c r="P61" s="1842"/>
      <c r="Q61" s="1842"/>
      <c r="R61" s="1842"/>
      <c r="S61" s="2583"/>
      <c r="T61" s="2583"/>
      <c r="U61" s="2583"/>
    </row>
    <row r="62" spans="1:21" ht="17.25">
      <c r="A62" s="2759"/>
      <c r="B62" s="2756"/>
      <c r="C62" s="1842" t="str">
        <f>'Bieu 9 Ke hoach boi duong'!B19</f>
        <v>Bồi dưỡng tổ trưởng chuyên môn</v>
      </c>
      <c r="D62" s="2565" t="s">
        <v>179</v>
      </c>
      <c r="E62" s="2579" t="s">
        <v>154</v>
      </c>
      <c r="F62" s="2577" t="s">
        <v>180</v>
      </c>
      <c r="G62" s="1842"/>
      <c r="H62" s="1842"/>
      <c r="I62" s="1842"/>
      <c r="J62" s="1842"/>
      <c r="K62" s="1842"/>
      <c r="L62" s="1842"/>
      <c r="M62" s="1842"/>
      <c r="N62" s="1842"/>
      <c r="O62" s="1842"/>
      <c r="P62" s="1842"/>
      <c r="Q62" s="1842"/>
      <c r="R62" s="1842"/>
      <c r="S62" s="2583"/>
      <c r="T62" s="2583"/>
      <c r="U62" s="2583"/>
    </row>
    <row r="63" spans="1:21" ht="17.25">
      <c r="A63" s="2759"/>
      <c r="B63" s="2756"/>
      <c r="C63" s="1842" t="str">
        <f>'Bieu 9 Ke hoach boi duong'!B20</f>
        <v>Bồi dưỡng giáo viên chủ nhiệm lớp</v>
      </c>
      <c r="D63" s="2565" t="s">
        <v>179</v>
      </c>
      <c r="E63" s="2579" t="s">
        <v>154</v>
      </c>
      <c r="F63" s="2577" t="s">
        <v>180</v>
      </c>
      <c r="G63" s="1842"/>
      <c r="H63" s="1842"/>
      <c r="I63" s="1842"/>
      <c r="J63" s="1842"/>
      <c r="K63" s="1842"/>
      <c r="L63" s="1842"/>
      <c r="M63" s="1842"/>
      <c r="N63" s="1842"/>
      <c r="O63" s="1842"/>
      <c r="P63" s="1842"/>
      <c r="Q63" s="1842"/>
      <c r="R63" s="1842"/>
      <c r="S63" s="2583"/>
      <c r="T63" s="2583"/>
      <c r="U63" s="2583"/>
    </row>
    <row r="64" spans="1:21" ht="17.25">
      <c r="A64" s="2759"/>
      <c r="B64" s="2756"/>
      <c r="C64" s="1842" t="str">
        <f>'Bieu 9 Ke hoach boi duong'!B21</f>
        <v>Tư vấn học đường</v>
      </c>
      <c r="D64" s="2565" t="s">
        <v>179</v>
      </c>
      <c r="E64" s="2579" t="s">
        <v>154</v>
      </c>
      <c r="F64" s="2577" t="s">
        <v>180</v>
      </c>
      <c r="G64" s="1842"/>
      <c r="H64" s="1842"/>
      <c r="I64" s="1842"/>
      <c r="J64" s="1842"/>
      <c r="K64" s="1842"/>
      <c r="L64" s="1842"/>
      <c r="M64" s="1842"/>
      <c r="N64" s="1842"/>
      <c r="O64" s="1842"/>
      <c r="P64" s="1842"/>
      <c r="Q64" s="1842"/>
      <c r="R64" s="1842"/>
      <c r="S64" s="2583"/>
      <c r="T64" s="2583"/>
      <c r="U64" s="2583"/>
    </row>
    <row r="65" spans="1:21" ht="17.25">
      <c r="A65" s="2759"/>
      <c r="B65" s="2757"/>
      <c r="C65" s="1842" t="str">
        <f>'Bieu 9 Ke hoach boi duong'!B22</f>
        <v>Bồi dưỡng thường xuyên</v>
      </c>
      <c r="D65" s="2565" t="s">
        <v>179</v>
      </c>
      <c r="E65" s="2579" t="s">
        <v>154</v>
      </c>
      <c r="F65" s="2577" t="s">
        <v>180</v>
      </c>
      <c r="G65" s="1842"/>
      <c r="H65" s="1842"/>
      <c r="I65" s="1842"/>
      <c r="J65" s="1842"/>
      <c r="K65" s="1842"/>
      <c r="L65" s="1842"/>
      <c r="M65" s="1842"/>
      <c r="N65" s="1842"/>
      <c r="O65" s="1842"/>
      <c r="P65" s="1842"/>
      <c r="Q65" s="1842"/>
      <c r="R65" s="1842"/>
      <c r="S65" s="2583"/>
      <c r="T65" s="2583"/>
      <c r="U65" s="2583"/>
    </row>
    <row r="66" spans="1:21" ht="45">
      <c r="A66" s="2760"/>
      <c r="B66" s="1842" t="s">
        <v>181</v>
      </c>
      <c r="C66" s="1842"/>
      <c r="D66" s="1842"/>
      <c r="E66" s="2579" t="s">
        <v>154</v>
      </c>
      <c r="F66" s="1843"/>
      <c r="G66" s="1842"/>
      <c r="H66" s="1842"/>
      <c r="I66" s="1842"/>
      <c r="J66" s="1842"/>
      <c r="K66" s="1842"/>
      <c r="L66" s="1842"/>
      <c r="M66" s="1842"/>
      <c r="N66" s="1842"/>
      <c r="O66" s="1842"/>
      <c r="P66" s="1842"/>
      <c r="Q66" s="1842"/>
      <c r="R66" s="1842"/>
      <c r="S66" s="2583"/>
      <c r="T66" s="2583"/>
      <c r="U66" s="2583"/>
    </row>
  </sheetData>
  <sheetProtection algorithmName="SHA-512" hashValue="RrRSYWBdiR/QBwu/+RncfCGphGi0EUJODt7babyoyq+lIwPgaZMgWdZySFKda5t9kTSUxFO6oJZYVlWwg6TOhw==" saltValue="rk7XzEqIHtPtDRydz2Hl8Q==" spinCount="100000" sheet="1" objects="1" scenarios="1"/>
  <protectedRanges>
    <protectedRange sqref="G26:U66" name="tháng 112"/>
  </protectedRanges>
  <mergeCells count="25">
    <mergeCell ref="B58:B65"/>
    <mergeCell ref="A58:A66"/>
    <mergeCell ref="G3:R3"/>
    <mergeCell ref="A3:A4"/>
    <mergeCell ref="B3:B4"/>
    <mergeCell ref="C3:C4"/>
    <mergeCell ref="A17:A29"/>
    <mergeCell ref="B17:B19"/>
    <mergeCell ref="B20:B25"/>
    <mergeCell ref="B27:B28"/>
    <mergeCell ref="B52:B53"/>
    <mergeCell ref="B54:B57"/>
    <mergeCell ref="A5:A10"/>
    <mergeCell ref="B8:B10"/>
    <mergeCell ref="A11:A16"/>
    <mergeCell ref="B47:B49"/>
    <mergeCell ref="B50:B51"/>
    <mergeCell ref="S3:S4"/>
    <mergeCell ref="A1:C1"/>
    <mergeCell ref="A2:C2"/>
    <mergeCell ref="B11:B13"/>
    <mergeCell ref="B14:B16"/>
    <mergeCell ref="B5:B7"/>
    <mergeCell ref="B38:B45"/>
    <mergeCell ref="A38:A57"/>
  </mergeCells>
  <hyperlinks>
    <hyperlink ref="D5" location="'Bieu5-Nhu cau mua sam sua chua'!A1" display="'Bieu5-Nhu cau mua sam sua chua'!A1"/>
    <hyperlink ref="D6" location="'Bieu5-Nhu cau mua sam sua chua'!A1" display="'Bieu5-Nhu cau mua sam sua chua'!A1"/>
    <hyperlink ref="D8" location="'Bieu5-Nhu cau mua sam sua chua'!A1" display="'Bieu5-Nhu cau mua sam sua chua'!A1"/>
    <hyperlink ref="D9" location="'Bieu5-Nhu cau mua sam sua chua'!A1" display="'Bieu5-Nhu cau mua sam sua chua'!A1"/>
    <hyperlink ref="D10" location="'Bieu 4a-KP thuc hanh thi nghiem'!B9" display="'Bieu 4a-KP thuc hanh thi nghiem'!B9"/>
    <hyperlink ref="D11" location="'Bieu 6 Ke hoach can bo'!A1" display="'Bieu 6 Ke hoach can bo'!A1"/>
    <hyperlink ref="D12" location="'Bieu 6 Ke hoach can bo'!A1" display="'Bieu 6 Ke hoach can bo'!A1"/>
    <hyperlink ref="D13" location="'Bieu 6 Ke hoach can bo'!A1" display="'Bieu 6 Ke hoach can bo'!A1"/>
    <hyperlink ref="D14" location="'Bieu 6 Ke hoach can bo'!A1" display="'Bieu 6 Ke hoach can bo'!A1"/>
    <hyperlink ref="D15" location="'Bieu 6 Ke hoach can bo'!A1" display="'Bieu 6 Ke hoach can bo'!A1"/>
    <hyperlink ref="D16" location="'Bieu 6 Ke hoach can bo'!A1" display="'Bieu 6 Ke hoach can bo'!A1"/>
    <hyperlink ref="D17" location="'7a-KH NCKH'!A1" display="'7a-KH NCKH'!A1"/>
    <hyperlink ref="D18" location="'7a-KH NCKH'!A1" display="'7a-KH NCKH'!A1"/>
    <hyperlink ref="D19" location="'7a-KH NCKH'!A1" display="'7a-KH NCKH'!A1"/>
    <hyperlink ref="D20" location="'7b Kế hoạch công bố '!A1" display="'7b Kế hoạch công bố '!A1"/>
    <hyperlink ref="D21" location="'7b Kế hoạch công bố '!A1" display="'7b Kế hoạch công bố '!A1"/>
    <hyperlink ref="D22" location="'7b Kế hoạch công bố '!A1" display="'7b Kế hoạch công bố '!A1"/>
    <hyperlink ref="D23" location="'7b Kế hoạch công bố '!A1" display="'7b Kế hoạch công bố '!A1"/>
    <hyperlink ref="D24" location="'7b Kế hoạch công bố '!A1" display="'7b Kế hoạch công bố '!A1"/>
    <hyperlink ref="D25" location="'7b Kế hoạch công bố '!A1" display="'7b Kế hoạch công bố '!A1"/>
    <hyperlink ref="D26" location="'Bieu 6 Ke hoach can bo'!A1" display="'Bieu 6 Ke hoach can bo'!A1"/>
    <hyperlink ref="D27" location="'Bieu 8a Bien soan GT'!A1" display="'Bieu 8a Bien soan GT'!A1"/>
    <hyperlink ref="D28" location="'Bieu 8a Bien soan GT'!A1" display="'Bieu 8a Bien soan GT'!A1"/>
    <hyperlink ref="D29" location="'Bieu 8a Bien soan GT'!A1" display="'Bieu 8a Bien soan GT'!A1"/>
    <hyperlink ref="D47" location="'Bieu 4a-KP thuc hanh thi nghiem'!A1" display="'Bieu 4a-KP thuc hanh thi nghiem'!A1"/>
    <hyperlink ref="D48" location="'Bieu 4a-KP thuc hanh thi nghiem'!A1" display="'Bieu 4a-KP thuc hanh thi nghiem'!A1"/>
    <hyperlink ref="D49" location="'Bieu 4a-KP thuc hanh thi nghiem'!A1" display="'Bieu 4a-KP thuc hanh thi nghiem'!A1"/>
    <hyperlink ref="D50" location="'Bieu 4a-KP thuc hanh thi nghiem'!A1" display="'Bieu 4a-KP thuc hanh thi nghiem'!A1"/>
    <hyperlink ref="D51" location="'Bieu 4a-KP thuc hanh thi nghiem'!A1" display="'Bieu 4a-KP thuc hanh thi nghiem'!A1"/>
    <hyperlink ref="D52" location="'Biểu 10 Ke hoạch chi'!A1" display="'Biểu 10 Ke hoạch chi'!A1"/>
    <hyperlink ref="D53" location="'Biểu 10 Ke hoạch chi'!A1" display="'Biểu 10 Ke hoạch chi'!A1"/>
    <hyperlink ref="D54" location="'Bieu 8b ĐBCL'!A1" display="'Bieu 8b ĐBCL'!A1"/>
    <hyperlink ref="D55" location="'Bieu 8b ĐBCL'!A1" display="'Bieu 8b ĐBCL'!A1"/>
    <hyperlink ref="D56" location="'Bieu 8b ĐBCL'!A1" display="'Bieu 8b ĐBCL'!A1"/>
    <hyperlink ref="D57" location="'Bieu 8b ĐBCL'!A1" display="'Bieu 8b ĐBCL'!A1"/>
    <hyperlink ref="D58" location="'Bieu 9 Ke hoach boi duong'!A1" display="'Bieu 9 Ke hoach boi duong'!A1"/>
    <hyperlink ref="D59" location="'Bieu 9 Ke hoach boi duong'!A1" display="'Bieu 9 Ke hoach boi duong'!A1"/>
    <hyperlink ref="D60" location="'Bieu 9 Ke hoach boi duong'!A1" display="'Bieu 9 Ke hoach boi duong'!A1"/>
    <hyperlink ref="D61" location="'Bieu 9 Ke hoach boi duong'!A1" display="'Bieu 9 Ke hoach boi duong'!A1"/>
    <hyperlink ref="D62" location="'Bieu 9 Ke hoach boi duong'!A1" display="'Bieu 9 Ke hoach boi duong'!A1"/>
    <hyperlink ref="D63" location="'Bieu 9 Ke hoach boi duong'!A1" display="'Bieu 9 Ke hoach boi duong'!A1"/>
    <hyperlink ref="D64" location="'Bieu 9 Ke hoach boi duong'!A1" display="'Bieu 9 Ke hoach boi duong'!A1"/>
    <hyperlink ref="D65" location="'Bieu 9 Ke hoach boi duong'!A1" display="'Bieu 9 Ke hoach boi duong'!A1"/>
    <hyperlink ref="D44" location="'Bieu 1a - Quy mo Chinh quy (SP)'!A1" display="'Bieu 1a - Quy mo Chinh quy (SP)'!A1"/>
    <hyperlink ref="D45" location="'Bieu 1b - Quy mo Sau dai hoc'!A1" display="'Bieu 1b - Quy mo Sau dai hoc'!A1"/>
    <hyperlink ref="D46" location="'Bieu 1c- Quy mo VLVH - TX (SP)'!A1" display="'Bieu 1c- Quy mo VLVH - TX (SP)'!A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K1" workbookViewId="0">
      <pane ySplit="6" topLeftCell="A7" activePane="bottomLeft" state="frozen"/>
      <selection activeCell="A10" sqref="A10:M10"/>
      <selection pane="bottomLeft" activeCell="A10" sqref="A10:M10"/>
    </sheetView>
  </sheetViews>
  <sheetFormatPr defaultColWidth="14.42578125" defaultRowHeight="15" customHeight="1" outlineLevelCol="1"/>
  <cols>
    <col min="1" max="1" width="4.7109375" customWidth="1"/>
    <col min="2" max="2" width="29.42578125" customWidth="1"/>
    <col min="3" max="3" width="22.42578125" customWidth="1"/>
    <col min="4" max="4" width="13" customWidth="1"/>
    <col min="5" max="6" width="7.7109375" customWidth="1" outlineLevel="1"/>
    <col min="7" max="7" width="9.7109375" customWidth="1" outlineLevel="1"/>
    <col min="8" max="8" width="12.28515625" customWidth="1"/>
    <col min="9" max="9" width="12.7109375" customWidth="1"/>
    <col min="10" max="10" width="13.42578125" customWidth="1"/>
    <col min="11" max="11" width="43" customWidth="1"/>
    <col min="12" max="27" width="9" customWidth="1"/>
  </cols>
  <sheetData>
    <row r="1" spans="1:11" ht="13.5" customHeight="1">
      <c r="A1" s="2775" t="s">
        <v>23</v>
      </c>
      <c r="B1" s="2732"/>
      <c r="C1" s="1531"/>
      <c r="D1" s="230"/>
      <c r="E1" s="136"/>
      <c r="F1" s="91"/>
      <c r="G1" s="136"/>
      <c r="H1" s="178"/>
      <c r="I1" s="93" t="s">
        <v>2624</v>
      </c>
      <c r="J1" s="95"/>
      <c r="K1" s="95"/>
    </row>
    <row r="2" spans="1:11" ht="14.25" customHeight="1">
      <c r="A2" s="2773" t="s">
        <v>183</v>
      </c>
      <c r="B2" s="2732"/>
      <c r="C2" s="1531"/>
      <c r="D2" s="1260"/>
      <c r="E2" s="2798"/>
      <c r="F2" s="2732"/>
      <c r="G2" s="2732"/>
      <c r="H2" s="2732"/>
      <c r="I2" s="2732"/>
      <c r="J2" s="95"/>
      <c r="K2" s="95"/>
    </row>
    <row r="3" spans="1:11" ht="30" customHeight="1">
      <c r="A3" s="2798" t="s">
        <v>2625</v>
      </c>
      <c r="B3" s="2732"/>
      <c r="C3" s="2732"/>
      <c r="D3" s="2732"/>
      <c r="E3" s="2732"/>
      <c r="F3" s="2732"/>
      <c r="G3" s="2732"/>
      <c r="H3" s="2732"/>
      <c r="I3" s="2732"/>
      <c r="J3" s="95"/>
      <c r="K3" s="95"/>
    </row>
    <row r="4" spans="1:11" ht="30" customHeight="1">
      <c r="A4" s="2974" t="s">
        <v>1643</v>
      </c>
      <c r="B4" s="2975"/>
      <c r="C4" s="2975"/>
      <c r="D4" s="2975"/>
      <c r="E4" s="2975"/>
      <c r="F4" s="2975"/>
      <c r="G4" s="2975"/>
      <c r="H4" s="2975"/>
      <c r="I4" s="2975"/>
      <c r="J4" s="95"/>
      <c r="K4" s="95"/>
    </row>
    <row r="5" spans="1:11" ht="13.5" customHeight="1">
      <c r="A5" s="96"/>
      <c r="B5" s="1074"/>
      <c r="C5" s="1074"/>
      <c r="D5" s="1074"/>
      <c r="E5" s="120"/>
      <c r="F5" s="96"/>
      <c r="G5" s="120"/>
      <c r="H5" s="1532"/>
      <c r="I5" s="120" t="s">
        <v>2626</v>
      </c>
      <c r="J5" s="95"/>
      <c r="K5" s="95"/>
    </row>
    <row r="6" spans="1:11" ht="38.25" customHeight="1">
      <c r="A6" s="153" t="s">
        <v>186</v>
      </c>
      <c r="B6" s="153" t="s">
        <v>2627</v>
      </c>
      <c r="C6" s="153" t="s">
        <v>2628</v>
      </c>
      <c r="D6" s="153" t="s">
        <v>2629</v>
      </c>
      <c r="E6" s="153" t="s">
        <v>242</v>
      </c>
      <c r="F6" s="153" t="s">
        <v>1859</v>
      </c>
      <c r="G6" s="153" t="s">
        <v>1860</v>
      </c>
      <c r="H6" s="153" t="s">
        <v>1929</v>
      </c>
      <c r="I6" s="153" t="s">
        <v>32</v>
      </c>
      <c r="J6" s="253" t="s">
        <v>2630</v>
      </c>
      <c r="K6" s="2921" t="s">
        <v>2631</v>
      </c>
    </row>
    <row r="7" spans="1:11" ht="38.25" customHeight="1">
      <c r="A7" s="1533" t="s">
        <v>258</v>
      </c>
      <c r="B7" s="1534" t="s">
        <v>2632</v>
      </c>
      <c r="C7" s="1533"/>
      <c r="D7" s="1533"/>
      <c r="E7" s="1533"/>
      <c r="F7" s="1533"/>
      <c r="G7" s="1533"/>
      <c r="H7" s="1533">
        <f>H8+H15+H36+H45</f>
        <v>396166</v>
      </c>
      <c r="I7" s="1533"/>
      <c r="J7" s="157"/>
      <c r="K7" s="2922"/>
    </row>
    <row r="8" spans="1:11" ht="33" customHeight="1">
      <c r="A8" s="253">
        <v>1</v>
      </c>
      <c r="B8" s="423" t="s">
        <v>2633</v>
      </c>
      <c r="C8" s="429"/>
      <c r="D8" s="429"/>
      <c r="E8" s="151"/>
      <c r="F8" s="151"/>
      <c r="G8" s="151"/>
      <c r="H8" s="1535">
        <f>SUM(H9:H14)</f>
        <v>203000</v>
      </c>
      <c r="I8" s="151"/>
      <c r="J8" s="429"/>
      <c r="K8" s="2543"/>
    </row>
    <row r="9" spans="1:11" ht="29.25" customHeight="1">
      <c r="A9" s="1536">
        <v>44562</v>
      </c>
      <c r="B9" s="429" t="s">
        <v>2634</v>
      </c>
      <c r="C9" s="429" t="s">
        <v>2635</v>
      </c>
      <c r="D9" s="429" t="s">
        <v>2636</v>
      </c>
      <c r="E9" s="151" t="s">
        <v>1879</v>
      </c>
      <c r="F9" s="151">
        <v>9</v>
      </c>
      <c r="G9" s="151">
        <v>10000</v>
      </c>
      <c r="H9" s="1208">
        <f t="shared" ref="H9:H11" si="0">G9*F9</f>
        <v>90000</v>
      </c>
      <c r="I9" s="151"/>
      <c r="J9" s="157"/>
      <c r="K9" s="2547" t="s">
        <v>2637</v>
      </c>
    </row>
    <row r="10" spans="1:11" ht="29.25" customHeight="1">
      <c r="A10" s="1536">
        <v>44593</v>
      </c>
      <c r="B10" s="429" t="s">
        <v>2638</v>
      </c>
      <c r="C10" s="429" t="s">
        <v>2639</v>
      </c>
      <c r="D10" s="429" t="s">
        <v>2640</v>
      </c>
      <c r="E10" s="151" t="s">
        <v>1879</v>
      </c>
      <c r="F10" s="151">
        <v>5</v>
      </c>
      <c r="G10" s="151">
        <v>600</v>
      </c>
      <c r="H10" s="1208">
        <f t="shared" si="0"/>
        <v>3000</v>
      </c>
      <c r="I10" s="151"/>
      <c r="J10" s="157"/>
      <c r="K10" s="2545"/>
    </row>
    <row r="11" spans="1:11" ht="27.75" customHeight="1">
      <c r="A11" s="1536">
        <v>44621</v>
      </c>
      <c r="B11" s="429" t="s">
        <v>2641</v>
      </c>
      <c r="C11" s="429" t="s">
        <v>2642</v>
      </c>
      <c r="D11" s="429" t="s">
        <v>2636</v>
      </c>
      <c r="E11" s="151" t="s">
        <v>1879</v>
      </c>
      <c r="F11" s="151">
        <v>7</v>
      </c>
      <c r="G11" s="151">
        <v>5000</v>
      </c>
      <c r="H11" s="1208">
        <f t="shared" si="0"/>
        <v>35000</v>
      </c>
      <c r="I11" s="151"/>
      <c r="J11" s="157"/>
      <c r="K11" s="2545" t="s">
        <v>2643</v>
      </c>
    </row>
    <row r="12" spans="1:11" ht="30.75" customHeight="1">
      <c r="A12" s="1536">
        <v>44652</v>
      </c>
      <c r="B12" s="429" t="s">
        <v>2644</v>
      </c>
      <c r="C12" s="429" t="s">
        <v>2645</v>
      </c>
      <c r="D12" s="429" t="s">
        <v>2636</v>
      </c>
      <c r="E12" s="151" t="s">
        <v>1703</v>
      </c>
      <c r="F12" s="151">
        <v>2</v>
      </c>
      <c r="G12" s="151">
        <v>15000</v>
      </c>
      <c r="H12" s="151">
        <f t="shared" ref="H12:H13" si="1">F12*G12</f>
        <v>30000</v>
      </c>
      <c r="I12" s="151"/>
      <c r="J12" s="157" t="s">
        <v>2646</v>
      </c>
      <c r="K12" s="2545"/>
    </row>
    <row r="13" spans="1:11" ht="34.5" customHeight="1">
      <c r="A13" s="1536">
        <v>44682</v>
      </c>
      <c r="B13" s="373" t="s">
        <v>2647</v>
      </c>
      <c r="C13" s="373" t="s">
        <v>2648</v>
      </c>
      <c r="D13" s="323" t="s">
        <v>2649</v>
      </c>
      <c r="E13" s="316" t="s">
        <v>1703</v>
      </c>
      <c r="F13" s="315">
        <v>1</v>
      </c>
      <c r="G13" s="316">
        <v>25000</v>
      </c>
      <c r="H13" s="316">
        <f t="shared" si="1"/>
        <v>25000</v>
      </c>
      <c r="I13" s="316"/>
      <c r="J13" s="1537"/>
      <c r="K13" s="2545"/>
    </row>
    <row r="14" spans="1:11" ht="33" customHeight="1">
      <c r="A14" s="1536">
        <v>44713</v>
      </c>
      <c r="B14" s="373" t="s">
        <v>2650</v>
      </c>
      <c r="C14" s="373" t="s">
        <v>2651</v>
      </c>
      <c r="D14" s="323" t="s">
        <v>2652</v>
      </c>
      <c r="E14" s="316" t="s">
        <v>1879</v>
      </c>
      <c r="F14" s="315">
        <v>1</v>
      </c>
      <c r="G14" s="316">
        <v>20</v>
      </c>
      <c r="H14" s="316">
        <v>20000</v>
      </c>
      <c r="I14" s="316"/>
      <c r="J14" s="1538" t="s">
        <v>2653</v>
      </c>
      <c r="K14" s="2545"/>
    </row>
    <row r="15" spans="1:11" ht="36.75" customHeight="1">
      <c r="A15" s="253">
        <v>2</v>
      </c>
      <c r="B15" s="423" t="s">
        <v>2654</v>
      </c>
      <c r="C15" s="423"/>
      <c r="D15" s="423"/>
      <c r="E15" s="153"/>
      <c r="F15" s="153"/>
      <c r="G15" s="153"/>
      <c r="H15" s="307">
        <f>SUM(H16:H35)</f>
        <v>81890</v>
      </c>
      <c r="I15" s="153">
        <f>SUM(I16:I32)</f>
        <v>0</v>
      </c>
      <c r="J15" s="436"/>
      <c r="K15" s="2545"/>
    </row>
    <row r="16" spans="1:11" ht="36.75" customHeight="1">
      <c r="A16" s="1536">
        <v>44563</v>
      </c>
      <c r="B16" s="429" t="s">
        <v>2655</v>
      </c>
      <c r="C16" s="429" t="s">
        <v>2656</v>
      </c>
      <c r="D16" s="429" t="s">
        <v>2657</v>
      </c>
      <c r="E16" s="151"/>
      <c r="F16" s="151"/>
      <c r="G16" s="1539"/>
      <c r="H16" s="1208">
        <v>4000</v>
      </c>
      <c r="I16" s="151"/>
      <c r="J16" s="157" t="s">
        <v>546</v>
      </c>
      <c r="K16" s="2546"/>
    </row>
    <row r="17" spans="1:11" ht="36.75" customHeight="1">
      <c r="A17" s="1536">
        <v>44594</v>
      </c>
      <c r="B17" s="1540" t="s">
        <v>2658</v>
      </c>
      <c r="C17" s="1540" t="s">
        <v>2659</v>
      </c>
      <c r="D17" s="1540" t="s">
        <v>2657</v>
      </c>
      <c r="E17" s="1541" t="s">
        <v>2660</v>
      </c>
      <c r="F17" s="1541">
        <v>30</v>
      </c>
      <c r="G17" s="1542">
        <v>17</v>
      </c>
      <c r="H17" s="1543">
        <f t="shared" ref="H17:H29" si="2">F17*G17</f>
        <v>510</v>
      </c>
      <c r="I17" s="151"/>
      <c r="J17" s="157" t="s">
        <v>549</v>
      </c>
      <c r="K17" s="2542"/>
    </row>
    <row r="18" spans="1:11" ht="36.75" customHeight="1">
      <c r="A18" s="1536">
        <v>44622</v>
      </c>
      <c r="B18" s="1540" t="s">
        <v>2661</v>
      </c>
      <c r="C18" s="1540" t="s">
        <v>2659</v>
      </c>
      <c r="D18" s="1540" t="s">
        <v>2657</v>
      </c>
      <c r="E18" s="1541" t="s">
        <v>2660</v>
      </c>
      <c r="F18" s="1541">
        <v>30</v>
      </c>
      <c r="G18" s="1209">
        <v>90</v>
      </c>
      <c r="H18" s="1543">
        <f t="shared" si="2"/>
        <v>2700</v>
      </c>
      <c r="I18" s="993"/>
      <c r="J18" s="157" t="s">
        <v>549</v>
      </c>
      <c r="K18" s="2543"/>
    </row>
    <row r="19" spans="1:11" ht="36.75" customHeight="1">
      <c r="A19" s="1536">
        <v>44653</v>
      </c>
      <c r="B19" s="1540" t="s">
        <v>2662</v>
      </c>
      <c r="C19" s="429" t="s">
        <v>2656</v>
      </c>
      <c r="D19" s="1540" t="s">
        <v>2657</v>
      </c>
      <c r="E19" s="1541" t="s">
        <v>2660</v>
      </c>
      <c r="F19" s="993">
        <v>20</v>
      </c>
      <c r="G19" s="1209">
        <v>98</v>
      </c>
      <c r="H19" s="1543">
        <f t="shared" si="2"/>
        <v>1960</v>
      </c>
      <c r="I19" s="993"/>
      <c r="J19" s="157" t="s">
        <v>549</v>
      </c>
      <c r="K19" s="2544"/>
    </row>
    <row r="20" spans="1:11" ht="36.75" customHeight="1">
      <c r="A20" s="1536">
        <v>44683</v>
      </c>
      <c r="B20" s="429" t="s">
        <v>2663</v>
      </c>
      <c r="C20" s="429" t="s">
        <v>2656</v>
      </c>
      <c r="D20" s="429" t="s">
        <v>2657</v>
      </c>
      <c r="E20" s="151" t="s">
        <v>2660</v>
      </c>
      <c r="F20" s="151">
        <v>20</v>
      </c>
      <c r="G20" s="1539">
        <v>100</v>
      </c>
      <c r="H20" s="1208">
        <f t="shared" si="2"/>
        <v>2000</v>
      </c>
      <c r="I20" s="151"/>
      <c r="J20" s="157" t="s">
        <v>549</v>
      </c>
      <c r="K20" s="2545"/>
    </row>
    <row r="21" spans="1:11" ht="36.75" customHeight="1">
      <c r="A21" s="1536">
        <v>44714</v>
      </c>
      <c r="B21" s="429" t="s">
        <v>2664</v>
      </c>
      <c r="C21" s="429" t="s">
        <v>2656</v>
      </c>
      <c r="D21" s="429" t="s">
        <v>2657</v>
      </c>
      <c r="E21" s="151" t="s">
        <v>2660</v>
      </c>
      <c r="F21" s="151">
        <v>20</v>
      </c>
      <c r="G21" s="1539">
        <v>70</v>
      </c>
      <c r="H21" s="1208">
        <f t="shared" si="2"/>
        <v>1400</v>
      </c>
      <c r="I21" s="151"/>
      <c r="J21" s="157" t="s">
        <v>549</v>
      </c>
      <c r="K21" s="2545"/>
    </row>
    <row r="22" spans="1:11" ht="28.5" customHeight="1">
      <c r="A22" s="1536">
        <v>44744</v>
      </c>
      <c r="B22" s="429" t="s">
        <v>2665</v>
      </c>
      <c r="C22" s="429" t="s">
        <v>2656</v>
      </c>
      <c r="D22" s="429" t="s">
        <v>2657</v>
      </c>
      <c r="E22" s="151" t="s">
        <v>2660</v>
      </c>
      <c r="F22" s="151">
        <v>20</v>
      </c>
      <c r="G22" s="151">
        <v>99</v>
      </c>
      <c r="H22" s="1208">
        <f t="shared" si="2"/>
        <v>1980</v>
      </c>
      <c r="I22" s="151"/>
      <c r="J22" s="157" t="s">
        <v>549</v>
      </c>
      <c r="K22" s="2545"/>
    </row>
    <row r="23" spans="1:11" ht="31.5" customHeight="1">
      <c r="A23" s="1536">
        <v>44775</v>
      </c>
      <c r="B23" s="429" t="s">
        <v>2666</v>
      </c>
      <c r="C23" s="429" t="s">
        <v>2656</v>
      </c>
      <c r="D23" s="429" t="s">
        <v>2657</v>
      </c>
      <c r="E23" s="151" t="s">
        <v>2660</v>
      </c>
      <c r="F23" s="151">
        <v>20</v>
      </c>
      <c r="G23" s="151">
        <v>112</v>
      </c>
      <c r="H23" s="1208">
        <f t="shared" si="2"/>
        <v>2240</v>
      </c>
      <c r="I23" s="151"/>
      <c r="J23" s="157" t="s">
        <v>549</v>
      </c>
      <c r="K23" s="2545"/>
    </row>
    <row r="24" spans="1:11" ht="36.75" customHeight="1">
      <c r="A24" s="1536">
        <v>44806</v>
      </c>
      <c r="B24" s="429" t="s">
        <v>2667</v>
      </c>
      <c r="C24" s="429" t="s">
        <v>2656</v>
      </c>
      <c r="D24" s="429" t="s">
        <v>2657</v>
      </c>
      <c r="E24" s="151" t="s">
        <v>2660</v>
      </c>
      <c r="F24" s="151">
        <v>20</v>
      </c>
      <c r="G24" s="151">
        <v>150</v>
      </c>
      <c r="H24" s="1208">
        <f t="shared" si="2"/>
        <v>3000</v>
      </c>
      <c r="I24" s="151"/>
      <c r="J24" s="157" t="s">
        <v>549</v>
      </c>
      <c r="K24" s="2545"/>
    </row>
    <row r="25" spans="1:11" ht="48" customHeight="1">
      <c r="A25" s="1536">
        <v>44836</v>
      </c>
      <c r="B25" s="429" t="s">
        <v>2668</v>
      </c>
      <c r="C25" s="429" t="s">
        <v>2656</v>
      </c>
      <c r="D25" s="429" t="s">
        <v>2657</v>
      </c>
      <c r="E25" s="151" t="s">
        <v>2660</v>
      </c>
      <c r="F25" s="151">
        <v>20</v>
      </c>
      <c r="G25" s="151">
        <v>300</v>
      </c>
      <c r="H25" s="1208">
        <f t="shared" si="2"/>
        <v>6000</v>
      </c>
      <c r="I25" s="151"/>
      <c r="J25" s="157" t="s">
        <v>549</v>
      </c>
      <c r="K25" s="2545"/>
    </row>
    <row r="26" spans="1:11" ht="37.5" customHeight="1">
      <c r="A26" s="1536">
        <v>44867</v>
      </c>
      <c r="B26" s="164" t="s">
        <v>2669</v>
      </c>
      <c r="C26" s="164" t="s">
        <v>2670</v>
      </c>
      <c r="D26" s="164" t="s">
        <v>2671</v>
      </c>
      <c r="E26" s="1207" t="s">
        <v>2660</v>
      </c>
      <c r="F26" s="1544">
        <v>1</v>
      </c>
      <c r="G26" s="1545">
        <v>1800</v>
      </c>
      <c r="H26" s="1546">
        <f t="shared" si="2"/>
        <v>1800</v>
      </c>
      <c r="I26" s="1544"/>
      <c r="J26" s="1507" t="s">
        <v>1701</v>
      </c>
      <c r="K26" s="2546"/>
    </row>
    <row r="27" spans="1:11" ht="60" customHeight="1">
      <c r="A27" s="1536">
        <v>44897</v>
      </c>
      <c r="B27" s="164" t="s">
        <v>2672</v>
      </c>
      <c r="C27" s="164" t="s">
        <v>2673</v>
      </c>
      <c r="D27" s="164" t="s">
        <v>2671</v>
      </c>
      <c r="E27" s="1207" t="s">
        <v>2660</v>
      </c>
      <c r="F27" s="1544">
        <v>10</v>
      </c>
      <c r="G27" s="1545">
        <v>70</v>
      </c>
      <c r="H27" s="1546">
        <f t="shared" si="2"/>
        <v>700</v>
      </c>
      <c r="I27" s="1544"/>
      <c r="J27" s="1507" t="s">
        <v>1701</v>
      </c>
      <c r="K27" s="2545"/>
    </row>
    <row r="28" spans="1:11" ht="66.75" customHeight="1">
      <c r="A28" s="1536">
        <v>44928</v>
      </c>
      <c r="B28" s="164" t="s">
        <v>2674</v>
      </c>
      <c r="C28" s="164" t="s">
        <v>2673</v>
      </c>
      <c r="D28" s="164" t="s">
        <v>2671</v>
      </c>
      <c r="E28" s="1207" t="s">
        <v>2660</v>
      </c>
      <c r="F28" s="1544">
        <v>10</v>
      </c>
      <c r="G28" s="1545">
        <v>60</v>
      </c>
      <c r="H28" s="1546">
        <f t="shared" si="2"/>
        <v>600</v>
      </c>
      <c r="I28" s="1547"/>
      <c r="J28" s="1507" t="s">
        <v>1701</v>
      </c>
      <c r="K28" s="2545"/>
    </row>
    <row r="29" spans="1:11" ht="43.5" customHeight="1">
      <c r="A29" s="1536"/>
      <c r="B29" s="429" t="s">
        <v>2675</v>
      </c>
      <c r="C29" s="429" t="s">
        <v>2676</v>
      </c>
      <c r="D29" s="164" t="s">
        <v>2671</v>
      </c>
      <c r="E29" s="1207" t="s">
        <v>2677</v>
      </c>
      <c r="F29" s="151">
        <v>10</v>
      </c>
      <c r="G29" s="1539">
        <v>1000</v>
      </c>
      <c r="H29" s="1546">
        <f t="shared" si="2"/>
        <v>10000</v>
      </c>
      <c r="I29" s="151"/>
      <c r="J29" s="1507" t="s">
        <v>1701</v>
      </c>
      <c r="K29" s="2545"/>
    </row>
    <row r="30" spans="1:11" ht="39.75" customHeight="1">
      <c r="A30" s="1536">
        <v>44959</v>
      </c>
      <c r="B30" s="429" t="s">
        <v>2678</v>
      </c>
      <c r="C30" s="429" t="s">
        <v>2656</v>
      </c>
      <c r="D30" s="429" t="s">
        <v>2657</v>
      </c>
      <c r="E30" s="151" t="s">
        <v>2660</v>
      </c>
      <c r="F30" s="151"/>
      <c r="G30" s="1539"/>
      <c r="H30" s="1208">
        <v>5000</v>
      </c>
      <c r="I30" s="151"/>
      <c r="J30" s="157" t="s">
        <v>1733</v>
      </c>
      <c r="K30" s="2546"/>
    </row>
    <row r="31" spans="1:11" ht="40.5" customHeight="1">
      <c r="A31" s="1536">
        <v>44987</v>
      </c>
      <c r="B31" s="429" t="s">
        <v>2679</v>
      </c>
      <c r="C31" s="429" t="s">
        <v>2656</v>
      </c>
      <c r="D31" s="429" t="s">
        <v>2657</v>
      </c>
      <c r="E31" s="151" t="s">
        <v>2660</v>
      </c>
      <c r="F31" s="1548">
        <v>260</v>
      </c>
      <c r="G31" s="1539"/>
      <c r="H31" s="1208">
        <v>29950</v>
      </c>
      <c r="I31" s="151"/>
      <c r="J31" s="1548" t="s">
        <v>2680</v>
      </c>
      <c r="K31" s="2545"/>
    </row>
    <row r="32" spans="1:11" ht="41.25" customHeight="1">
      <c r="A32" s="1536">
        <v>45018</v>
      </c>
      <c r="B32" s="429" t="s">
        <v>2681</v>
      </c>
      <c r="C32" s="429" t="s">
        <v>2659</v>
      </c>
      <c r="D32" s="429" t="s">
        <v>2657</v>
      </c>
      <c r="E32" s="151" t="s">
        <v>2660</v>
      </c>
      <c r="F32" s="151">
        <v>10</v>
      </c>
      <c r="G32" s="1539">
        <v>200</v>
      </c>
      <c r="H32" s="1208">
        <f>G32*F32</f>
        <v>2000</v>
      </c>
      <c r="I32" s="151"/>
      <c r="J32" s="157" t="s">
        <v>2682</v>
      </c>
      <c r="K32" s="2545"/>
    </row>
    <row r="33" spans="1:11" ht="47.25" customHeight="1">
      <c r="A33" s="1536">
        <v>45048</v>
      </c>
      <c r="B33" s="429" t="s">
        <v>2683</v>
      </c>
      <c r="C33" s="429" t="s">
        <v>2684</v>
      </c>
      <c r="D33" s="429" t="s">
        <v>2657</v>
      </c>
      <c r="E33" s="151" t="s">
        <v>2677</v>
      </c>
      <c r="F33" s="151"/>
      <c r="G33" s="1539"/>
      <c r="H33" s="1208">
        <v>5000</v>
      </c>
      <c r="I33" s="151"/>
      <c r="J33" s="157" t="s">
        <v>253</v>
      </c>
      <c r="K33" s="2545"/>
    </row>
    <row r="34" spans="1:11" ht="37.5" customHeight="1">
      <c r="A34" s="1549">
        <v>45079</v>
      </c>
      <c r="B34" s="1249" t="s">
        <v>2685</v>
      </c>
      <c r="C34" s="1249" t="s">
        <v>1658</v>
      </c>
      <c r="D34" s="1249" t="s">
        <v>2657</v>
      </c>
      <c r="E34" s="1258" t="s">
        <v>2677</v>
      </c>
      <c r="F34" s="1258">
        <v>5</v>
      </c>
      <c r="G34" s="1258">
        <v>105</v>
      </c>
      <c r="H34" s="1550">
        <f t="shared" ref="H34:H35" si="3">F34*G34</f>
        <v>525</v>
      </c>
      <c r="I34" s="1258"/>
      <c r="J34" s="1551" t="s">
        <v>1780</v>
      </c>
      <c r="K34" s="2546"/>
    </row>
    <row r="35" spans="1:11" ht="28.5" customHeight="1">
      <c r="A35" s="1549">
        <v>45109</v>
      </c>
      <c r="B35" s="1552" t="s">
        <v>2686</v>
      </c>
      <c r="C35" s="1249" t="s">
        <v>1658</v>
      </c>
      <c r="D35" s="1249" t="s">
        <v>2657</v>
      </c>
      <c r="E35" s="1258" t="s">
        <v>2677</v>
      </c>
      <c r="F35" s="1258">
        <v>5</v>
      </c>
      <c r="G35" s="1258">
        <v>105</v>
      </c>
      <c r="H35" s="1550">
        <f t="shared" si="3"/>
        <v>525</v>
      </c>
      <c r="I35" s="1258"/>
      <c r="J35" s="1551" t="s">
        <v>1780</v>
      </c>
      <c r="K35" s="2545"/>
    </row>
    <row r="36" spans="1:11" ht="21.75" customHeight="1">
      <c r="A36" s="253">
        <v>3</v>
      </c>
      <c r="B36" s="423" t="s">
        <v>2687</v>
      </c>
      <c r="C36" s="429"/>
      <c r="D36" s="429"/>
      <c r="E36" s="151"/>
      <c r="F36" s="151"/>
      <c r="G36" s="151"/>
      <c r="H36" s="1535">
        <f>H37+H44</f>
        <v>111276</v>
      </c>
      <c r="I36" s="151"/>
      <c r="J36" s="157"/>
      <c r="K36" s="2545"/>
    </row>
    <row r="37" spans="1:11" ht="39" customHeight="1">
      <c r="A37" s="253" t="s">
        <v>2178</v>
      </c>
      <c r="B37" s="423" t="s">
        <v>2688</v>
      </c>
      <c r="C37" s="429"/>
      <c r="D37" s="429"/>
      <c r="E37" s="151"/>
      <c r="F37" s="153">
        <f t="shared" ref="F37:G37" si="4">SUM(F42:F43)</f>
        <v>5311</v>
      </c>
      <c r="G37" s="153">
        <f t="shared" si="4"/>
        <v>202</v>
      </c>
      <c r="H37" s="153">
        <f>SUM(H38:H43)</f>
        <v>59376</v>
      </c>
      <c r="I37" s="151"/>
      <c r="J37" s="157"/>
      <c r="K37" s="2545"/>
    </row>
    <row r="38" spans="1:11" ht="25.5" customHeight="1">
      <c r="A38" s="253"/>
      <c r="B38" s="429" t="s">
        <v>2689</v>
      </c>
      <c r="C38" s="429" t="s">
        <v>2690</v>
      </c>
      <c r="D38" s="429" t="s">
        <v>2691</v>
      </c>
      <c r="E38" s="151" t="s">
        <v>1703</v>
      </c>
      <c r="F38" s="151">
        <v>10</v>
      </c>
      <c r="G38" s="151">
        <v>30</v>
      </c>
      <c r="H38" s="1208">
        <v>300</v>
      </c>
      <c r="I38" s="151"/>
      <c r="J38" s="157" t="s">
        <v>253</v>
      </c>
      <c r="K38" s="2546"/>
    </row>
    <row r="39" spans="1:11" ht="25.5" customHeight="1">
      <c r="A39" s="253"/>
      <c r="B39" s="429" t="s">
        <v>2692</v>
      </c>
      <c r="C39" s="429" t="s">
        <v>2693</v>
      </c>
      <c r="D39" s="429" t="s">
        <v>2636</v>
      </c>
      <c r="E39" s="151" t="s">
        <v>2694</v>
      </c>
      <c r="F39" s="151">
        <v>120</v>
      </c>
      <c r="G39" s="151">
        <v>70</v>
      </c>
      <c r="H39" s="1208">
        <f t="shared" ref="H39:H40" si="5">G39*F39</f>
        <v>8400</v>
      </c>
      <c r="I39" s="151"/>
      <c r="J39" s="157"/>
      <c r="K39" s="2545"/>
    </row>
    <row r="40" spans="1:11" ht="25.5" customHeight="1">
      <c r="A40" s="253"/>
      <c r="B40" s="429" t="s">
        <v>2695</v>
      </c>
      <c r="C40" s="429" t="s">
        <v>2696</v>
      </c>
      <c r="D40" s="429" t="s">
        <v>2636</v>
      </c>
      <c r="E40" s="151" t="s">
        <v>1706</v>
      </c>
      <c r="F40" s="151">
        <v>38</v>
      </c>
      <c r="G40" s="151">
        <v>100</v>
      </c>
      <c r="H40" s="1208">
        <f t="shared" si="5"/>
        <v>3800</v>
      </c>
      <c r="I40" s="151"/>
      <c r="J40" s="157"/>
      <c r="K40" s="2545"/>
    </row>
    <row r="41" spans="1:11" ht="25.5" customHeight="1">
      <c r="A41" s="253"/>
      <c r="B41" s="429" t="s">
        <v>2697</v>
      </c>
      <c r="C41" s="429" t="s">
        <v>2698</v>
      </c>
      <c r="D41" s="429" t="s">
        <v>2636</v>
      </c>
      <c r="E41" s="151" t="s">
        <v>1706</v>
      </c>
      <c r="F41" s="151">
        <v>50</v>
      </c>
      <c r="G41" s="151">
        <v>40</v>
      </c>
      <c r="H41" s="1208">
        <f>F41*G41</f>
        <v>2000</v>
      </c>
      <c r="I41" s="151"/>
      <c r="J41" s="157"/>
      <c r="K41" s="2545"/>
    </row>
    <row r="42" spans="1:11" ht="54" customHeight="1">
      <c r="A42" s="261"/>
      <c r="B42" s="429" t="s">
        <v>2699</v>
      </c>
      <c r="C42" s="429"/>
      <c r="D42" s="429"/>
      <c r="E42" s="151" t="s">
        <v>1934</v>
      </c>
      <c r="F42" s="151">
        <f>'Bieu 6 Ke hoach can bo'!C42</f>
        <v>173</v>
      </c>
      <c r="G42" s="151">
        <v>200</v>
      </c>
      <c r="H42" s="1208">
        <f t="shared" ref="H42:H44" si="6">+G42*F42</f>
        <v>34600</v>
      </c>
      <c r="I42" s="151" t="s">
        <v>2700</v>
      </c>
      <c r="J42" s="157" t="s">
        <v>2701</v>
      </c>
      <c r="K42" s="2546"/>
    </row>
    <row r="43" spans="1:11" ht="54" customHeight="1">
      <c r="A43" s="261"/>
      <c r="B43" s="429" t="s">
        <v>2702</v>
      </c>
      <c r="C43" s="429"/>
      <c r="D43" s="429"/>
      <c r="E43" s="151" t="s">
        <v>2703</v>
      </c>
      <c r="F43" s="151">
        <f>'Bieu 1a - Quy mo Chinh quy (SP)'!D35</f>
        <v>5138</v>
      </c>
      <c r="G43" s="151">
        <v>2</v>
      </c>
      <c r="H43" s="1208">
        <f t="shared" si="6"/>
        <v>10276</v>
      </c>
      <c r="I43" s="151" t="s">
        <v>2704</v>
      </c>
      <c r="J43" s="157" t="s">
        <v>2701</v>
      </c>
      <c r="K43" s="2545"/>
    </row>
    <row r="44" spans="1:11" ht="39" customHeight="1">
      <c r="A44" s="253" t="s">
        <v>2180</v>
      </c>
      <c r="B44" s="423" t="s">
        <v>2705</v>
      </c>
      <c r="C44" s="429"/>
      <c r="D44" s="429"/>
      <c r="E44" s="151" t="s">
        <v>1934</v>
      </c>
      <c r="F44" s="151">
        <f>'Bieu 6 Ke hoach can bo'!C42</f>
        <v>173</v>
      </c>
      <c r="G44" s="151">
        <v>300</v>
      </c>
      <c r="H44" s="1233">
        <f t="shared" si="6"/>
        <v>51900</v>
      </c>
      <c r="I44" s="151" t="s">
        <v>2704</v>
      </c>
      <c r="J44" s="157" t="s">
        <v>2701</v>
      </c>
      <c r="K44" s="2545"/>
    </row>
    <row r="45" spans="1:11" ht="33.75" customHeight="1">
      <c r="A45" s="253">
        <v>4</v>
      </c>
      <c r="B45" s="423" t="s">
        <v>2706</v>
      </c>
      <c r="C45" s="429"/>
      <c r="D45" s="429"/>
      <c r="E45" s="1553"/>
      <c r="F45" s="1554"/>
      <c r="G45" s="151"/>
      <c r="H45" s="1233"/>
      <c r="I45" s="151"/>
      <c r="J45" s="157"/>
      <c r="K45" s="2545"/>
    </row>
    <row r="46" spans="1:11" ht="42" customHeight="1">
      <c r="A46" s="1533" t="s">
        <v>284</v>
      </c>
      <c r="B46" s="1534" t="s">
        <v>2707</v>
      </c>
      <c r="C46" s="1533"/>
      <c r="D46" s="1533"/>
      <c r="E46" s="1533"/>
      <c r="F46" s="1533">
        <f t="shared" ref="F46:H46" si="7">SUM(F47:F51)</f>
        <v>7</v>
      </c>
      <c r="G46" s="1533">
        <f t="shared" si="7"/>
        <v>11000</v>
      </c>
      <c r="H46" s="1533">
        <f t="shared" si="7"/>
        <v>34000</v>
      </c>
      <c r="I46" s="1533"/>
      <c r="J46" s="436"/>
      <c r="K46" s="2546"/>
    </row>
    <row r="47" spans="1:11" ht="28.5" customHeight="1">
      <c r="A47" s="261">
        <v>1</v>
      </c>
      <c r="B47" s="429" t="s">
        <v>2708</v>
      </c>
      <c r="C47" s="429" t="s">
        <v>2709</v>
      </c>
      <c r="D47" s="429" t="s">
        <v>2640</v>
      </c>
      <c r="E47" s="163" t="s">
        <v>1879</v>
      </c>
      <c r="F47" s="1555">
        <v>5</v>
      </c>
      <c r="G47" s="163">
        <v>6000</v>
      </c>
      <c r="H47" s="1208">
        <f t="shared" ref="H47:H48" si="8">F47*G47</f>
        <v>30000</v>
      </c>
      <c r="I47" s="157"/>
      <c r="J47" s="436" t="s">
        <v>2680</v>
      </c>
      <c r="K47" s="2545"/>
    </row>
    <row r="48" spans="1:11" ht="30" customHeight="1">
      <c r="A48" s="261">
        <v>2</v>
      </c>
      <c r="B48" s="429" t="s">
        <v>2710</v>
      </c>
      <c r="C48" s="429" t="s">
        <v>2711</v>
      </c>
      <c r="D48" s="429" t="s">
        <v>2712</v>
      </c>
      <c r="E48" s="163" t="s">
        <v>1703</v>
      </c>
      <c r="F48" s="260"/>
      <c r="G48" s="260">
        <v>1000</v>
      </c>
      <c r="H48" s="1208">
        <f t="shared" si="8"/>
        <v>0</v>
      </c>
      <c r="I48" s="157"/>
      <c r="J48" s="436" t="s">
        <v>546</v>
      </c>
      <c r="K48" s="2545"/>
    </row>
    <row r="49" spans="1:11" ht="21.75" customHeight="1">
      <c r="A49" s="163">
        <v>3</v>
      </c>
      <c r="B49" s="1251"/>
      <c r="C49" s="1249"/>
      <c r="D49" s="1249"/>
      <c r="E49" s="1250"/>
      <c r="F49" s="1556"/>
      <c r="G49" s="1556"/>
      <c r="H49" s="1254"/>
      <c r="I49" s="1551"/>
      <c r="J49" s="1557"/>
      <c r="K49" s="2545"/>
    </row>
    <row r="50" spans="1:11" ht="21.75" customHeight="1">
      <c r="A50" s="163">
        <v>4</v>
      </c>
      <c r="B50" s="164" t="s">
        <v>2713</v>
      </c>
      <c r="C50" s="164" t="s">
        <v>2714</v>
      </c>
      <c r="D50" s="164" t="s">
        <v>2715</v>
      </c>
      <c r="E50" s="163" t="s">
        <v>1703</v>
      </c>
      <c r="F50" s="260">
        <v>1</v>
      </c>
      <c r="G50" s="260">
        <v>2000</v>
      </c>
      <c r="H50" s="1208">
        <f t="shared" ref="H50:H51" si="9">F50*G50</f>
        <v>2000</v>
      </c>
      <c r="I50" s="157"/>
      <c r="J50" s="436" t="s">
        <v>546</v>
      </c>
      <c r="K50" s="2546"/>
    </row>
    <row r="51" spans="1:11" ht="21.75" customHeight="1">
      <c r="A51" s="163">
        <v>5</v>
      </c>
      <c r="B51" s="164" t="s">
        <v>2716</v>
      </c>
      <c r="C51" s="164" t="s">
        <v>2714</v>
      </c>
      <c r="D51" s="164" t="s">
        <v>2717</v>
      </c>
      <c r="E51" s="163" t="s">
        <v>1703</v>
      </c>
      <c r="F51" s="260">
        <v>1</v>
      </c>
      <c r="G51" s="260">
        <v>2000</v>
      </c>
      <c r="H51" s="1208">
        <f t="shared" si="9"/>
        <v>2000</v>
      </c>
      <c r="I51" s="157"/>
      <c r="J51" s="436" t="s">
        <v>546</v>
      </c>
      <c r="K51" s="2545"/>
    </row>
    <row r="52" spans="1:11" ht="18" customHeight="1">
      <c r="A52" s="2976" t="s">
        <v>2718</v>
      </c>
      <c r="B52" s="2783"/>
      <c r="C52" s="165"/>
      <c r="D52" s="165"/>
      <c r="E52" s="163"/>
      <c r="F52" s="164"/>
      <c r="G52" s="163"/>
      <c r="H52" s="1233">
        <f>H7+H46</f>
        <v>430166</v>
      </c>
      <c r="I52" s="157"/>
      <c r="J52" s="157"/>
      <c r="K52" s="2545"/>
    </row>
    <row r="53" spans="1:11" ht="13.5" customHeight="1">
      <c r="A53" s="119"/>
      <c r="B53" s="91"/>
      <c r="C53" s="91"/>
      <c r="D53" s="91"/>
      <c r="E53" s="136"/>
      <c r="F53" s="91"/>
      <c r="G53" s="136"/>
      <c r="H53" s="178"/>
      <c r="I53" s="120"/>
      <c r="J53" s="95"/>
      <c r="K53" s="95"/>
    </row>
    <row r="54" spans="1:11" ht="15" customHeight="1">
      <c r="A54" s="95"/>
      <c r="B54" s="91"/>
      <c r="C54" s="91"/>
      <c r="D54" s="91"/>
      <c r="E54" s="119"/>
      <c r="F54" s="2973" t="s">
        <v>2719</v>
      </c>
      <c r="G54" s="2732"/>
      <c r="H54" s="2732"/>
      <c r="I54" s="2732"/>
      <c r="J54" s="2732"/>
      <c r="K54" s="95"/>
    </row>
    <row r="55" spans="1:11" ht="30" customHeight="1">
      <c r="A55" s="2790" t="s">
        <v>2720</v>
      </c>
      <c r="B55" s="2732"/>
      <c r="C55" s="2732"/>
      <c r="D55" s="2732"/>
      <c r="E55" s="2732"/>
      <c r="F55" s="2732"/>
      <c r="G55" s="2732"/>
      <c r="H55" s="2732"/>
      <c r="I55" s="2732"/>
      <c r="J55" s="2732"/>
      <c r="K55" s="95"/>
    </row>
    <row r="56" spans="1:11" ht="13.5" customHeight="1">
      <c r="A56" s="95"/>
      <c r="B56" s="91"/>
      <c r="C56" s="86"/>
      <c r="D56" s="86"/>
      <c r="E56" s="43"/>
      <c r="F56" s="161"/>
      <c r="G56" s="119"/>
      <c r="H56" s="161"/>
      <c r="I56" s="95"/>
      <c r="J56" s="95"/>
      <c r="K56" s="95"/>
    </row>
    <row r="57" spans="1:11" ht="13.5" customHeight="1">
      <c r="A57" s="95"/>
      <c r="B57" s="91"/>
      <c r="C57" s="86"/>
      <c r="D57" s="86"/>
      <c r="E57" s="43"/>
      <c r="F57" s="161"/>
      <c r="G57" s="119"/>
      <c r="H57" s="161"/>
      <c r="I57" s="95"/>
      <c r="J57" s="95"/>
      <c r="K57" s="95"/>
    </row>
    <row r="58" spans="1:11" ht="13.5" customHeight="1">
      <c r="A58" s="95"/>
      <c r="B58" s="91"/>
      <c r="C58" s="86"/>
      <c r="D58" s="86"/>
      <c r="E58" s="43"/>
      <c r="F58" s="161"/>
      <c r="G58" s="119"/>
      <c r="H58" s="161"/>
      <c r="I58" s="95"/>
      <c r="J58" s="95"/>
      <c r="K58" s="95"/>
    </row>
    <row r="59" spans="1:11" ht="13.5" customHeight="1">
      <c r="A59" s="119"/>
      <c r="B59" s="91"/>
      <c r="C59" s="91"/>
      <c r="D59" s="91"/>
      <c r="E59" s="136"/>
      <c r="F59" s="91"/>
      <c r="G59" s="136"/>
      <c r="H59" s="178"/>
      <c r="I59" s="95"/>
      <c r="J59" s="95"/>
      <c r="K59" s="95"/>
    </row>
    <row r="60" spans="1:11" ht="13.5" customHeight="1">
      <c r="A60" s="119"/>
      <c r="B60" s="91"/>
      <c r="C60" s="91"/>
      <c r="D60" s="91"/>
      <c r="E60" s="136"/>
      <c r="F60" s="91"/>
      <c r="G60" s="2798"/>
      <c r="H60" s="2732"/>
      <c r="I60" s="2732"/>
      <c r="J60" s="95"/>
      <c r="K60" s="95"/>
    </row>
  </sheetData>
  <sheetProtection sheet="1" objects="1" scenarios="1"/>
  <protectedRanges>
    <protectedRange sqref="K6:K52" name="Vàng"/>
  </protectedRanges>
  <autoFilter ref="A6:J52"/>
  <mergeCells count="10">
    <mergeCell ref="K6:K7"/>
    <mergeCell ref="F54:J54"/>
    <mergeCell ref="G60:I60"/>
    <mergeCell ref="A1:B1"/>
    <mergeCell ref="A2:B2"/>
    <mergeCell ref="E2:I2"/>
    <mergeCell ref="A3:I3"/>
    <mergeCell ref="A4:I4"/>
    <mergeCell ref="A52:B52"/>
    <mergeCell ref="A55:J55"/>
  </mergeCells>
  <pageMargins left="0" right="0" top="0" bottom="0" header="0" footer="0"/>
  <pageSetup paperSize="9" scale="9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0"/>
  <sheetViews>
    <sheetView workbookViewId="0">
      <pane xSplit="2" ySplit="8" topLeftCell="J125" activePane="bottomRight" state="frozen"/>
      <selection pane="topRight" activeCell="A10" sqref="A10:L10"/>
      <selection pane="bottomLeft" activeCell="A10" sqref="A10:L10"/>
      <selection pane="bottomRight" activeCell="A10" sqref="A10:M10"/>
    </sheetView>
  </sheetViews>
  <sheetFormatPr defaultColWidth="14.42578125" defaultRowHeight="15" customHeight="1"/>
  <cols>
    <col min="1" max="1" width="6.28515625" customWidth="1"/>
    <col min="2" max="2" width="28.5703125" customWidth="1"/>
    <col min="3" max="3" width="13.7109375" customWidth="1"/>
    <col min="4" max="4" width="11.7109375" customWidth="1"/>
    <col min="5" max="5" width="12.28515625" customWidth="1"/>
    <col min="6" max="6" width="11.5703125" customWidth="1"/>
    <col min="7" max="7" width="12.7109375" customWidth="1"/>
    <col min="8" max="8" width="18.140625" style="2676" customWidth="1"/>
    <col min="9" max="9" width="12.140625" customWidth="1"/>
    <col min="10" max="10" width="25.42578125" style="2676" customWidth="1"/>
    <col min="11" max="11" width="14.28515625" customWidth="1"/>
    <col min="12" max="12" width="10.28515625" customWidth="1"/>
    <col min="13" max="13" width="20.42578125" customWidth="1"/>
    <col min="14" max="14" width="8.7109375" customWidth="1"/>
    <col min="15" max="15" width="9" customWidth="1"/>
    <col min="16" max="16" width="11.42578125" customWidth="1"/>
    <col min="17" max="17" width="15.42578125" customWidth="1"/>
    <col min="18" max="18" width="44.42578125" customWidth="1"/>
    <col min="19" max="26" width="9.140625" customWidth="1"/>
  </cols>
  <sheetData>
    <row r="1" spans="1:18" ht="27.75" customHeight="1">
      <c r="A1" s="3003" t="s">
        <v>2721</v>
      </c>
      <c r="B1" s="2732"/>
      <c r="C1" s="13"/>
      <c r="D1" s="13"/>
      <c r="E1" s="13"/>
      <c r="F1" s="13"/>
      <c r="G1" s="13"/>
      <c r="H1" s="3004" t="s">
        <v>2722</v>
      </c>
      <c r="I1" s="2732"/>
      <c r="J1" s="2732"/>
      <c r="K1" s="2732"/>
      <c r="L1" s="2732"/>
      <c r="M1" s="2732"/>
      <c r="N1" s="2732"/>
      <c r="O1" s="2732"/>
      <c r="P1" s="2732"/>
      <c r="Q1" s="1559"/>
      <c r="R1" s="1560"/>
    </row>
    <row r="2" spans="1:18" ht="23.25" customHeight="1">
      <c r="A2" s="3004" t="s">
        <v>2723</v>
      </c>
      <c r="B2" s="2732"/>
      <c r="C2" s="1292"/>
      <c r="D2" s="1292"/>
      <c r="E2" s="1561"/>
      <c r="F2" s="1561"/>
      <c r="G2" s="1292"/>
      <c r="H2" s="3004" t="s">
        <v>1567</v>
      </c>
      <c r="I2" s="2732"/>
      <c r="J2" s="2732"/>
      <c r="K2" s="2732"/>
      <c r="L2" s="2732"/>
      <c r="M2" s="2732"/>
      <c r="N2" s="2732"/>
      <c r="O2" s="2732"/>
      <c r="P2" s="2732"/>
      <c r="Q2" s="1560"/>
      <c r="R2" s="1560"/>
    </row>
    <row r="3" spans="1:18" ht="16.5">
      <c r="A3" s="13"/>
      <c r="B3" s="13"/>
      <c r="C3" s="1560"/>
      <c r="D3" s="1560"/>
      <c r="E3" s="1558"/>
      <c r="F3" s="1558"/>
      <c r="G3" s="1560"/>
      <c r="H3" s="1563"/>
      <c r="I3" s="1562"/>
      <c r="J3" s="1563"/>
      <c r="K3" s="1563"/>
      <c r="L3" s="1563"/>
      <c r="M3" s="1563"/>
      <c r="N3" s="1560"/>
      <c r="O3" s="1560"/>
      <c r="P3" s="1560"/>
      <c r="Q3" s="1560"/>
      <c r="R3" s="1560"/>
    </row>
    <row r="4" spans="1:18" ht="16.5">
      <c r="A4" s="3004" t="s">
        <v>2724</v>
      </c>
      <c r="B4" s="2732"/>
      <c r="C4" s="2732"/>
      <c r="D4" s="2732"/>
      <c r="E4" s="2732"/>
      <c r="F4" s="2732"/>
      <c r="G4" s="2732"/>
      <c r="H4" s="2732"/>
      <c r="I4" s="2732"/>
      <c r="J4" s="2732"/>
      <c r="K4" s="2732"/>
      <c r="L4" s="2732"/>
      <c r="M4" s="2732"/>
      <c r="N4" s="2732"/>
      <c r="O4" s="2732"/>
      <c r="P4" s="2732"/>
      <c r="Q4" s="2732"/>
      <c r="R4" s="1560"/>
    </row>
    <row r="5" spans="1:18" ht="15.75" customHeight="1">
      <c r="A5" s="2974" t="s">
        <v>1643</v>
      </c>
      <c r="B5" s="2975"/>
      <c r="C5" s="2975"/>
      <c r="D5" s="2975"/>
      <c r="E5" s="2975"/>
      <c r="F5" s="2975"/>
      <c r="G5" s="2975"/>
      <c r="H5" s="2975"/>
      <c r="I5" s="2975"/>
      <c r="J5" s="1563"/>
      <c r="K5" s="1563"/>
      <c r="L5" s="1563"/>
      <c r="M5" s="1563"/>
      <c r="N5" s="1560"/>
      <c r="O5" s="1560"/>
      <c r="P5" s="1560"/>
      <c r="Q5" s="1560"/>
      <c r="R5" s="1560"/>
    </row>
    <row r="6" spans="1:18" ht="24.75" customHeight="1">
      <c r="A6" s="1565">
        <v>1</v>
      </c>
      <c r="B6" s="2384" t="s">
        <v>2725</v>
      </c>
      <c r="C6" s="1839"/>
      <c r="D6" s="1839"/>
      <c r="E6" s="1839"/>
      <c r="F6" s="1839"/>
      <c r="G6" s="1839"/>
      <c r="H6" s="2671"/>
      <c r="I6" s="1839"/>
      <c r="J6" s="2671"/>
      <c r="K6" s="1839"/>
      <c r="L6" s="1839"/>
      <c r="M6" s="1839"/>
      <c r="N6" s="1839"/>
      <c r="O6" s="1839"/>
      <c r="P6" s="1839"/>
      <c r="Q6" s="1860"/>
      <c r="R6" s="3001" t="s">
        <v>2726</v>
      </c>
    </row>
    <row r="7" spans="1:18" ht="29.25" customHeight="1">
      <c r="A7" s="3005" t="s">
        <v>27</v>
      </c>
      <c r="B7" s="2989" t="s">
        <v>2551</v>
      </c>
      <c r="C7" s="2985" t="s">
        <v>2727</v>
      </c>
      <c r="D7" s="2782"/>
      <c r="E7" s="2782"/>
      <c r="F7" s="2783"/>
      <c r="G7" s="2980" t="s">
        <v>2728</v>
      </c>
      <c r="H7" s="3006" t="s">
        <v>2729</v>
      </c>
      <c r="I7" s="2782"/>
      <c r="J7" s="2782"/>
      <c r="K7" s="2782"/>
      <c r="L7" s="2782"/>
      <c r="M7" s="2783"/>
      <c r="N7" s="1566"/>
      <c r="O7" s="1566"/>
      <c r="P7" s="1566"/>
      <c r="Q7" s="3005"/>
      <c r="R7" s="3001"/>
    </row>
    <row r="8" spans="1:18" ht="33">
      <c r="A8" s="2779"/>
      <c r="B8" s="2834"/>
      <c r="C8" s="1567" t="s">
        <v>2730</v>
      </c>
      <c r="D8" s="1567" t="s">
        <v>2731</v>
      </c>
      <c r="E8" s="2385" t="s">
        <v>2732</v>
      </c>
      <c r="F8" s="2385" t="s">
        <v>2733</v>
      </c>
      <c r="G8" s="2834"/>
      <c r="H8" s="2385" t="s">
        <v>2734</v>
      </c>
      <c r="I8" s="2385" t="s">
        <v>2735</v>
      </c>
      <c r="J8" s="1568" t="s">
        <v>2736</v>
      </c>
      <c r="K8" s="2985" t="s">
        <v>2737</v>
      </c>
      <c r="L8" s="2782"/>
      <c r="M8" s="2783"/>
      <c r="N8" s="1566"/>
      <c r="O8" s="1566"/>
      <c r="P8" s="1566"/>
      <c r="Q8" s="2779"/>
      <c r="R8" s="3001"/>
    </row>
    <row r="9" spans="1:18" ht="16.5">
      <c r="A9" s="2386" t="s">
        <v>258</v>
      </c>
      <c r="B9" s="1569" t="s">
        <v>542</v>
      </c>
      <c r="C9" s="1566">
        <f t="shared" ref="C9:H9" si="0">C10</f>
        <v>26</v>
      </c>
      <c r="D9" s="1566">
        <f t="shared" si="0"/>
        <v>7</v>
      </c>
      <c r="E9" s="1566">
        <f t="shared" si="0"/>
        <v>18</v>
      </c>
      <c r="F9" s="1566">
        <f t="shared" si="0"/>
        <v>1</v>
      </c>
      <c r="G9" s="1566" t="str">
        <f t="shared" si="0"/>
        <v>Kinh</v>
      </c>
      <c r="H9" s="1568">
        <f t="shared" si="0"/>
        <v>2</v>
      </c>
      <c r="I9" s="1570"/>
      <c r="J9" s="2388"/>
      <c r="K9" s="2388"/>
      <c r="L9" s="2388"/>
      <c r="M9" s="2388"/>
      <c r="N9" s="2387"/>
      <c r="O9" s="2387"/>
      <c r="P9" s="2387"/>
      <c r="Q9" s="2389"/>
      <c r="R9" s="3002"/>
    </row>
    <row r="10" spans="1:18" ht="78.75" customHeight="1">
      <c r="A10" s="1571">
        <v>1</v>
      </c>
      <c r="B10" s="2390" t="s">
        <v>2738</v>
      </c>
      <c r="C10" s="2391">
        <v>26</v>
      </c>
      <c r="D10" s="2391">
        <v>7</v>
      </c>
      <c r="E10" s="2392">
        <v>18</v>
      </c>
      <c r="F10" s="2392">
        <v>1</v>
      </c>
      <c r="G10" s="1570" t="s">
        <v>2739</v>
      </c>
      <c r="H10" s="2391">
        <v>2</v>
      </c>
      <c r="I10" s="2391" t="s">
        <v>2740</v>
      </c>
      <c r="J10" s="2673" t="s">
        <v>2741</v>
      </c>
      <c r="K10" s="3000" t="s">
        <v>2742</v>
      </c>
      <c r="L10" s="2782"/>
      <c r="M10" s="2783"/>
      <c r="N10" s="1572"/>
      <c r="O10" s="1572"/>
      <c r="P10" s="1572"/>
      <c r="Q10" s="1572"/>
      <c r="R10" s="2543"/>
    </row>
    <row r="11" spans="1:18" ht="16.5">
      <c r="A11" s="2386" t="s">
        <v>284</v>
      </c>
      <c r="B11" s="1573" t="s">
        <v>545</v>
      </c>
      <c r="C11" s="1566">
        <f>C12</f>
        <v>11</v>
      </c>
      <c r="D11" s="1566">
        <v>5</v>
      </c>
      <c r="E11" s="1566">
        <f t="shared" ref="E11:F11" si="1">E12</f>
        <v>6</v>
      </c>
      <c r="F11" s="1566">
        <f t="shared" si="1"/>
        <v>1</v>
      </c>
      <c r="G11" s="1570" t="s">
        <v>2739</v>
      </c>
      <c r="H11" s="1568">
        <f>H13</f>
        <v>1</v>
      </c>
      <c r="I11" s="1570"/>
      <c r="J11" s="2388"/>
      <c r="K11" s="2388"/>
      <c r="L11" s="2388"/>
      <c r="M11" s="2388"/>
      <c r="N11" s="2387"/>
      <c r="O11" s="2387"/>
      <c r="P11" s="2387"/>
      <c r="Q11" s="2389"/>
      <c r="R11" s="2544"/>
    </row>
    <row r="12" spans="1:18" ht="16.5">
      <c r="A12" s="1571">
        <v>4</v>
      </c>
      <c r="B12" s="1574" t="s">
        <v>500</v>
      </c>
      <c r="C12" s="1575">
        <v>11</v>
      </c>
      <c r="D12" s="1575" t="s">
        <v>2743</v>
      </c>
      <c r="E12" s="1576">
        <v>6</v>
      </c>
      <c r="F12" s="1576">
        <v>1</v>
      </c>
      <c r="G12" s="1570" t="s">
        <v>2739</v>
      </c>
      <c r="H12" s="1575"/>
      <c r="I12" s="1575"/>
      <c r="J12" s="2673"/>
      <c r="K12" s="2999"/>
      <c r="L12" s="2782"/>
      <c r="M12" s="2783"/>
      <c r="N12" s="1572"/>
      <c r="O12" s="1572"/>
      <c r="P12" s="1572"/>
      <c r="Q12" s="1572"/>
      <c r="R12" s="2545"/>
    </row>
    <row r="13" spans="1:18" ht="33">
      <c r="A13" s="1571">
        <v>5</v>
      </c>
      <c r="B13" s="1577" t="s">
        <v>2744</v>
      </c>
      <c r="C13" s="1578">
        <v>11</v>
      </c>
      <c r="D13" s="1578" t="s">
        <v>2745</v>
      </c>
      <c r="E13" s="1579">
        <v>6</v>
      </c>
      <c r="F13" s="1579">
        <v>1</v>
      </c>
      <c r="G13" s="1570" t="s">
        <v>2739</v>
      </c>
      <c r="H13" s="1578">
        <v>1</v>
      </c>
      <c r="I13" s="1578" t="s">
        <v>2740</v>
      </c>
      <c r="J13" s="2673" t="s">
        <v>2744</v>
      </c>
      <c r="K13" s="2999"/>
      <c r="L13" s="2782"/>
      <c r="M13" s="2783"/>
      <c r="N13" s="1572"/>
      <c r="O13" s="1572"/>
      <c r="P13" s="1572"/>
      <c r="Q13" s="1572"/>
      <c r="R13" s="2545"/>
    </row>
    <row r="14" spans="1:18" ht="16.5">
      <c r="A14" s="2386" t="s">
        <v>345</v>
      </c>
      <c r="B14" s="1569" t="s">
        <v>2746</v>
      </c>
      <c r="C14" s="1566">
        <f>C15</f>
        <v>13</v>
      </c>
      <c r="D14" s="1566">
        <v>4</v>
      </c>
      <c r="E14" s="1566">
        <f t="shared" ref="E14:F14" si="2">E15</f>
        <v>4</v>
      </c>
      <c r="F14" s="1566">
        <f t="shared" si="2"/>
        <v>5</v>
      </c>
      <c r="G14" s="1570" t="s">
        <v>2739</v>
      </c>
      <c r="H14" s="1568">
        <f>H15</f>
        <v>1</v>
      </c>
      <c r="I14" s="1570"/>
      <c r="J14" s="2388"/>
      <c r="K14" s="2388"/>
      <c r="L14" s="2388"/>
      <c r="M14" s="2388"/>
      <c r="N14" s="2387"/>
      <c r="O14" s="2387"/>
      <c r="P14" s="2387"/>
      <c r="Q14" s="2389"/>
      <c r="R14" s="2545"/>
    </row>
    <row r="15" spans="1:18" ht="16.5">
      <c r="A15" s="1571">
        <v>1</v>
      </c>
      <c r="B15" s="1574" t="s">
        <v>495</v>
      </c>
      <c r="C15" s="1575">
        <v>13</v>
      </c>
      <c r="D15" s="1575" t="s">
        <v>2745</v>
      </c>
      <c r="E15" s="1576">
        <v>4</v>
      </c>
      <c r="F15" s="1576">
        <v>5</v>
      </c>
      <c r="G15" s="1570" t="s">
        <v>2739</v>
      </c>
      <c r="H15" s="1575">
        <v>1</v>
      </c>
      <c r="I15" s="1575" t="s">
        <v>2740</v>
      </c>
      <c r="J15" s="2673" t="s">
        <v>2747</v>
      </c>
      <c r="K15" s="2999"/>
      <c r="L15" s="2782"/>
      <c r="M15" s="2783"/>
      <c r="N15" s="1572"/>
      <c r="O15" s="1572"/>
      <c r="P15" s="1572"/>
      <c r="Q15" s="1572"/>
      <c r="R15" s="2545"/>
    </row>
    <row r="16" spans="1:18" ht="16.5">
      <c r="A16" s="2386" t="s">
        <v>411</v>
      </c>
      <c r="B16" s="1573" t="s">
        <v>547</v>
      </c>
      <c r="C16" s="1566">
        <f>C17</f>
        <v>13</v>
      </c>
      <c r="D16" s="1566">
        <v>2</v>
      </c>
      <c r="E16" s="1566">
        <f t="shared" ref="E16:F16" si="3">E17</f>
        <v>11</v>
      </c>
      <c r="F16" s="1566">
        <f t="shared" si="3"/>
        <v>1</v>
      </c>
      <c r="G16" s="1570" t="s">
        <v>2739</v>
      </c>
      <c r="H16" s="1568">
        <f>H17</f>
        <v>2</v>
      </c>
      <c r="I16" s="2393"/>
      <c r="J16" s="2388"/>
      <c r="K16" s="2388"/>
      <c r="L16" s="2388"/>
      <c r="M16" s="2388"/>
      <c r="N16" s="2387"/>
      <c r="O16" s="2387"/>
      <c r="P16" s="2387"/>
      <c r="Q16" s="2389"/>
      <c r="R16" s="2545"/>
    </row>
    <row r="17" spans="1:18" ht="49.5">
      <c r="A17" s="1571">
        <v>4</v>
      </c>
      <c r="B17" s="2390" t="s">
        <v>2748</v>
      </c>
      <c r="C17" s="2391">
        <v>13</v>
      </c>
      <c r="D17" s="2391" t="s">
        <v>2749</v>
      </c>
      <c r="E17" s="2392">
        <v>11</v>
      </c>
      <c r="F17" s="2392">
        <v>1</v>
      </c>
      <c r="G17" s="1570" t="s">
        <v>2739</v>
      </c>
      <c r="H17" s="2391">
        <v>2</v>
      </c>
      <c r="I17" s="1578" t="s">
        <v>2740</v>
      </c>
      <c r="J17" s="2673" t="s">
        <v>2750</v>
      </c>
      <c r="K17" s="2999"/>
      <c r="L17" s="2782"/>
      <c r="M17" s="2783"/>
      <c r="N17" s="1572"/>
      <c r="O17" s="1572"/>
      <c r="P17" s="1572"/>
      <c r="Q17" s="1572"/>
      <c r="R17" s="2545"/>
    </row>
    <row r="18" spans="1:18" ht="16.5">
      <c r="A18" s="2386" t="s">
        <v>1898</v>
      </c>
      <c r="B18" s="1569" t="s">
        <v>548</v>
      </c>
      <c r="C18" s="1566">
        <f t="shared" ref="C18:F18" si="4">C19</f>
        <v>5</v>
      </c>
      <c r="D18" s="1566">
        <f t="shared" si="4"/>
        <v>0</v>
      </c>
      <c r="E18" s="1566">
        <f t="shared" si="4"/>
        <v>2</v>
      </c>
      <c r="F18" s="1566">
        <f t="shared" si="4"/>
        <v>3</v>
      </c>
      <c r="G18" s="1570" t="s">
        <v>2739</v>
      </c>
      <c r="H18" s="1568">
        <f>H19</f>
        <v>2</v>
      </c>
      <c r="I18" s="1570"/>
      <c r="J18" s="2388"/>
      <c r="K18" s="2388"/>
      <c r="L18" s="2388"/>
      <c r="M18" s="2388"/>
      <c r="N18" s="2387"/>
      <c r="O18" s="2387"/>
      <c r="P18" s="2387"/>
      <c r="Q18" s="2389"/>
      <c r="R18" s="2546"/>
    </row>
    <row r="19" spans="1:18" ht="49.5">
      <c r="A19" s="1571">
        <v>1</v>
      </c>
      <c r="B19" s="2390" t="s">
        <v>497</v>
      </c>
      <c r="C19" s="2392">
        <v>5</v>
      </c>
      <c r="D19" s="2392">
        <v>0</v>
      </c>
      <c r="E19" s="2392">
        <v>2</v>
      </c>
      <c r="F19" s="2392">
        <v>3</v>
      </c>
      <c r="G19" s="1570" t="s">
        <v>2739</v>
      </c>
      <c r="H19" s="2391">
        <v>2</v>
      </c>
      <c r="I19" s="1575" t="s">
        <v>2751</v>
      </c>
      <c r="J19" s="2673" t="s">
        <v>2752</v>
      </c>
      <c r="K19" s="2999" t="s">
        <v>2753</v>
      </c>
      <c r="L19" s="2782"/>
      <c r="M19" s="2783"/>
      <c r="N19" s="1572"/>
      <c r="O19" s="1572"/>
      <c r="P19" s="1572"/>
      <c r="Q19" s="1572"/>
      <c r="R19" s="2542"/>
    </row>
    <row r="20" spans="1:18" ht="16.5">
      <c r="A20" s="2386" t="s">
        <v>1922</v>
      </c>
      <c r="B20" s="1573" t="s">
        <v>2754</v>
      </c>
      <c r="C20" s="1566">
        <f t="shared" ref="C20:F20" si="5">C21</f>
        <v>18</v>
      </c>
      <c r="D20" s="1566">
        <f t="shared" si="5"/>
        <v>2</v>
      </c>
      <c r="E20" s="1566">
        <f t="shared" si="5"/>
        <v>15</v>
      </c>
      <c r="F20" s="1566">
        <f t="shared" si="5"/>
        <v>1</v>
      </c>
      <c r="G20" s="1570" t="s">
        <v>2739</v>
      </c>
      <c r="H20" s="1568">
        <f>H21</f>
        <v>1</v>
      </c>
      <c r="I20" s="2393"/>
      <c r="J20" s="2388"/>
      <c r="K20" s="2388"/>
      <c r="L20" s="2388"/>
      <c r="M20" s="2388"/>
      <c r="N20" s="2387"/>
      <c r="O20" s="2387"/>
      <c r="P20" s="2387"/>
      <c r="Q20" s="2389"/>
      <c r="R20" s="2543"/>
    </row>
    <row r="21" spans="1:18" ht="33">
      <c r="A21" s="1571">
        <v>4</v>
      </c>
      <c r="B21" s="2390" t="s">
        <v>2755</v>
      </c>
      <c r="C21" s="2391">
        <v>18</v>
      </c>
      <c r="D21" s="2391">
        <v>2</v>
      </c>
      <c r="E21" s="2392">
        <v>15</v>
      </c>
      <c r="F21" s="2392">
        <v>1</v>
      </c>
      <c r="G21" s="1570" t="s">
        <v>2739</v>
      </c>
      <c r="H21" s="2391">
        <v>1</v>
      </c>
      <c r="I21" s="1580" t="s">
        <v>2756</v>
      </c>
      <c r="J21" s="2673" t="s">
        <v>2757</v>
      </c>
      <c r="K21" s="2999"/>
      <c r="L21" s="2782"/>
      <c r="M21" s="2783"/>
      <c r="N21" s="1572"/>
      <c r="O21" s="1572"/>
      <c r="P21" s="1572"/>
      <c r="Q21" s="1572"/>
      <c r="R21" s="2544"/>
    </row>
    <row r="22" spans="1:18" ht="16.5">
      <c r="A22" s="2386" t="s">
        <v>2758</v>
      </c>
      <c r="B22" s="1569" t="s">
        <v>550</v>
      </c>
      <c r="C22" s="1566">
        <f t="shared" ref="C22:F22" si="6">C23</f>
        <v>12</v>
      </c>
      <c r="D22" s="1566">
        <f t="shared" si="6"/>
        <v>2</v>
      </c>
      <c r="E22" s="1566">
        <f t="shared" si="6"/>
        <v>9</v>
      </c>
      <c r="F22" s="1566">
        <f t="shared" si="6"/>
        <v>1</v>
      </c>
      <c r="G22" s="1570" t="s">
        <v>2739</v>
      </c>
      <c r="H22" s="1568">
        <f>H23</f>
        <v>1</v>
      </c>
      <c r="I22" s="2393"/>
      <c r="J22" s="2388"/>
      <c r="K22" s="2388"/>
      <c r="L22" s="2388"/>
      <c r="M22" s="2388"/>
      <c r="N22" s="2387"/>
      <c r="O22" s="2387"/>
      <c r="P22" s="2387"/>
      <c r="Q22" s="2389"/>
      <c r="R22" s="2545"/>
    </row>
    <row r="23" spans="1:18" ht="33">
      <c r="A23" s="1571">
        <v>1</v>
      </c>
      <c r="B23" s="2390" t="s">
        <v>509</v>
      </c>
      <c r="C23" s="2391">
        <v>12</v>
      </c>
      <c r="D23" s="2391">
        <v>2</v>
      </c>
      <c r="E23" s="2392">
        <v>9</v>
      </c>
      <c r="F23" s="2392">
        <v>1</v>
      </c>
      <c r="G23" s="1570" t="s">
        <v>2739</v>
      </c>
      <c r="H23" s="2391">
        <v>1</v>
      </c>
      <c r="I23" s="1580" t="s">
        <v>2740</v>
      </c>
      <c r="J23" s="2673" t="s">
        <v>2759</v>
      </c>
      <c r="K23" s="2999"/>
      <c r="L23" s="2782"/>
      <c r="M23" s="2783"/>
      <c r="N23" s="1572"/>
      <c r="O23" s="1572"/>
      <c r="P23" s="1572"/>
      <c r="Q23" s="1572"/>
      <c r="R23" s="2545"/>
    </row>
    <row r="24" spans="1:18" ht="16.5">
      <c r="A24" s="2386" t="s">
        <v>2760</v>
      </c>
      <c r="B24" s="1573" t="s">
        <v>551</v>
      </c>
      <c r="C24" s="1566">
        <f t="shared" ref="C24:F24" si="7">C25</f>
        <v>12</v>
      </c>
      <c r="D24" s="1566">
        <f t="shared" si="7"/>
        <v>3</v>
      </c>
      <c r="E24" s="1566">
        <f t="shared" si="7"/>
        <v>6</v>
      </c>
      <c r="F24" s="1566">
        <f t="shared" si="7"/>
        <v>3</v>
      </c>
      <c r="G24" s="1570" t="s">
        <v>2739</v>
      </c>
      <c r="H24" s="1568">
        <f>H25</f>
        <v>1</v>
      </c>
      <c r="I24" s="2393"/>
      <c r="J24" s="2388"/>
      <c r="K24" s="2388"/>
      <c r="L24" s="2388"/>
      <c r="M24" s="2388"/>
      <c r="N24" s="2387"/>
      <c r="O24" s="2387"/>
      <c r="P24" s="2387"/>
      <c r="Q24" s="2389"/>
      <c r="R24" s="2545"/>
    </row>
    <row r="25" spans="1:18" ht="33">
      <c r="A25" s="1571">
        <v>4</v>
      </c>
      <c r="B25" s="1574" t="s">
        <v>2761</v>
      </c>
      <c r="C25" s="1575">
        <v>12</v>
      </c>
      <c r="D25" s="1575">
        <v>3</v>
      </c>
      <c r="E25" s="1576">
        <v>6</v>
      </c>
      <c r="F25" s="1576">
        <v>3</v>
      </c>
      <c r="G25" s="1570" t="s">
        <v>2739</v>
      </c>
      <c r="H25" s="1575">
        <v>1</v>
      </c>
      <c r="I25" s="1580" t="s">
        <v>2762</v>
      </c>
      <c r="J25" s="2673" t="s">
        <v>2763</v>
      </c>
      <c r="K25" s="2999"/>
      <c r="L25" s="2782"/>
      <c r="M25" s="2783"/>
      <c r="N25" s="1572"/>
      <c r="O25" s="1572"/>
      <c r="P25" s="1572"/>
      <c r="Q25" s="1572"/>
      <c r="R25" s="2545"/>
    </row>
    <row r="26" spans="1:18" ht="16.5">
      <c r="A26" s="1571"/>
      <c r="B26" s="1577"/>
      <c r="C26" s="1578"/>
      <c r="D26" s="1578"/>
      <c r="E26" s="1579"/>
      <c r="F26" s="1579"/>
      <c r="G26" s="1570" t="s">
        <v>2739</v>
      </c>
      <c r="H26" s="1578"/>
      <c r="I26" s="1580"/>
      <c r="J26" s="2673"/>
      <c r="K26" s="2999"/>
      <c r="L26" s="2782"/>
      <c r="M26" s="2783"/>
      <c r="N26" s="1572"/>
      <c r="O26" s="1572"/>
      <c r="P26" s="1572"/>
      <c r="Q26" s="1572"/>
      <c r="R26" s="2545"/>
    </row>
    <row r="27" spans="1:18" ht="16.5">
      <c r="A27" s="2386" t="s">
        <v>2764</v>
      </c>
      <c r="B27" s="1569" t="s">
        <v>552</v>
      </c>
      <c r="C27" s="1566">
        <f t="shared" ref="C27:F27" si="8">C28</f>
        <v>14</v>
      </c>
      <c r="D27" s="1566">
        <f t="shared" si="8"/>
        <v>1</v>
      </c>
      <c r="E27" s="1566">
        <f t="shared" si="8"/>
        <v>6</v>
      </c>
      <c r="F27" s="1566">
        <f t="shared" si="8"/>
        <v>8</v>
      </c>
      <c r="G27" s="1570" t="s">
        <v>2739</v>
      </c>
      <c r="H27" s="1568">
        <f>H28</f>
        <v>2</v>
      </c>
      <c r="I27" s="2393"/>
      <c r="J27" s="2388"/>
      <c r="K27" s="2388"/>
      <c r="L27" s="2388"/>
      <c r="M27" s="2388"/>
      <c r="N27" s="2387"/>
      <c r="O27" s="2387"/>
      <c r="P27" s="2387"/>
      <c r="Q27" s="2389"/>
      <c r="R27" s="2545"/>
    </row>
    <row r="28" spans="1:18" ht="49.5">
      <c r="A28" s="1571">
        <v>1</v>
      </c>
      <c r="B28" s="1574" t="s">
        <v>2765</v>
      </c>
      <c r="C28" s="1575">
        <v>14</v>
      </c>
      <c r="D28" s="1575">
        <v>1</v>
      </c>
      <c r="E28" s="1576">
        <v>6</v>
      </c>
      <c r="F28" s="1576">
        <v>8</v>
      </c>
      <c r="G28" s="1570" t="s">
        <v>2739</v>
      </c>
      <c r="H28" s="1575">
        <v>2</v>
      </c>
      <c r="I28" s="1580" t="s">
        <v>2766</v>
      </c>
      <c r="J28" s="2673" t="s">
        <v>2767</v>
      </c>
      <c r="K28" s="2999"/>
      <c r="L28" s="2782"/>
      <c r="M28" s="2783"/>
      <c r="N28" s="1572"/>
      <c r="O28" s="1572"/>
      <c r="P28" s="1572"/>
      <c r="Q28" s="1572"/>
      <c r="R28" s="2546"/>
    </row>
    <row r="29" spans="1:18" ht="16.5">
      <c r="A29" s="2386" t="s">
        <v>2768</v>
      </c>
      <c r="B29" s="1573" t="s">
        <v>2769</v>
      </c>
      <c r="C29" s="1566">
        <f t="shared" ref="C29:F29" si="9">C30</f>
        <v>10</v>
      </c>
      <c r="D29" s="1566">
        <f t="shared" si="9"/>
        <v>1</v>
      </c>
      <c r="E29" s="1566">
        <f t="shared" si="9"/>
        <v>6</v>
      </c>
      <c r="F29" s="1566">
        <f t="shared" si="9"/>
        <v>4</v>
      </c>
      <c r="G29" s="1570" t="s">
        <v>2739</v>
      </c>
      <c r="H29" s="1568">
        <f>H30</f>
        <v>2</v>
      </c>
      <c r="I29" s="2393"/>
      <c r="J29" s="2388"/>
      <c r="K29" s="2388"/>
      <c r="L29" s="2388"/>
      <c r="M29" s="2388"/>
      <c r="N29" s="2387"/>
      <c r="O29" s="2387"/>
      <c r="P29" s="2387"/>
      <c r="Q29" s="2389"/>
      <c r="R29" s="2545"/>
    </row>
    <row r="30" spans="1:18" ht="33">
      <c r="A30" s="1571">
        <v>4</v>
      </c>
      <c r="B30" s="1574" t="s">
        <v>2770</v>
      </c>
      <c r="C30" s="1575">
        <v>10</v>
      </c>
      <c r="D30" s="1575">
        <v>1</v>
      </c>
      <c r="E30" s="1576">
        <v>6</v>
      </c>
      <c r="F30" s="1576">
        <v>4</v>
      </c>
      <c r="G30" s="1570" t="s">
        <v>2739</v>
      </c>
      <c r="H30" s="1575">
        <v>2</v>
      </c>
      <c r="I30" s="1580" t="s">
        <v>2756</v>
      </c>
      <c r="J30" s="2673"/>
      <c r="K30" s="2999" t="s">
        <v>2771</v>
      </c>
      <c r="L30" s="2782"/>
      <c r="M30" s="2783"/>
      <c r="N30" s="1572"/>
      <c r="O30" s="1572"/>
      <c r="P30" s="1572"/>
      <c r="Q30" s="1572"/>
      <c r="R30" s="2545"/>
    </row>
    <row r="31" spans="1:18" ht="33">
      <c r="A31" s="1571">
        <v>5</v>
      </c>
      <c r="B31" s="1577" t="s">
        <v>2772</v>
      </c>
      <c r="C31" s="1578">
        <v>10</v>
      </c>
      <c r="D31" s="1578">
        <v>1</v>
      </c>
      <c r="E31" s="1579">
        <v>6</v>
      </c>
      <c r="F31" s="1579">
        <v>4</v>
      </c>
      <c r="G31" s="1570" t="s">
        <v>2739</v>
      </c>
      <c r="H31" s="1578"/>
      <c r="I31" s="1580"/>
      <c r="J31" s="2673"/>
      <c r="K31" s="2999"/>
      <c r="L31" s="2782"/>
      <c r="M31" s="2783"/>
      <c r="N31" s="1572"/>
      <c r="O31" s="1572"/>
      <c r="P31" s="1572"/>
      <c r="Q31" s="1572"/>
      <c r="R31" s="2545"/>
    </row>
    <row r="32" spans="1:18" ht="16.5">
      <c r="A32" s="2386" t="s">
        <v>2773</v>
      </c>
      <c r="B32" s="1569" t="s">
        <v>553</v>
      </c>
      <c r="C32" s="1566">
        <f t="shared" ref="C32:F32" si="10">C33</f>
        <v>8</v>
      </c>
      <c r="D32" s="1566">
        <f t="shared" si="10"/>
        <v>0</v>
      </c>
      <c r="E32" s="1566">
        <f t="shared" si="10"/>
        <v>3</v>
      </c>
      <c r="F32" s="1566">
        <f t="shared" si="10"/>
        <v>5</v>
      </c>
      <c r="G32" s="1570" t="s">
        <v>2739</v>
      </c>
      <c r="H32" s="1568">
        <f>H33</f>
        <v>3</v>
      </c>
      <c r="I32" s="2393"/>
      <c r="J32" s="2388"/>
      <c r="K32" s="2388"/>
      <c r="L32" s="2388"/>
      <c r="M32" s="2388"/>
      <c r="N32" s="2387"/>
      <c r="O32" s="2387"/>
      <c r="P32" s="2387"/>
      <c r="Q32" s="2389"/>
      <c r="R32" s="2546"/>
    </row>
    <row r="33" spans="1:18" ht="33">
      <c r="A33" s="1571">
        <v>1</v>
      </c>
      <c r="B33" s="2394" t="s">
        <v>2774</v>
      </c>
      <c r="C33" s="2395">
        <v>8</v>
      </c>
      <c r="D33" s="2396"/>
      <c r="E33" s="2395">
        <v>3</v>
      </c>
      <c r="F33" s="2395">
        <v>5</v>
      </c>
      <c r="G33" s="1570" t="s">
        <v>2739</v>
      </c>
      <c r="H33" s="2396">
        <v>3</v>
      </c>
      <c r="I33" s="2397" t="s">
        <v>2775</v>
      </c>
      <c r="J33" s="2677"/>
      <c r="K33" s="2999"/>
      <c r="L33" s="2782"/>
      <c r="M33" s="2783"/>
      <c r="N33" s="1572"/>
      <c r="O33" s="1572"/>
      <c r="P33" s="1572"/>
      <c r="Q33" s="1572"/>
      <c r="R33" s="2545"/>
    </row>
    <row r="34" spans="1:18" ht="33">
      <c r="A34" s="2398">
        <v>2</v>
      </c>
      <c r="B34" s="1581" t="s">
        <v>2776</v>
      </c>
      <c r="C34" s="1582">
        <v>3</v>
      </c>
      <c r="D34" s="1582"/>
      <c r="E34" s="1583">
        <v>3</v>
      </c>
      <c r="F34" s="1582"/>
      <c r="G34" s="1570" t="s">
        <v>2739</v>
      </c>
      <c r="H34" s="2672"/>
      <c r="I34" s="2396"/>
      <c r="J34" s="2678"/>
      <c r="K34" s="2999"/>
      <c r="L34" s="2782"/>
      <c r="M34" s="2783"/>
      <c r="N34" s="1572"/>
      <c r="O34" s="1572"/>
      <c r="P34" s="1572"/>
      <c r="Q34" s="1572"/>
      <c r="R34" s="2545"/>
    </row>
    <row r="35" spans="1:18" ht="16.5">
      <c r="A35" s="2386" t="s">
        <v>2248</v>
      </c>
      <c r="B35" s="1573" t="s">
        <v>2777</v>
      </c>
      <c r="C35" s="1566">
        <f t="shared" ref="C35:F35" si="11">C36</f>
        <v>16</v>
      </c>
      <c r="D35" s="1566">
        <f t="shared" si="11"/>
        <v>2</v>
      </c>
      <c r="E35" s="1566">
        <f t="shared" si="11"/>
        <v>9</v>
      </c>
      <c r="F35" s="1566">
        <f t="shared" si="11"/>
        <v>5</v>
      </c>
      <c r="G35" s="1570" t="s">
        <v>2739</v>
      </c>
      <c r="H35" s="1568">
        <f>H36</f>
        <v>3</v>
      </c>
      <c r="I35" s="2393"/>
      <c r="J35" s="2388"/>
      <c r="K35" s="2388"/>
      <c r="L35" s="2388"/>
      <c r="M35" s="2388"/>
      <c r="N35" s="2387"/>
      <c r="O35" s="2387"/>
      <c r="P35" s="2387"/>
      <c r="Q35" s="2389"/>
      <c r="R35" s="2545"/>
    </row>
    <row r="36" spans="1:18" ht="49.5">
      <c r="A36" s="1571">
        <v>4</v>
      </c>
      <c r="B36" s="1574" t="s">
        <v>2778</v>
      </c>
      <c r="C36" s="1575">
        <v>16</v>
      </c>
      <c r="D36" s="1575">
        <v>2</v>
      </c>
      <c r="E36" s="1576">
        <v>9</v>
      </c>
      <c r="F36" s="1576">
        <v>5</v>
      </c>
      <c r="G36" s="1570" t="s">
        <v>2739</v>
      </c>
      <c r="H36" s="1575">
        <v>3</v>
      </c>
      <c r="I36" s="1580" t="s">
        <v>2779</v>
      </c>
      <c r="J36" s="2673" t="s">
        <v>2780</v>
      </c>
      <c r="K36" s="2999" t="s">
        <v>2781</v>
      </c>
      <c r="L36" s="2782"/>
      <c r="M36" s="2783"/>
      <c r="N36" s="1572"/>
      <c r="O36" s="1572"/>
      <c r="P36" s="1572"/>
      <c r="Q36" s="1572"/>
      <c r="R36" s="2546"/>
    </row>
    <row r="37" spans="1:18" ht="33">
      <c r="A37" s="1571">
        <v>5</v>
      </c>
      <c r="B37" s="1577" t="s">
        <v>2782</v>
      </c>
      <c r="C37" s="1578">
        <v>16</v>
      </c>
      <c r="D37" s="1578">
        <v>2</v>
      </c>
      <c r="E37" s="1579">
        <v>9</v>
      </c>
      <c r="F37" s="1579">
        <v>5</v>
      </c>
      <c r="G37" s="1570" t="s">
        <v>2739</v>
      </c>
      <c r="H37" s="1578">
        <v>1</v>
      </c>
      <c r="I37" s="1580" t="s">
        <v>38</v>
      </c>
      <c r="J37" s="2673" t="s">
        <v>2783</v>
      </c>
      <c r="K37" s="2999" t="s">
        <v>2784</v>
      </c>
      <c r="L37" s="2782"/>
      <c r="M37" s="2783"/>
      <c r="N37" s="1572"/>
      <c r="O37" s="1572"/>
      <c r="P37" s="1572"/>
      <c r="Q37" s="1572"/>
      <c r="R37" s="2545"/>
    </row>
    <row r="38" spans="1:18" ht="49.5">
      <c r="A38" s="2386" t="s">
        <v>2785</v>
      </c>
      <c r="B38" s="1573" t="s">
        <v>2786</v>
      </c>
      <c r="C38" s="1566">
        <v>7</v>
      </c>
      <c r="D38" s="1566"/>
      <c r="E38" s="1566">
        <v>2</v>
      </c>
      <c r="F38" s="1566">
        <v>5</v>
      </c>
      <c r="G38" s="1570" t="s">
        <v>2739</v>
      </c>
      <c r="H38" s="1568">
        <v>3</v>
      </c>
      <c r="I38" s="2393" t="s">
        <v>2787</v>
      </c>
      <c r="J38" s="2388"/>
      <c r="K38" s="2999" t="s">
        <v>2788</v>
      </c>
      <c r="L38" s="2782"/>
      <c r="M38" s="2783"/>
      <c r="N38" s="2387"/>
      <c r="O38" s="2387"/>
      <c r="P38" s="2387"/>
      <c r="Q38" s="2389"/>
      <c r="R38" s="2545"/>
    </row>
    <row r="39" spans="1:18" ht="16.5">
      <c r="A39" s="1571">
        <v>4</v>
      </c>
      <c r="B39" s="1574"/>
      <c r="C39" s="1575"/>
      <c r="D39" s="1575"/>
      <c r="E39" s="1576"/>
      <c r="F39" s="1576"/>
      <c r="G39" s="1570" t="s">
        <v>2739</v>
      </c>
      <c r="H39" s="1575"/>
      <c r="I39" s="1580"/>
      <c r="J39" s="2673"/>
      <c r="K39" s="2999"/>
      <c r="L39" s="2782"/>
      <c r="M39" s="2783"/>
      <c r="N39" s="1572"/>
      <c r="O39" s="1572"/>
      <c r="P39" s="1572"/>
      <c r="Q39" s="1572"/>
      <c r="R39" s="2545"/>
    </row>
    <row r="40" spans="1:18" ht="33">
      <c r="A40" s="2386" t="s">
        <v>2789</v>
      </c>
      <c r="B40" s="1573" t="s">
        <v>2790</v>
      </c>
      <c r="C40" s="1566">
        <f t="shared" ref="C40:F40" si="12">C41</f>
        <v>8</v>
      </c>
      <c r="D40" s="1566">
        <f t="shared" si="12"/>
        <v>0</v>
      </c>
      <c r="E40" s="1566">
        <f t="shared" si="12"/>
        <v>0</v>
      </c>
      <c r="F40" s="1566">
        <f t="shared" si="12"/>
        <v>0</v>
      </c>
      <c r="G40" s="1570" t="s">
        <v>2739</v>
      </c>
      <c r="H40" s="1570"/>
      <c r="I40" s="2393"/>
      <c r="J40" s="2388"/>
      <c r="K40" s="2388"/>
      <c r="L40" s="2388"/>
      <c r="M40" s="2388"/>
      <c r="N40" s="2387"/>
      <c r="O40" s="2387"/>
      <c r="P40" s="2387"/>
      <c r="Q40" s="2389"/>
      <c r="R40" s="2546"/>
    </row>
    <row r="41" spans="1:18" ht="16.5">
      <c r="A41" s="1566"/>
      <c r="B41" s="1584"/>
      <c r="C41" s="1575">
        <v>8</v>
      </c>
      <c r="D41" s="1575">
        <v>0</v>
      </c>
      <c r="E41" s="1576">
        <v>0</v>
      </c>
      <c r="F41" s="1576"/>
      <c r="G41" s="1570" t="s">
        <v>2739</v>
      </c>
      <c r="H41" s="1575">
        <v>0</v>
      </c>
      <c r="I41" s="1580"/>
      <c r="J41" s="2673"/>
      <c r="K41" s="1585"/>
      <c r="L41" s="2399"/>
      <c r="M41" s="1586"/>
      <c r="N41" s="1587"/>
      <c r="O41" s="1587"/>
      <c r="P41" s="1587"/>
      <c r="Q41" s="1572"/>
      <c r="R41" s="2545"/>
    </row>
    <row r="42" spans="1:18" ht="16.5">
      <c r="A42" s="1571"/>
      <c r="B42" s="1588" t="s">
        <v>1847</v>
      </c>
      <c r="C42" s="1589">
        <f t="shared" ref="C42:F42" si="13">C9+C11+C14+C16+C18+C20+C22+C24+C27+C29+C32+C35+C38+C40</f>
        <v>173</v>
      </c>
      <c r="D42" s="1589">
        <f t="shared" si="13"/>
        <v>29</v>
      </c>
      <c r="E42" s="1589">
        <f t="shared" si="13"/>
        <v>97</v>
      </c>
      <c r="F42" s="1589">
        <f t="shared" si="13"/>
        <v>43</v>
      </c>
      <c r="G42" s="1570" t="s">
        <v>2739</v>
      </c>
      <c r="H42" s="1596">
        <f>H9+H11+H14+H16+H18+H20+H22+H24+H27+H29+H32+H35+H38+H40</f>
        <v>24</v>
      </c>
      <c r="I42" s="1580"/>
      <c r="J42" s="2673"/>
      <c r="K42" s="2999"/>
      <c r="L42" s="2782"/>
      <c r="M42" s="2783"/>
      <c r="N42" s="1572"/>
      <c r="O42" s="1572"/>
      <c r="P42" s="1572"/>
      <c r="Q42" s="1572"/>
      <c r="R42" s="2545"/>
    </row>
    <row r="43" spans="1:18" ht="66">
      <c r="A43" s="1590">
        <v>2</v>
      </c>
      <c r="B43" s="1591" t="s">
        <v>2791</v>
      </c>
      <c r="C43" s="2400"/>
      <c r="D43" s="2400"/>
      <c r="E43" s="2401"/>
      <c r="F43" s="2401"/>
      <c r="G43" s="1570" t="s">
        <v>2739</v>
      </c>
      <c r="H43" s="2400"/>
      <c r="I43" s="2401"/>
      <c r="J43" s="2400"/>
      <c r="K43" s="2400"/>
      <c r="L43" s="2400"/>
      <c r="M43" s="2400"/>
      <c r="N43" s="2400"/>
      <c r="O43" s="2400"/>
      <c r="P43" s="2400"/>
      <c r="Q43" s="1592"/>
      <c r="R43" s="2545"/>
    </row>
    <row r="44" spans="1:18" ht="16.5">
      <c r="A44" s="2980" t="s">
        <v>27</v>
      </c>
      <c r="B44" s="2981" t="s">
        <v>1531</v>
      </c>
      <c r="C44" s="2982"/>
      <c r="D44" s="2983"/>
      <c r="E44" s="2985" t="s">
        <v>2792</v>
      </c>
      <c r="F44" s="2783"/>
      <c r="G44" s="1570" t="s">
        <v>2739</v>
      </c>
      <c r="H44" s="2980" t="s">
        <v>2793</v>
      </c>
      <c r="I44" s="2980" t="s">
        <v>2794</v>
      </c>
      <c r="J44" s="2980" t="s">
        <v>1532</v>
      </c>
      <c r="K44" s="2980" t="s">
        <v>2795</v>
      </c>
      <c r="L44" s="2980" t="s">
        <v>2735</v>
      </c>
      <c r="M44" s="2980" t="s">
        <v>2796</v>
      </c>
      <c r="N44" s="1568"/>
      <c r="O44" s="1568"/>
      <c r="P44" s="1568"/>
      <c r="Q44" s="2980"/>
      <c r="R44" s="2546"/>
    </row>
    <row r="45" spans="1:18" ht="16.5">
      <c r="A45" s="2779"/>
      <c r="B45" s="2968"/>
      <c r="C45" s="2737"/>
      <c r="D45" s="2984"/>
      <c r="E45" s="1568" t="s">
        <v>2797</v>
      </c>
      <c r="F45" s="1568" t="s">
        <v>2798</v>
      </c>
      <c r="G45" s="1570" t="s">
        <v>2739</v>
      </c>
      <c r="H45" s="2986"/>
      <c r="I45" s="2779"/>
      <c r="J45" s="2986"/>
      <c r="K45" s="2779"/>
      <c r="L45" s="2779"/>
      <c r="M45" s="2779"/>
      <c r="N45" s="1568"/>
      <c r="O45" s="1568"/>
      <c r="P45" s="1568"/>
      <c r="Q45" s="2779"/>
      <c r="R45" s="2545"/>
    </row>
    <row r="46" spans="1:18" ht="16.5">
      <c r="A46" s="1566" t="s">
        <v>258</v>
      </c>
      <c r="B46" s="2402" t="s">
        <v>542</v>
      </c>
      <c r="C46" s="2403"/>
      <c r="D46" s="2403"/>
      <c r="E46" s="2404"/>
      <c r="F46" s="2404"/>
      <c r="G46" s="1570" t="s">
        <v>2739</v>
      </c>
      <c r="H46" s="2403"/>
      <c r="I46" s="2404"/>
      <c r="J46" s="2403"/>
      <c r="K46" s="2403"/>
      <c r="L46" s="2403"/>
      <c r="M46" s="2403"/>
      <c r="N46" s="2403"/>
      <c r="O46" s="2403"/>
      <c r="P46" s="2403"/>
      <c r="Q46" s="2405"/>
      <c r="R46" s="2545"/>
    </row>
    <row r="47" spans="1:18" ht="66">
      <c r="A47" s="1571">
        <v>1</v>
      </c>
      <c r="B47" s="2987" t="s">
        <v>2799</v>
      </c>
      <c r="C47" s="2782"/>
      <c r="D47" s="2783"/>
      <c r="E47" s="1593">
        <v>20730</v>
      </c>
      <c r="F47" s="1572"/>
      <c r="G47" s="1570" t="s">
        <v>2739</v>
      </c>
      <c r="H47" s="1580" t="s">
        <v>244</v>
      </c>
      <c r="I47" s="1580" t="s">
        <v>2800</v>
      </c>
      <c r="J47" s="1580" t="s">
        <v>2801</v>
      </c>
      <c r="K47" s="1594" t="s">
        <v>2802</v>
      </c>
      <c r="L47" s="1594" t="s">
        <v>38</v>
      </c>
      <c r="M47" s="1594" t="s">
        <v>2803</v>
      </c>
      <c r="N47" s="1570"/>
      <c r="O47" s="1570"/>
      <c r="P47" s="1570"/>
      <c r="Q47" s="1570"/>
      <c r="R47" s="2545"/>
    </row>
    <row r="48" spans="1:18" ht="33">
      <c r="A48" s="1571">
        <v>2</v>
      </c>
      <c r="B48" s="2987" t="s">
        <v>2804</v>
      </c>
      <c r="C48" s="2782"/>
      <c r="D48" s="2783"/>
      <c r="E48" s="1595">
        <v>20839</v>
      </c>
      <c r="F48" s="1596"/>
      <c r="G48" s="1570" t="s">
        <v>2739</v>
      </c>
      <c r="H48" s="1580" t="s">
        <v>244</v>
      </c>
      <c r="I48" s="1580" t="s">
        <v>2805</v>
      </c>
      <c r="J48" s="1580" t="s">
        <v>2806</v>
      </c>
      <c r="K48" s="1594" t="s">
        <v>2802</v>
      </c>
      <c r="L48" s="1594" t="s">
        <v>38</v>
      </c>
      <c r="M48" s="1594" t="s">
        <v>2807</v>
      </c>
      <c r="N48" s="1571"/>
      <c r="O48" s="1571"/>
      <c r="P48" s="1571"/>
      <c r="Q48" s="1571"/>
      <c r="R48" s="2546"/>
    </row>
    <row r="49" spans="1:18" ht="49.5">
      <c r="A49" s="1571">
        <v>3</v>
      </c>
      <c r="B49" s="1597" t="s">
        <v>2808</v>
      </c>
      <c r="C49" s="2987"/>
      <c r="D49" s="2783"/>
      <c r="E49" s="1593">
        <v>21262</v>
      </c>
      <c r="F49" s="1572"/>
      <c r="G49" s="1570" t="s">
        <v>2739</v>
      </c>
      <c r="H49" s="1580" t="s">
        <v>244</v>
      </c>
      <c r="I49" s="1580" t="s">
        <v>2809</v>
      </c>
      <c r="J49" s="1580" t="s">
        <v>2801</v>
      </c>
      <c r="K49" s="1594" t="s">
        <v>2802</v>
      </c>
      <c r="L49" s="1594" t="s">
        <v>38</v>
      </c>
      <c r="M49" s="1594" t="s">
        <v>2807</v>
      </c>
      <c r="N49" s="1570"/>
      <c r="O49" s="1570"/>
      <c r="P49" s="1570"/>
      <c r="Q49" s="1570"/>
      <c r="R49" s="2545"/>
    </row>
    <row r="50" spans="1:18" ht="33">
      <c r="A50" s="1571">
        <v>4</v>
      </c>
      <c r="B50" s="2987" t="s">
        <v>2810</v>
      </c>
      <c r="C50" s="2782"/>
      <c r="D50" s="2783"/>
      <c r="E50" s="1593">
        <v>21791</v>
      </c>
      <c r="F50" s="1572"/>
      <c r="G50" s="1570" t="s">
        <v>2739</v>
      </c>
      <c r="H50" s="1580" t="s">
        <v>244</v>
      </c>
      <c r="I50" s="1580" t="s">
        <v>2811</v>
      </c>
      <c r="J50" s="2673"/>
      <c r="K50" s="1594" t="s">
        <v>2812</v>
      </c>
      <c r="L50" s="1594" t="s">
        <v>38</v>
      </c>
      <c r="M50" s="1594" t="s">
        <v>2813</v>
      </c>
      <c r="N50" s="1570"/>
      <c r="O50" s="1570"/>
      <c r="P50" s="1570"/>
      <c r="Q50" s="1570"/>
      <c r="R50" s="2545"/>
    </row>
    <row r="51" spans="1:18" ht="16.5">
      <c r="A51" s="1566" t="s">
        <v>284</v>
      </c>
      <c r="B51" s="1598" t="s">
        <v>545</v>
      </c>
      <c r="C51" s="2406"/>
      <c r="D51" s="2406"/>
      <c r="E51" s="2407"/>
      <c r="F51" s="2407"/>
      <c r="G51" s="1570" t="s">
        <v>2739</v>
      </c>
      <c r="H51" s="2406"/>
      <c r="I51" s="2407"/>
      <c r="J51" s="2406"/>
      <c r="K51" s="2406"/>
      <c r="L51" s="2406"/>
      <c r="M51" s="2406"/>
      <c r="N51" s="2406"/>
      <c r="O51" s="2406"/>
      <c r="P51" s="2406"/>
      <c r="Q51" s="1599"/>
      <c r="R51" s="2545"/>
    </row>
    <row r="52" spans="1:18" ht="33">
      <c r="A52" s="1570">
        <v>1</v>
      </c>
      <c r="B52" s="2996" t="s">
        <v>2814</v>
      </c>
      <c r="C52" s="2782"/>
      <c r="D52" s="2783"/>
      <c r="E52" s="1570" t="s">
        <v>2797</v>
      </c>
      <c r="F52" s="1570"/>
      <c r="G52" s="1570" t="s">
        <v>2739</v>
      </c>
      <c r="H52" s="1570" t="s">
        <v>1733</v>
      </c>
      <c r="I52" s="1570" t="s">
        <v>1743</v>
      </c>
      <c r="J52" s="1580" t="s">
        <v>2801</v>
      </c>
      <c r="K52" s="1594" t="s">
        <v>2802</v>
      </c>
      <c r="L52" s="1594" t="s">
        <v>2815</v>
      </c>
      <c r="M52" s="1594" t="s">
        <v>2816</v>
      </c>
      <c r="N52" s="1570"/>
      <c r="O52" s="1570"/>
      <c r="P52" s="1570"/>
      <c r="Q52" s="1571"/>
      <c r="R52" s="2546"/>
    </row>
    <row r="53" spans="1:18" ht="16.5">
      <c r="A53" s="1566" t="s">
        <v>411</v>
      </c>
      <c r="B53" s="1598" t="s">
        <v>547</v>
      </c>
      <c r="C53" s="2406"/>
      <c r="D53" s="2406"/>
      <c r="E53" s="2407"/>
      <c r="F53" s="2407"/>
      <c r="G53" s="1570" t="s">
        <v>2739</v>
      </c>
      <c r="H53" s="2406"/>
      <c r="I53" s="2407"/>
      <c r="J53" s="2406"/>
      <c r="K53" s="2409"/>
      <c r="L53" s="2409"/>
      <c r="M53" s="2406"/>
      <c r="N53" s="2406"/>
      <c r="O53" s="2406"/>
      <c r="P53" s="2406"/>
      <c r="Q53" s="1599"/>
      <c r="R53" s="2545"/>
    </row>
    <row r="54" spans="1:18" ht="33">
      <c r="A54" s="1571">
        <v>1</v>
      </c>
      <c r="B54" s="2987" t="s">
        <v>2817</v>
      </c>
      <c r="C54" s="2782"/>
      <c r="D54" s="2783"/>
      <c r="E54" s="1572" t="s">
        <v>2797</v>
      </c>
      <c r="F54" s="1572"/>
      <c r="G54" s="1570" t="s">
        <v>2739</v>
      </c>
      <c r="H54" s="1580" t="s">
        <v>2818</v>
      </c>
      <c r="I54" s="1580" t="s">
        <v>2819</v>
      </c>
      <c r="J54" s="1580" t="s">
        <v>2820</v>
      </c>
      <c r="K54" s="1570" t="s">
        <v>2802</v>
      </c>
      <c r="L54" s="1570" t="s">
        <v>2821</v>
      </c>
      <c r="M54" s="2410" t="s">
        <v>2822</v>
      </c>
      <c r="N54" s="2411"/>
      <c r="O54" s="2411"/>
      <c r="P54" s="2411"/>
      <c r="Q54" s="1570"/>
      <c r="R54" s="2545"/>
    </row>
    <row r="55" spans="1:18" ht="16.5">
      <c r="A55" s="1566" t="s">
        <v>1898</v>
      </c>
      <c r="B55" s="2402" t="s">
        <v>548</v>
      </c>
      <c r="C55" s="2403"/>
      <c r="D55" s="2403"/>
      <c r="E55" s="2404"/>
      <c r="F55" s="2404"/>
      <c r="G55" s="1570" t="s">
        <v>2739</v>
      </c>
      <c r="H55" s="2404"/>
      <c r="I55" s="2404"/>
      <c r="J55" s="2404"/>
      <c r="K55" s="2404"/>
      <c r="L55" s="2404"/>
      <c r="M55" s="2404"/>
      <c r="N55" s="2403"/>
      <c r="O55" s="2403"/>
      <c r="P55" s="2403"/>
      <c r="Q55" s="2405"/>
      <c r="R55" s="2545"/>
    </row>
    <row r="56" spans="1:18" ht="16.5">
      <c r="A56" s="1571">
        <v>1</v>
      </c>
      <c r="B56" s="2987" t="s">
        <v>2823</v>
      </c>
      <c r="C56" s="2782"/>
      <c r="D56" s="2783"/>
      <c r="E56" s="1572"/>
      <c r="F56" s="1572" t="s">
        <v>2798</v>
      </c>
      <c r="G56" s="1570" t="s">
        <v>2739</v>
      </c>
      <c r="H56" s="1580" t="s">
        <v>1766</v>
      </c>
      <c r="I56" s="1580" t="s">
        <v>2824</v>
      </c>
      <c r="J56" s="1580" t="s">
        <v>2820</v>
      </c>
      <c r="K56" s="1570" t="s">
        <v>2825</v>
      </c>
      <c r="L56" s="1570" t="s">
        <v>2826</v>
      </c>
      <c r="M56" s="1570">
        <v>2024</v>
      </c>
      <c r="N56" s="1570"/>
      <c r="O56" s="1570"/>
      <c r="P56" s="1570"/>
      <c r="Q56" s="1570"/>
      <c r="R56" s="2546"/>
    </row>
    <row r="57" spans="1:18" ht="16.5">
      <c r="A57" s="1566" t="s">
        <v>1922</v>
      </c>
      <c r="B57" s="1588" t="s">
        <v>549</v>
      </c>
      <c r="C57" s="1588"/>
      <c r="D57" s="1588"/>
      <c r="E57" s="1596"/>
      <c r="F57" s="1596"/>
      <c r="G57" s="1570" t="s">
        <v>2739</v>
      </c>
      <c r="H57" s="1596"/>
      <c r="I57" s="1596"/>
      <c r="J57" s="1596"/>
      <c r="K57" s="1596"/>
      <c r="L57" s="1596"/>
      <c r="M57" s="1596"/>
      <c r="N57" s="1588"/>
      <c r="O57" s="1588"/>
      <c r="P57" s="1588"/>
      <c r="Q57" s="1588"/>
      <c r="R57" s="2545"/>
    </row>
    <row r="58" spans="1:18" ht="33">
      <c r="A58" s="1571">
        <v>1</v>
      </c>
      <c r="B58" s="1597" t="s">
        <v>2827</v>
      </c>
      <c r="C58" s="1588"/>
      <c r="D58" s="1588"/>
      <c r="E58" s="1580" t="s">
        <v>2797</v>
      </c>
      <c r="F58" s="1596"/>
      <c r="G58" s="1570" t="s">
        <v>2739</v>
      </c>
      <c r="H58" s="1580" t="s">
        <v>2828</v>
      </c>
      <c r="I58" s="1580" t="s">
        <v>2829</v>
      </c>
      <c r="J58" s="1580" t="s">
        <v>2830</v>
      </c>
      <c r="K58" s="1580" t="s">
        <v>2802</v>
      </c>
      <c r="L58" s="1580" t="s">
        <v>2826</v>
      </c>
      <c r="M58" s="1580" t="s">
        <v>2831</v>
      </c>
      <c r="N58" s="1588"/>
      <c r="O58" s="1588"/>
      <c r="P58" s="1588"/>
      <c r="Q58" s="1588"/>
      <c r="R58" s="2545"/>
    </row>
    <row r="59" spans="1:18" ht="33">
      <c r="A59" s="1571">
        <v>2</v>
      </c>
      <c r="B59" s="1597" t="s">
        <v>2832</v>
      </c>
      <c r="C59" s="1588"/>
      <c r="D59" s="1588"/>
      <c r="E59" s="1580" t="s">
        <v>2797</v>
      </c>
      <c r="F59" s="1596"/>
      <c r="G59" s="1570" t="s">
        <v>2739</v>
      </c>
      <c r="H59" s="1580" t="s">
        <v>2833</v>
      </c>
      <c r="I59" s="1580" t="s">
        <v>2834</v>
      </c>
      <c r="J59" s="1580" t="s">
        <v>2830</v>
      </c>
      <c r="K59" s="1580" t="s">
        <v>2802</v>
      </c>
      <c r="L59" s="1580" t="s">
        <v>2826</v>
      </c>
      <c r="M59" s="1580" t="s">
        <v>2835</v>
      </c>
      <c r="N59" s="1588"/>
      <c r="O59" s="1588"/>
      <c r="P59" s="1588"/>
      <c r="Q59" s="1588"/>
      <c r="R59" s="2545"/>
    </row>
    <row r="60" spans="1:18" ht="16.5">
      <c r="A60" s="1566" t="s">
        <v>2248</v>
      </c>
      <c r="B60" s="1598" t="s">
        <v>2777</v>
      </c>
      <c r="C60" s="2406"/>
      <c r="D60" s="2406"/>
      <c r="E60" s="2399"/>
      <c r="F60" s="2407"/>
      <c r="G60" s="1570" t="s">
        <v>2739</v>
      </c>
      <c r="H60" s="2406"/>
      <c r="I60" s="2407"/>
      <c r="J60" s="2406"/>
      <c r="K60" s="2406"/>
      <c r="L60" s="2406"/>
      <c r="M60" s="2406"/>
      <c r="N60" s="2406"/>
      <c r="O60" s="2406"/>
      <c r="P60" s="2406"/>
      <c r="Q60" s="1599"/>
      <c r="R60" s="2546"/>
    </row>
    <row r="61" spans="1:18" ht="16.5">
      <c r="A61" s="1571">
        <v>1</v>
      </c>
      <c r="B61" s="2987" t="s">
        <v>2836</v>
      </c>
      <c r="C61" s="2782"/>
      <c r="D61" s="2783"/>
      <c r="E61" s="1580" t="s">
        <v>2798</v>
      </c>
      <c r="F61" s="1596"/>
      <c r="G61" s="1570" t="s">
        <v>2739</v>
      </c>
      <c r="H61" s="1596"/>
      <c r="I61" s="1596"/>
      <c r="J61" s="1596"/>
      <c r="K61" s="1600"/>
      <c r="L61" s="1600"/>
      <c r="M61" s="1601"/>
      <c r="N61" s="1571"/>
      <c r="O61" s="1571"/>
      <c r="P61" s="1571"/>
      <c r="Q61" s="1571"/>
      <c r="R61" s="2545"/>
    </row>
    <row r="62" spans="1:18" ht="33" customHeight="1">
      <c r="A62" s="1602">
        <v>3</v>
      </c>
      <c r="B62" s="1591" t="s">
        <v>2837</v>
      </c>
      <c r="C62" s="2400"/>
      <c r="D62" s="2400"/>
      <c r="E62" s="2400"/>
      <c r="F62" s="2400"/>
      <c r="G62" s="1570" t="s">
        <v>2739</v>
      </c>
      <c r="H62" s="2400"/>
      <c r="I62" s="2400"/>
      <c r="J62" s="2400"/>
      <c r="K62" s="2400"/>
      <c r="L62" s="2400"/>
      <c r="M62" s="2400"/>
      <c r="N62" s="2400"/>
      <c r="O62" s="2400"/>
      <c r="P62" s="2400"/>
      <c r="Q62" s="1592"/>
      <c r="R62" s="2545"/>
    </row>
    <row r="63" spans="1:18" ht="16.5">
      <c r="A63" s="2980" t="s">
        <v>27</v>
      </c>
      <c r="B63" s="2981" t="s">
        <v>1531</v>
      </c>
      <c r="C63" s="2982"/>
      <c r="D63" s="2983"/>
      <c r="E63" s="2985" t="s">
        <v>2792</v>
      </c>
      <c r="F63" s="2783"/>
      <c r="G63" s="1570" t="s">
        <v>2739</v>
      </c>
      <c r="H63" s="2980" t="s">
        <v>2793</v>
      </c>
      <c r="I63" s="2980" t="s">
        <v>2794</v>
      </c>
      <c r="J63" s="2980" t="s">
        <v>1532</v>
      </c>
      <c r="K63" s="2980" t="s">
        <v>2795</v>
      </c>
      <c r="L63" s="2980" t="s">
        <v>2735</v>
      </c>
      <c r="M63" s="2980" t="s">
        <v>2838</v>
      </c>
      <c r="N63" s="2980"/>
      <c r="O63" s="2980"/>
      <c r="P63" s="2980" t="s">
        <v>32</v>
      </c>
      <c r="Q63" s="2980"/>
      <c r="R63" s="2545"/>
    </row>
    <row r="64" spans="1:18" ht="16.5">
      <c r="A64" s="2779"/>
      <c r="B64" s="2968"/>
      <c r="C64" s="2737"/>
      <c r="D64" s="2984"/>
      <c r="E64" s="1568" t="s">
        <v>2797</v>
      </c>
      <c r="F64" s="1568" t="s">
        <v>2798</v>
      </c>
      <c r="G64" s="1570" t="s">
        <v>2739</v>
      </c>
      <c r="H64" s="2986"/>
      <c r="I64" s="2779"/>
      <c r="J64" s="2986"/>
      <c r="K64" s="2779"/>
      <c r="L64" s="2779"/>
      <c r="M64" s="2779"/>
      <c r="N64" s="2779"/>
      <c r="O64" s="2779"/>
      <c r="P64" s="2779"/>
      <c r="Q64" s="2779"/>
      <c r="R64" s="2546"/>
    </row>
    <row r="65" spans="1:18" ht="16.5">
      <c r="A65" s="1566" t="s">
        <v>258</v>
      </c>
      <c r="B65" s="2402" t="s">
        <v>542</v>
      </c>
      <c r="C65" s="2403"/>
      <c r="D65" s="2403"/>
      <c r="E65" s="2404"/>
      <c r="F65" s="2404"/>
      <c r="G65" s="1570" t="s">
        <v>2739</v>
      </c>
      <c r="H65" s="2403"/>
      <c r="I65" s="2404"/>
      <c r="J65" s="2403"/>
      <c r="K65" s="2403"/>
      <c r="L65" s="2403"/>
      <c r="M65" s="2403"/>
      <c r="N65" s="2403"/>
      <c r="O65" s="2403"/>
      <c r="P65" s="2403"/>
      <c r="Q65" s="2405"/>
      <c r="R65" s="2545"/>
    </row>
    <row r="66" spans="1:18" ht="165">
      <c r="A66" s="1571">
        <v>1</v>
      </c>
      <c r="B66" s="2987" t="s">
        <v>2839</v>
      </c>
      <c r="C66" s="2782"/>
      <c r="D66" s="2783"/>
      <c r="E66" s="1572"/>
      <c r="F66" s="1593">
        <v>32465</v>
      </c>
      <c r="G66" s="1570" t="s">
        <v>2739</v>
      </c>
      <c r="H66" s="2673" t="s">
        <v>542</v>
      </c>
      <c r="I66" s="1580" t="s">
        <v>2811</v>
      </c>
      <c r="J66" s="2673"/>
      <c r="K66" s="1600"/>
      <c r="L66" s="1570" t="s">
        <v>38</v>
      </c>
      <c r="M66" s="1570" t="s">
        <v>2840</v>
      </c>
      <c r="N66" s="1570"/>
      <c r="O66" s="1570"/>
      <c r="P66" s="1570" t="s">
        <v>2841</v>
      </c>
      <c r="Q66" s="1570"/>
      <c r="R66" s="2545"/>
    </row>
    <row r="67" spans="1:18" ht="16.5">
      <c r="A67" s="1566" t="s">
        <v>2768</v>
      </c>
      <c r="B67" s="1598" t="s">
        <v>2769</v>
      </c>
      <c r="C67" s="2406"/>
      <c r="D67" s="2406"/>
      <c r="E67" s="2407"/>
      <c r="F67" s="2407"/>
      <c r="G67" s="1570" t="s">
        <v>2739</v>
      </c>
      <c r="H67" s="2406"/>
      <c r="I67" s="2407"/>
      <c r="J67" s="2406"/>
      <c r="K67" s="2406"/>
      <c r="L67" s="2406"/>
      <c r="M67" s="2406"/>
      <c r="N67" s="2412"/>
      <c r="O67" s="2406"/>
      <c r="P67" s="2406"/>
      <c r="Q67" s="1599"/>
      <c r="R67" s="2545"/>
    </row>
    <row r="68" spans="1:18" ht="66">
      <c r="A68" s="1571">
        <v>1</v>
      </c>
      <c r="B68" s="2987" t="s">
        <v>2842</v>
      </c>
      <c r="C68" s="2782"/>
      <c r="D68" s="2783"/>
      <c r="E68" s="1572"/>
      <c r="F68" s="1593">
        <v>31020</v>
      </c>
      <c r="G68" s="1570" t="s">
        <v>2739</v>
      </c>
      <c r="H68" s="2673" t="s">
        <v>253</v>
      </c>
      <c r="I68" s="1580" t="s">
        <v>2843</v>
      </c>
      <c r="J68" s="2673"/>
      <c r="K68" s="1600"/>
      <c r="L68" s="1570" t="s">
        <v>2826</v>
      </c>
      <c r="M68" s="2408" t="s">
        <v>2844</v>
      </c>
      <c r="N68" s="1272"/>
      <c r="O68" s="2413"/>
      <c r="P68" s="1570" t="s">
        <v>2845</v>
      </c>
      <c r="Q68" s="1570"/>
      <c r="R68" s="2546" t="s">
        <v>2846</v>
      </c>
    </row>
    <row r="69" spans="1:18" ht="16.5">
      <c r="A69" s="1566" t="s">
        <v>2248</v>
      </c>
      <c r="B69" s="1598" t="s">
        <v>2777</v>
      </c>
      <c r="C69" s="2406"/>
      <c r="D69" s="2406"/>
      <c r="E69" s="2407"/>
      <c r="F69" s="2407"/>
      <c r="G69" s="1570" t="s">
        <v>2739</v>
      </c>
      <c r="H69" s="2406"/>
      <c r="I69" s="2407"/>
      <c r="J69" s="2406"/>
      <c r="K69" s="2406"/>
      <c r="L69" s="2399"/>
      <c r="M69" s="2406"/>
      <c r="N69" s="1272"/>
      <c r="O69" s="2406"/>
      <c r="P69" s="2406"/>
      <c r="Q69" s="1599"/>
      <c r="R69" s="2546"/>
    </row>
    <row r="70" spans="1:18" ht="33">
      <c r="A70" s="1571">
        <v>1</v>
      </c>
      <c r="B70" s="2987" t="s">
        <v>2847</v>
      </c>
      <c r="C70" s="2782"/>
      <c r="D70" s="2783"/>
      <c r="E70" s="1572"/>
      <c r="F70" s="1572"/>
      <c r="G70" s="1570" t="s">
        <v>2739</v>
      </c>
      <c r="H70" s="2673" t="s">
        <v>2848</v>
      </c>
      <c r="I70" s="1580" t="s">
        <v>506</v>
      </c>
      <c r="J70" s="2673"/>
      <c r="K70" s="1600"/>
      <c r="L70" s="1570" t="s">
        <v>2826</v>
      </c>
      <c r="M70" s="2408" t="s">
        <v>2849</v>
      </c>
      <c r="N70" s="1272"/>
      <c r="O70" s="2413"/>
      <c r="P70" s="1570" t="s">
        <v>2845</v>
      </c>
      <c r="Q70" s="1570"/>
      <c r="R70" s="2545"/>
    </row>
    <row r="71" spans="1:18" ht="49.5">
      <c r="A71" s="1603">
        <v>4</v>
      </c>
      <c r="B71" s="1603" t="s">
        <v>2850</v>
      </c>
      <c r="C71" s="2988" t="s">
        <v>2851</v>
      </c>
      <c r="D71" s="2782"/>
      <c r="E71" s="2414"/>
      <c r="F71" s="2414"/>
      <c r="G71" s="1570" t="s">
        <v>2739</v>
      </c>
      <c r="H71" s="2415"/>
      <c r="I71" s="2414"/>
      <c r="J71" s="2415"/>
      <c r="K71" s="2415"/>
      <c r="L71" s="2415"/>
      <c r="M71" s="2415"/>
      <c r="N71" s="1604"/>
      <c r="O71" s="2415"/>
      <c r="P71" s="1605"/>
      <c r="Q71" s="1603"/>
      <c r="R71" s="2545"/>
    </row>
    <row r="72" spans="1:18" ht="49.5">
      <c r="A72" s="2980" t="s">
        <v>27</v>
      </c>
      <c r="B72" s="2980" t="s">
        <v>1531</v>
      </c>
      <c r="C72" s="2402" t="s">
        <v>2727</v>
      </c>
      <c r="D72" s="2403"/>
      <c r="E72" s="2404"/>
      <c r="F72" s="2404"/>
      <c r="G72" s="1570" t="s">
        <v>2739</v>
      </c>
      <c r="H72" s="2405"/>
      <c r="I72" s="2985" t="s">
        <v>2852</v>
      </c>
      <c r="J72" s="2782"/>
      <c r="K72" s="2782"/>
      <c r="L72" s="2782"/>
      <c r="M72" s="2782"/>
      <c r="N72" s="2782"/>
      <c r="O72" s="2782"/>
      <c r="P72" s="2782"/>
      <c r="Q72" s="2783"/>
      <c r="R72" s="2545"/>
    </row>
    <row r="73" spans="1:18" ht="181.5">
      <c r="A73" s="2834"/>
      <c r="B73" s="2834"/>
      <c r="C73" s="2989" t="s">
        <v>1859</v>
      </c>
      <c r="D73" s="2989" t="s">
        <v>2853</v>
      </c>
      <c r="E73" s="2997" t="s">
        <v>2854</v>
      </c>
      <c r="F73" s="2416" t="s">
        <v>2855</v>
      </c>
      <c r="G73" s="1570" t="s">
        <v>2739</v>
      </c>
      <c r="H73" s="2417"/>
      <c r="I73" s="2980" t="s">
        <v>2856</v>
      </c>
      <c r="J73" s="2980" t="s">
        <v>2857</v>
      </c>
      <c r="K73" s="2985" t="s">
        <v>2858</v>
      </c>
      <c r="L73" s="2783"/>
      <c r="M73" s="2980" t="s">
        <v>2859</v>
      </c>
      <c r="N73" s="2985" t="s">
        <v>2860</v>
      </c>
      <c r="O73" s="2783"/>
      <c r="P73" s="2980" t="s">
        <v>2861</v>
      </c>
      <c r="Q73" s="2998" t="s">
        <v>32</v>
      </c>
      <c r="R73" s="2546"/>
    </row>
    <row r="74" spans="1:18" ht="49.5">
      <c r="A74" s="2779"/>
      <c r="B74" s="2779"/>
      <c r="C74" s="2779"/>
      <c r="D74" s="2779"/>
      <c r="E74" s="2779"/>
      <c r="F74" s="1596" t="s">
        <v>38</v>
      </c>
      <c r="G74" s="1570" t="s">
        <v>2739</v>
      </c>
      <c r="H74" s="1568" t="s">
        <v>2862</v>
      </c>
      <c r="I74" s="2779"/>
      <c r="J74" s="2986"/>
      <c r="K74" s="1568" t="s">
        <v>2863</v>
      </c>
      <c r="L74" s="1568" t="s">
        <v>2864</v>
      </c>
      <c r="M74" s="2779"/>
      <c r="N74" s="1568" t="s">
        <v>2865</v>
      </c>
      <c r="O74" s="1568" t="s">
        <v>2866</v>
      </c>
      <c r="P74" s="2779"/>
      <c r="Q74" s="2779"/>
      <c r="R74" s="2546"/>
    </row>
    <row r="75" spans="1:18" ht="16.5">
      <c r="A75" s="1570">
        <v>1</v>
      </c>
      <c r="B75" s="1594" t="s">
        <v>2867</v>
      </c>
      <c r="C75" s="1600"/>
      <c r="D75" s="1570" t="s">
        <v>2756</v>
      </c>
      <c r="E75" s="1580" t="s">
        <v>2868</v>
      </c>
      <c r="F75" s="1580"/>
      <c r="G75" s="1570" t="s">
        <v>2739</v>
      </c>
      <c r="H75" s="1570" t="s">
        <v>936</v>
      </c>
      <c r="I75" s="1570" t="s">
        <v>2826</v>
      </c>
      <c r="J75" s="1570" t="s">
        <v>2869</v>
      </c>
      <c r="K75" s="1570" t="s">
        <v>2870</v>
      </c>
      <c r="L75" s="1570"/>
      <c r="M75" s="1570" t="s">
        <v>2871</v>
      </c>
      <c r="N75" s="1570"/>
      <c r="O75" s="1570" t="s">
        <v>936</v>
      </c>
      <c r="P75" s="1606">
        <v>50000</v>
      </c>
      <c r="Q75" s="1570" t="s">
        <v>546</v>
      </c>
      <c r="R75" s="2545"/>
    </row>
    <row r="76" spans="1:18" ht="33">
      <c r="A76" s="1570">
        <v>2</v>
      </c>
      <c r="B76" s="1594" t="s">
        <v>2458</v>
      </c>
      <c r="C76" s="1600"/>
      <c r="D76" s="1570" t="s">
        <v>2756</v>
      </c>
      <c r="E76" s="1580" t="s">
        <v>2868</v>
      </c>
      <c r="F76" s="1580"/>
      <c r="G76" s="1570" t="s">
        <v>2739</v>
      </c>
      <c r="H76" s="1570" t="s">
        <v>936</v>
      </c>
      <c r="I76" s="1570" t="s">
        <v>2826</v>
      </c>
      <c r="J76" s="1570" t="s">
        <v>2872</v>
      </c>
      <c r="K76" s="1570"/>
      <c r="L76" s="1570" t="s">
        <v>2873</v>
      </c>
      <c r="M76" s="1570" t="s">
        <v>2871</v>
      </c>
      <c r="N76" s="1570"/>
      <c r="O76" s="1570" t="s">
        <v>936</v>
      </c>
      <c r="P76" s="1606">
        <v>50000</v>
      </c>
      <c r="Q76" s="1570" t="s">
        <v>546</v>
      </c>
      <c r="R76" s="2545"/>
    </row>
    <row r="77" spans="1:18" ht="33">
      <c r="A77" s="1570">
        <v>3</v>
      </c>
      <c r="B77" s="1594" t="s">
        <v>2874</v>
      </c>
      <c r="C77" s="1600"/>
      <c r="D77" s="1570" t="s">
        <v>2756</v>
      </c>
      <c r="E77" s="1580" t="s">
        <v>2868</v>
      </c>
      <c r="F77" s="1580"/>
      <c r="G77" s="1570" t="s">
        <v>2739</v>
      </c>
      <c r="H77" s="1570" t="s">
        <v>936</v>
      </c>
      <c r="I77" s="1570" t="s">
        <v>2826</v>
      </c>
      <c r="J77" s="1570" t="s">
        <v>2875</v>
      </c>
      <c r="K77" s="1570" t="s">
        <v>2876</v>
      </c>
      <c r="L77" s="1570"/>
      <c r="M77" s="1570" t="s">
        <v>2877</v>
      </c>
      <c r="N77" s="1570"/>
      <c r="O77" s="1570" t="s">
        <v>936</v>
      </c>
      <c r="P77" s="1606">
        <v>50000</v>
      </c>
      <c r="Q77" s="1570" t="s">
        <v>548</v>
      </c>
      <c r="R77" s="2545"/>
    </row>
    <row r="78" spans="1:18" ht="16.5">
      <c r="A78" s="1607">
        <v>4</v>
      </c>
      <c r="B78" s="1608" t="s">
        <v>2878</v>
      </c>
      <c r="C78" s="1570"/>
      <c r="D78" s="1570" t="s">
        <v>2756</v>
      </c>
      <c r="E78" s="1570" t="s">
        <v>2868</v>
      </c>
      <c r="F78" s="1570"/>
      <c r="G78" s="1570" t="s">
        <v>2739</v>
      </c>
      <c r="H78" s="1570" t="s">
        <v>936</v>
      </c>
      <c r="I78" s="1570" t="s">
        <v>2826</v>
      </c>
      <c r="J78" s="1570" t="s">
        <v>2879</v>
      </c>
      <c r="K78" s="1570"/>
      <c r="L78" s="1570"/>
      <c r="M78" s="1570" t="s">
        <v>2880</v>
      </c>
      <c r="N78" s="1570"/>
      <c r="O78" s="1570" t="s">
        <v>936</v>
      </c>
      <c r="P78" s="1606">
        <v>50000</v>
      </c>
      <c r="Q78" s="1570"/>
      <c r="R78" s="2546"/>
    </row>
    <row r="79" spans="1:18" ht="16.5">
      <c r="A79" s="1607">
        <v>5</v>
      </c>
      <c r="B79" s="1608" t="s">
        <v>2881</v>
      </c>
      <c r="C79" s="1600"/>
      <c r="D79" s="1570" t="s">
        <v>2756</v>
      </c>
      <c r="E79" s="1580" t="s">
        <v>2868</v>
      </c>
      <c r="F79" s="1580"/>
      <c r="G79" s="1570" t="s">
        <v>2739</v>
      </c>
      <c r="H79" s="1570" t="s">
        <v>936</v>
      </c>
      <c r="I79" s="1570" t="s">
        <v>2826</v>
      </c>
      <c r="J79" s="1570" t="s">
        <v>2882</v>
      </c>
      <c r="K79" s="1570"/>
      <c r="L79" s="1570" t="s">
        <v>2883</v>
      </c>
      <c r="M79" s="1570" t="s">
        <v>2884</v>
      </c>
      <c r="N79" s="1570" t="s">
        <v>936</v>
      </c>
      <c r="O79" s="1570"/>
      <c r="P79" s="1606">
        <v>0</v>
      </c>
      <c r="Q79" s="1570" t="s">
        <v>542</v>
      </c>
      <c r="R79" s="2546"/>
    </row>
    <row r="80" spans="1:18" ht="16.5">
      <c r="A80" s="1607">
        <v>6</v>
      </c>
      <c r="B80" s="1608" t="s">
        <v>2456</v>
      </c>
      <c r="C80" s="1600"/>
      <c r="D80" s="1570"/>
      <c r="E80" s="1580"/>
      <c r="F80" s="1580"/>
      <c r="G80" s="1570" t="s">
        <v>2739</v>
      </c>
      <c r="H80" s="1570"/>
      <c r="I80" s="1570"/>
      <c r="J80" s="1570"/>
      <c r="K80" s="1570"/>
      <c r="L80" s="1570"/>
      <c r="M80" s="1570"/>
      <c r="N80" s="1570"/>
      <c r="O80" s="1570"/>
      <c r="P80" s="1570"/>
      <c r="Q80" s="1570"/>
      <c r="R80" s="2545"/>
    </row>
    <row r="81" spans="1:18" ht="16.5">
      <c r="A81" s="1607">
        <v>7</v>
      </c>
      <c r="B81" s="1608" t="s">
        <v>2885</v>
      </c>
      <c r="C81" s="1600"/>
      <c r="D81" s="1570"/>
      <c r="E81" s="1580"/>
      <c r="F81" s="1580"/>
      <c r="G81" s="1570" t="s">
        <v>2739</v>
      </c>
      <c r="H81" s="1570"/>
      <c r="I81" s="1570"/>
      <c r="J81" s="1570"/>
      <c r="K81" s="1570"/>
      <c r="L81" s="1570"/>
      <c r="M81" s="1570"/>
      <c r="N81" s="1570"/>
      <c r="O81" s="1570"/>
      <c r="P81" s="1570"/>
      <c r="Q81" s="1570"/>
      <c r="R81" s="2545"/>
    </row>
    <row r="82" spans="1:18" ht="33">
      <c r="A82" s="1607">
        <v>8</v>
      </c>
      <c r="B82" s="1608" t="s">
        <v>2507</v>
      </c>
      <c r="C82" s="1600"/>
      <c r="D82" s="1570" t="s">
        <v>2756</v>
      </c>
      <c r="E82" s="1580" t="s">
        <v>2868</v>
      </c>
      <c r="F82" s="1580"/>
      <c r="G82" s="1570" t="s">
        <v>2739</v>
      </c>
      <c r="H82" s="1570" t="s">
        <v>936</v>
      </c>
      <c r="I82" s="1570" t="s">
        <v>2826</v>
      </c>
      <c r="J82" s="1570" t="s">
        <v>2886</v>
      </c>
      <c r="K82" s="1570" t="s">
        <v>2876</v>
      </c>
      <c r="L82" s="1570"/>
      <c r="M82" s="1570" t="s">
        <v>2887</v>
      </c>
      <c r="N82" s="1570" t="s">
        <v>936</v>
      </c>
      <c r="O82" s="1570"/>
      <c r="P82" s="1609">
        <v>37000</v>
      </c>
      <c r="Q82" s="1570" t="s">
        <v>2888</v>
      </c>
      <c r="R82" s="2545"/>
    </row>
    <row r="83" spans="1:18" ht="16.5">
      <c r="A83" s="1607">
        <v>9</v>
      </c>
      <c r="B83" s="1608" t="s">
        <v>2889</v>
      </c>
      <c r="C83" s="1600"/>
      <c r="D83" s="1570"/>
      <c r="E83" s="1580"/>
      <c r="F83" s="1580"/>
      <c r="G83" s="1570" t="s">
        <v>2739</v>
      </c>
      <c r="H83" s="1570"/>
      <c r="I83" s="1570"/>
      <c r="J83" s="1570"/>
      <c r="K83" s="1570"/>
      <c r="L83" s="1570"/>
      <c r="M83" s="1570"/>
      <c r="N83" s="1570"/>
      <c r="O83" s="1570"/>
      <c r="P83" s="1570"/>
      <c r="Q83" s="1570"/>
      <c r="R83" s="2546"/>
    </row>
    <row r="84" spans="1:18" ht="16.5">
      <c r="A84" s="1607">
        <v>10</v>
      </c>
      <c r="B84" s="1610" t="s">
        <v>2457</v>
      </c>
      <c r="C84" s="1600"/>
      <c r="D84" s="1570"/>
      <c r="E84" s="1580"/>
      <c r="F84" s="1580"/>
      <c r="G84" s="1570" t="s">
        <v>2739</v>
      </c>
      <c r="H84" s="1570"/>
      <c r="I84" s="1570"/>
      <c r="J84" s="1570"/>
      <c r="K84" s="1570"/>
      <c r="L84" s="1570"/>
      <c r="M84" s="1570"/>
      <c r="N84" s="1570"/>
      <c r="O84" s="1570"/>
      <c r="P84" s="1570"/>
      <c r="Q84" s="1570"/>
      <c r="R84" s="2546"/>
    </row>
    <row r="85" spans="1:18" ht="16.5">
      <c r="A85" s="1607">
        <v>11</v>
      </c>
      <c r="B85" s="1610" t="s">
        <v>2890</v>
      </c>
      <c r="C85" s="1600"/>
      <c r="D85" s="1570"/>
      <c r="E85" s="1580"/>
      <c r="F85" s="1580"/>
      <c r="G85" s="1570" t="s">
        <v>2739</v>
      </c>
      <c r="H85" s="1570"/>
      <c r="I85" s="1570"/>
      <c r="J85" s="1570"/>
      <c r="K85" s="1570"/>
      <c r="L85" s="1570"/>
      <c r="M85" s="1570"/>
      <c r="N85" s="1570"/>
      <c r="O85" s="1570"/>
      <c r="P85" s="1570"/>
      <c r="Q85" s="1570"/>
      <c r="R85" s="2545"/>
    </row>
    <row r="86" spans="1:18" ht="16.5">
      <c r="A86" s="1607">
        <v>12</v>
      </c>
      <c r="B86" s="1610" t="s">
        <v>2891</v>
      </c>
      <c r="C86" s="1600"/>
      <c r="D86" s="1570" t="s">
        <v>2892</v>
      </c>
      <c r="E86" s="1580"/>
      <c r="F86" s="1580"/>
      <c r="G86" s="1570" t="s">
        <v>2739</v>
      </c>
      <c r="H86" s="1570"/>
      <c r="I86" s="1570" t="s">
        <v>2756</v>
      </c>
      <c r="J86" s="1570" t="s">
        <v>2848</v>
      </c>
      <c r="K86" s="1570" t="s">
        <v>1731</v>
      </c>
      <c r="L86" s="1570"/>
      <c r="M86" s="1570"/>
      <c r="N86" s="1570"/>
      <c r="O86" s="1570" t="s">
        <v>936</v>
      </c>
      <c r="P86" s="1609">
        <v>35000</v>
      </c>
      <c r="Q86" s="1570" t="s">
        <v>1731</v>
      </c>
      <c r="R86" s="2545"/>
    </row>
    <row r="87" spans="1:18" ht="16.5">
      <c r="A87" s="1607">
        <v>13</v>
      </c>
      <c r="B87" s="1610" t="s">
        <v>2893</v>
      </c>
      <c r="C87" s="1600"/>
      <c r="D87" s="1570" t="s">
        <v>2756</v>
      </c>
      <c r="E87" s="1580"/>
      <c r="F87" s="1580"/>
      <c r="G87" s="1570" t="s">
        <v>2739</v>
      </c>
      <c r="H87" s="1570"/>
      <c r="I87" s="1570" t="s">
        <v>2826</v>
      </c>
      <c r="J87" s="1570" t="s">
        <v>1780</v>
      </c>
      <c r="K87" s="1570"/>
      <c r="L87" s="1570" t="s">
        <v>2883</v>
      </c>
      <c r="M87" s="1570"/>
      <c r="N87" s="1570"/>
      <c r="O87" s="1570"/>
      <c r="P87" s="1609"/>
      <c r="Q87" s="1570"/>
      <c r="R87" s="2545"/>
    </row>
    <row r="88" spans="1:18" ht="28.5" customHeight="1">
      <c r="A88" s="2980" t="s">
        <v>27</v>
      </c>
      <c r="B88" s="2981" t="s">
        <v>1531</v>
      </c>
      <c r="C88" s="2982"/>
      <c r="D88" s="2983"/>
      <c r="E88" s="2997" t="s">
        <v>2894</v>
      </c>
      <c r="F88" s="2997" t="s">
        <v>2895</v>
      </c>
      <c r="G88" s="1570" t="s">
        <v>2739</v>
      </c>
      <c r="H88" s="2985" t="s">
        <v>2896</v>
      </c>
      <c r="I88" s="2783"/>
      <c r="J88" s="2980" t="s">
        <v>2897</v>
      </c>
      <c r="K88" s="2985" t="s">
        <v>2860</v>
      </c>
      <c r="L88" s="2783"/>
      <c r="M88" s="2980" t="s">
        <v>2898</v>
      </c>
      <c r="N88" s="1568"/>
      <c r="O88" s="1568"/>
      <c r="P88" s="1568"/>
      <c r="Q88" s="2980"/>
      <c r="R88" s="2546"/>
    </row>
    <row r="89" spans="1:18" ht="33">
      <c r="A89" s="2779"/>
      <c r="B89" s="2968"/>
      <c r="C89" s="2737"/>
      <c r="D89" s="2984"/>
      <c r="E89" s="2779"/>
      <c r="F89" s="2779"/>
      <c r="G89" s="1570" t="s">
        <v>2739</v>
      </c>
      <c r="H89" s="1568" t="s">
        <v>2899</v>
      </c>
      <c r="I89" s="1568" t="s">
        <v>2900</v>
      </c>
      <c r="J89" s="2986"/>
      <c r="K89" s="1568" t="s">
        <v>2865</v>
      </c>
      <c r="L89" s="1568" t="s">
        <v>2901</v>
      </c>
      <c r="M89" s="2779"/>
      <c r="N89" s="1568"/>
      <c r="O89" s="1568"/>
      <c r="P89" s="1568"/>
      <c r="Q89" s="2779"/>
      <c r="R89" s="2546"/>
    </row>
    <row r="90" spans="1:18" ht="16.5">
      <c r="A90" s="1611">
        <v>1</v>
      </c>
      <c r="B90" s="1612" t="s">
        <v>2902</v>
      </c>
      <c r="C90" s="2418"/>
      <c r="D90" s="2418"/>
      <c r="E90" s="2419"/>
      <c r="F90" s="2419"/>
      <c r="G90" s="1570" t="s">
        <v>2739</v>
      </c>
      <c r="H90" s="2418"/>
      <c r="I90" s="2419"/>
      <c r="J90" s="2418"/>
      <c r="K90" s="2418"/>
      <c r="L90" s="2418"/>
      <c r="M90" s="2418"/>
      <c r="N90" s="2418"/>
      <c r="O90" s="2418"/>
      <c r="P90" s="2418"/>
      <c r="Q90" s="1613"/>
      <c r="R90" s="2545"/>
    </row>
    <row r="91" spans="1:18" ht="16.5">
      <c r="A91" s="1570" t="s">
        <v>260</v>
      </c>
      <c r="B91" s="2987" t="s">
        <v>2903</v>
      </c>
      <c r="C91" s="2782"/>
      <c r="D91" s="2783"/>
      <c r="E91" s="1580" t="s">
        <v>2868</v>
      </c>
      <c r="F91" s="1195"/>
      <c r="G91" s="1570" t="s">
        <v>2739</v>
      </c>
      <c r="H91" s="1618"/>
      <c r="I91" s="1570"/>
      <c r="J91" s="1580" t="s">
        <v>2904</v>
      </c>
      <c r="K91" s="1615"/>
      <c r="L91" s="1580" t="s">
        <v>936</v>
      </c>
      <c r="M91" s="1616">
        <v>10000</v>
      </c>
      <c r="N91" s="1570"/>
      <c r="O91" s="1570"/>
      <c r="P91" s="1616">
        <v>10000</v>
      </c>
      <c r="Q91" s="1570"/>
      <c r="R91" s="2545"/>
    </row>
    <row r="92" spans="1:18" ht="16.5">
      <c r="A92" s="1570" t="s">
        <v>274</v>
      </c>
      <c r="B92" s="1617" t="s">
        <v>2905</v>
      </c>
      <c r="C92" s="1594"/>
      <c r="D92" s="1594"/>
      <c r="E92" s="1580" t="s">
        <v>2868</v>
      </c>
      <c r="F92" s="1580"/>
      <c r="G92" s="1570" t="s">
        <v>2739</v>
      </c>
      <c r="H92" s="1618"/>
      <c r="I92" s="1570"/>
      <c r="J92" s="1580" t="s">
        <v>2904</v>
      </c>
      <c r="K92" s="1570"/>
      <c r="L92" s="1580" t="s">
        <v>936</v>
      </c>
      <c r="M92" s="1616">
        <v>10000</v>
      </c>
      <c r="N92" s="1570"/>
      <c r="O92" s="1570"/>
      <c r="P92" s="1616">
        <v>10000</v>
      </c>
      <c r="Q92" s="1570"/>
      <c r="R92" s="2545"/>
    </row>
    <row r="93" spans="1:18" ht="16.5">
      <c r="A93" s="1570" t="s">
        <v>279</v>
      </c>
      <c r="B93" s="2996" t="s">
        <v>2906</v>
      </c>
      <c r="C93" s="2782"/>
      <c r="D93" s="2783"/>
      <c r="E93" s="1580" t="s">
        <v>2868</v>
      </c>
      <c r="F93" s="1580" t="s">
        <v>2907</v>
      </c>
      <c r="G93" s="1570" t="s">
        <v>2739</v>
      </c>
      <c r="H93" s="1618"/>
      <c r="I93" s="1570" t="s">
        <v>936</v>
      </c>
      <c r="J93" s="1570" t="s">
        <v>2908</v>
      </c>
      <c r="K93" s="1570"/>
      <c r="L93" s="1570" t="s">
        <v>936</v>
      </c>
      <c r="M93" s="1616">
        <v>10000</v>
      </c>
      <c r="N93" s="1570"/>
      <c r="O93" s="1570"/>
      <c r="P93" s="1616">
        <v>10000</v>
      </c>
      <c r="Q93" s="1570"/>
      <c r="R93" s="2546"/>
    </row>
    <row r="94" spans="1:18" ht="16.5">
      <c r="A94" s="1570" t="s">
        <v>282</v>
      </c>
      <c r="B94" s="2996" t="s">
        <v>2909</v>
      </c>
      <c r="C94" s="2782"/>
      <c r="D94" s="2783"/>
      <c r="E94" s="1580" t="s">
        <v>2868</v>
      </c>
      <c r="F94" s="1580" t="s">
        <v>2907</v>
      </c>
      <c r="G94" s="1570" t="s">
        <v>2739</v>
      </c>
      <c r="H94" s="1618"/>
      <c r="I94" s="1570" t="s">
        <v>936</v>
      </c>
      <c r="J94" s="1570" t="s">
        <v>2908</v>
      </c>
      <c r="K94" s="1570"/>
      <c r="L94" s="1570" t="s">
        <v>936</v>
      </c>
      <c r="M94" s="1616">
        <v>10000</v>
      </c>
      <c r="N94" s="1570"/>
      <c r="O94" s="1570"/>
      <c r="P94" s="1616">
        <v>10000</v>
      </c>
      <c r="Q94" s="1570"/>
      <c r="R94" s="2546"/>
    </row>
    <row r="95" spans="1:18" ht="16.5">
      <c r="A95" s="1570" t="s">
        <v>2910</v>
      </c>
      <c r="B95" s="2996" t="s">
        <v>2911</v>
      </c>
      <c r="C95" s="2782"/>
      <c r="D95" s="2783"/>
      <c r="E95" s="1580" t="s">
        <v>2868</v>
      </c>
      <c r="F95" s="1580" t="s">
        <v>2907</v>
      </c>
      <c r="G95" s="1570" t="s">
        <v>2739</v>
      </c>
      <c r="H95" s="1618"/>
      <c r="I95" s="1570" t="s">
        <v>936</v>
      </c>
      <c r="J95" s="1570" t="s">
        <v>2908</v>
      </c>
      <c r="K95" s="1570"/>
      <c r="L95" s="1570" t="s">
        <v>936</v>
      </c>
      <c r="M95" s="1616">
        <v>10000</v>
      </c>
      <c r="N95" s="1570"/>
      <c r="O95" s="1570"/>
      <c r="P95" s="1616">
        <v>10000</v>
      </c>
      <c r="Q95" s="1570"/>
      <c r="R95" s="2545"/>
    </row>
    <row r="96" spans="1:18" ht="49.5">
      <c r="A96" s="1570" t="s">
        <v>1783</v>
      </c>
      <c r="B96" s="2996" t="s">
        <v>2587</v>
      </c>
      <c r="C96" s="2782"/>
      <c r="D96" s="2783"/>
      <c r="E96" s="1580" t="s">
        <v>2912</v>
      </c>
      <c r="F96" s="1580" t="s">
        <v>2913</v>
      </c>
      <c r="G96" s="1570" t="s">
        <v>2739</v>
      </c>
      <c r="H96" s="1618"/>
      <c r="I96" s="1570" t="s">
        <v>936</v>
      </c>
      <c r="J96" s="1570" t="s">
        <v>2908</v>
      </c>
      <c r="K96" s="1570"/>
      <c r="L96" s="1570" t="s">
        <v>936</v>
      </c>
      <c r="M96" s="1616">
        <v>10000</v>
      </c>
      <c r="N96" s="1570"/>
      <c r="O96" s="1570"/>
      <c r="P96" s="1616">
        <v>10000</v>
      </c>
      <c r="Q96" s="1570" t="s">
        <v>2914</v>
      </c>
      <c r="R96" s="2545" t="s">
        <v>2915</v>
      </c>
    </row>
    <row r="97" spans="1:18" ht="16.5">
      <c r="A97" s="1570" t="s">
        <v>1786</v>
      </c>
      <c r="B97" s="2996" t="s">
        <v>2572</v>
      </c>
      <c r="C97" s="2782"/>
      <c r="D97" s="2783"/>
      <c r="E97" s="1580" t="s">
        <v>2868</v>
      </c>
      <c r="F97" s="1580" t="s">
        <v>2907</v>
      </c>
      <c r="G97" s="1570" t="s">
        <v>2739</v>
      </c>
      <c r="H97" s="1618"/>
      <c r="I97" s="1570" t="s">
        <v>936</v>
      </c>
      <c r="J97" s="1570" t="s">
        <v>2916</v>
      </c>
      <c r="K97" s="1570" t="s">
        <v>936</v>
      </c>
      <c r="L97" s="1570"/>
      <c r="M97" s="1616">
        <v>10000</v>
      </c>
      <c r="N97" s="1570"/>
      <c r="O97" s="1570"/>
      <c r="P97" s="1616">
        <v>10000</v>
      </c>
      <c r="Q97" s="1570"/>
      <c r="R97" s="2545"/>
    </row>
    <row r="98" spans="1:18" ht="16.5">
      <c r="A98" s="1570" t="s">
        <v>2917</v>
      </c>
      <c r="B98" s="1618" t="s">
        <v>2450</v>
      </c>
      <c r="C98" s="1272"/>
      <c r="D98" s="1272"/>
      <c r="E98" s="1580" t="s">
        <v>2802</v>
      </c>
      <c r="F98" s="1580" t="s">
        <v>2907</v>
      </c>
      <c r="G98" s="1570" t="s">
        <v>2739</v>
      </c>
      <c r="H98" s="1618"/>
      <c r="I98" s="1570" t="s">
        <v>936</v>
      </c>
      <c r="J98" s="1570" t="s">
        <v>2916</v>
      </c>
      <c r="K98" s="1570" t="s">
        <v>936</v>
      </c>
      <c r="L98" s="1570"/>
      <c r="M98" s="1616">
        <v>10000</v>
      </c>
      <c r="N98" s="1570"/>
      <c r="O98" s="1570"/>
      <c r="P98" s="1616">
        <v>10000</v>
      </c>
      <c r="Q98" s="1570" t="s">
        <v>546</v>
      </c>
      <c r="R98" s="2546"/>
    </row>
    <row r="99" spans="1:18" ht="16.5">
      <c r="A99" s="1570" t="s">
        <v>2918</v>
      </c>
      <c r="B99" s="1618" t="s">
        <v>2449</v>
      </c>
      <c r="C99" s="1272"/>
      <c r="D99" s="1272"/>
      <c r="E99" s="1580" t="s">
        <v>2802</v>
      </c>
      <c r="F99" s="1580" t="s">
        <v>2907</v>
      </c>
      <c r="G99" s="1570" t="s">
        <v>2739</v>
      </c>
      <c r="H99" s="1618"/>
      <c r="I99" s="1570" t="s">
        <v>936</v>
      </c>
      <c r="J99" s="1570" t="s">
        <v>2916</v>
      </c>
      <c r="K99" s="1570" t="s">
        <v>936</v>
      </c>
      <c r="L99" s="1570"/>
      <c r="M99" s="1616">
        <v>10000</v>
      </c>
      <c r="N99" s="1570"/>
      <c r="O99" s="1570"/>
      <c r="P99" s="1616">
        <v>10000</v>
      </c>
      <c r="Q99" s="1570" t="s">
        <v>546</v>
      </c>
      <c r="R99" s="2546"/>
    </row>
    <row r="100" spans="1:18" ht="33">
      <c r="A100" s="1619">
        <v>44835</v>
      </c>
      <c r="B100" s="1594" t="s">
        <v>2464</v>
      </c>
      <c r="C100" s="1594"/>
      <c r="D100" s="1594"/>
      <c r="E100" s="1580" t="s">
        <v>2907</v>
      </c>
      <c r="F100" s="1580" t="s">
        <v>2913</v>
      </c>
      <c r="G100" s="1570" t="s">
        <v>2739</v>
      </c>
      <c r="H100" s="1618"/>
      <c r="I100" s="1570" t="s">
        <v>936</v>
      </c>
      <c r="J100" s="1570" t="s">
        <v>2916</v>
      </c>
      <c r="K100" s="1570" t="s">
        <v>936</v>
      </c>
      <c r="L100" s="1570"/>
      <c r="M100" s="1616">
        <v>10000</v>
      </c>
      <c r="N100" s="1570"/>
      <c r="O100" s="1570"/>
      <c r="P100" s="1616">
        <v>10000</v>
      </c>
      <c r="Q100" s="1570" t="s">
        <v>547</v>
      </c>
      <c r="R100" s="2545"/>
    </row>
    <row r="101" spans="1:18" ht="33">
      <c r="A101" s="1619">
        <v>44866</v>
      </c>
      <c r="B101" s="1594" t="s">
        <v>2472</v>
      </c>
      <c r="C101" s="1594"/>
      <c r="D101" s="1594"/>
      <c r="E101" s="1580" t="s">
        <v>2868</v>
      </c>
      <c r="F101" s="1580" t="s">
        <v>2913</v>
      </c>
      <c r="G101" s="1570" t="s">
        <v>2739</v>
      </c>
      <c r="H101" s="1618"/>
      <c r="I101" s="1570" t="s">
        <v>936</v>
      </c>
      <c r="J101" s="1570" t="s">
        <v>2916</v>
      </c>
      <c r="K101" s="1570" t="s">
        <v>936</v>
      </c>
      <c r="L101" s="1570"/>
      <c r="M101" s="1616">
        <v>10000</v>
      </c>
      <c r="N101" s="1570"/>
      <c r="O101" s="1570"/>
      <c r="P101" s="1616">
        <v>10000</v>
      </c>
      <c r="Q101" s="1570" t="s">
        <v>547</v>
      </c>
      <c r="R101" s="2545"/>
    </row>
    <row r="102" spans="1:18" ht="33">
      <c r="A102" s="1619">
        <v>44896</v>
      </c>
      <c r="B102" s="1594" t="s">
        <v>2474</v>
      </c>
      <c r="C102" s="1594"/>
      <c r="D102" s="1594"/>
      <c r="E102" s="1580" t="s">
        <v>2868</v>
      </c>
      <c r="F102" s="1580" t="s">
        <v>2907</v>
      </c>
      <c r="G102" s="1570" t="s">
        <v>2739</v>
      </c>
      <c r="H102" s="1618"/>
      <c r="I102" s="1570" t="s">
        <v>936</v>
      </c>
      <c r="J102" s="1570" t="s">
        <v>2916</v>
      </c>
      <c r="K102" s="1570" t="s">
        <v>936</v>
      </c>
      <c r="L102" s="1570"/>
      <c r="M102" s="1616">
        <v>10000</v>
      </c>
      <c r="N102" s="1570"/>
      <c r="O102" s="1570"/>
      <c r="P102" s="1616">
        <v>10000</v>
      </c>
      <c r="Q102" s="1570" t="s">
        <v>547</v>
      </c>
      <c r="R102" s="2545"/>
    </row>
    <row r="103" spans="1:18" ht="16.5">
      <c r="A103" s="1611">
        <v>2</v>
      </c>
      <c r="B103" s="1612" t="s">
        <v>2919</v>
      </c>
      <c r="C103" s="2418"/>
      <c r="D103" s="2418"/>
      <c r="E103" s="2419"/>
      <c r="F103" s="2419"/>
      <c r="G103" s="1570" t="s">
        <v>2739</v>
      </c>
      <c r="H103" s="2418"/>
      <c r="I103" s="2419"/>
      <c r="J103" s="2418"/>
      <c r="K103" s="2418"/>
      <c r="L103" s="2418"/>
      <c r="M103" s="2418"/>
      <c r="N103" s="2418"/>
      <c r="O103" s="2418"/>
      <c r="P103" s="2418"/>
      <c r="Q103" s="1613"/>
      <c r="R103" s="2546"/>
    </row>
    <row r="104" spans="1:18" ht="49.5">
      <c r="A104" s="1570" t="s">
        <v>726</v>
      </c>
      <c r="B104" s="1597" t="s">
        <v>2517</v>
      </c>
      <c r="C104" s="1597"/>
      <c r="D104" s="1597"/>
      <c r="E104" s="1570" t="s">
        <v>2920</v>
      </c>
      <c r="F104" s="1570"/>
      <c r="G104" s="1570" t="s">
        <v>2739</v>
      </c>
      <c r="H104" s="1570"/>
      <c r="I104" s="1570" t="s">
        <v>936</v>
      </c>
      <c r="J104" s="1570" t="s">
        <v>2904</v>
      </c>
      <c r="K104" s="1618"/>
      <c r="L104" s="1570" t="s">
        <v>936</v>
      </c>
      <c r="M104" s="1616">
        <v>35000</v>
      </c>
      <c r="N104" s="1570"/>
      <c r="O104" s="1570"/>
      <c r="P104" s="1616">
        <v>35000</v>
      </c>
      <c r="Q104" s="1570"/>
      <c r="R104" s="2546"/>
    </row>
    <row r="105" spans="1:18" ht="49.5">
      <c r="A105" s="1619">
        <v>44594</v>
      </c>
      <c r="B105" s="1618" t="s">
        <v>2921</v>
      </c>
      <c r="C105" s="1272"/>
      <c r="D105" s="1272"/>
      <c r="E105" s="1570" t="s">
        <v>2922</v>
      </c>
      <c r="F105" s="1570"/>
      <c r="G105" s="1570" t="s">
        <v>2739</v>
      </c>
      <c r="H105" s="1570"/>
      <c r="I105" s="1570"/>
      <c r="J105" s="1570" t="s">
        <v>2923</v>
      </c>
      <c r="K105" s="1618"/>
      <c r="L105" s="1618"/>
      <c r="M105" s="1616">
        <v>35000</v>
      </c>
      <c r="N105" s="1570"/>
      <c r="O105" s="1570"/>
      <c r="P105" s="1616">
        <v>35000</v>
      </c>
      <c r="Q105" s="1570"/>
      <c r="R105" s="2545"/>
    </row>
    <row r="106" spans="1:18" ht="16.5">
      <c r="A106" s="1619">
        <v>44653</v>
      </c>
      <c r="B106" s="1594" t="s">
        <v>2447</v>
      </c>
      <c r="C106" s="1594"/>
      <c r="D106" s="1594"/>
      <c r="E106" s="1570" t="s">
        <v>2924</v>
      </c>
      <c r="F106" s="1570" t="s">
        <v>2925</v>
      </c>
      <c r="G106" s="1570" t="s">
        <v>2739</v>
      </c>
      <c r="H106" s="1570"/>
      <c r="I106" s="1570" t="s">
        <v>936</v>
      </c>
      <c r="J106" s="1570" t="s">
        <v>2908</v>
      </c>
      <c r="K106" s="1570" t="s">
        <v>936</v>
      </c>
      <c r="L106" s="1570" t="s">
        <v>936</v>
      </c>
      <c r="M106" s="1616">
        <v>35000</v>
      </c>
      <c r="N106" s="1570"/>
      <c r="O106" s="1570"/>
      <c r="P106" s="1616">
        <v>35000</v>
      </c>
      <c r="Q106" s="1570"/>
      <c r="R106" s="2545"/>
    </row>
    <row r="107" spans="1:18" ht="16.5">
      <c r="A107" s="1619">
        <v>44653</v>
      </c>
      <c r="B107" s="1594" t="s">
        <v>2564</v>
      </c>
      <c r="C107" s="1594"/>
      <c r="D107" s="1594"/>
      <c r="E107" s="1570" t="s">
        <v>2868</v>
      </c>
      <c r="F107" s="1570" t="s">
        <v>2868</v>
      </c>
      <c r="G107" s="1570" t="s">
        <v>2739</v>
      </c>
      <c r="H107" s="1570"/>
      <c r="I107" s="1570" t="s">
        <v>936</v>
      </c>
      <c r="J107" s="1570" t="s">
        <v>2904</v>
      </c>
      <c r="K107" s="1570"/>
      <c r="L107" s="1570"/>
      <c r="M107" s="1616">
        <v>35000</v>
      </c>
      <c r="N107" s="1570"/>
      <c r="O107" s="1570"/>
      <c r="P107" s="1616">
        <v>35000</v>
      </c>
      <c r="Q107" s="1570"/>
      <c r="R107" s="2545"/>
    </row>
    <row r="108" spans="1:18" ht="16.5">
      <c r="A108" s="1619">
        <v>44683</v>
      </c>
      <c r="B108" s="1594" t="s">
        <v>2926</v>
      </c>
      <c r="C108" s="1594"/>
      <c r="D108" s="1594"/>
      <c r="E108" s="1570" t="s">
        <v>2924</v>
      </c>
      <c r="F108" s="1570" t="s">
        <v>2925</v>
      </c>
      <c r="G108" s="1570" t="s">
        <v>2739</v>
      </c>
      <c r="H108" s="1570"/>
      <c r="I108" s="1570" t="s">
        <v>936</v>
      </c>
      <c r="J108" s="1570" t="s">
        <v>2908</v>
      </c>
      <c r="K108" s="1570" t="s">
        <v>936</v>
      </c>
      <c r="L108" s="1570"/>
      <c r="M108" s="1616">
        <v>35000</v>
      </c>
      <c r="N108" s="1570"/>
      <c r="O108" s="1570"/>
      <c r="P108" s="1616">
        <v>35000</v>
      </c>
      <c r="Q108" s="1570"/>
      <c r="R108" s="2546"/>
    </row>
    <row r="109" spans="1:18" ht="99">
      <c r="A109" s="1620">
        <v>5</v>
      </c>
      <c r="B109" s="1621" t="s">
        <v>2927</v>
      </c>
      <c r="C109" s="2420"/>
      <c r="D109" s="2420"/>
      <c r="E109" s="2421"/>
      <c r="F109" s="2421"/>
      <c r="G109" s="1570" t="s">
        <v>2739</v>
      </c>
      <c r="H109" s="2420"/>
      <c r="I109" s="2421"/>
      <c r="J109" s="2420"/>
      <c r="K109" s="2420"/>
      <c r="L109" s="2420"/>
      <c r="M109" s="2420"/>
      <c r="N109" s="2420"/>
      <c r="O109" s="2420"/>
      <c r="P109" s="2420"/>
      <c r="Q109" s="1622"/>
      <c r="R109" s="2546"/>
    </row>
    <row r="110" spans="1:18" ht="16.5">
      <c r="A110" s="2980" t="s">
        <v>27</v>
      </c>
      <c r="B110" s="2981" t="s">
        <v>1531</v>
      </c>
      <c r="C110" s="2982"/>
      <c r="D110" s="2983"/>
      <c r="E110" s="2985" t="s">
        <v>2928</v>
      </c>
      <c r="F110" s="2783"/>
      <c r="G110" s="1570" t="s">
        <v>2739</v>
      </c>
      <c r="H110" s="2980" t="s">
        <v>2929</v>
      </c>
      <c r="I110" s="2980" t="s">
        <v>2930</v>
      </c>
      <c r="J110" s="2985" t="s">
        <v>2931</v>
      </c>
      <c r="K110" s="2782"/>
      <c r="L110" s="2783"/>
      <c r="M110" s="2980" t="s">
        <v>2932</v>
      </c>
      <c r="N110" s="1568"/>
      <c r="O110" s="1568"/>
      <c r="P110" s="1568"/>
      <c r="Q110" s="2980" t="s">
        <v>32</v>
      </c>
      <c r="R110" s="2545"/>
    </row>
    <row r="111" spans="1:18" ht="33">
      <c r="A111" s="2779"/>
      <c r="B111" s="2968"/>
      <c r="C111" s="2737"/>
      <c r="D111" s="2984"/>
      <c r="E111" s="1568" t="s">
        <v>2797</v>
      </c>
      <c r="F111" s="1568" t="s">
        <v>2798</v>
      </c>
      <c r="G111" s="1570" t="s">
        <v>2739</v>
      </c>
      <c r="H111" s="2986"/>
      <c r="I111" s="2779"/>
      <c r="J111" s="1568" t="s">
        <v>2933</v>
      </c>
      <c r="K111" s="1568" t="s">
        <v>2863</v>
      </c>
      <c r="L111" s="1568" t="s">
        <v>2864</v>
      </c>
      <c r="M111" s="2779"/>
      <c r="N111" s="1568"/>
      <c r="O111" s="1568"/>
      <c r="P111" s="1568"/>
      <c r="Q111" s="2779"/>
      <c r="R111" s="2545"/>
    </row>
    <row r="112" spans="1:18" ht="33">
      <c r="A112" s="1570">
        <v>1</v>
      </c>
      <c r="B112" s="1618" t="s">
        <v>2905</v>
      </c>
      <c r="C112" s="1272"/>
      <c r="D112" s="1272"/>
      <c r="E112" s="1570">
        <v>1987</v>
      </c>
      <c r="F112" s="1570"/>
      <c r="G112" s="1570" t="s">
        <v>2739</v>
      </c>
      <c r="H112" s="1570" t="s">
        <v>2812</v>
      </c>
      <c r="I112" s="1570"/>
      <c r="J112" s="1570" t="s">
        <v>1731</v>
      </c>
      <c r="K112" s="1570"/>
      <c r="L112" s="1570"/>
      <c r="M112" s="1570">
        <v>2023</v>
      </c>
      <c r="N112" s="13"/>
      <c r="O112" s="1606"/>
      <c r="P112" s="1606">
        <v>5000</v>
      </c>
      <c r="Q112" s="1606" t="s">
        <v>2934</v>
      </c>
      <c r="R112" s="2545"/>
    </row>
    <row r="113" spans="1:18" ht="16.5" customHeight="1">
      <c r="A113" s="1570">
        <v>2</v>
      </c>
      <c r="B113" s="1618" t="s">
        <v>2935</v>
      </c>
      <c r="C113" s="1272"/>
      <c r="D113" s="1272"/>
      <c r="E113" s="1570"/>
      <c r="F113" s="1570" t="s">
        <v>936</v>
      </c>
      <c r="G113" s="1570" t="s">
        <v>2739</v>
      </c>
      <c r="H113" s="1570" t="s">
        <v>2812</v>
      </c>
      <c r="I113" s="1570"/>
      <c r="J113" s="1570" t="s">
        <v>1731</v>
      </c>
      <c r="K113" s="1570"/>
      <c r="L113" s="1570"/>
      <c r="M113" s="1570"/>
      <c r="N113" s="1606"/>
      <c r="O113" s="1606"/>
      <c r="P113" s="1606">
        <v>5000</v>
      </c>
      <c r="Q113" s="1570"/>
      <c r="R113" s="2546"/>
    </row>
    <row r="114" spans="1:18" ht="33">
      <c r="A114" s="1570">
        <v>3</v>
      </c>
      <c r="B114" s="1594" t="s">
        <v>2470</v>
      </c>
      <c r="C114" s="1594"/>
      <c r="D114" s="1594"/>
      <c r="E114" s="1570"/>
      <c r="F114" s="1570" t="s">
        <v>936</v>
      </c>
      <c r="G114" s="1570" t="s">
        <v>2739</v>
      </c>
      <c r="H114" s="1570" t="s">
        <v>2812</v>
      </c>
      <c r="I114" s="1570"/>
      <c r="J114" s="1570" t="s">
        <v>1731</v>
      </c>
      <c r="K114" s="1568"/>
      <c r="L114" s="1568"/>
      <c r="M114" s="1570">
        <v>2023</v>
      </c>
      <c r="N114" s="1606"/>
      <c r="O114" s="1606"/>
      <c r="P114" s="1606">
        <v>5000</v>
      </c>
      <c r="Q114" s="1606" t="s">
        <v>2934</v>
      </c>
      <c r="R114" s="2546"/>
    </row>
    <row r="115" spans="1:18" ht="33">
      <c r="A115" s="1570">
        <v>4</v>
      </c>
      <c r="B115" s="1594" t="s">
        <v>2472</v>
      </c>
      <c r="C115" s="1594"/>
      <c r="D115" s="1594"/>
      <c r="E115" s="1570"/>
      <c r="F115" s="1570" t="s">
        <v>936</v>
      </c>
      <c r="G115" s="1570" t="s">
        <v>2739</v>
      </c>
      <c r="H115" s="1570" t="s">
        <v>2812</v>
      </c>
      <c r="I115" s="1570"/>
      <c r="J115" s="1570" t="s">
        <v>1731</v>
      </c>
      <c r="K115" s="1568"/>
      <c r="L115" s="1568"/>
      <c r="M115" s="1570">
        <v>2023</v>
      </c>
      <c r="N115" s="1606"/>
      <c r="O115" s="1606"/>
      <c r="P115" s="1606">
        <v>5000</v>
      </c>
      <c r="Q115" s="1606" t="s">
        <v>2934</v>
      </c>
      <c r="R115" s="2545"/>
    </row>
    <row r="116" spans="1:18" ht="16.5">
      <c r="A116" s="1570">
        <v>5</v>
      </c>
      <c r="B116" s="1594" t="s">
        <v>2552</v>
      </c>
      <c r="C116" s="1594"/>
      <c r="D116" s="1594"/>
      <c r="E116" s="1570"/>
      <c r="F116" s="1570"/>
      <c r="G116" s="1570" t="s">
        <v>2739</v>
      </c>
      <c r="H116" s="1570" t="s">
        <v>2812</v>
      </c>
      <c r="I116" s="1570"/>
      <c r="J116" s="1570" t="s">
        <v>1731</v>
      </c>
      <c r="K116" s="1568"/>
      <c r="L116" s="1568"/>
      <c r="M116" s="1570"/>
      <c r="N116" s="1606"/>
      <c r="O116" s="1606"/>
      <c r="P116" s="1606">
        <v>5000</v>
      </c>
      <c r="Q116" s="1570"/>
      <c r="R116" s="2545" t="s">
        <v>2936</v>
      </c>
    </row>
    <row r="117" spans="1:18" ht="16.5">
      <c r="A117" s="1570">
        <v>6</v>
      </c>
      <c r="B117" s="1594" t="s">
        <v>2558</v>
      </c>
      <c r="C117" s="1594"/>
      <c r="D117" s="1594"/>
      <c r="E117" s="1570"/>
      <c r="F117" s="1570"/>
      <c r="G117" s="1570" t="s">
        <v>2739</v>
      </c>
      <c r="H117" s="1570" t="s">
        <v>2812</v>
      </c>
      <c r="I117" s="1570"/>
      <c r="J117" s="1570" t="s">
        <v>1731</v>
      </c>
      <c r="K117" s="1568"/>
      <c r="L117" s="1568"/>
      <c r="M117" s="1570"/>
      <c r="N117" s="1606"/>
      <c r="O117" s="1606"/>
      <c r="P117" s="1606">
        <v>5000</v>
      </c>
      <c r="Q117" s="2531"/>
      <c r="R117" s="2553"/>
    </row>
    <row r="118" spans="1:18" ht="16.5">
      <c r="A118" s="1570">
        <v>8</v>
      </c>
      <c r="B118" s="1594" t="s">
        <v>2937</v>
      </c>
      <c r="C118" s="1570"/>
      <c r="D118" s="1570"/>
      <c r="E118" s="1570"/>
      <c r="F118" s="1570"/>
      <c r="G118" s="1570" t="s">
        <v>2739</v>
      </c>
      <c r="H118" s="1570" t="s">
        <v>2812</v>
      </c>
      <c r="I118" s="1570"/>
      <c r="J118" s="1570" t="s">
        <v>1731</v>
      </c>
      <c r="K118" s="1568"/>
      <c r="L118" s="1568"/>
      <c r="M118" s="1570"/>
      <c r="N118" s="1568"/>
      <c r="O118" s="1568"/>
      <c r="P118" s="1606">
        <v>5000</v>
      </c>
      <c r="Q118" s="2531"/>
      <c r="R118" s="2553"/>
    </row>
    <row r="119" spans="1:18" ht="16.5">
      <c r="A119" s="1570">
        <v>9</v>
      </c>
      <c r="B119" s="1594" t="s">
        <v>2938</v>
      </c>
      <c r="C119" s="1570"/>
      <c r="D119" s="1570"/>
      <c r="E119" s="1570"/>
      <c r="F119" s="1570"/>
      <c r="G119" s="1570" t="s">
        <v>2739</v>
      </c>
      <c r="H119" s="1570" t="s">
        <v>2812</v>
      </c>
      <c r="I119" s="1570"/>
      <c r="J119" s="1570" t="s">
        <v>1731</v>
      </c>
      <c r="K119" s="1568"/>
      <c r="L119" s="1568"/>
      <c r="M119" s="1570"/>
      <c r="N119" s="1568"/>
      <c r="O119" s="1568"/>
      <c r="P119" s="1606">
        <v>5000</v>
      </c>
      <c r="Q119" s="2531"/>
      <c r="R119" s="2553"/>
    </row>
    <row r="120" spans="1:18" ht="16.5">
      <c r="A120" s="1570">
        <v>10</v>
      </c>
      <c r="B120" s="1594" t="s">
        <v>2939</v>
      </c>
      <c r="C120" s="1570"/>
      <c r="D120" s="1570"/>
      <c r="E120" s="1570" t="s">
        <v>936</v>
      </c>
      <c r="F120" s="1570"/>
      <c r="G120" s="1570" t="s">
        <v>2739</v>
      </c>
      <c r="H120" s="1570" t="s">
        <v>2812</v>
      </c>
      <c r="I120" s="1570"/>
      <c r="J120" s="1570" t="s">
        <v>1731</v>
      </c>
      <c r="K120" s="1568"/>
      <c r="L120" s="1568"/>
      <c r="M120" s="1570"/>
      <c r="N120" s="1606"/>
      <c r="O120" s="1606"/>
      <c r="P120" s="1606">
        <v>5000</v>
      </c>
      <c r="Q120" s="2531"/>
      <c r="R120" s="2553" t="s">
        <v>2940</v>
      </c>
    </row>
    <row r="121" spans="1:18" ht="33">
      <c r="A121" s="1570">
        <v>11</v>
      </c>
      <c r="B121" s="1594" t="s">
        <v>2465</v>
      </c>
      <c r="C121" s="1570"/>
      <c r="D121" s="1570"/>
      <c r="E121" s="1570"/>
      <c r="F121" s="1570"/>
      <c r="G121" s="1570" t="s">
        <v>2739</v>
      </c>
      <c r="H121" s="1570"/>
      <c r="I121" s="1570"/>
      <c r="J121" s="1570" t="s">
        <v>1731</v>
      </c>
      <c r="K121" s="1568"/>
      <c r="L121" s="1568"/>
      <c r="M121" s="1570">
        <v>2023</v>
      </c>
      <c r="N121" s="1606"/>
      <c r="O121" s="1606"/>
      <c r="P121" s="1606">
        <v>5000</v>
      </c>
      <c r="Q121" s="2551" t="s">
        <v>2934</v>
      </c>
      <c r="R121" s="2553"/>
    </row>
    <row r="122" spans="1:18" ht="16.5">
      <c r="A122" s="1570">
        <v>12</v>
      </c>
      <c r="B122" s="1594" t="s">
        <v>2505</v>
      </c>
      <c r="C122" s="1568"/>
      <c r="D122" s="1568"/>
      <c r="E122" s="1568"/>
      <c r="F122" s="1568"/>
      <c r="G122" s="1570" t="s">
        <v>2739</v>
      </c>
      <c r="H122" s="1568"/>
      <c r="I122" s="1568"/>
      <c r="J122" s="1570" t="s">
        <v>1731</v>
      </c>
      <c r="K122" s="1570" t="s">
        <v>936</v>
      </c>
      <c r="L122" s="1570"/>
      <c r="M122" s="1570">
        <v>2023</v>
      </c>
      <c r="N122" s="1570"/>
      <c r="O122" s="1570"/>
      <c r="P122" s="1606">
        <v>5000</v>
      </c>
      <c r="Q122" s="2531"/>
      <c r="R122" s="2553"/>
    </row>
    <row r="123" spans="1:18" ht="16.5">
      <c r="A123" s="1570">
        <v>13</v>
      </c>
      <c r="B123" s="13"/>
      <c r="C123" s="13"/>
      <c r="D123" s="13"/>
      <c r="E123" s="39"/>
      <c r="F123" s="39"/>
      <c r="G123" s="1570" t="s">
        <v>2739</v>
      </c>
      <c r="H123" s="87"/>
      <c r="I123" s="39"/>
      <c r="J123" s="87"/>
      <c r="K123" s="13"/>
      <c r="L123" s="13"/>
      <c r="M123" s="13"/>
      <c r="N123" s="13"/>
      <c r="O123" s="13"/>
      <c r="P123" s="13"/>
      <c r="Q123" s="2531"/>
      <c r="R123" s="2553"/>
    </row>
    <row r="124" spans="1:18" ht="82.5">
      <c r="A124" s="1590">
        <v>6</v>
      </c>
      <c r="B124" s="1591" t="s">
        <v>2941</v>
      </c>
      <c r="C124" s="2400"/>
      <c r="D124" s="2400"/>
      <c r="E124" s="2401"/>
      <c r="F124" s="2401"/>
      <c r="G124" s="1570" t="s">
        <v>2739</v>
      </c>
      <c r="H124" s="2400"/>
      <c r="I124" s="2401"/>
      <c r="J124" s="2400"/>
      <c r="K124" s="2400"/>
      <c r="L124" s="2400"/>
      <c r="M124" s="2400"/>
      <c r="N124" s="2400"/>
      <c r="O124" s="2400"/>
      <c r="P124" s="2400"/>
      <c r="Q124" s="2400"/>
      <c r="R124" s="2554"/>
    </row>
    <row r="125" spans="1:18" ht="16.5">
      <c r="A125" s="2980" t="s">
        <v>27</v>
      </c>
      <c r="B125" s="2981" t="s">
        <v>1531</v>
      </c>
      <c r="C125" s="2982"/>
      <c r="D125" s="2983"/>
      <c r="E125" s="2985" t="s">
        <v>2928</v>
      </c>
      <c r="F125" s="2783"/>
      <c r="G125" s="1570" t="s">
        <v>2739</v>
      </c>
      <c r="H125" s="2980" t="s">
        <v>2942</v>
      </c>
      <c r="I125" s="2980" t="s">
        <v>2943</v>
      </c>
      <c r="J125" s="2985" t="s">
        <v>2944</v>
      </c>
      <c r="K125" s="2782"/>
      <c r="L125" s="2783"/>
      <c r="M125" s="2980" t="s">
        <v>2932</v>
      </c>
      <c r="N125" s="1568"/>
      <c r="O125" s="1568"/>
      <c r="P125" s="1568"/>
      <c r="Q125" s="2977" t="s">
        <v>32</v>
      </c>
      <c r="R125" s="2555"/>
    </row>
    <row r="126" spans="1:18" ht="33">
      <c r="A126" s="2779"/>
      <c r="B126" s="2968"/>
      <c r="C126" s="2737"/>
      <c r="D126" s="2984"/>
      <c r="E126" s="1568" t="s">
        <v>2797</v>
      </c>
      <c r="F126" s="1568" t="s">
        <v>2798</v>
      </c>
      <c r="G126" s="1570" t="s">
        <v>2739</v>
      </c>
      <c r="H126" s="2986"/>
      <c r="I126" s="2779"/>
      <c r="J126" s="1568" t="s">
        <v>2933</v>
      </c>
      <c r="K126" s="1568" t="s">
        <v>2863</v>
      </c>
      <c r="L126" s="1568" t="s">
        <v>2864</v>
      </c>
      <c r="M126" s="2779"/>
      <c r="N126" s="1568"/>
      <c r="O126" s="1568"/>
      <c r="P126" s="1568"/>
      <c r="Q126" s="2968"/>
      <c r="R126" s="2555"/>
    </row>
    <row r="127" spans="1:18" ht="33">
      <c r="A127" s="1570">
        <v>1</v>
      </c>
      <c r="B127" s="2422" t="s">
        <v>2945</v>
      </c>
      <c r="C127" s="2423"/>
      <c r="D127" s="2424"/>
      <c r="E127" s="1570"/>
      <c r="F127" s="1570">
        <v>1976</v>
      </c>
      <c r="G127" s="1570" t="s">
        <v>2739</v>
      </c>
      <c r="H127" s="1570" t="s">
        <v>2946</v>
      </c>
      <c r="I127" s="1570" t="s">
        <v>2947</v>
      </c>
      <c r="J127" s="1570" t="s">
        <v>2948</v>
      </c>
      <c r="K127" s="1570" t="s">
        <v>936</v>
      </c>
      <c r="L127" s="1570"/>
      <c r="M127" s="1570" t="s">
        <v>2949</v>
      </c>
      <c r="N127" s="1570"/>
      <c r="O127" s="1570"/>
      <c r="P127" s="1609">
        <v>5000</v>
      </c>
      <c r="Q127" s="2531" t="s">
        <v>2950</v>
      </c>
      <c r="R127" s="2556"/>
    </row>
    <row r="128" spans="1:18" ht="27.75" customHeight="1">
      <c r="A128" s="1570">
        <v>2</v>
      </c>
      <c r="B128" s="2422" t="s">
        <v>2951</v>
      </c>
      <c r="C128" s="2423"/>
      <c r="D128" s="2424"/>
      <c r="E128" s="1570">
        <v>1977</v>
      </c>
      <c r="F128" s="1570"/>
      <c r="G128" s="1570" t="s">
        <v>2739</v>
      </c>
      <c r="H128" s="1570" t="s">
        <v>2952</v>
      </c>
      <c r="I128" s="1570" t="s">
        <v>2953</v>
      </c>
      <c r="J128" s="1570" t="s">
        <v>2883</v>
      </c>
      <c r="K128" s="1570"/>
      <c r="L128" s="1570" t="s">
        <v>936</v>
      </c>
      <c r="M128" s="1570" t="s">
        <v>2954</v>
      </c>
      <c r="N128" s="1570"/>
      <c r="O128" s="1570"/>
      <c r="P128" s="1609">
        <v>60000</v>
      </c>
      <c r="Q128" s="2531" t="s">
        <v>2955</v>
      </c>
      <c r="R128" s="2557"/>
    </row>
    <row r="129" spans="1:18" ht="33">
      <c r="A129" s="1570"/>
      <c r="B129" s="1594" t="s">
        <v>2956</v>
      </c>
      <c r="C129" s="1594"/>
      <c r="D129" s="1594"/>
      <c r="E129" s="1570">
        <v>1977</v>
      </c>
      <c r="F129" s="1570"/>
      <c r="G129" s="1570" t="s">
        <v>2739</v>
      </c>
      <c r="H129" s="1570" t="s">
        <v>2946</v>
      </c>
      <c r="I129" s="1570" t="s">
        <v>2957</v>
      </c>
      <c r="J129" s="1570" t="s">
        <v>2958</v>
      </c>
      <c r="K129" s="1570" t="s">
        <v>936</v>
      </c>
      <c r="L129" s="1570"/>
      <c r="M129" s="1570" t="s">
        <v>2949</v>
      </c>
      <c r="N129" s="1570"/>
      <c r="O129" s="1570"/>
      <c r="P129" s="1609"/>
      <c r="Q129" s="2531"/>
      <c r="R129" s="2557"/>
    </row>
    <row r="130" spans="1:18" ht="33">
      <c r="A130" s="1570">
        <v>3</v>
      </c>
      <c r="B130" s="1618" t="s">
        <v>2959</v>
      </c>
      <c r="C130" s="1276"/>
      <c r="D130" s="1276"/>
      <c r="E130" s="1571">
        <v>1974</v>
      </c>
      <c r="F130" s="1570"/>
      <c r="G130" s="1570" t="s">
        <v>2739</v>
      </c>
      <c r="H130" s="1570" t="s">
        <v>2946</v>
      </c>
      <c r="I130" s="1570" t="s">
        <v>2947</v>
      </c>
      <c r="J130" s="1570" t="s">
        <v>2948</v>
      </c>
      <c r="K130" s="1570" t="s">
        <v>936</v>
      </c>
      <c r="L130" s="1570"/>
      <c r="M130" s="1570" t="s">
        <v>2949</v>
      </c>
      <c r="N130" s="1570"/>
      <c r="O130" s="1570"/>
      <c r="P130" s="1609">
        <v>5000</v>
      </c>
      <c r="Q130" s="2531" t="s">
        <v>2950</v>
      </c>
      <c r="R130" s="2557"/>
    </row>
    <row r="131" spans="1:18" ht="29.25" customHeight="1">
      <c r="A131" s="1570">
        <v>4</v>
      </c>
      <c r="B131" s="1618" t="s">
        <v>2938</v>
      </c>
      <c r="C131" s="1276"/>
      <c r="D131" s="1276"/>
      <c r="E131" s="1571">
        <v>1983</v>
      </c>
      <c r="F131" s="1570"/>
      <c r="G131" s="1570" t="s">
        <v>2739</v>
      </c>
      <c r="H131" s="1570" t="s">
        <v>2952</v>
      </c>
      <c r="I131" s="1570" t="s">
        <v>2953</v>
      </c>
      <c r="J131" s="1570" t="s">
        <v>2883</v>
      </c>
      <c r="K131" s="1570"/>
      <c r="L131" s="1570" t="s">
        <v>936</v>
      </c>
      <c r="M131" s="1570" t="s">
        <v>2960</v>
      </c>
      <c r="N131" s="1570"/>
      <c r="O131" s="1570"/>
      <c r="P131" s="1609">
        <v>60000</v>
      </c>
      <c r="Q131" s="2531" t="s">
        <v>2955</v>
      </c>
      <c r="R131" s="2557"/>
    </row>
    <row r="132" spans="1:18" ht="33">
      <c r="A132" s="1570"/>
      <c r="B132" s="1594" t="s">
        <v>2938</v>
      </c>
      <c r="C132" s="1594"/>
      <c r="D132" s="1594"/>
      <c r="E132" s="1571"/>
      <c r="F132" s="1570"/>
      <c r="G132" s="1570" t="s">
        <v>2739</v>
      </c>
      <c r="H132" s="1570" t="s">
        <v>1907</v>
      </c>
      <c r="I132" s="1570" t="s">
        <v>2957</v>
      </c>
      <c r="J132" s="1570" t="s">
        <v>2958</v>
      </c>
      <c r="K132" s="1570" t="s">
        <v>936</v>
      </c>
      <c r="L132" s="1570"/>
      <c r="M132" s="1570" t="s">
        <v>2949</v>
      </c>
      <c r="N132" s="1570"/>
      <c r="O132" s="1570"/>
      <c r="P132" s="1609"/>
      <c r="Q132" s="2531"/>
      <c r="R132" s="2557"/>
    </row>
    <row r="133" spans="1:18" ht="33">
      <c r="A133" s="1570">
        <v>5</v>
      </c>
      <c r="B133" s="1618" t="s">
        <v>2814</v>
      </c>
      <c r="C133" s="1276"/>
      <c r="D133" s="1276"/>
      <c r="E133" s="1571">
        <v>1960</v>
      </c>
      <c r="F133" s="1570"/>
      <c r="G133" s="1570" t="s">
        <v>2739</v>
      </c>
      <c r="H133" s="1570" t="s">
        <v>2946</v>
      </c>
      <c r="I133" s="1570" t="s">
        <v>2947</v>
      </c>
      <c r="J133" s="1570" t="s">
        <v>2948</v>
      </c>
      <c r="K133" s="1570" t="s">
        <v>936</v>
      </c>
      <c r="L133" s="1570"/>
      <c r="M133" s="1570" t="s">
        <v>2949</v>
      </c>
      <c r="N133" s="1570"/>
      <c r="O133" s="1570"/>
      <c r="P133" s="1609">
        <v>5000</v>
      </c>
      <c r="Q133" s="2531" t="s">
        <v>2950</v>
      </c>
      <c r="R133" s="2557"/>
    </row>
    <row r="134" spans="1:18" ht="33">
      <c r="A134" s="1570">
        <v>6</v>
      </c>
      <c r="B134" s="1618" t="s">
        <v>2905</v>
      </c>
      <c r="C134" s="1276"/>
      <c r="D134" s="1276"/>
      <c r="E134" s="1571">
        <v>1987</v>
      </c>
      <c r="F134" s="1570"/>
      <c r="G134" s="1570" t="s">
        <v>2739</v>
      </c>
      <c r="H134" s="1570" t="s">
        <v>2946</v>
      </c>
      <c r="I134" s="1570" t="s">
        <v>2947</v>
      </c>
      <c r="J134" s="1570" t="s">
        <v>2948</v>
      </c>
      <c r="K134" s="1570" t="s">
        <v>936</v>
      </c>
      <c r="L134" s="1570"/>
      <c r="M134" s="1570" t="s">
        <v>2949</v>
      </c>
      <c r="N134" s="1570"/>
      <c r="O134" s="1570"/>
      <c r="P134" s="1609">
        <v>5000</v>
      </c>
      <c r="Q134" s="2531" t="s">
        <v>2950</v>
      </c>
      <c r="R134" s="2557"/>
    </row>
    <row r="135" spans="1:18" ht="33">
      <c r="A135" s="1570">
        <v>7</v>
      </c>
      <c r="B135" s="1618" t="s">
        <v>2961</v>
      </c>
      <c r="C135" s="1276"/>
      <c r="D135" s="1276"/>
      <c r="E135" s="1571">
        <v>1983</v>
      </c>
      <c r="F135" s="1570"/>
      <c r="G135" s="1570" t="s">
        <v>2739</v>
      </c>
      <c r="H135" s="1570" t="s">
        <v>2946</v>
      </c>
      <c r="I135" s="1570" t="s">
        <v>2947</v>
      </c>
      <c r="J135" s="1570" t="s">
        <v>2948</v>
      </c>
      <c r="K135" s="1570" t="s">
        <v>936</v>
      </c>
      <c r="L135" s="1570"/>
      <c r="M135" s="1570" t="s">
        <v>2949</v>
      </c>
      <c r="N135" s="1570"/>
      <c r="O135" s="1570"/>
      <c r="P135" s="1609">
        <v>5000</v>
      </c>
      <c r="Q135" s="2531" t="s">
        <v>2950</v>
      </c>
      <c r="R135" s="2557"/>
    </row>
    <row r="136" spans="1:18" ht="33">
      <c r="A136" s="1570">
        <v>8</v>
      </c>
      <c r="B136" s="1618" t="s">
        <v>2962</v>
      </c>
      <c r="C136" s="1276"/>
      <c r="D136" s="1276"/>
      <c r="E136" s="1571">
        <v>1975</v>
      </c>
      <c r="F136" s="1570"/>
      <c r="G136" s="1570" t="s">
        <v>2739</v>
      </c>
      <c r="H136" s="1570" t="s">
        <v>2946</v>
      </c>
      <c r="I136" s="1570" t="s">
        <v>2947</v>
      </c>
      <c r="J136" s="1570" t="s">
        <v>2948</v>
      </c>
      <c r="K136" s="1570" t="s">
        <v>936</v>
      </c>
      <c r="L136" s="1570"/>
      <c r="M136" s="1570" t="s">
        <v>2949</v>
      </c>
      <c r="N136" s="1570"/>
      <c r="O136" s="1570"/>
      <c r="P136" s="1609">
        <v>5000</v>
      </c>
      <c r="Q136" s="2531" t="s">
        <v>2950</v>
      </c>
      <c r="R136" s="2557"/>
    </row>
    <row r="137" spans="1:18" ht="33">
      <c r="A137" s="1570">
        <v>9</v>
      </c>
      <c r="B137" s="1594" t="s">
        <v>2963</v>
      </c>
      <c r="C137" s="1594"/>
      <c r="D137" s="1594"/>
      <c r="E137" s="1571"/>
      <c r="F137" s="1570">
        <v>1981</v>
      </c>
      <c r="G137" s="1570" t="s">
        <v>2739</v>
      </c>
      <c r="H137" s="1570" t="s">
        <v>2946</v>
      </c>
      <c r="I137" s="1570" t="s">
        <v>2947</v>
      </c>
      <c r="J137" s="1570" t="s">
        <v>2948</v>
      </c>
      <c r="K137" s="1570" t="s">
        <v>936</v>
      </c>
      <c r="L137" s="1570"/>
      <c r="M137" s="1570" t="s">
        <v>2949</v>
      </c>
      <c r="N137" s="1570"/>
      <c r="O137" s="1570"/>
      <c r="P137" s="1609">
        <v>5000</v>
      </c>
      <c r="Q137" s="2531" t="s">
        <v>2950</v>
      </c>
      <c r="R137" s="2557"/>
    </row>
    <row r="138" spans="1:18" ht="16.5">
      <c r="A138" s="1570">
        <v>10</v>
      </c>
      <c r="B138" s="1594" t="s">
        <v>2903</v>
      </c>
      <c r="C138" s="1594"/>
      <c r="D138" s="1594"/>
      <c r="E138" s="1571">
        <v>1981</v>
      </c>
      <c r="F138" s="1570"/>
      <c r="G138" s="1570" t="s">
        <v>2739</v>
      </c>
      <c r="H138" s="1570" t="s">
        <v>1907</v>
      </c>
      <c r="I138" s="1570" t="s">
        <v>2957</v>
      </c>
      <c r="J138" s="1570" t="s">
        <v>2964</v>
      </c>
      <c r="K138" s="1570"/>
      <c r="L138" s="1570" t="s">
        <v>936</v>
      </c>
      <c r="M138" s="1570" t="s">
        <v>2965</v>
      </c>
      <c r="N138" s="1570"/>
      <c r="O138" s="1570"/>
      <c r="P138" s="1609">
        <v>50000</v>
      </c>
      <c r="Q138" s="2531" t="s">
        <v>2955</v>
      </c>
      <c r="R138" s="2557"/>
    </row>
    <row r="139" spans="1:18" ht="33">
      <c r="A139" s="1570"/>
      <c r="B139" s="1594" t="s">
        <v>2903</v>
      </c>
      <c r="C139" s="1594"/>
      <c r="D139" s="1594"/>
      <c r="E139" s="1571">
        <v>1981</v>
      </c>
      <c r="F139" s="1570"/>
      <c r="G139" s="1570" t="s">
        <v>2739</v>
      </c>
      <c r="H139" s="1570" t="s">
        <v>1907</v>
      </c>
      <c r="I139" s="1570" t="s">
        <v>2957</v>
      </c>
      <c r="J139" s="1570" t="s">
        <v>2958</v>
      </c>
      <c r="K139" s="1570" t="s">
        <v>936</v>
      </c>
      <c r="L139" s="1570"/>
      <c r="M139" s="1570" t="s">
        <v>2949</v>
      </c>
      <c r="N139" s="1570"/>
      <c r="O139" s="1570"/>
      <c r="P139" s="1609"/>
      <c r="Q139" s="2531"/>
      <c r="R139" s="2557"/>
    </row>
    <row r="140" spans="1:18" ht="33">
      <c r="A140" s="1570">
        <v>11</v>
      </c>
      <c r="B140" s="1623" t="s">
        <v>2470</v>
      </c>
      <c r="C140" s="1570"/>
      <c r="D140" s="1570"/>
      <c r="E140" s="1571"/>
      <c r="F140" s="1624">
        <v>1985</v>
      </c>
      <c r="G140" s="1570" t="s">
        <v>2739</v>
      </c>
      <c r="H140" s="1570" t="s">
        <v>2966</v>
      </c>
      <c r="I140" s="1570" t="s">
        <v>2967</v>
      </c>
      <c r="J140" s="1570" t="s">
        <v>2968</v>
      </c>
      <c r="K140" s="1570" t="s">
        <v>936</v>
      </c>
      <c r="L140" s="1570"/>
      <c r="M140" s="1625">
        <v>45017</v>
      </c>
      <c r="N140" s="1570"/>
      <c r="O140" s="1570"/>
      <c r="P140" s="1609"/>
      <c r="Q140" s="2531" t="s">
        <v>2950</v>
      </c>
      <c r="R140" s="2557"/>
    </row>
    <row r="141" spans="1:18" ht="33">
      <c r="A141" s="1570">
        <v>12</v>
      </c>
      <c r="B141" s="1623" t="s">
        <v>2473</v>
      </c>
      <c r="C141" s="1570"/>
      <c r="D141" s="1570"/>
      <c r="E141" s="1571"/>
      <c r="F141" s="2425">
        <v>1986</v>
      </c>
      <c r="G141" s="1570" t="s">
        <v>2739</v>
      </c>
      <c r="H141" s="1570" t="s">
        <v>2966</v>
      </c>
      <c r="I141" s="1570" t="s">
        <v>2947</v>
      </c>
      <c r="J141" s="1570" t="s">
        <v>2968</v>
      </c>
      <c r="K141" s="1570" t="s">
        <v>936</v>
      </c>
      <c r="L141" s="1570"/>
      <c r="M141" s="1625">
        <v>45139</v>
      </c>
      <c r="N141" s="1606"/>
      <c r="O141" s="1606"/>
      <c r="P141" s="1609">
        <v>5000</v>
      </c>
      <c r="Q141" s="2531" t="s">
        <v>2950</v>
      </c>
      <c r="R141" s="2557"/>
    </row>
    <row r="142" spans="1:18" ht="33">
      <c r="A142" s="1570">
        <v>13</v>
      </c>
      <c r="B142" s="1623" t="s">
        <v>2474</v>
      </c>
      <c r="C142" s="1570"/>
      <c r="D142" s="1570"/>
      <c r="E142" s="1571"/>
      <c r="F142" s="2425">
        <v>1986</v>
      </c>
      <c r="G142" s="1570" t="s">
        <v>2739</v>
      </c>
      <c r="H142" s="1570" t="s">
        <v>2966</v>
      </c>
      <c r="I142" s="1570" t="s">
        <v>2947</v>
      </c>
      <c r="J142" s="1570" t="s">
        <v>2968</v>
      </c>
      <c r="K142" s="1570" t="s">
        <v>936</v>
      </c>
      <c r="L142" s="1570"/>
      <c r="M142" s="1625">
        <v>45139</v>
      </c>
      <c r="N142" s="1606"/>
      <c r="O142" s="1606"/>
      <c r="P142" s="1609">
        <v>5000</v>
      </c>
      <c r="Q142" s="2531" t="s">
        <v>2950</v>
      </c>
      <c r="R142" s="2557"/>
    </row>
    <row r="143" spans="1:18" ht="33">
      <c r="A143" s="1570">
        <v>14</v>
      </c>
      <c r="B143" s="1623" t="s">
        <v>2467</v>
      </c>
      <c r="C143" s="1570"/>
      <c r="D143" s="1570"/>
      <c r="E143" s="1571"/>
      <c r="F143" s="2425">
        <v>1971</v>
      </c>
      <c r="G143" s="1570" t="s">
        <v>2739</v>
      </c>
      <c r="H143" s="1570" t="s">
        <v>2966</v>
      </c>
      <c r="I143" s="1570" t="s">
        <v>2947</v>
      </c>
      <c r="J143" s="1570" t="s">
        <v>2968</v>
      </c>
      <c r="K143" s="1570" t="s">
        <v>936</v>
      </c>
      <c r="L143" s="1570"/>
      <c r="M143" s="1625">
        <v>45139</v>
      </c>
      <c r="N143" s="1606"/>
      <c r="O143" s="1606"/>
      <c r="P143" s="1609">
        <v>5000</v>
      </c>
      <c r="Q143" s="2531" t="s">
        <v>2950</v>
      </c>
      <c r="R143" s="2557"/>
    </row>
    <row r="144" spans="1:18" ht="33">
      <c r="A144" s="1570">
        <v>15</v>
      </c>
      <c r="B144" s="1623" t="s">
        <v>2465</v>
      </c>
      <c r="C144" s="1570"/>
      <c r="D144" s="1570"/>
      <c r="E144" s="2425">
        <v>1973</v>
      </c>
      <c r="F144" s="1571"/>
      <c r="G144" s="1570" t="s">
        <v>2739</v>
      </c>
      <c r="H144" s="1570" t="s">
        <v>2966</v>
      </c>
      <c r="I144" s="1570" t="s">
        <v>2947</v>
      </c>
      <c r="J144" s="1570" t="s">
        <v>2968</v>
      </c>
      <c r="K144" s="1570" t="s">
        <v>936</v>
      </c>
      <c r="L144" s="1570"/>
      <c r="M144" s="1625">
        <v>45139</v>
      </c>
      <c r="N144" s="1606"/>
      <c r="O144" s="1606"/>
      <c r="P144" s="1609">
        <v>5000</v>
      </c>
      <c r="Q144" s="2531" t="s">
        <v>2950</v>
      </c>
      <c r="R144" s="2557"/>
    </row>
    <row r="145" spans="1:18" ht="33">
      <c r="A145" s="1570">
        <v>16</v>
      </c>
      <c r="B145" s="1623" t="s">
        <v>2462</v>
      </c>
      <c r="C145" s="1570"/>
      <c r="D145" s="1570"/>
      <c r="E145" s="1571"/>
      <c r="F145" s="1624">
        <v>1975</v>
      </c>
      <c r="G145" s="1570" t="s">
        <v>2739</v>
      </c>
      <c r="H145" s="1570" t="s">
        <v>2966</v>
      </c>
      <c r="I145" s="1570" t="s">
        <v>2957</v>
      </c>
      <c r="J145" s="1570" t="s">
        <v>2968</v>
      </c>
      <c r="K145" s="1570" t="s">
        <v>936</v>
      </c>
      <c r="L145" s="1570"/>
      <c r="M145" s="1625">
        <v>45139</v>
      </c>
      <c r="N145" s="1606"/>
      <c r="O145" s="1606"/>
      <c r="P145" s="1609"/>
      <c r="Q145" s="2531" t="s">
        <v>2950</v>
      </c>
      <c r="R145" s="2557"/>
    </row>
    <row r="146" spans="1:18" ht="33">
      <c r="A146" s="1570">
        <v>17</v>
      </c>
      <c r="B146" s="1594" t="s">
        <v>2472</v>
      </c>
      <c r="C146" s="1570"/>
      <c r="D146" s="1570"/>
      <c r="E146" s="1570"/>
      <c r="F146" s="1624">
        <v>1986</v>
      </c>
      <c r="G146" s="1570" t="s">
        <v>2739</v>
      </c>
      <c r="H146" s="1570" t="s">
        <v>2966</v>
      </c>
      <c r="I146" s="1570" t="s">
        <v>2947</v>
      </c>
      <c r="J146" s="1570" t="s">
        <v>2968</v>
      </c>
      <c r="K146" s="1570" t="s">
        <v>936</v>
      </c>
      <c r="L146" s="1570"/>
      <c r="M146" s="1626">
        <v>45200</v>
      </c>
      <c r="N146" s="1606"/>
      <c r="O146" s="1606"/>
      <c r="P146" s="1609">
        <v>5000</v>
      </c>
      <c r="Q146" s="2531" t="s">
        <v>2950</v>
      </c>
      <c r="R146" s="2557"/>
    </row>
    <row r="147" spans="1:18" ht="33">
      <c r="A147" s="1570">
        <v>18</v>
      </c>
      <c r="B147" s="1594" t="s">
        <v>2468</v>
      </c>
      <c r="C147" s="1570"/>
      <c r="D147" s="1570"/>
      <c r="E147" s="2425">
        <v>1969</v>
      </c>
      <c r="F147" s="1571"/>
      <c r="G147" s="1570" t="s">
        <v>2739</v>
      </c>
      <c r="H147" s="1570" t="s">
        <v>2966</v>
      </c>
      <c r="I147" s="1570" t="s">
        <v>2947</v>
      </c>
      <c r="J147" s="1570" t="s">
        <v>2968</v>
      </c>
      <c r="K147" s="1570" t="s">
        <v>936</v>
      </c>
      <c r="L147" s="1570"/>
      <c r="M147" s="1626">
        <v>45200</v>
      </c>
      <c r="N147" s="1606"/>
      <c r="O147" s="1606"/>
      <c r="P147" s="1609">
        <v>5000</v>
      </c>
      <c r="Q147" s="2531" t="s">
        <v>2950</v>
      </c>
      <c r="R147" s="2557"/>
    </row>
    <row r="148" spans="1:18" ht="33">
      <c r="A148" s="1570">
        <v>19</v>
      </c>
      <c r="B148" s="1594" t="s">
        <v>2469</v>
      </c>
      <c r="C148" s="1570"/>
      <c r="D148" s="1570"/>
      <c r="E148" s="2425">
        <v>1976</v>
      </c>
      <c r="F148" s="1571"/>
      <c r="G148" s="1570" t="s">
        <v>2739</v>
      </c>
      <c r="H148" s="1570" t="s">
        <v>2966</v>
      </c>
      <c r="I148" s="1570" t="s">
        <v>2947</v>
      </c>
      <c r="J148" s="1570" t="s">
        <v>2968</v>
      </c>
      <c r="K148" s="1570" t="s">
        <v>936</v>
      </c>
      <c r="L148" s="1570"/>
      <c r="M148" s="1625">
        <v>45139</v>
      </c>
      <c r="N148" s="1606"/>
      <c r="O148" s="1606"/>
      <c r="P148" s="1609">
        <v>5000</v>
      </c>
      <c r="Q148" s="2531" t="s">
        <v>2950</v>
      </c>
      <c r="R148" s="2557"/>
    </row>
    <row r="149" spans="1:18" ht="33">
      <c r="A149" s="1570">
        <v>20</v>
      </c>
      <c r="B149" s="1594" t="s">
        <v>2471</v>
      </c>
      <c r="C149" s="1570"/>
      <c r="D149" s="1570"/>
      <c r="E149" s="1570"/>
      <c r="F149" s="1624">
        <v>1971</v>
      </c>
      <c r="G149" s="1570" t="s">
        <v>2739</v>
      </c>
      <c r="H149" s="1570" t="s">
        <v>2966</v>
      </c>
      <c r="I149" s="1570" t="s">
        <v>2947</v>
      </c>
      <c r="J149" s="1570" t="s">
        <v>2968</v>
      </c>
      <c r="K149" s="1570" t="s">
        <v>936</v>
      </c>
      <c r="L149" s="1570"/>
      <c r="M149" s="1626">
        <v>45200</v>
      </c>
      <c r="N149" s="1606"/>
      <c r="O149" s="1606"/>
      <c r="P149" s="1609">
        <v>5000</v>
      </c>
      <c r="Q149" s="2531" t="s">
        <v>2950</v>
      </c>
      <c r="R149" s="2557"/>
    </row>
    <row r="150" spans="1:18" ht="33">
      <c r="A150" s="1570">
        <v>21</v>
      </c>
      <c r="B150" s="1594" t="s">
        <v>2464</v>
      </c>
      <c r="C150" s="1570"/>
      <c r="D150" s="1570"/>
      <c r="E150" s="1570"/>
      <c r="F150" s="2425">
        <v>1980</v>
      </c>
      <c r="G150" s="1570" t="s">
        <v>2739</v>
      </c>
      <c r="H150" s="1570" t="s">
        <v>2966</v>
      </c>
      <c r="I150" s="1570" t="s">
        <v>2947</v>
      </c>
      <c r="J150" s="1570" t="s">
        <v>2968</v>
      </c>
      <c r="K150" s="1570" t="s">
        <v>936</v>
      </c>
      <c r="L150" s="1570"/>
      <c r="M150" s="1625">
        <v>45139</v>
      </c>
      <c r="N150" s="1606"/>
      <c r="O150" s="1606"/>
      <c r="P150" s="1609">
        <v>5000</v>
      </c>
      <c r="Q150" s="2531" t="s">
        <v>2950</v>
      </c>
      <c r="R150" s="2557"/>
    </row>
    <row r="151" spans="1:18" ht="33">
      <c r="A151" s="1570">
        <v>22</v>
      </c>
      <c r="B151" s="1594" t="s">
        <v>2466</v>
      </c>
      <c r="C151" s="1570"/>
      <c r="D151" s="1570"/>
      <c r="E151" s="2425">
        <v>1959</v>
      </c>
      <c r="F151" s="1558"/>
      <c r="G151" s="1570" t="s">
        <v>2739</v>
      </c>
      <c r="H151" s="1570" t="s">
        <v>2966</v>
      </c>
      <c r="I151" s="1570" t="s">
        <v>2947</v>
      </c>
      <c r="J151" s="1570" t="s">
        <v>2968</v>
      </c>
      <c r="K151" s="1570" t="s">
        <v>936</v>
      </c>
      <c r="L151" s="1570"/>
      <c r="M151" s="1625">
        <v>45139</v>
      </c>
      <c r="N151" s="1606"/>
      <c r="O151" s="1606"/>
      <c r="P151" s="1609">
        <v>5000</v>
      </c>
      <c r="Q151" s="2531" t="s">
        <v>2950</v>
      </c>
      <c r="R151" s="2557"/>
    </row>
    <row r="152" spans="1:18" ht="33">
      <c r="A152" s="1570">
        <v>23</v>
      </c>
      <c r="B152" s="1594" t="s">
        <v>2447</v>
      </c>
      <c r="C152" s="1570"/>
      <c r="D152" s="1570"/>
      <c r="E152" s="1570"/>
      <c r="F152" s="1570"/>
      <c r="G152" s="1570" t="s">
        <v>2739</v>
      </c>
      <c r="H152" s="1570" t="s">
        <v>2946</v>
      </c>
      <c r="I152" s="1570" t="s">
        <v>2969</v>
      </c>
      <c r="J152" s="1570" t="s">
        <v>2970</v>
      </c>
      <c r="K152" s="1570" t="s">
        <v>936</v>
      </c>
      <c r="L152" s="1570"/>
      <c r="M152" s="1625">
        <v>45139</v>
      </c>
      <c r="N152" s="1627"/>
      <c r="O152" s="1627"/>
      <c r="P152" s="172">
        <v>3000</v>
      </c>
      <c r="Q152" s="2531" t="s">
        <v>546</v>
      </c>
      <c r="R152" s="2557"/>
    </row>
    <row r="153" spans="1:18" ht="33">
      <c r="A153" s="1570">
        <v>24</v>
      </c>
      <c r="B153" s="1594" t="s">
        <v>2449</v>
      </c>
      <c r="C153" s="1570"/>
      <c r="D153" s="1570"/>
      <c r="E153" s="1570"/>
      <c r="F153" s="1570"/>
      <c r="G153" s="1570" t="s">
        <v>2739</v>
      </c>
      <c r="H153" s="1570" t="s">
        <v>2946</v>
      </c>
      <c r="I153" s="1570" t="s">
        <v>2969</v>
      </c>
      <c r="J153" s="1570" t="s">
        <v>2970</v>
      </c>
      <c r="K153" s="1570" t="s">
        <v>936</v>
      </c>
      <c r="L153" s="1570"/>
      <c r="M153" s="1625">
        <v>45139</v>
      </c>
      <c r="N153" s="1627"/>
      <c r="O153" s="1627"/>
      <c r="P153" s="172">
        <v>3000</v>
      </c>
      <c r="Q153" s="2531" t="s">
        <v>546</v>
      </c>
      <c r="R153" s="2557"/>
    </row>
    <row r="154" spans="1:18" ht="33">
      <c r="A154" s="1570">
        <v>25</v>
      </c>
      <c r="B154" s="1594" t="s">
        <v>2971</v>
      </c>
      <c r="C154" s="1570"/>
      <c r="D154" s="1570"/>
      <c r="E154" s="1570"/>
      <c r="F154" s="1570"/>
      <c r="G154" s="1570" t="s">
        <v>2739</v>
      </c>
      <c r="H154" s="1570" t="s">
        <v>2946</v>
      </c>
      <c r="I154" s="1570" t="s">
        <v>2969</v>
      </c>
      <c r="J154" s="1570" t="s">
        <v>2970</v>
      </c>
      <c r="K154" s="1570" t="s">
        <v>936</v>
      </c>
      <c r="L154" s="1570"/>
      <c r="M154" s="1625">
        <v>45139</v>
      </c>
      <c r="N154" s="1627"/>
      <c r="O154" s="1627"/>
      <c r="P154" s="172">
        <v>3000</v>
      </c>
      <c r="Q154" s="2531" t="s">
        <v>546</v>
      </c>
      <c r="R154" s="2557"/>
    </row>
    <row r="155" spans="1:18" ht="33">
      <c r="A155" s="1570">
        <v>26</v>
      </c>
      <c r="B155" s="1594" t="s">
        <v>2454</v>
      </c>
      <c r="C155" s="1570"/>
      <c r="D155" s="1570"/>
      <c r="E155" s="1570"/>
      <c r="F155" s="1570"/>
      <c r="G155" s="1570" t="s">
        <v>2739</v>
      </c>
      <c r="H155" s="1570" t="s">
        <v>2946</v>
      </c>
      <c r="I155" s="1570" t="s">
        <v>2969</v>
      </c>
      <c r="J155" s="1570" t="s">
        <v>2970</v>
      </c>
      <c r="K155" s="1570" t="s">
        <v>936</v>
      </c>
      <c r="L155" s="1570"/>
      <c r="M155" s="1625">
        <v>45139</v>
      </c>
      <c r="N155" s="1627"/>
      <c r="O155" s="1627"/>
      <c r="P155" s="172">
        <v>3000</v>
      </c>
      <c r="Q155" s="2531" t="s">
        <v>546</v>
      </c>
      <c r="R155" s="2557"/>
    </row>
    <row r="156" spans="1:18" ht="33">
      <c r="A156" s="1570">
        <v>25</v>
      </c>
      <c r="B156" s="1594" t="s">
        <v>2456</v>
      </c>
      <c r="C156" s="1570"/>
      <c r="D156" s="1570"/>
      <c r="E156" s="1570"/>
      <c r="F156" s="1570"/>
      <c r="G156" s="1570" t="s">
        <v>2739</v>
      </c>
      <c r="H156" s="1570" t="s">
        <v>2946</v>
      </c>
      <c r="I156" s="1570" t="s">
        <v>2969</v>
      </c>
      <c r="J156" s="1570" t="s">
        <v>2970</v>
      </c>
      <c r="K156" s="1570" t="s">
        <v>936</v>
      </c>
      <c r="L156" s="1570"/>
      <c r="M156" s="1625">
        <v>45139</v>
      </c>
      <c r="N156" s="1627"/>
      <c r="O156" s="1627"/>
      <c r="P156" s="172">
        <v>3000</v>
      </c>
      <c r="Q156" s="2531" t="s">
        <v>546</v>
      </c>
      <c r="R156" s="2557"/>
    </row>
    <row r="157" spans="1:18" ht="33">
      <c r="A157" s="1570">
        <v>26</v>
      </c>
      <c r="B157" s="1594" t="s">
        <v>2457</v>
      </c>
      <c r="C157" s="1570"/>
      <c r="D157" s="1570"/>
      <c r="E157" s="1570"/>
      <c r="F157" s="1570"/>
      <c r="G157" s="1570" t="s">
        <v>2739</v>
      </c>
      <c r="H157" s="1570" t="s">
        <v>2946</v>
      </c>
      <c r="I157" s="1570" t="s">
        <v>2969</v>
      </c>
      <c r="J157" s="1570" t="s">
        <v>2970</v>
      </c>
      <c r="K157" s="1570" t="s">
        <v>936</v>
      </c>
      <c r="L157" s="1570"/>
      <c r="M157" s="1625">
        <v>45139</v>
      </c>
      <c r="N157" s="1627"/>
      <c r="O157" s="1627"/>
      <c r="P157" s="172">
        <v>3000</v>
      </c>
      <c r="Q157" s="2531" t="s">
        <v>546</v>
      </c>
      <c r="R157" s="2557"/>
    </row>
    <row r="158" spans="1:18" ht="33">
      <c r="A158" s="1570">
        <v>27</v>
      </c>
      <c r="B158" s="1594" t="s">
        <v>2448</v>
      </c>
      <c r="C158" s="1570"/>
      <c r="D158" s="1570"/>
      <c r="E158" s="1570"/>
      <c r="F158" s="1570"/>
      <c r="G158" s="1570" t="s">
        <v>2739</v>
      </c>
      <c r="H158" s="1570" t="s">
        <v>2946</v>
      </c>
      <c r="I158" s="1570" t="s">
        <v>2969</v>
      </c>
      <c r="J158" s="1570" t="s">
        <v>2970</v>
      </c>
      <c r="K158" s="1570" t="s">
        <v>936</v>
      </c>
      <c r="L158" s="1570"/>
      <c r="M158" s="1625">
        <v>45139</v>
      </c>
      <c r="N158" s="1627"/>
      <c r="O158" s="1627"/>
      <c r="P158" s="172">
        <v>3000</v>
      </c>
      <c r="Q158" s="2531" t="s">
        <v>546</v>
      </c>
      <c r="R158" s="2557"/>
    </row>
    <row r="159" spans="1:18" ht="33">
      <c r="A159" s="1570">
        <v>28</v>
      </c>
      <c r="B159" s="1594" t="s">
        <v>2451</v>
      </c>
      <c r="C159" s="1570"/>
      <c r="D159" s="1570"/>
      <c r="E159" s="1570"/>
      <c r="F159" s="1570"/>
      <c r="G159" s="1570" t="s">
        <v>2739</v>
      </c>
      <c r="H159" s="1570" t="s">
        <v>2946</v>
      </c>
      <c r="I159" s="1570" t="s">
        <v>2969</v>
      </c>
      <c r="J159" s="1570" t="s">
        <v>2970</v>
      </c>
      <c r="K159" s="1570" t="s">
        <v>936</v>
      </c>
      <c r="L159" s="1570"/>
      <c r="M159" s="1625">
        <v>45139</v>
      </c>
      <c r="N159" s="1627"/>
      <c r="O159" s="1627"/>
      <c r="P159" s="172">
        <v>3000</v>
      </c>
      <c r="Q159" s="2531" t="s">
        <v>546</v>
      </c>
      <c r="R159" s="2557"/>
    </row>
    <row r="160" spans="1:18" ht="49.5">
      <c r="A160" s="1570">
        <v>29</v>
      </c>
      <c r="B160" s="1594" t="s">
        <v>2804</v>
      </c>
      <c r="C160" s="1570"/>
      <c r="D160" s="1570"/>
      <c r="E160" s="1570">
        <v>1957</v>
      </c>
      <c r="F160" s="1570"/>
      <c r="G160" s="1570" t="s">
        <v>2739</v>
      </c>
      <c r="H160" s="1570" t="s">
        <v>2972</v>
      </c>
      <c r="I160" s="1570" t="s">
        <v>2947</v>
      </c>
      <c r="J160" s="1570" t="s">
        <v>2973</v>
      </c>
      <c r="K160" s="1570" t="s">
        <v>936</v>
      </c>
      <c r="L160" s="1570"/>
      <c r="M160" s="1628">
        <v>45200</v>
      </c>
      <c r="N160" s="1606"/>
      <c r="O160" s="1606"/>
      <c r="P160" s="172">
        <v>3000</v>
      </c>
      <c r="Q160" s="2531" t="s">
        <v>2950</v>
      </c>
      <c r="R160" s="2557"/>
    </row>
    <row r="161" spans="1:18" ht="49.5">
      <c r="A161" s="1570">
        <v>30</v>
      </c>
      <c r="B161" s="1594" t="s">
        <v>2974</v>
      </c>
      <c r="C161" s="1570"/>
      <c r="D161" s="1570"/>
      <c r="E161" s="1570">
        <v>1984</v>
      </c>
      <c r="F161" s="1570"/>
      <c r="G161" s="1570" t="s">
        <v>2739</v>
      </c>
      <c r="H161" s="1570" t="s">
        <v>2972</v>
      </c>
      <c r="I161" s="1570" t="s">
        <v>2947</v>
      </c>
      <c r="J161" s="1570" t="s">
        <v>2973</v>
      </c>
      <c r="K161" s="1570" t="s">
        <v>936</v>
      </c>
      <c r="L161" s="1570"/>
      <c r="M161" s="1628">
        <v>45201</v>
      </c>
      <c r="N161" s="1606"/>
      <c r="O161" s="1606"/>
      <c r="P161" s="172">
        <v>3000</v>
      </c>
      <c r="Q161" s="2531" t="s">
        <v>2950</v>
      </c>
      <c r="R161" s="2557"/>
    </row>
    <row r="162" spans="1:18" ht="49.5">
      <c r="A162" s="1570">
        <v>31</v>
      </c>
      <c r="B162" s="1594" t="s">
        <v>2975</v>
      </c>
      <c r="C162" s="1570"/>
      <c r="D162" s="1570"/>
      <c r="E162" s="1570"/>
      <c r="F162" s="1570">
        <v>1974</v>
      </c>
      <c r="G162" s="1570" t="s">
        <v>2739</v>
      </c>
      <c r="H162" s="1570" t="s">
        <v>2972</v>
      </c>
      <c r="I162" s="1570" t="s">
        <v>2947</v>
      </c>
      <c r="J162" s="1570" t="s">
        <v>2973</v>
      </c>
      <c r="K162" s="1570" t="s">
        <v>936</v>
      </c>
      <c r="L162" s="1570"/>
      <c r="M162" s="1628">
        <v>45202</v>
      </c>
      <c r="N162" s="1606"/>
      <c r="O162" s="1606"/>
      <c r="P162" s="172">
        <v>3000</v>
      </c>
      <c r="Q162" s="2531" t="s">
        <v>2950</v>
      </c>
      <c r="R162" s="2557"/>
    </row>
    <row r="163" spans="1:18" ht="49.5">
      <c r="A163" s="1570">
        <v>32</v>
      </c>
      <c r="B163" s="1594" t="s">
        <v>2976</v>
      </c>
      <c r="C163" s="1570"/>
      <c r="D163" s="1570"/>
      <c r="E163" s="1570"/>
      <c r="F163" s="1570">
        <v>1977</v>
      </c>
      <c r="G163" s="1570" t="s">
        <v>2739</v>
      </c>
      <c r="H163" s="1570" t="s">
        <v>2972</v>
      </c>
      <c r="I163" s="1570" t="s">
        <v>2947</v>
      </c>
      <c r="J163" s="1570" t="s">
        <v>2973</v>
      </c>
      <c r="K163" s="1570" t="s">
        <v>936</v>
      </c>
      <c r="L163" s="1570"/>
      <c r="M163" s="1628">
        <v>45203</v>
      </c>
      <c r="N163" s="1606"/>
      <c r="O163" s="1606"/>
      <c r="P163" s="172">
        <v>3000</v>
      </c>
      <c r="Q163" s="2531" t="s">
        <v>2950</v>
      </c>
      <c r="R163" s="2557"/>
    </row>
    <row r="164" spans="1:18" ht="49.5">
      <c r="A164" s="1570">
        <v>33</v>
      </c>
      <c r="B164" s="1594" t="s">
        <v>2977</v>
      </c>
      <c r="C164" s="1570"/>
      <c r="D164" s="1570"/>
      <c r="E164" s="1570">
        <v>1981</v>
      </c>
      <c r="F164" s="1570"/>
      <c r="G164" s="1570" t="s">
        <v>2739</v>
      </c>
      <c r="H164" s="1570" t="s">
        <v>2972</v>
      </c>
      <c r="I164" s="1570" t="s">
        <v>2947</v>
      </c>
      <c r="J164" s="1570" t="s">
        <v>2973</v>
      </c>
      <c r="K164" s="1570" t="s">
        <v>936</v>
      </c>
      <c r="L164" s="1570"/>
      <c r="M164" s="1628">
        <v>45204</v>
      </c>
      <c r="N164" s="1606"/>
      <c r="O164" s="1606"/>
      <c r="P164" s="172">
        <v>3000</v>
      </c>
      <c r="Q164" s="2531" t="s">
        <v>2950</v>
      </c>
      <c r="R164" s="2557"/>
    </row>
    <row r="165" spans="1:18" ht="49.5">
      <c r="A165" s="1570">
        <v>34</v>
      </c>
      <c r="B165" s="1594" t="s">
        <v>2978</v>
      </c>
      <c r="C165" s="1570"/>
      <c r="D165" s="1570"/>
      <c r="E165" s="1570">
        <v>1979</v>
      </c>
      <c r="F165" s="1570"/>
      <c r="G165" s="1570" t="s">
        <v>2739</v>
      </c>
      <c r="H165" s="1570" t="s">
        <v>2972</v>
      </c>
      <c r="I165" s="1570" t="s">
        <v>2947</v>
      </c>
      <c r="J165" s="1570" t="s">
        <v>2973</v>
      </c>
      <c r="K165" s="1570" t="s">
        <v>936</v>
      </c>
      <c r="L165" s="1570"/>
      <c r="M165" s="1628">
        <v>45205</v>
      </c>
      <c r="N165" s="1606"/>
      <c r="O165" s="1606"/>
      <c r="P165" s="172">
        <v>3000</v>
      </c>
      <c r="Q165" s="2531" t="s">
        <v>2950</v>
      </c>
      <c r="R165" s="2557"/>
    </row>
    <row r="166" spans="1:18" ht="49.5">
      <c r="A166" s="1570">
        <v>35</v>
      </c>
      <c r="B166" s="1594" t="s">
        <v>2979</v>
      </c>
      <c r="C166" s="1570"/>
      <c r="D166" s="1570"/>
      <c r="E166" s="1570">
        <v>1978</v>
      </c>
      <c r="F166" s="1570"/>
      <c r="G166" s="1570" t="s">
        <v>2739</v>
      </c>
      <c r="H166" s="1570" t="s">
        <v>2972</v>
      </c>
      <c r="I166" s="1570" t="s">
        <v>2947</v>
      </c>
      <c r="J166" s="1570" t="s">
        <v>2973</v>
      </c>
      <c r="K166" s="1570" t="s">
        <v>936</v>
      </c>
      <c r="L166" s="1570"/>
      <c r="M166" s="1628">
        <v>45206</v>
      </c>
      <c r="N166" s="1606"/>
      <c r="O166" s="1606"/>
      <c r="P166" s="172">
        <v>3000</v>
      </c>
      <c r="Q166" s="2531" t="s">
        <v>2950</v>
      </c>
      <c r="R166" s="2557"/>
    </row>
    <row r="167" spans="1:18" ht="49.5">
      <c r="A167" s="1570">
        <v>36</v>
      </c>
      <c r="B167" s="1594" t="s">
        <v>2980</v>
      </c>
      <c r="C167" s="1570"/>
      <c r="D167" s="1570"/>
      <c r="E167" s="1570"/>
      <c r="F167" s="1570">
        <v>1975</v>
      </c>
      <c r="G167" s="1570" t="s">
        <v>2739</v>
      </c>
      <c r="H167" s="1570" t="s">
        <v>2972</v>
      </c>
      <c r="I167" s="1570" t="s">
        <v>2947</v>
      </c>
      <c r="J167" s="1570" t="s">
        <v>2973</v>
      </c>
      <c r="K167" s="1570" t="s">
        <v>936</v>
      </c>
      <c r="L167" s="1570"/>
      <c r="M167" s="1628">
        <v>45204</v>
      </c>
      <c r="N167" s="1606"/>
      <c r="O167" s="1606"/>
      <c r="P167" s="172">
        <v>3000</v>
      </c>
      <c r="Q167" s="2531" t="s">
        <v>2950</v>
      </c>
      <c r="R167" s="2557"/>
    </row>
    <row r="168" spans="1:18" ht="16.5">
      <c r="A168" s="1570">
        <v>37</v>
      </c>
      <c r="B168" s="1594" t="s">
        <v>2981</v>
      </c>
      <c r="C168" s="1570"/>
      <c r="D168" s="1570"/>
      <c r="E168" s="1570">
        <v>1981</v>
      </c>
      <c r="F168" s="1570"/>
      <c r="G168" s="1570" t="s">
        <v>2739</v>
      </c>
      <c r="H168" s="2674" t="s">
        <v>2982</v>
      </c>
      <c r="I168" s="1629" t="s">
        <v>2947</v>
      </c>
      <c r="J168" s="1570" t="s">
        <v>2948</v>
      </c>
      <c r="K168" s="1570" t="s">
        <v>936</v>
      </c>
      <c r="L168" s="1570"/>
      <c r="M168" s="1628">
        <v>45205</v>
      </c>
      <c r="N168" s="1606"/>
      <c r="O168" s="1606"/>
      <c r="P168" s="172">
        <v>3000</v>
      </c>
      <c r="Q168" s="2531" t="s">
        <v>255</v>
      </c>
      <c r="R168" s="2557"/>
    </row>
    <row r="169" spans="1:18" ht="16.5">
      <c r="A169" s="1570">
        <v>38</v>
      </c>
      <c r="B169" s="1594" t="s">
        <v>2983</v>
      </c>
      <c r="C169" s="1570"/>
      <c r="D169" s="1570"/>
      <c r="E169" s="2411">
        <v>1976</v>
      </c>
      <c r="F169" s="2411"/>
      <c r="G169" s="1570" t="s">
        <v>2739</v>
      </c>
      <c r="H169" s="2675" t="s">
        <v>2982</v>
      </c>
      <c r="I169" s="1629" t="s">
        <v>2947</v>
      </c>
      <c r="J169" s="2411" t="s">
        <v>2948</v>
      </c>
      <c r="K169" s="1570" t="s">
        <v>936</v>
      </c>
      <c r="L169" s="2411"/>
      <c r="M169" s="2426">
        <v>45206</v>
      </c>
      <c r="N169" s="2427"/>
      <c r="O169" s="2427"/>
      <c r="P169" s="2428">
        <v>3000</v>
      </c>
      <c r="Q169" s="2532" t="s">
        <v>255</v>
      </c>
      <c r="R169" s="2557"/>
    </row>
    <row r="170" spans="1:18" ht="16.5">
      <c r="A170" s="1570">
        <v>39</v>
      </c>
      <c r="B170" s="1594" t="s">
        <v>2608</v>
      </c>
      <c r="C170" s="1570"/>
      <c r="D170" s="1570"/>
      <c r="E170" s="1570">
        <v>1976</v>
      </c>
      <c r="F170" s="1570"/>
      <c r="G170" s="1570" t="s">
        <v>2739</v>
      </c>
      <c r="H170" s="2674" t="s">
        <v>2982</v>
      </c>
      <c r="I170" s="1629" t="s">
        <v>2947</v>
      </c>
      <c r="J170" s="1570" t="s">
        <v>2948</v>
      </c>
      <c r="K170" s="1570" t="s">
        <v>936</v>
      </c>
      <c r="L170" s="1570"/>
      <c r="M170" s="1628">
        <v>45207</v>
      </c>
      <c r="N170" s="1606"/>
      <c r="O170" s="1606"/>
      <c r="P170" s="172">
        <v>3000</v>
      </c>
      <c r="Q170" s="2531" t="s">
        <v>255</v>
      </c>
      <c r="R170" s="2557"/>
    </row>
    <row r="171" spans="1:18" ht="16.5">
      <c r="A171" s="1570">
        <v>40</v>
      </c>
      <c r="B171" s="1594" t="s">
        <v>2609</v>
      </c>
      <c r="C171" s="1570"/>
      <c r="D171" s="1570"/>
      <c r="E171" s="1570"/>
      <c r="F171" s="1570"/>
      <c r="G171" s="1570" t="s">
        <v>2739</v>
      </c>
      <c r="H171" s="2674" t="s">
        <v>2982</v>
      </c>
      <c r="I171" s="1629" t="s">
        <v>2947</v>
      </c>
      <c r="J171" s="1570" t="s">
        <v>2948</v>
      </c>
      <c r="K171" s="1570" t="s">
        <v>936</v>
      </c>
      <c r="L171" s="1570"/>
      <c r="M171" s="1628">
        <v>45208</v>
      </c>
      <c r="N171" s="1606"/>
      <c r="O171" s="1606"/>
      <c r="P171" s="172">
        <v>3000</v>
      </c>
      <c r="Q171" s="2531" t="s">
        <v>255</v>
      </c>
      <c r="R171" s="2557"/>
    </row>
    <row r="172" spans="1:18" ht="16.5">
      <c r="A172" s="1570">
        <v>41</v>
      </c>
      <c r="B172" s="1594" t="s">
        <v>2613</v>
      </c>
      <c r="C172" s="1570"/>
      <c r="D172" s="1570"/>
      <c r="E172" s="1570"/>
      <c r="F172" s="1570"/>
      <c r="G172" s="1570" t="s">
        <v>2739</v>
      </c>
      <c r="H172" s="2674" t="s">
        <v>2982</v>
      </c>
      <c r="I172" s="1629" t="s">
        <v>2947</v>
      </c>
      <c r="J172" s="1570" t="s">
        <v>2984</v>
      </c>
      <c r="K172" s="1570" t="s">
        <v>936</v>
      </c>
      <c r="L172" s="1570"/>
      <c r="M172" s="1628">
        <v>45209</v>
      </c>
      <c r="N172" s="1606"/>
      <c r="O172" s="1606"/>
      <c r="P172" s="172">
        <v>3000</v>
      </c>
      <c r="Q172" s="2531" t="s">
        <v>255</v>
      </c>
      <c r="R172" s="2557"/>
    </row>
    <row r="173" spans="1:18" ht="16.5">
      <c r="A173" s="1570">
        <v>42</v>
      </c>
      <c r="B173" s="1594" t="s">
        <v>2985</v>
      </c>
      <c r="C173" s="1570"/>
      <c r="D173" s="1570"/>
      <c r="E173" s="1570"/>
      <c r="F173" s="1570"/>
      <c r="G173" s="1570" t="s">
        <v>2739</v>
      </c>
      <c r="H173" s="2674" t="s">
        <v>2982</v>
      </c>
      <c r="I173" s="1629" t="s">
        <v>2947</v>
      </c>
      <c r="J173" s="1570" t="s">
        <v>2984</v>
      </c>
      <c r="K173" s="1570" t="s">
        <v>936</v>
      </c>
      <c r="L173" s="1570"/>
      <c r="M173" s="1628">
        <v>45210</v>
      </c>
      <c r="N173" s="1606"/>
      <c r="O173" s="1606"/>
      <c r="P173" s="172">
        <v>3000</v>
      </c>
      <c r="Q173" s="2531" t="s">
        <v>255</v>
      </c>
      <c r="R173" s="2557"/>
    </row>
    <row r="174" spans="1:18" ht="16.5">
      <c r="A174" s="1570">
        <v>43</v>
      </c>
      <c r="B174" s="1594" t="s">
        <v>2986</v>
      </c>
      <c r="C174" s="1570"/>
      <c r="D174" s="1570"/>
      <c r="E174" s="1570"/>
      <c r="F174" s="1570"/>
      <c r="G174" s="1570" t="s">
        <v>2739</v>
      </c>
      <c r="H174" s="2674" t="s">
        <v>2982</v>
      </c>
      <c r="I174" s="1629" t="s">
        <v>2947</v>
      </c>
      <c r="J174" s="1570" t="s">
        <v>2984</v>
      </c>
      <c r="K174" s="1570" t="s">
        <v>936</v>
      </c>
      <c r="L174" s="1570"/>
      <c r="M174" s="1628">
        <v>45211</v>
      </c>
      <c r="N174" s="1606"/>
      <c r="O174" s="1606"/>
      <c r="P174" s="172">
        <v>3000</v>
      </c>
      <c r="Q174" s="2531" t="s">
        <v>255</v>
      </c>
      <c r="R174" s="2557"/>
    </row>
    <row r="175" spans="1:18" ht="16.5">
      <c r="A175" s="1570">
        <v>44</v>
      </c>
      <c r="B175" s="1594" t="s">
        <v>2616</v>
      </c>
      <c r="C175" s="1570"/>
      <c r="D175" s="1570"/>
      <c r="E175" s="1570"/>
      <c r="F175" s="1570"/>
      <c r="G175" s="1570" t="s">
        <v>2739</v>
      </c>
      <c r="H175" s="2674" t="s">
        <v>2982</v>
      </c>
      <c r="I175" s="1629" t="s">
        <v>2947</v>
      </c>
      <c r="J175" s="1570" t="s">
        <v>2984</v>
      </c>
      <c r="K175" s="1570" t="s">
        <v>936</v>
      </c>
      <c r="L175" s="1570"/>
      <c r="M175" s="1628">
        <v>45212</v>
      </c>
      <c r="N175" s="1606"/>
      <c r="O175" s="1606"/>
      <c r="P175" s="172">
        <v>3000</v>
      </c>
      <c r="Q175" s="2531" t="s">
        <v>255</v>
      </c>
      <c r="R175" s="2557"/>
    </row>
    <row r="176" spans="1:18" ht="16.5">
      <c r="A176" s="1570">
        <v>45</v>
      </c>
      <c r="B176" s="1594" t="s">
        <v>2615</v>
      </c>
      <c r="C176" s="1570"/>
      <c r="D176" s="1570"/>
      <c r="E176" s="1570"/>
      <c r="F176" s="1570"/>
      <c r="G176" s="1570" t="s">
        <v>2739</v>
      </c>
      <c r="H176" s="2674" t="s">
        <v>2982</v>
      </c>
      <c r="I176" s="1629" t="s">
        <v>2947</v>
      </c>
      <c r="J176" s="1570" t="s">
        <v>2984</v>
      </c>
      <c r="K176" s="1570" t="s">
        <v>936</v>
      </c>
      <c r="L176" s="1570"/>
      <c r="M176" s="1628">
        <v>45213</v>
      </c>
      <c r="N176" s="1606"/>
      <c r="O176" s="1606"/>
      <c r="P176" s="172">
        <v>3000</v>
      </c>
      <c r="Q176" s="2531" t="s">
        <v>255</v>
      </c>
      <c r="R176" s="2557"/>
    </row>
    <row r="177" spans="1:18" ht="16.5">
      <c r="A177" s="1570">
        <v>46</v>
      </c>
      <c r="B177" s="1594" t="s">
        <v>2987</v>
      </c>
      <c r="C177" s="1570"/>
      <c r="D177" s="1570"/>
      <c r="E177" s="1570"/>
      <c r="F177" s="1570"/>
      <c r="G177" s="1570" t="s">
        <v>2739</v>
      </c>
      <c r="H177" s="2674" t="s">
        <v>2982</v>
      </c>
      <c r="I177" s="1629" t="s">
        <v>2947</v>
      </c>
      <c r="J177" s="1570" t="s">
        <v>2984</v>
      </c>
      <c r="K177" s="1570" t="s">
        <v>936</v>
      </c>
      <c r="L177" s="1570"/>
      <c r="M177" s="1628">
        <v>45214</v>
      </c>
      <c r="N177" s="1606"/>
      <c r="O177" s="1606"/>
      <c r="P177" s="172">
        <v>3000</v>
      </c>
      <c r="Q177" s="2531" t="s">
        <v>255</v>
      </c>
      <c r="R177" s="2557"/>
    </row>
    <row r="178" spans="1:18" ht="33">
      <c r="A178" s="1570">
        <v>47</v>
      </c>
      <c r="B178" s="1594" t="s">
        <v>2552</v>
      </c>
      <c r="C178" s="1570"/>
      <c r="D178" s="1570"/>
      <c r="E178" s="1570"/>
      <c r="F178" s="1570"/>
      <c r="G178" s="1570" t="s">
        <v>2739</v>
      </c>
      <c r="H178" s="1570" t="s">
        <v>2982</v>
      </c>
      <c r="I178" s="1570" t="s">
        <v>2947</v>
      </c>
      <c r="J178" s="1570" t="s">
        <v>2984</v>
      </c>
      <c r="K178" s="1570" t="s">
        <v>936</v>
      </c>
      <c r="L178" s="1570"/>
      <c r="M178" s="1628">
        <v>45215</v>
      </c>
      <c r="N178" s="1606"/>
      <c r="O178" s="1606"/>
      <c r="P178" s="172">
        <v>3000</v>
      </c>
      <c r="Q178" s="2531"/>
      <c r="R178" s="2557"/>
    </row>
    <row r="179" spans="1:18" ht="33">
      <c r="A179" s="1570">
        <v>48</v>
      </c>
      <c r="B179" s="1594" t="s">
        <v>2555</v>
      </c>
      <c r="C179" s="1570"/>
      <c r="D179" s="1570"/>
      <c r="E179" s="1570"/>
      <c r="F179" s="1570"/>
      <c r="G179" s="1570" t="s">
        <v>2739</v>
      </c>
      <c r="H179" s="1570" t="s">
        <v>2982</v>
      </c>
      <c r="I179" s="1570" t="s">
        <v>2988</v>
      </c>
      <c r="J179" s="1570" t="s">
        <v>2984</v>
      </c>
      <c r="K179" s="1570" t="s">
        <v>936</v>
      </c>
      <c r="L179" s="1570"/>
      <c r="M179" s="1628">
        <v>45216</v>
      </c>
      <c r="N179" s="1606"/>
      <c r="O179" s="1606"/>
      <c r="P179" s="172">
        <v>3000</v>
      </c>
      <c r="Q179" s="2531"/>
      <c r="R179" s="2557"/>
    </row>
    <row r="180" spans="1:18" ht="33">
      <c r="A180" s="1570">
        <v>49</v>
      </c>
      <c r="B180" s="1594" t="s">
        <v>2989</v>
      </c>
      <c r="C180" s="1570"/>
      <c r="D180" s="1570"/>
      <c r="E180" s="1570"/>
      <c r="F180" s="1570"/>
      <c r="G180" s="1570" t="s">
        <v>2739</v>
      </c>
      <c r="H180" s="1570" t="s">
        <v>2982</v>
      </c>
      <c r="I180" s="1570" t="s">
        <v>2947</v>
      </c>
      <c r="J180" s="1570" t="s">
        <v>2984</v>
      </c>
      <c r="K180" s="1570" t="s">
        <v>936</v>
      </c>
      <c r="L180" s="1570"/>
      <c r="M180" s="1628">
        <v>45217</v>
      </c>
      <c r="N180" s="1606"/>
      <c r="O180" s="1606"/>
      <c r="P180" s="172">
        <v>3000</v>
      </c>
      <c r="Q180" s="2531"/>
      <c r="R180" s="2557"/>
    </row>
    <row r="181" spans="1:18" ht="33">
      <c r="A181" s="1570">
        <v>50</v>
      </c>
      <c r="B181" s="1594" t="s">
        <v>2564</v>
      </c>
      <c r="C181" s="1570"/>
      <c r="D181" s="1570"/>
      <c r="E181" s="1570"/>
      <c r="F181" s="1570"/>
      <c r="G181" s="1570" t="s">
        <v>2739</v>
      </c>
      <c r="H181" s="1570" t="s">
        <v>2982</v>
      </c>
      <c r="I181" s="1570" t="s">
        <v>2947</v>
      </c>
      <c r="J181" s="1570" t="s">
        <v>2984</v>
      </c>
      <c r="K181" s="1570" t="s">
        <v>936</v>
      </c>
      <c r="L181" s="1570"/>
      <c r="M181" s="1628">
        <v>45218</v>
      </c>
      <c r="N181" s="1606"/>
      <c r="O181" s="1606"/>
      <c r="P181" s="172">
        <v>3000</v>
      </c>
      <c r="Q181" s="2531"/>
      <c r="R181" s="2557"/>
    </row>
    <row r="182" spans="1:18" ht="33">
      <c r="A182" s="1570">
        <v>51</v>
      </c>
      <c r="B182" s="1594" t="s">
        <v>2565</v>
      </c>
      <c r="C182" s="1570"/>
      <c r="D182" s="1570"/>
      <c r="E182" s="1570"/>
      <c r="F182" s="1570"/>
      <c r="G182" s="1570" t="s">
        <v>2739</v>
      </c>
      <c r="H182" s="1570" t="s">
        <v>2982</v>
      </c>
      <c r="I182" s="1570" t="s">
        <v>2988</v>
      </c>
      <c r="J182" s="1570" t="s">
        <v>2984</v>
      </c>
      <c r="K182" s="1570" t="s">
        <v>936</v>
      </c>
      <c r="L182" s="1570"/>
      <c r="M182" s="1628">
        <v>45219</v>
      </c>
      <c r="N182" s="1606"/>
      <c r="O182" s="1606"/>
      <c r="P182" s="172">
        <v>3000</v>
      </c>
      <c r="Q182" s="2531"/>
      <c r="R182" s="2557"/>
    </row>
    <row r="183" spans="1:18" ht="33">
      <c r="A183" s="1570">
        <v>52</v>
      </c>
      <c r="B183" s="1594" t="s">
        <v>2558</v>
      </c>
      <c r="C183" s="1570"/>
      <c r="D183" s="1570"/>
      <c r="E183" s="1570"/>
      <c r="F183" s="1570"/>
      <c r="G183" s="1570" t="s">
        <v>2739</v>
      </c>
      <c r="H183" s="1570" t="s">
        <v>2982</v>
      </c>
      <c r="I183" s="1570" t="s">
        <v>2990</v>
      </c>
      <c r="J183" s="1570" t="s">
        <v>2984</v>
      </c>
      <c r="K183" s="1570" t="s">
        <v>936</v>
      </c>
      <c r="L183" s="1570"/>
      <c r="M183" s="1628">
        <v>45220</v>
      </c>
      <c r="N183" s="1606"/>
      <c r="O183" s="1606"/>
      <c r="P183" s="172">
        <v>3000</v>
      </c>
      <c r="Q183" s="2531"/>
      <c r="R183" s="2557"/>
    </row>
    <row r="184" spans="1:18" ht="33">
      <c r="A184" s="1570">
        <v>53</v>
      </c>
      <c r="B184" s="1594" t="s">
        <v>2991</v>
      </c>
      <c r="C184" s="1570"/>
      <c r="D184" s="1570"/>
      <c r="E184" s="1570"/>
      <c r="F184" s="1570"/>
      <c r="G184" s="1570" t="s">
        <v>2739</v>
      </c>
      <c r="H184" s="1570" t="s">
        <v>2982</v>
      </c>
      <c r="I184" s="1570" t="s">
        <v>2947</v>
      </c>
      <c r="J184" s="1570" t="s">
        <v>2984</v>
      </c>
      <c r="K184" s="1570" t="s">
        <v>936</v>
      </c>
      <c r="L184" s="1570"/>
      <c r="M184" s="1628">
        <v>45221</v>
      </c>
      <c r="N184" s="1606"/>
      <c r="O184" s="1606"/>
      <c r="P184" s="172">
        <v>3000</v>
      </c>
      <c r="Q184" s="2531"/>
      <c r="R184" s="2557"/>
    </row>
    <row r="185" spans="1:18" ht="33">
      <c r="A185" s="1570">
        <v>54</v>
      </c>
      <c r="B185" s="1594" t="s">
        <v>2890</v>
      </c>
      <c r="C185" s="1570"/>
      <c r="D185" s="1570"/>
      <c r="E185" s="1570"/>
      <c r="F185" s="1570"/>
      <c r="G185" s="1570" t="s">
        <v>2739</v>
      </c>
      <c r="H185" s="1570" t="s">
        <v>2982</v>
      </c>
      <c r="I185" s="1570" t="s">
        <v>2947</v>
      </c>
      <c r="J185" s="1570" t="s">
        <v>2984</v>
      </c>
      <c r="K185" s="1570" t="s">
        <v>936</v>
      </c>
      <c r="L185" s="1570"/>
      <c r="M185" s="1628">
        <v>45222</v>
      </c>
      <c r="N185" s="1606"/>
      <c r="O185" s="1606"/>
      <c r="P185" s="172">
        <v>3000</v>
      </c>
      <c r="Q185" s="2531"/>
      <c r="R185" s="2557"/>
    </row>
    <row r="186" spans="1:18" ht="33">
      <c r="A186" s="1570">
        <v>55</v>
      </c>
      <c r="B186" s="1594" t="s">
        <v>2587</v>
      </c>
      <c r="C186" s="1570"/>
      <c r="D186" s="1570"/>
      <c r="E186" s="1570"/>
      <c r="F186" s="1570"/>
      <c r="G186" s="1570" t="s">
        <v>2739</v>
      </c>
      <c r="H186" s="1570" t="s">
        <v>2982</v>
      </c>
      <c r="I186" s="1570" t="s">
        <v>2992</v>
      </c>
      <c r="J186" s="1570" t="s">
        <v>2993</v>
      </c>
      <c r="K186" s="1570" t="s">
        <v>936</v>
      </c>
      <c r="L186" s="1570"/>
      <c r="M186" s="1628">
        <v>45108</v>
      </c>
      <c r="N186" s="1606"/>
      <c r="O186" s="1606"/>
      <c r="P186" s="172">
        <v>3000</v>
      </c>
      <c r="Q186" s="2531" t="s">
        <v>2653</v>
      </c>
      <c r="R186" s="2728" t="s">
        <v>2994</v>
      </c>
    </row>
    <row r="187" spans="1:18" ht="33">
      <c r="A187" s="1570">
        <v>56</v>
      </c>
      <c r="B187" s="1594" t="s">
        <v>2584</v>
      </c>
      <c r="C187" s="1570"/>
      <c r="D187" s="1570"/>
      <c r="E187" s="1570"/>
      <c r="F187" s="1570"/>
      <c r="G187" s="1570" t="s">
        <v>2739</v>
      </c>
      <c r="H187" s="1570" t="s">
        <v>2982</v>
      </c>
      <c r="I187" s="1570" t="s">
        <v>2992</v>
      </c>
      <c r="J187" s="1570" t="s">
        <v>2993</v>
      </c>
      <c r="K187" s="1570" t="s">
        <v>936</v>
      </c>
      <c r="L187" s="1570"/>
      <c r="M187" s="1628">
        <v>45109</v>
      </c>
      <c r="N187" s="1606"/>
      <c r="O187" s="1606"/>
      <c r="P187" s="172">
        <v>3000</v>
      </c>
      <c r="Q187" s="2531" t="s">
        <v>2995</v>
      </c>
      <c r="R187" s="2728" t="s">
        <v>2994</v>
      </c>
    </row>
    <row r="188" spans="1:18" ht="33">
      <c r="A188" s="1570">
        <v>57</v>
      </c>
      <c r="B188" s="1594" t="s">
        <v>2586</v>
      </c>
      <c r="C188" s="1570"/>
      <c r="D188" s="1570"/>
      <c r="E188" s="1570"/>
      <c r="F188" s="1570"/>
      <c r="G188" s="1570" t="s">
        <v>2739</v>
      </c>
      <c r="H188" s="1570" t="s">
        <v>2982</v>
      </c>
      <c r="I188" s="1570" t="s">
        <v>2992</v>
      </c>
      <c r="J188" s="1570" t="s">
        <v>2993</v>
      </c>
      <c r="K188" s="1570" t="s">
        <v>936</v>
      </c>
      <c r="L188" s="1570"/>
      <c r="M188" s="1628">
        <v>45110</v>
      </c>
      <c r="N188" s="1606"/>
      <c r="O188" s="1606"/>
      <c r="P188" s="172">
        <v>3000</v>
      </c>
      <c r="Q188" s="2531" t="s">
        <v>2950</v>
      </c>
      <c r="R188" s="2728" t="s">
        <v>2994</v>
      </c>
    </row>
    <row r="189" spans="1:18" ht="33">
      <c r="A189" s="1570">
        <v>58</v>
      </c>
      <c r="B189" s="1276" t="s">
        <v>2592</v>
      </c>
      <c r="C189" s="1276"/>
      <c r="D189" s="1276"/>
      <c r="E189" s="1630"/>
      <c r="F189" s="1630"/>
      <c r="G189" s="1570" t="s">
        <v>2739</v>
      </c>
      <c r="H189" s="1570" t="s">
        <v>2982</v>
      </c>
      <c r="I189" s="1570" t="s">
        <v>2992</v>
      </c>
      <c r="J189" s="1570" t="s">
        <v>2993</v>
      </c>
      <c r="K189" s="1570" t="s">
        <v>936</v>
      </c>
      <c r="L189" s="1276"/>
      <c r="M189" s="1628">
        <v>45111</v>
      </c>
      <c r="N189" s="1276"/>
      <c r="O189" s="1276"/>
      <c r="P189" s="172">
        <v>3000</v>
      </c>
      <c r="Q189" s="2531" t="s">
        <v>2653</v>
      </c>
      <c r="R189" s="2557"/>
    </row>
    <row r="190" spans="1:18" ht="33">
      <c r="A190" s="1570">
        <v>59</v>
      </c>
      <c r="B190" s="1276" t="s">
        <v>2584</v>
      </c>
      <c r="C190" s="1276"/>
      <c r="D190" s="1276"/>
      <c r="E190" s="1630"/>
      <c r="F190" s="1630"/>
      <c r="G190" s="1570" t="s">
        <v>2739</v>
      </c>
      <c r="H190" s="1333" t="s">
        <v>2982</v>
      </c>
      <c r="I190" s="1570" t="s">
        <v>2947</v>
      </c>
      <c r="J190" s="1570" t="s">
        <v>2984</v>
      </c>
      <c r="K190" s="1570" t="s">
        <v>936</v>
      </c>
      <c r="L190" s="1276"/>
      <c r="M190" s="1628" t="s">
        <v>2996</v>
      </c>
      <c r="N190" s="1276"/>
      <c r="O190" s="1276"/>
      <c r="P190" s="172">
        <v>3000</v>
      </c>
      <c r="Q190" s="2531" t="s">
        <v>2653</v>
      </c>
      <c r="R190" s="2728"/>
    </row>
    <row r="191" spans="1:18" ht="33">
      <c r="A191" s="1570">
        <v>60</v>
      </c>
      <c r="B191" s="1276" t="s">
        <v>2997</v>
      </c>
      <c r="C191" s="1276"/>
      <c r="D191" s="1276"/>
      <c r="E191" s="1630"/>
      <c r="F191" s="1630"/>
      <c r="G191" s="1570" t="s">
        <v>2739</v>
      </c>
      <c r="H191" s="1333" t="s">
        <v>2982</v>
      </c>
      <c r="I191" s="1570" t="s">
        <v>2947</v>
      </c>
      <c r="J191" s="1570" t="s">
        <v>2984</v>
      </c>
      <c r="K191" s="1570" t="s">
        <v>936</v>
      </c>
      <c r="L191" s="1276"/>
      <c r="M191" s="1628" t="s">
        <v>2996</v>
      </c>
      <c r="N191" s="1276"/>
      <c r="O191" s="1276"/>
      <c r="P191" s="172">
        <v>3000</v>
      </c>
      <c r="Q191" s="2531" t="s">
        <v>2653</v>
      </c>
      <c r="R191" s="2728"/>
    </row>
    <row r="192" spans="1:18" ht="33">
      <c r="A192" s="1570">
        <v>61</v>
      </c>
      <c r="B192" s="1276" t="s">
        <v>2585</v>
      </c>
      <c r="C192" s="1276"/>
      <c r="D192" s="1276"/>
      <c r="E192" s="1630"/>
      <c r="F192" s="1630"/>
      <c r="G192" s="1570" t="s">
        <v>2739</v>
      </c>
      <c r="H192" s="1333" t="s">
        <v>2982</v>
      </c>
      <c r="I192" s="1570" t="s">
        <v>2947</v>
      </c>
      <c r="J192" s="1570" t="s">
        <v>2984</v>
      </c>
      <c r="K192" s="1570" t="s">
        <v>936</v>
      </c>
      <c r="L192" s="1276"/>
      <c r="M192" s="1628" t="s">
        <v>2996</v>
      </c>
      <c r="N192" s="1276"/>
      <c r="O192" s="1276"/>
      <c r="P192" s="172">
        <v>3000</v>
      </c>
      <c r="Q192" s="2531" t="s">
        <v>2653</v>
      </c>
      <c r="R192" s="2557"/>
    </row>
    <row r="193" spans="1:18" ht="33">
      <c r="A193" s="1570">
        <v>62</v>
      </c>
      <c r="B193" s="1276" t="s">
        <v>2587</v>
      </c>
      <c r="C193" s="1276"/>
      <c r="D193" s="1276"/>
      <c r="E193" s="1630"/>
      <c r="F193" s="1630"/>
      <c r="G193" s="1570" t="s">
        <v>2739</v>
      </c>
      <c r="H193" s="1333" t="s">
        <v>2982</v>
      </c>
      <c r="I193" s="1570" t="s">
        <v>2947</v>
      </c>
      <c r="J193" s="1570" t="s">
        <v>2984</v>
      </c>
      <c r="K193" s="1570" t="s">
        <v>936</v>
      </c>
      <c r="L193" s="1276"/>
      <c r="M193" s="1628" t="s">
        <v>2996</v>
      </c>
      <c r="N193" s="1276"/>
      <c r="O193" s="1276"/>
      <c r="P193" s="172">
        <v>3000</v>
      </c>
      <c r="Q193" s="2531" t="s">
        <v>2653</v>
      </c>
      <c r="R193" s="2557"/>
    </row>
    <row r="194" spans="1:18" ht="33">
      <c r="A194" s="1570">
        <v>63</v>
      </c>
      <c r="B194" s="1276" t="s">
        <v>2591</v>
      </c>
      <c r="C194" s="1276"/>
      <c r="D194" s="1276"/>
      <c r="E194" s="1630"/>
      <c r="F194" s="1630"/>
      <c r="G194" s="1570" t="s">
        <v>2739</v>
      </c>
      <c r="H194" s="1333" t="s">
        <v>2982</v>
      </c>
      <c r="I194" s="1570" t="s">
        <v>2947</v>
      </c>
      <c r="J194" s="1570" t="s">
        <v>2984</v>
      </c>
      <c r="K194" s="1570" t="s">
        <v>936</v>
      </c>
      <c r="L194" s="1276"/>
      <c r="M194" s="1628" t="s">
        <v>2996</v>
      </c>
      <c r="N194" s="1276"/>
      <c r="O194" s="1276"/>
      <c r="P194" s="172">
        <v>3000</v>
      </c>
      <c r="Q194" s="2531" t="s">
        <v>2653</v>
      </c>
      <c r="R194" s="2557"/>
    </row>
    <row r="195" spans="1:18" ht="33">
      <c r="A195" s="1570">
        <v>64</v>
      </c>
      <c r="B195" s="1276" t="s">
        <v>2842</v>
      </c>
      <c r="C195" s="1276"/>
      <c r="D195" s="1276"/>
      <c r="E195" s="1630"/>
      <c r="F195" s="1630"/>
      <c r="G195" s="1570" t="s">
        <v>2739</v>
      </c>
      <c r="H195" s="1333" t="s">
        <v>2982</v>
      </c>
      <c r="I195" s="1570" t="s">
        <v>2947</v>
      </c>
      <c r="J195" s="1570" t="s">
        <v>2984</v>
      </c>
      <c r="K195" s="1570" t="s">
        <v>936</v>
      </c>
      <c r="L195" s="1276"/>
      <c r="M195" s="1628" t="s">
        <v>2996</v>
      </c>
      <c r="N195" s="1276"/>
      <c r="O195" s="1276"/>
      <c r="P195" s="172">
        <v>3000</v>
      </c>
      <c r="Q195" s="2531" t="s">
        <v>2653</v>
      </c>
      <c r="R195" s="2557"/>
    </row>
    <row r="196" spans="1:18" ht="33">
      <c r="A196" s="1570">
        <v>65</v>
      </c>
      <c r="B196" s="1276" t="s">
        <v>2592</v>
      </c>
      <c r="C196" s="1276"/>
      <c r="D196" s="1276"/>
      <c r="E196" s="1630"/>
      <c r="F196" s="1630"/>
      <c r="G196" s="1570" t="s">
        <v>2739</v>
      </c>
      <c r="H196" s="1333" t="s">
        <v>2982</v>
      </c>
      <c r="I196" s="1570" t="s">
        <v>2947</v>
      </c>
      <c r="J196" s="1570" t="s">
        <v>2984</v>
      </c>
      <c r="K196" s="1570" t="s">
        <v>936</v>
      </c>
      <c r="L196" s="1276"/>
      <c r="M196" s="1628" t="s">
        <v>2996</v>
      </c>
      <c r="N196" s="1276"/>
      <c r="O196" s="1276"/>
      <c r="P196" s="172">
        <v>3000</v>
      </c>
      <c r="Q196" s="2531" t="s">
        <v>2653</v>
      </c>
      <c r="R196" s="2557"/>
    </row>
    <row r="197" spans="1:18" ht="16.5">
      <c r="A197" s="1570">
        <v>66</v>
      </c>
      <c r="B197" s="1276" t="s">
        <v>2544</v>
      </c>
      <c r="C197" s="1276"/>
      <c r="D197" s="1276"/>
      <c r="E197" s="1630"/>
      <c r="F197" s="1630"/>
      <c r="G197" s="1570" t="s">
        <v>2739</v>
      </c>
      <c r="H197" s="1333" t="s">
        <v>2982</v>
      </c>
      <c r="I197" s="1570" t="s">
        <v>2947</v>
      </c>
      <c r="J197" s="1570" t="s">
        <v>2998</v>
      </c>
      <c r="K197" s="1570"/>
      <c r="L197" s="1276"/>
      <c r="M197" s="1628">
        <v>45261</v>
      </c>
      <c r="N197" s="1276"/>
      <c r="O197" s="1276"/>
      <c r="P197" s="172"/>
      <c r="Q197" s="2531"/>
      <c r="R197" s="2557"/>
    </row>
    <row r="198" spans="1:18" ht="16.5">
      <c r="A198" s="1570">
        <v>67</v>
      </c>
      <c r="B198" s="1276" t="s">
        <v>2543</v>
      </c>
      <c r="C198" s="1276"/>
      <c r="D198" s="1276"/>
      <c r="E198" s="1630"/>
      <c r="F198" s="1630"/>
      <c r="G198" s="1570" t="s">
        <v>2739</v>
      </c>
      <c r="H198" s="1333" t="s">
        <v>2982</v>
      </c>
      <c r="I198" s="1570" t="s">
        <v>2947</v>
      </c>
      <c r="J198" s="1570" t="s">
        <v>2998</v>
      </c>
      <c r="K198" s="1570"/>
      <c r="L198" s="1276"/>
      <c r="M198" s="1628">
        <v>45262</v>
      </c>
      <c r="N198" s="1276"/>
      <c r="O198" s="1276"/>
      <c r="P198" s="172"/>
      <c r="Q198" s="2531"/>
      <c r="R198" s="2557"/>
    </row>
    <row r="199" spans="1:18" ht="16.5">
      <c r="A199" s="1570"/>
      <c r="B199" s="1276" t="s">
        <v>2545</v>
      </c>
      <c r="C199" s="1276"/>
      <c r="D199" s="1276"/>
      <c r="E199" s="1630"/>
      <c r="F199" s="1630"/>
      <c r="G199" s="1570" t="s">
        <v>2739</v>
      </c>
      <c r="H199" s="1333" t="s">
        <v>2982</v>
      </c>
      <c r="I199" s="1570" t="s">
        <v>2947</v>
      </c>
      <c r="J199" s="1570" t="s">
        <v>2998</v>
      </c>
      <c r="K199" s="1570"/>
      <c r="L199" s="1276"/>
      <c r="M199" s="1628">
        <v>45263</v>
      </c>
      <c r="N199" s="1276"/>
      <c r="O199" s="1276"/>
      <c r="P199" s="172"/>
      <c r="Q199" s="2531"/>
      <c r="R199" s="2557"/>
    </row>
    <row r="200" spans="1:18" ht="16.5">
      <c r="A200" s="1570"/>
      <c r="B200" s="1276" t="s">
        <v>2540</v>
      </c>
      <c r="C200" s="1276"/>
      <c r="D200" s="1276"/>
      <c r="E200" s="1630"/>
      <c r="F200" s="1630"/>
      <c r="G200" s="1570" t="s">
        <v>2739</v>
      </c>
      <c r="H200" s="1333" t="s">
        <v>2982</v>
      </c>
      <c r="I200" s="1570" t="s">
        <v>2947</v>
      </c>
      <c r="J200" s="1570" t="s">
        <v>2998</v>
      </c>
      <c r="K200" s="1570"/>
      <c r="L200" s="1276"/>
      <c r="M200" s="1628">
        <v>45264</v>
      </c>
      <c r="N200" s="1276"/>
      <c r="O200" s="1276"/>
      <c r="P200" s="172"/>
      <c r="Q200" s="2531"/>
      <c r="R200" s="2557"/>
    </row>
    <row r="201" spans="1:18" ht="16.5">
      <c r="A201" s="1570"/>
      <c r="B201" s="1276" t="s">
        <v>2542</v>
      </c>
      <c r="C201" s="1276"/>
      <c r="D201" s="1276"/>
      <c r="E201" s="1630"/>
      <c r="F201" s="1630"/>
      <c r="G201" s="1570" t="s">
        <v>2739</v>
      </c>
      <c r="H201" s="1333" t="s">
        <v>2982</v>
      </c>
      <c r="I201" s="1570" t="s">
        <v>2947</v>
      </c>
      <c r="J201" s="1570" t="s">
        <v>2998</v>
      </c>
      <c r="K201" s="1570"/>
      <c r="L201" s="1276"/>
      <c r="M201" s="1628">
        <v>45265</v>
      </c>
      <c r="N201" s="1276"/>
      <c r="O201" s="1276"/>
      <c r="P201" s="172"/>
      <c r="Q201" s="2531"/>
      <c r="R201" s="2557"/>
    </row>
    <row r="202" spans="1:18" ht="16.5">
      <c r="A202" s="1570"/>
      <c r="B202" s="1276" t="s">
        <v>2538</v>
      </c>
      <c r="C202" s="1276"/>
      <c r="D202" s="1276"/>
      <c r="E202" s="1630"/>
      <c r="F202" s="1630"/>
      <c r="G202" s="1570" t="s">
        <v>2739</v>
      </c>
      <c r="H202" s="1333" t="s">
        <v>2982</v>
      </c>
      <c r="I202" s="1570" t="s">
        <v>2947</v>
      </c>
      <c r="J202" s="1570" t="s">
        <v>2998</v>
      </c>
      <c r="K202" s="1570"/>
      <c r="L202" s="1276"/>
      <c r="M202" s="1628">
        <v>45266</v>
      </c>
      <c r="N202" s="1276"/>
      <c r="O202" s="1276"/>
      <c r="P202" s="172"/>
      <c r="Q202" s="2531"/>
      <c r="R202" s="2557"/>
    </row>
    <row r="203" spans="1:18" ht="33">
      <c r="A203" s="1570">
        <v>66</v>
      </c>
      <c r="B203" s="1276" t="s">
        <v>2590</v>
      </c>
      <c r="C203" s="1276"/>
      <c r="D203" s="1276"/>
      <c r="E203" s="1630"/>
      <c r="F203" s="1630"/>
      <c r="G203" s="1570" t="s">
        <v>2739</v>
      </c>
      <c r="H203" s="1333" t="s">
        <v>2982</v>
      </c>
      <c r="I203" s="1570" t="s">
        <v>2947</v>
      </c>
      <c r="J203" s="1570" t="s">
        <v>2984</v>
      </c>
      <c r="K203" s="1570" t="s">
        <v>936</v>
      </c>
      <c r="L203" s="1276"/>
      <c r="M203" s="1628" t="s">
        <v>2996</v>
      </c>
      <c r="N203" s="1276"/>
      <c r="O203" s="1276"/>
      <c r="P203" s="172">
        <v>3000</v>
      </c>
      <c r="Q203" s="2531" t="s">
        <v>2653</v>
      </c>
      <c r="R203" s="2557"/>
    </row>
    <row r="204" spans="1:18" ht="66">
      <c r="A204" s="1590">
        <v>7</v>
      </c>
      <c r="B204" s="1591" t="s">
        <v>2999</v>
      </c>
      <c r="C204" s="2400"/>
      <c r="D204" s="2400"/>
      <c r="E204" s="2401"/>
      <c r="F204" s="2401"/>
      <c r="G204" s="2400"/>
      <c r="H204" s="2400"/>
      <c r="I204" s="2401"/>
      <c r="J204" s="2400"/>
      <c r="K204" s="2400"/>
      <c r="L204" s="2400"/>
      <c r="M204" s="2400"/>
      <c r="N204" s="2429"/>
      <c r="O204" s="2429"/>
      <c r="P204" s="2429"/>
      <c r="Q204" s="2400"/>
      <c r="R204" s="2558"/>
    </row>
    <row r="205" spans="1:18">
      <c r="A205" s="2980" t="s">
        <v>27</v>
      </c>
      <c r="B205" s="2981" t="s">
        <v>1531</v>
      </c>
      <c r="C205" s="2982"/>
      <c r="D205" s="2983"/>
      <c r="E205" s="2985" t="s">
        <v>2928</v>
      </c>
      <c r="F205" s="2783"/>
      <c r="G205" s="2980" t="s">
        <v>3000</v>
      </c>
      <c r="H205" s="2980" t="s">
        <v>2735</v>
      </c>
      <c r="I205" s="2977" t="s">
        <v>3001</v>
      </c>
      <c r="J205" s="2983"/>
      <c r="K205" s="2977" t="s">
        <v>3002</v>
      </c>
      <c r="L205" s="2983"/>
      <c r="M205" s="2985" t="s">
        <v>3003</v>
      </c>
      <c r="N205" s="2782"/>
      <c r="O205" s="2782"/>
      <c r="P205" s="2783"/>
      <c r="Q205" s="2977" t="s">
        <v>32</v>
      </c>
      <c r="R205" s="2978"/>
    </row>
    <row r="206" spans="1:18" ht="16.5">
      <c r="A206" s="2779"/>
      <c r="B206" s="2968"/>
      <c r="C206" s="2737"/>
      <c r="D206" s="2984"/>
      <c r="E206" s="1568" t="s">
        <v>2797</v>
      </c>
      <c r="F206" s="1568" t="s">
        <v>2798</v>
      </c>
      <c r="G206" s="2779"/>
      <c r="H206" s="2986"/>
      <c r="I206" s="2968"/>
      <c r="J206" s="2984"/>
      <c r="K206" s="2968"/>
      <c r="L206" s="2984"/>
      <c r="M206" s="1568" t="s">
        <v>1532</v>
      </c>
      <c r="N206" s="1568"/>
      <c r="O206" s="1568"/>
      <c r="P206" s="1568"/>
      <c r="Q206" s="2968"/>
      <c r="R206" s="2979"/>
    </row>
    <row r="207" spans="1:18" ht="16.5">
      <c r="A207" s="1570">
        <v>1</v>
      </c>
      <c r="B207" s="1618" t="s">
        <v>2903</v>
      </c>
      <c r="C207" s="1276"/>
      <c r="D207" s="1276"/>
      <c r="E207" s="1570" t="s">
        <v>936</v>
      </c>
      <c r="F207" s="1570"/>
      <c r="G207" s="1570" t="s">
        <v>2739</v>
      </c>
      <c r="H207" s="1570" t="s">
        <v>2826</v>
      </c>
      <c r="I207" s="2990" t="s">
        <v>1743</v>
      </c>
      <c r="J207" s="2783"/>
      <c r="K207" s="2990" t="s">
        <v>2812</v>
      </c>
      <c r="L207" s="2783"/>
      <c r="M207" s="1570" t="s">
        <v>2830</v>
      </c>
      <c r="N207" s="1570"/>
      <c r="O207" s="1570"/>
      <c r="P207" s="1570"/>
      <c r="Q207" s="2531" t="s">
        <v>545</v>
      </c>
      <c r="R207" s="2556"/>
    </row>
    <row r="208" spans="1:18" ht="16.5">
      <c r="A208" s="1570">
        <v>2</v>
      </c>
      <c r="B208" s="1618" t="s">
        <v>2451</v>
      </c>
      <c r="C208" s="1276"/>
      <c r="D208" s="1276"/>
      <c r="E208" s="1570" t="s">
        <v>936</v>
      </c>
      <c r="F208" s="1570"/>
      <c r="G208" s="1570" t="s">
        <v>2739</v>
      </c>
      <c r="H208" s="1570" t="s">
        <v>2826</v>
      </c>
      <c r="I208" s="2990" t="s">
        <v>2747</v>
      </c>
      <c r="J208" s="2783"/>
      <c r="K208" s="2990" t="s">
        <v>2868</v>
      </c>
      <c r="L208" s="2783"/>
      <c r="M208" s="1570" t="s">
        <v>3004</v>
      </c>
      <c r="N208" s="1570"/>
      <c r="O208" s="1570"/>
      <c r="P208" s="1570"/>
      <c r="Q208" s="2531" t="s">
        <v>546</v>
      </c>
      <c r="R208" s="2556"/>
    </row>
    <row r="209" spans="1:18" ht="16.5">
      <c r="A209" s="1570">
        <v>3</v>
      </c>
      <c r="B209" s="1618" t="s">
        <v>2587</v>
      </c>
      <c r="C209" s="1276"/>
      <c r="D209" s="1276"/>
      <c r="E209" s="1571">
        <v>1981</v>
      </c>
      <c r="F209" s="1571"/>
      <c r="G209" s="1570" t="s">
        <v>2739</v>
      </c>
      <c r="H209" s="1570" t="s">
        <v>2826</v>
      </c>
      <c r="I209" s="2990" t="s">
        <v>2809</v>
      </c>
      <c r="J209" s="2783"/>
      <c r="K209" s="2990" t="s">
        <v>2868</v>
      </c>
      <c r="L209" s="2783"/>
      <c r="M209" s="1570" t="s">
        <v>2812</v>
      </c>
      <c r="N209" s="1570"/>
      <c r="O209" s="1570"/>
      <c r="P209" s="1570"/>
      <c r="Q209" s="2531" t="s">
        <v>2914</v>
      </c>
      <c r="R209" s="2556"/>
    </row>
    <row r="210" spans="1:18" ht="16.5">
      <c r="A210" s="1570">
        <v>4</v>
      </c>
      <c r="B210" s="1594" t="s">
        <v>2974</v>
      </c>
      <c r="C210" s="1618"/>
      <c r="D210" s="1276"/>
      <c r="E210" s="1570">
        <v>1984</v>
      </c>
      <c r="F210" s="1570"/>
      <c r="G210" s="1570" t="s">
        <v>2739</v>
      </c>
      <c r="H210" s="1570" t="s">
        <v>2826</v>
      </c>
      <c r="I210" s="2990" t="s">
        <v>3005</v>
      </c>
      <c r="J210" s="2783"/>
      <c r="K210" s="2990" t="s">
        <v>2868</v>
      </c>
      <c r="L210" s="2783"/>
      <c r="M210" s="1570" t="s">
        <v>3006</v>
      </c>
      <c r="N210" s="1570"/>
      <c r="O210" s="1570"/>
      <c r="P210" s="1570"/>
      <c r="Q210" s="2531" t="s">
        <v>542</v>
      </c>
      <c r="R210" s="2556"/>
    </row>
    <row r="211" spans="1:18" ht="16.5">
      <c r="A211" s="1570">
        <v>5</v>
      </c>
      <c r="B211" s="1594" t="s">
        <v>3007</v>
      </c>
      <c r="C211" s="1618"/>
      <c r="D211" s="1276"/>
      <c r="E211" s="1570"/>
      <c r="F211" s="1570">
        <v>1982</v>
      </c>
      <c r="G211" s="1570" t="s">
        <v>2739</v>
      </c>
      <c r="H211" s="1570" t="s">
        <v>2826</v>
      </c>
      <c r="I211" s="2990" t="s">
        <v>2809</v>
      </c>
      <c r="J211" s="2783"/>
      <c r="K211" s="2990" t="s">
        <v>2868</v>
      </c>
      <c r="L211" s="2783"/>
      <c r="M211" s="1570" t="s">
        <v>2812</v>
      </c>
      <c r="N211" s="1570"/>
      <c r="O211" s="1570"/>
      <c r="P211" s="1570"/>
      <c r="Q211" s="2531" t="s">
        <v>542</v>
      </c>
      <c r="R211" s="2556"/>
    </row>
    <row r="212" spans="1:18" ht="16.5">
      <c r="A212" s="1570">
        <v>6</v>
      </c>
      <c r="B212" s="1618" t="s">
        <v>2842</v>
      </c>
      <c r="C212" s="1276"/>
      <c r="D212" s="1276"/>
      <c r="E212" s="1570"/>
      <c r="F212" s="1570" t="s">
        <v>936</v>
      </c>
      <c r="G212" s="1570" t="s">
        <v>2739</v>
      </c>
      <c r="H212" s="1570" t="s">
        <v>2826</v>
      </c>
      <c r="I212" s="2990" t="s">
        <v>3008</v>
      </c>
      <c r="J212" s="2783"/>
      <c r="K212" s="2990" t="s">
        <v>2868</v>
      </c>
      <c r="L212" s="2783"/>
      <c r="M212" s="1570" t="s">
        <v>2812</v>
      </c>
      <c r="N212" s="1570"/>
      <c r="O212" s="1570"/>
      <c r="P212" s="1570"/>
      <c r="Q212" s="2531" t="s">
        <v>2914</v>
      </c>
      <c r="R212" s="2559"/>
    </row>
    <row r="213" spans="1:18" ht="16.5">
      <c r="A213" s="2411">
        <v>7</v>
      </c>
      <c r="B213" s="1618" t="s">
        <v>2585</v>
      </c>
      <c r="C213" s="1276"/>
      <c r="D213" s="1276"/>
      <c r="E213" s="2411"/>
      <c r="F213" s="1570" t="s">
        <v>936</v>
      </c>
      <c r="G213" s="2411" t="s">
        <v>2739</v>
      </c>
      <c r="H213" s="2411" t="s">
        <v>2826</v>
      </c>
      <c r="I213" s="2995" t="s">
        <v>3008</v>
      </c>
      <c r="J213" s="2983"/>
      <c r="K213" s="2995" t="s">
        <v>2812</v>
      </c>
      <c r="L213" s="2983"/>
      <c r="M213" s="2411" t="s">
        <v>3004</v>
      </c>
      <c r="N213" s="2411"/>
      <c r="O213" s="2411"/>
      <c r="P213" s="2411"/>
      <c r="Q213" s="2532"/>
      <c r="R213" s="2560"/>
    </row>
    <row r="214" spans="1:18" ht="16.5">
      <c r="A214" s="1570">
        <v>8</v>
      </c>
      <c r="B214" s="1618" t="s">
        <v>2981</v>
      </c>
      <c r="C214" s="1276"/>
      <c r="D214" s="1276"/>
      <c r="E214" s="1571">
        <v>1981</v>
      </c>
      <c r="F214" s="1571"/>
      <c r="G214" s="1570" t="s">
        <v>2739</v>
      </c>
      <c r="H214" s="1570" t="s">
        <v>2826</v>
      </c>
      <c r="I214" s="2990" t="s">
        <v>506</v>
      </c>
      <c r="J214" s="2783"/>
      <c r="K214" s="2990" t="s">
        <v>2868</v>
      </c>
      <c r="L214" s="2783"/>
      <c r="M214" s="1570" t="s">
        <v>2812</v>
      </c>
      <c r="N214" s="1570"/>
      <c r="O214" s="1570"/>
      <c r="P214" s="1570"/>
      <c r="Q214" s="2531" t="s">
        <v>3009</v>
      </c>
      <c r="R214" s="2560"/>
    </row>
    <row r="215" spans="1:18" ht="16.5">
      <c r="A215" s="1570">
        <v>9</v>
      </c>
      <c r="B215" s="1618" t="s">
        <v>3010</v>
      </c>
      <c r="C215" s="1276"/>
      <c r="D215" s="1276"/>
      <c r="E215" s="1570">
        <v>1979</v>
      </c>
      <c r="F215" s="1570"/>
      <c r="G215" s="1570" t="s">
        <v>2739</v>
      </c>
      <c r="H215" s="1570" t="s">
        <v>2826</v>
      </c>
      <c r="I215" s="2990" t="s">
        <v>506</v>
      </c>
      <c r="J215" s="2783"/>
      <c r="K215" s="2990" t="s">
        <v>2868</v>
      </c>
      <c r="L215" s="2783"/>
      <c r="M215" s="1570" t="s">
        <v>2812</v>
      </c>
      <c r="N215" s="1570"/>
      <c r="O215" s="1570"/>
      <c r="P215" s="1570"/>
      <c r="Q215" s="2531" t="s">
        <v>3009</v>
      </c>
      <c r="R215" s="2560"/>
    </row>
    <row r="216" spans="1:18" ht="16.5">
      <c r="A216" s="1570">
        <v>10</v>
      </c>
      <c r="B216" s="1594" t="s">
        <v>2620</v>
      </c>
      <c r="C216" s="1618"/>
      <c r="D216" s="1276"/>
      <c r="E216" s="1570">
        <v>1971</v>
      </c>
      <c r="F216" s="1570"/>
      <c r="G216" s="1570" t="s">
        <v>2739</v>
      </c>
      <c r="H216" s="1570" t="s">
        <v>2826</v>
      </c>
      <c r="I216" s="2990" t="s">
        <v>3011</v>
      </c>
      <c r="J216" s="2783"/>
      <c r="K216" s="2990" t="s">
        <v>2868</v>
      </c>
      <c r="L216" s="2783"/>
      <c r="M216" s="1570" t="s">
        <v>2812</v>
      </c>
      <c r="N216" s="1570"/>
      <c r="O216" s="1570"/>
      <c r="P216" s="1570"/>
      <c r="Q216" s="2531" t="s">
        <v>3012</v>
      </c>
      <c r="R216" s="2560"/>
    </row>
    <row r="217" spans="1:18" ht="16.5">
      <c r="A217" s="1571">
        <v>11</v>
      </c>
      <c r="B217" s="1594" t="s">
        <v>2465</v>
      </c>
      <c r="C217" s="1614"/>
      <c r="D217" s="1614"/>
      <c r="E217" s="1571">
        <v>1973</v>
      </c>
      <c r="F217" s="1571"/>
      <c r="G217" s="1570" t="s">
        <v>2739</v>
      </c>
      <c r="H217" s="1570" t="s">
        <v>2826</v>
      </c>
      <c r="I217" s="2993" t="s">
        <v>3013</v>
      </c>
      <c r="J217" s="2783"/>
      <c r="K217" s="1570" t="s">
        <v>2868</v>
      </c>
      <c r="L217" s="1618"/>
      <c r="M217" s="1570" t="s">
        <v>2812</v>
      </c>
      <c r="N217" s="1570"/>
      <c r="O217" s="1570"/>
      <c r="P217" s="1570"/>
      <c r="Q217" s="2552" t="s">
        <v>547</v>
      </c>
      <c r="R217" s="2560"/>
    </row>
    <row r="218" spans="1:18" ht="16.5">
      <c r="A218" s="1571">
        <v>12</v>
      </c>
      <c r="B218" s="1594" t="s">
        <v>2472</v>
      </c>
      <c r="C218" s="1614"/>
      <c r="D218" s="1614"/>
      <c r="E218" s="1571"/>
      <c r="F218" s="1571">
        <v>1986</v>
      </c>
      <c r="G218" s="1570" t="s">
        <v>2739</v>
      </c>
      <c r="H218" s="1570" t="s">
        <v>2826</v>
      </c>
      <c r="I218" s="2994" t="s">
        <v>3011</v>
      </c>
      <c r="J218" s="2783"/>
      <c r="K218" s="1570" t="s">
        <v>2868</v>
      </c>
      <c r="L218" s="1618"/>
      <c r="M218" s="1570" t="s">
        <v>2812</v>
      </c>
      <c r="N218" s="1570"/>
      <c r="O218" s="1570"/>
      <c r="P218" s="1570"/>
      <c r="Q218" s="2552" t="s">
        <v>547</v>
      </c>
      <c r="R218" s="2560"/>
    </row>
    <row r="219" spans="1:18" ht="16.5">
      <c r="A219" s="1571">
        <v>13</v>
      </c>
      <c r="B219" s="1594" t="s">
        <v>2494</v>
      </c>
      <c r="C219" s="1614"/>
      <c r="D219" s="1614"/>
      <c r="E219" s="1571"/>
      <c r="F219" s="1571">
        <v>1985</v>
      </c>
      <c r="G219" s="1570" t="s">
        <v>2739</v>
      </c>
      <c r="H219" s="1570" t="s">
        <v>2826</v>
      </c>
      <c r="I219" s="2993" t="s">
        <v>3014</v>
      </c>
      <c r="J219" s="2783"/>
      <c r="K219" s="1570" t="s">
        <v>2868</v>
      </c>
      <c r="L219" s="1618"/>
      <c r="M219" s="1570" t="s">
        <v>2812</v>
      </c>
      <c r="N219" s="1570"/>
      <c r="O219" s="1570"/>
      <c r="P219" s="1570"/>
      <c r="Q219" s="2552" t="s">
        <v>547</v>
      </c>
      <c r="R219" s="2560"/>
    </row>
    <row r="220" spans="1:18" ht="16.5">
      <c r="A220" s="1571">
        <v>14</v>
      </c>
      <c r="B220" s="1594" t="s">
        <v>2499</v>
      </c>
      <c r="C220" s="1614"/>
      <c r="D220" s="1614"/>
      <c r="E220" s="1571"/>
      <c r="F220" s="1570" t="s">
        <v>936</v>
      </c>
      <c r="G220" s="1570" t="s">
        <v>2739</v>
      </c>
      <c r="H220" s="1570" t="s">
        <v>2826</v>
      </c>
      <c r="I220" s="1614"/>
      <c r="J220" s="1570" t="s">
        <v>2829</v>
      </c>
      <c r="K220" s="1570" t="s">
        <v>2868</v>
      </c>
      <c r="L220" s="1618"/>
      <c r="M220" s="1570" t="s">
        <v>2812</v>
      </c>
      <c r="N220" s="1614"/>
      <c r="O220" s="1614"/>
      <c r="P220" s="1614"/>
      <c r="Q220" s="2552" t="s">
        <v>549</v>
      </c>
      <c r="R220" s="2560"/>
    </row>
    <row r="221" spans="1:18" ht="16.5">
      <c r="A221" s="1571">
        <v>15</v>
      </c>
      <c r="B221" s="1608" t="s">
        <v>2552</v>
      </c>
      <c r="C221" s="1614"/>
      <c r="D221" s="1614"/>
      <c r="E221" s="1571"/>
      <c r="F221" s="1570" t="s">
        <v>936</v>
      </c>
      <c r="G221" s="1570" t="s">
        <v>2739</v>
      </c>
      <c r="H221" s="1570" t="s">
        <v>2826</v>
      </c>
      <c r="I221" s="1614"/>
      <c r="J221" s="1570" t="s">
        <v>2834</v>
      </c>
      <c r="K221" s="1570" t="s">
        <v>2868</v>
      </c>
      <c r="L221" s="1618"/>
      <c r="M221" s="1570" t="s">
        <v>2812</v>
      </c>
      <c r="N221" s="1614"/>
      <c r="O221" s="1614"/>
      <c r="P221" s="1614"/>
      <c r="Q221" s="2552" t="s">
        <v>549</v>
      </c>
      <c r="R221" s="2560"/>
    </row>
    <row r="222" spans="1:18" ht="16.5">
      <c r="A222" s="1571">
        <v>16</v>
      </c>
      <c r="B222" s="1608" t="s">
        <v>2502</v>
      </c>
      <c r="C222" s="1614"/>
      <c r="D222" s="1614"/>
      <c r="E222" s="1571"/>
      <c r="F222" s="1571"/>
      <c r="G222" s="1571" t="s">
        <v>2739</v>
      </c>
      <c r="H222" s="1570" t="s">
        <v>2826</v>
      </c>
      <c r="I222" s="1614"/>
      <c r="J222" s="1570" t="s">
        <v>1234</v>
      </c>
      <c r="K222" s="1570" t="s">
        <v>2868</v>
      </c>
      <c r="L222" s="1618"/>
      <c r="M222" s="1570" t="s">
        <v>2812</v>
      </c>
      <c r="N222" s="1614"/>
      <c r="O222" s="1614"/>
      <c r="P222" s="1614"/>
      <c r="Q222" s="2552"/>
      <c r="R222" s="2560"/>
    </row>
    <row r="223" spans="1:18" ht="16.5">
      <c r="A223" s="1571">
        <v>17</v>
      </c>
      <c r="B223" s="1608" t="s">
        <v>2496</v>
      </c>
      <c r="C223" s="1614"/>
      <c r="D223" s="1614"/>
      <c r="E223" s="1571"/>
      <c r="F223" s="1571"/>
      <c r="G223" s="1614"/>
      <c r="H223" s="1618"/>
      <c r="I223" s="1614"/>
      <c r="J223" s="1570" t="s">
        <v>2829</v>
      </c>
      <c r="K223" s="1570" t="s">
        <v>2868</v>
      </c>
      <c r="L223" s="1618"/>
      <c r="M223" s="1570" t="s">
        <v>2812</v>
      </c>
      <c r="N223" s="1614"/>
      <c r="O223" s="1614"/>
      <c r="P223" s="1614"/>
      <c r="Q223" s="2552" t="s">
        <v>549</v>
      </c>
      <c r="R223" s="2560"/>
    </row>
    <row r="224" spans="1:18" ht="16.5">
      <c r="A224" s="1571">
        <v>18</v>
      </c>
      <c r="B224" s="1608" t="s">
        <v>2495</v>
      </c>
      <c r="C224" s="1614"/>
      <c r="D224" s="1614"/>
      <c r="E224" s="1571"/>
      <c r="F224" s="1571"/>
      <c r="G224" s="1614"/>
      <c r="H224" s="1618"/>
      <c r="I224" s="1614"/>
      <c r="J224" s="1570" t="s">
        <v>2834</v>
      </c>
      <c r="K224" s="1570" t="s">
        <v>2868</v>
      </c>
      <c r="L224" s="1618"/>
      <c r="M224" s="1570" t="s">
        <v>2812</v>
      </c>
      <c r="N224" s="1614"/>
      <c r="O224" s="1614"/>
      <c r="P224" s="1614"/>
      <c r="Q224" s="2552" t="s">
        <v>549</v>
      </c>
      <c r="R224" s="2560"/>
    </row>
    <row r="225" spans="1:18" ht="16.5">
      <c r="A225" s="1571">
        <v>18</v>
      </c>
      <c r="B225" s="1608" t="s">
        <v>2497</v>
      </c>
      <c r="C225" s="1614"/>
      <c r="D225" s="1614"/>
      <c r="E225" s="1571"/>
      <c r="F225" s="1571"/>
      <c r="G225" s="1614"/>
      <c r="H225" s="1618"/>
      <c r="I225" s="1614"/>
      <c r="J225" s="1570" t="s">
        <v>3015</v>
      </c>
      <c r="K225" s="1570" t="s">
        <v>2868</v>
      </c>
      <c r="L225" s="1618"/>
      <c r="M225" s="1570" t="s">
        <v>2812</v>
      </c>
      <c r="N225" s="1614"/>
      <c r="O225" s="1614"/>
      <c r="P225" s="1614"/>
      <c r="Q225" s="2552" t="s">
        <v>549</v>
      </c>
      <c r="R225" s="2560"/>
    </row>
    <row r="226" spans="1:18" ht="16.5">
      <c r="A226" s="1571">
        <v>19</v>
      </c>
      <c r="C226" s="1614"/>
      <c r="D226" s="1614"/>
      <c r="E226" s="1571"/>
      <c r="F226" s="1571"/>
      <c r="G226" s="1614"/>
      <c r="H226" s="1618"/>
      <c r="I226" s="1614"/>
      <c r="J226" s="1570" t="s">
        <v>3016</v>
      </c>
      <c r="K226" s="1570" t="s">
        <v>2868</v>
      </c>
      <c r="L226" s="1618"/>
      <c r="M226" s="1570" t="s">
        <v>2812</v>
      </c>
      <c r="N226" s="1614"/>
      <c r="O226" s="1614"/>
      <c r="P226" s="1614"/>
      <c r="Q226" s="2552" t="s">
        <v>549</v>
      </c>
      <c r="R226" s="2560"/>
    </row>
    <row r="227" spans="1:18" ht="16.5">
      <c r="A227" s="1558"/>
      <c r="B227" s="1631"/>
      <c r="C227" s="1560"/>
      <c r="D227" s="1560"/>
      <c r="E227" s="1558"/>
      <c r="F227" s="1558"/>
      <c r="G227" s="1560"/>
      <c r="H227" s="1563"/>
      <c r="I227" s="1560"/>
      <c r="J227" s="1562"/>
      <c r="K227" s="1562"/>
      <c r="L227" s="1563"/>
      <c r="M227" s="1632"/>
      <c r="N227" s="1633"/>
      <c r="O227" s="1633"/>
      <c r="P227" s="1633"/>
      <c r="Q227" s="1633"/>
      <c r="R227" s="1560"/>
    </row>
    <row r="228" spans="1:18" ht="16.5">
      <c r="A228" s="1558"/>
      <c r="B228" s="1631"/>
      <c r="C228" s="1560"/>
      <c r="D228" s="1560"/>
      <c r="E228" s="1558"/>
      <c r="F228" s="1558"/>
      <c r="G228" s="1560"/>
      <c r="H228" s="1563"/>
      <c r="I228" s="1560"/>
      <c r="J228" s="1562"/>
      <c r="K228" s="1562"/>
      <c r="L228" s="1563"/>
      <c r="M228" s="2991" t="s">
        <v>448</v>
      </c>
      <c r="N228" s="2732"/>
      <c r="O228" s="2732"/>
      <c r="P228" s="2732"/>
      <c r="Q228" s="2732"/>
      <c r="R228" s="1560"/>
    </row>
    <row r="229" spans="1:18" ht="16.5">
      <c r="A229" s="1558"/>
      <c r="B229" s="1631"/>
      <c r="C229" s="1560"/>
      <c r="D229" s="1560"/>
      <c r="E229" s="1558"/>
      <c r="F229" s="1558"/>
      <c r="G229" s="1560"/>
      <c r="H229" s="1563"/>
      <c r="I229" s="1560"/>
      <c r="J229" s="1562"/>
      <c r="K229" s="1562"/>
      <c r="L229" s="1563"/>
      <c r="M229" s="2992" t="s">
        <v>359</v>
      </c>
      <c r="N229" s="2732"/>
      <c r="O229" s="2732"/>
      <c r="P229" s="2732"/>
      <c r="Q229" s="2732"/>
      <c r="R229" s="1560"/>
    </row>
    <row r="230" spans="1:18" ht="16.5">
      <c r="A230" s="1558"/>
      <c r="B230" s="1631"/>
      <c r="C230" s="1560"/>
      <c r="D230" s="1560"/>
      <c r="E230" s="1558"/>
      <c r="F230" s="1558"/>
      <c r="G230" s="1560"/>
      <c r="H230" s="1563"/>
      <c r="I230" s="1560"/>
      <c r="J230" s="1562"/>
      <c r="K230" s="1562"/>
      <c r="L230" s="1563"/>
      <c r="M230" s="1562"/>
      <c r="N230" s="1560"/>
      <c r="O230" s="1560"/>
      <c r="P230" s="1560"/>
      <c r="Q230" s="1560"/>
      <c r="R230" s="1560"/>
    </row>
    <row r="231" spans="1:18" ht="16.5">
      <c r="A231" s="1558"/>
      <c r="B231" s="1631"/>
      <c r="C231" s="1560"/>
      <c r="D231" s="1560"/>
      <c r="E231" s="1558"/>
      <c r="F231" s="1558"/>
      <c r="G231" s="1560"/>
      <c r="H231" s="1563"/>
      <c r="I231" s="1560"/>
      <c r="J231" s="1562"/>
      <c r="K231" s="1562"/>
      <c r="L231" s="1563"/>
      <c r="M231" s="1562"/>
      <c r="N231" s="1560"/>
      <c r="O231" s="1560"/>
      <c r="P231" s="1560"/>
      <c r="Q231" s="1560"/>
      <c r="R231" s="1560"/>
    </row>
    <row r="232" spans="1:18" ht="16.5">
      <c r="A232" s="1558"/>
      <c r="B232" s="1631"/>
      <c r="C232" s="1560"/>
      <c r="D232" s="1560"/>
      <c r="E232" s="1558"/>
      <c r="F232" s="1558"/>
      <c r="G232" s="1560"/>
      <c r="H232" s="1563"/>
      <c r="I232" s="1560"/>
      <c r="J232" s="1562"/>
      <c r="K232" s="1562"/>
      <c r="L232" s="1563"/>
      <c r="M232" s="1562"/>
      <c r="N232" s="1560"/>
      <c r="O232" s="1560"/>
      <c r="P232" s="1560"/>
      <c r="Q232" s="1560"/>
      <c r="R232" s="1560"/>
    </row>
    <row r="233" spans="1:18" ht="16.5">
      <c r="A233" s="1558"/>
      <c r="B233" s="1631"/>
      <c r="C233" s="1560"/>
      <c r="D233" s="1560"/>
      <c r="E233" s="1558"/>
      <c r="F233" s="1558"/>
      <c r="G233" s="1560"/>
      <c r="H233" s="1563"/>
      <c r="I233" s="1560"/>
      <c r="J233" s="1562"/>
      <c r="K233" s="1562"/>
      <c r="L233" s="1563"/>
      <c r="M233" s="1562"/>
      <c r="N233" s="1560"/>
      <c r="O233" s="1560"/>
      <c r="P233" s="1560"/>
      <c r="Q233" s="1560"/>
      <c r="R233" s="1560"/>
    </row>
    <row r="234" spans="1:18" ht="16.5" customHeight="1">
      <c r="A234" s="1558"/>
      <c r="B234" s="1564" t="s">
        <v>3017</v>
      </c>
      <c r="C234" s="1560"/>
      <c r="D234" s="1560"/>
      <c r="E234" s="1558"/>
      <c r="F234" s="1558"/>
      <c r="G234" s="1560"/>
      <c r="H234" s="1563"/>
      <c r="I234" s="1562"/>
      <c r="J234" s="1563"/>
      <c r="K234" s="1563"/>
      <c r="L234" s="1563"/>
      <c r="M234" s="1563"/>
      <c r="N234" s="1560"/>
      <c r="O234" s="1560"/>
      <c r="P234" s="1560"/>
      <c r="Q234" s="1560"/>
      <c r="R234" s="1560"/>
    </row>
    <row r="235" spans="1:18" ht="16.5" customHeight="1">
      <c r="A235" s="1558">
        <v>1</v>
      </c>
      <c r="B235" s="1564" t="s">
        <v>3018</v>
      </c>
      <c r="C235" s="1634">
        <f>SUM(P91:P102)</f>
        <v>120000</v>
      </c>
      <c r="D235" s="1560"/>
      <c r="E235" s="1558"/>
      <c r="F235" s="1558"/>
      <c r="G235" s="1560"/>
      <c r="H235" s="1563"/>
      <c r="I235" s="1635"/>
      <c r="J235" s="1563"/>
      <c r="K235" s="1563"/>
      <c r="L235" s="1563"/>
      <c r="M235" s="1563"/>
      <c r="N235" s="1560"/>
      <c r="O235" s="1560"/>
      <c r="P235" s="1560"/>
      <c r="Q235" s="1560"/>
      <c r="R235" s="1560"/>
    </row>
    <row r="236" spans="1:18" ht="16.5" customHeight="1">
      <c r="A236" s="1558">
        <v>2</v>
      </c>
      <c r="B236" s="1564" t="s">
        <v>3019</v>
      </c>
      <c r="C236" s="1634">
        <f>SUM(P104:P108)</f>
        <v>175000</v>
      </c>
      <c r="D236" s="1560"/>
      <c r="E236" s="1558"/>
      <c r="F236" s="1558"/>
      <c r="G236" s="1560"/>
      <c r="H236" s="1563"/>
      <c r="I236" s="1562"/>
      <c r="J236" s="1563"/>
      <c r="K236" s="1563"/>
      <c r="L236" s="1563"/>
      <c r="M236" s="1563"/>
      <c r="N236" s="1560"/>
      <c r="O236" s="1560"/>
      <c r="P236" s="1560"/>
      <c r="Q236" s="1560"/>
      <c r="R236" s="1560"/>
    </row>
    <row r="237" spans="1:18" ht="16.5" customHeight="1">
      <c r="A237" s="1558">
        <v>3</v>
      </c>
      <c r="B237" s="1564" t="s">
        <v>3020</v>
      </c>
      <c r="C237" s="1634">
        <f>SUM(P112:P122)</f>
        <v>55000</v>
      </c>
      <c r="D237" s="1560"/>
      <c r="E237" s="1558"/>
      <c r="F237" s="1558"/>
      <c r="G237" s="1560"/>
      <c r="H237" s="1563"/>
      <c r="I237" s="1562"/>
      <c r="J237" s="1563"/>
      <c r="K237" s="1563"/>
      <c r="L237" s="1563"/>
      <c r="M237" s="1563"/>
      <c r="N237" s="1560"/>
      <c r="O237" s="1560"/>
      <c r="P237" s="1560"/>
      <c r="Q237" s="1560"/>
      <c r="R237" s="1560"/>
    </row>
    <row r="238" spans="1:18" ht="16.5" customHeight="1">
      <c r="A238" s="1558">
        <v>4</v>
      </c>
      <c r="B238" s="1564" t="s">
        <v>294</v>
      </c>
      <c r="C238" s="1634">
        <f>SUM(P75:P87)</f>
        <v>272000</v>
      </c>
      <c r="D238" s="1560"/>
      <c r="E238" s="1558"/>
      <c r="F238" s="1558"/>
      <c r="G238" s="1560"/>
      <c r="H238" s="1563"/>
      <c r="I238" s="1562"/>
      <c r="J238" s="1563"/>
      <c r="K238" s="1563"/>
      <c r="L238" s="1563"/>
      <c r="M238" s="1563"/>
      <c r="N238" s="1560"/>
      <c r="O238" s="1560"/>
      <c r="P238" s="1560"/>
      <c r="Q238" s="1560"/>
      <c r="R238" s="1560"/>
    </row>
    <row r="239" spans="1:18" ht="16.5" customHeight="1">
      <c r="A239" s="1558">
        <v>5</v>
      </c>
      <c r="B239" s="1564" t="s">
        <v>3021</v>
      </c>
      <c r="C239" s="1634">
        <f>SUM(P127:P203)</f>
        <v>393000</v>
      </c>
      <c r="D239" s="1560"/>
      <c r="E239" s="1558"/>
      <c r="F239" s="1558"/>
      <c r="G239" s="1560"/>
      <c r="H239" s="1563"/>
      <c r="I239" s="1562"/>
      <c r="J239" s="1563"/>
      <c r="K239" s="1563"/>
      <c r="L239" s="1563"/>
      <c r="M239" s="1563"/>
      <c r="N239" s="1560"/>
      <c r="O239" s="1560"/>
      <c r="P239" s="1560"/>
      <c r="Q239" s="1560"/>
      <c r="R239" s="1560"/>
    </row>
    <row r="240" spans="1:18" ht="16.5" customHeight="1">
      <c r="A240" s="1558"/>
      <c r="B240" s="1636" t="s">
        <v>1577</v>
      </c>
      <c r="C240" s="1637">
        <f>SUM(C235:C239)</f>
        <v>1015000</v>
      </c>
      <c r="D240" s="1560"/>
      <c r="E240" s="1558"/>
      <c r="F240" s="1558"/>
      <c r="G240" s="1560"/>
      <c r="H240" s="1563"/>
      <c r="I240" s="1562"/>
      <c r="J240" s="1563"/>
      <c r="K240" s="1563"/>
      <c r="L240" s="1563"/>
      <c r="M240" s="1563"/>
      <c r="N240" s="1560"/>
      <c r="O240" s="1560"/>
      <c r="P240" s="1560"/>
      <c r="Q240" s="1560"/>
      <c r="R240" s="1560"/>
    </row>
  </sheetData>
  <sheetProtection sheet="1" objects="1" scenarios="1"/>
  <protectedRanges>
    <protectedRange sqref="R6:R226" name="Vàng"/>
  </protectedRanges>
  <mergeCells count="148">
    <mergeCell ref="R6:R9"/>
    <mergeCell ref="B7:B8"/>
    <mergeCell ref="C7:F7"/>
    <mergeCell ref="A1:B1"/>
    <mergeCell ref="H1:P1"/>
    <mergeCell ref="A2:B2"/>
    <mergeCell ref="H2:P2"/>
    <mergeCell ref="A4:Q4"/>
    <mergeCell ref="A7:A8"/>
    <mergeCell ref="Q7:Q8"/>
    <mergeCell ref="G7:G8"/>
    <mergeCell ref="H7:M7"/>
    <mergeCell ref="K8:M8"/>
    <mergeCell ref="A5:I5"/>
    <mergeCell ref="K10:M10"/>
    <mergeCell ref="K12:M12"/>
    <mergeCell ref="K13:M13"/>
    <mergeCell ref="K15:M15"/>
    <mergeCell ref="K17:M17"/>
    <mergeCell ref="K19:M19"/>
    <mergeCell ref="K21:M21"/>
    <mergeCell ref="K23:M23"/>
    <mergeCell ref="K25:M25"/>
    <mergeCell ref="K26:M26"/>
    <mergeCell ref="K28:M28"/>
    <mergeCell ref="K30:M30"/>
    <mergeCell ref="K31:M31"/>
    <mergeCell ref="K33:M33"/>
    <mergeCell ref="K34:M34"/>
    <mergeCell ref="K36:M36"/>
    <mergeCell ref="H44:H45"/>
    <mergeCell ref="I44:I45"/>
    <mergeCell ref="J44:J45"/>
    <mergeCell ref="K44:K45"/>
    <mergeCell ref="K37:M37"/>
    <mergeCell ref="K38:M38"/>
    <mergeCell ref="K39:M39"/>
    <mergeCell ref="K42:M42"/>
    <mergeCell ref="Q44:Q45"/>
    <mergeCell ref="M88:M89"/>
    <mergeCell ref="Q88:Q89"/>
    <mergeCell ref="A88:A89"/>
    <mergeCell ref="B88:D89"/>
    <mergeCell ref="E88:E89"/>
    <mergeCell ref="F88:F89"/>
    <mergeCell ref="H88:I88"/>
    <mergeCell ref="J88:J89"/>
    <mergeCell ref="K88:L88"/>
    <mergeCell ref="L44:L45"/>
    <mergeCell ref="M44:M45"/>
    <mergeCell ref="N63:N64"/>
    <mergeCell ref="O63:O64"/>
    <mergeCell ref="P63:P64"/>
    <mergeCell ref="Q63:Q64"/>
    <mergeCell ref="I72:Q72"/>
    <mergeCell ref="P73:P74"/>
    <mergeCell ref="Q73:Q74"/>
    <mergeCell ref="B66:D66"/>
    <mergeCell ref="A44:A45"/>
    <mergeCell ref="B44:D45"/>
    <mergeCell ref="E44:F44"/>
    <mergeCell ref="K63:K64"/>
    <mergeCell ref="L63:L64"/>
    <mergeCell ref="M63:M64"/>
    <mergeCell ref="B61:D61"/>
    <mergeCell ref="A63:A64"/>
    <mergeCell ref="B63:D64"/>
    <mergeCell ref="E63:F63"/>
    <mergeCell ref="H63:H64"/>
    <mergeCell ref="I63:I64"/>
    <mergeCell ref="J63:J64"/>
    <mergeCell ref="B47:D47"/>
    <mergeCell ref="B48:D48"/>
    <mergeCell ref="C49:D49"/>
    <mergeCell ref="B50:D50"/>
    <mergeCell ref="B52:D52"/>
    <mergeCell ref="B54:D54"/>
    <mergeCell ref="B56:D56"/>
    <mergeCell ref="Q110:Q111"/>
    <mergeCell ref="Q125:Q126"/>
    <mergeCell ref="D73:D74"/>
    <mergeCell ref="E73:E74"/>
    <mergeCell ref="I73:I74"/>
    <mergeCell ref="J73:J74"/>
    <mergeCell ref="K73:L73"/>
    <mergeCell ref="M73:M74"/>
    <mergeCell ref="N73:O73"/>
    <mergeCell ref="B91:D91"/>
    <mergeCell ref="B93:D93"/>
    <mergeCell ref="B94:D94"/>
    <mergeCell ref="B95:D95"/>
    <mergeCell ref="B96:D96"/>
    <mergeCell ref="B97:D97"/>
    <mergeCell ref="B110:D111"/>
    <mergeCell ref="E110:F110"/>
    <mergeCell ref="I212:J212"/>
    <mergeCell ref="I213:J213"/>
    <mergeCell ref="K213:L213"/>
    <mergeCell ref="K212:L212"/>
    <mergeCell ref="I207:J207"/>
    <mergeCell ref="K207:L207"/>
    <mergeCell ref="I208:J208"/>
    <mergeCell ref="K208:L208"/>
    <mergeCell ref="I209:J209"/>
    <mergeCell ref="K209:L209"/>
    <mergeCell ref="K210:L210"/>
    <mergeCell ref="I210:J210"/>
    <mergeCell ref="I211:J211"/>
    <mergeCell ref="K211:L211"/>
    <mergeCell ref="I214:J214"/>
    <mergeCell ref="K214:L214"/>
    <mergeCell ref="M228:Q228"/>
    <mergeCell ref="M229:Q229"/>
    <mergeCell ref="I215:J215"/>
    <mergeCell ref="K215:L215"/>
    <mergeCell ref="I216:J216"/>
    <mergeCell ref="K216:L216"/>
    <mergeCell ref="I217:J217"/>
    <mergeCell ref="I218:J218"/>
    <mergeCell ref="I219:J219"/>
    <mergeCell ref="B68:D68"/>
    <mergeCell ref="B70:D70"/>
    <mergeCell ref="C71:D71"/>
    <mergeCell ref="A72:A74"/>
    <mergeCell ref="B72:B74"/>
    <mergeCell ref="C73:C74"/>
    <mergeCell ref="A125:A126"/>
    <mergeCell ref="B125:D126"/>
    <mergeCell ref="E125:F125"/>
    <mergeCell ref="H125:H126"/>
    <mergeCell ref="I125:I126"/>
    <mergeCell ref="J125:L125"/>
    <mergeCell ref="H110:H111"/>
    <mergeCell ref="I110:I111"/>
    <mergeCell ref="J110:L110"/>
    <mergeCell ref="M125:M126"/>
    <mergeCell ref="A110:A111"/>
    <mergeCell ref="M205:P205"/>
    <mergeCell ref="M110:M111"/>
    <mergeCell ref="Q205:Q206"/>
    <mergeCell ref="R205:R206"/>
    <mergeCell ref="A205:A206"/>
    <mergeCell ref="B205:D206"/>
    <mergeCell ref="E205:F205"/>
    <mergeCell ref="G205:G206"/>
    <mergeCell ref="H205:H206"/>
    <mergeCell ref="I205:J206"/>
    <mergeCell ref="K205:L206"/>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7"/>
  <sheetViews>
    <sheetView tabSelected="1" workbookViewId="0">
      <selection activeCell="E185" sqref="E185"/>
    </sheetView>
  </sheetViews>
  <sheetFormatPr defaultColWidth="14.42578125" defaultRowHeight="15" customHeight="1"/>
  <cols>
    <col min="1" max="1" width="7.28515625" customWidth="1"/>
    <col min="2" max="2" width="57.28515625" customWidth="1"/>
    <col min="3" max="3" width="26.42578125" customWidth="1"/>
    <col min="4" max="4" width="13.28515625" customWidth="1"/>
    <col min="5" max="5" width="13.7109375" customWidth="1"/>
    <col min="6" max="6" width="12.7109375" customWidth="1"/>
    <col min="7" max="7" width="11.7109375" customWidth="1"/>
    <col min="8" max="8" width="13" customWidth="1"/>
    <col min="9" max="9" width="29.85546875" customWidth="1"/>
    <col min="10" max="25" width="9" customWidth="1"/>
  </cols>
  <sheetData>
    <row r="1" spans="1:9" ht="20.25" customHeight="1">
      <c r="A1" s="2775" t="s">
        <v>2721</v>
      </c>
      <c r="B1" s="2732"/>
      <c r="C1" s="1425"/>
      <c r="D1" s="1674"/>
      <c r="E1" s="1674"/>
      <c r="F1" s="1674"/>
      <c r="G1" s="1674"/>
      <c r="H1" s="16" t="s">
        <v>3022</v>
      </c>
      <c r="I1" s="95"/>
    </row>
    <row r="2" spans="1:9" ht="18" customHeight="1">
      <c r="A2" s="2823" t="s">
        <v>2723</v>
      </c>
      <c r="B2" s="2732"/>
      <c r="C2" s="1425"/>
      <c r="D2" s="1674"/>
      <c r="E2" s="1674"/>
      <c r="F2" s="1674"/>
      <c r="G2" s="1674"/>
      <c r="H2" s="15"/>
      <c r="I2" s="95"/>
    </row>
    <row r="3" spans="1:9" ht="38.25" customHeight="1">
      <c r="A3" s="2905" t="s">
        <v>3023</v>
      </c>
      <c r="B3" s="2732"/>
      <c r="C3" s="2732"/>
      <c r="D3" s="2732"/>
      <c r="E3" s="2732"/>
      <c r="F3" s="2732"/>
      <c r="G3" s="2732"/>
      <c r="H3" s="2732"/>
      <c r="I3" s="95"/>
    </row>
    <row r="4" spans="1:9" ht="24.75" customHeight="1">
      <c r="A4" s="2974" t="s">
        <v>1643</v>
      </c>
      <c r="B4" s="2975"/>
      <c r="C4" s="2975"/>
      <c r="D4" s="2975"/>
      <c r="E4" s="2975"/>
      <c r="F4" s="2975"/>
      <c r="G4" s="2975"/>
      <c r="H4" s="2975"/>
      <c r="I4" s="2975"/>
    </row>
    <row r="5" spans="1:9" ht="1.5" customHeight="1">
      <c r="A5" s="96"/>
      <c r="B5" s="96"/>
      <c r="C5" s="96"/>
      <c r="D5" s="1675"/>
      <c r="E5" s="1675"/>
      <c r="F5" s="1675"/>
      <c r="G5" s="1675"/>
      <c r="H5" s="120"/>
      <c r="I5" s="95"/>
    </row>
    <row r="6" spans="1:9" ht="34.5" customHeight="1">
      <c r="A6" s="3009" t="s">
        <v>186</v>
      </c>
      <c r="B6" s="3009" t="s">
        <v>3024</v>
      </c>
      <c r="C6" s="3009" t="s">
        <v>3025</v>
      </c>
      <c r="D6" s="3010" t="s">
        <v>1911</v>
      </c>
      <c r="E6" s="3011" t="s">
        <v>3026</v>
      </c>
      <c r="F6" s="2782"/>
      <c r="G6" s="2783"/>
      <c r="H6" s="1676" t="s">
        <v>32</v>
      </c>
      <c r="I6" s="2921" t="s">
        <v>3027</v>
      </c>
    </row>
    <row r="7" spans="1:9" ht="42.75" customHeight="1">
      <c r="A7" s="2779"/>
      <c r="B7" s="2779"/>
      <c r="C7" s="2779"/>
      <c r="D7" s="2779"/>
      <c r="E7" s="1677" t="s">
        <v>3028</v>
      </c>
      <c r="F7" s="1677" t="s">
        <v>3029</v>
      </c>
      <c r="G7" s="1677" t="s">
        <v>3030</v>
      </c>
      <c r="H7" s="1676"/>
      <c r="I7" s="2922"/>
    </row>
    <row r="8" spans="1:9" ht="41.25" customHeight="1">
      <c r="A8" s="1678" t="s">
        <v>258</v>
      </c>
      <c r="B8" s="1679" t="s">
        <v>3031</v>
      </c>
      <c r="C8" s="1678"/>
      <c r="D8" s="1680">
        <f t="shared" ref="D8:D18" si="0">E8+F8+G8</f>
        <v>6720000</v>
      </c>
      <c r="E8" s="1680">
        <f t="shared" ref="E8:G8" si="1">E9+E11+E27</f>
        <v>6320000</v>
      </c>
      <c r="F8" s="1680">
        <f t="shared" si="1"/>
        <v>300000</v>
      </c>
      <c r="G8" s="1680">
        <f t="shared" si="1"/>
        <v>100000</v>
      </c>
      <c r="H8" s="1678"/>
      <c r="I8" s="2543"/>
    </row>
    <row r="9" spans="1:9" ht="21.75" customHeight="1">
      <c r="A9" s="1681" t="s">
        <v>260</v>
      </c>
      <c r="B9" s="1682" t="s">
        <v>3032</v>
      </c>
      <c r="C9" s="1682"/>
      <c r="D9" s="1683">
        <f t="shared" si="0"/>
        <v>610000</v>
      </c>
      <c r="E9" s="1684">
        <f t="shared" ref="E9:G9" si="2">E10</f>
        <v>610000</v>
      </c>
      <c r="F9" s="1684">
        <f t="shared" si="2"/>
        <v>0</v>
      </c>
      <c r="G9" s="1684">
        <f t="shared" si="2"/>
        <v>0</v>
      </c>
      <c r="H9" s="1684"/>
      <c r="I9" s="2544"/>
    </row>
    <row r="10" spans="1:9" ht="42" customHeight="1">
      <c r="A10" s="1279" t="s">
        <v>3033</v>
      </c>
      <c r="B10" s="1317" t="s">
        <v>3034</v>
      </c>
      <c r="C10" s="1279" t="s">
        <v>2926</v>
      </c>
      <c r="D10" s="1685">
        <f t="shared" si="0"/>
        <v>610000</v>
      </c>
      <c r="E10" s="1686">
        <v>610000</v>
      </c>
      <c r="F10" s="1677"/>
      <c r="G10" s="1677"/>
      <c r="H10" s="1276" t="s">
        <v>545</v>
      </c>
      <c r="I10" s="2545"/>
    </row>
    <row r="11" spans="1:9" ht="21.75" customHeight="1">
      <c r="A11" s="1681" t="s">
        <v>274</v>
      </c>
      <c r="B11" s="2449" t="s">
        <v>3035</v>
      </c>
      <c r="C11" s="2449"/>
      <c r="D11" s="1687">
        <f t="shared" si="0"/>
        <v>5730000</v>
      </c>
      <c r="E11" s="2450">
        <f t="shared" ref="E11:G11" si="3">SUM(E12:E26)</f>
        <v>5430000</v>
      </c>
      <c r="F11" s="2450">
        <f t="shared" si="3"/>
        <v>300000</v>
      </c>
      <c r="G11" s="2450">
        <f t="shared" si="3"/>
        <v>0</v>
      </c>
      <c r="H11" s="1688"/>
      <c r="I11" s="2545"/>
    </row>
    <row r="12" spans="1:9" ht="43.5" customHeight="1">
      <c r="A12" s="2451" t="s">
        <v>3036</v>
      </c>
      <c r="B12" s="1317" t="s">
        <v>3037</v>
      </c>
      <c r="C12" s="1333" t="s">
        <v>3038</v>
      </c>
      <c r="D12" s="1685">
        <f t="shared" si="0"/>
        <v>600000</v>
      </c>
      <c r="E12" s="1689">
        <v>300000</v>
      </c>
      <c r="F12" s="1689">
        <v>300000</v>
      </c>
      <c r="G12" s="2452"/>
      <c r="H12" s="1276" t="s">
        <v>2680</v>
      </c>
      <c r="I12" s="2545"/>
    </row>
    <row r="13" spans="1:9" ht="54" customHeight="1">
      <c r="A13" s="1690" t="s">
        <v>3039</v>
      </c>
      <c r="B13" s="1317" t="s">
        <v>3040</v>
      </c>
      <c r="C13" s="1317" t="s">
        <v>2454</v>
      </c>
      <c r="D13" s="1685">
        <f t="shared" si="0"/>
        <v>230000</v>
      </c>
      <c r="E13" s="1689">
        <v>230000</v>
      </c>
      <c r="F13" s="1677"/>
      <c r="G13" s="1677"/>
      <c r="H13" s="1333" t="s">
        <v>3041</v>
      </c>
      <c r="I13" s="2545"/>
    </row>
    <row r="14" spans="1:9" ht="45" customHeight="1">
      <c r="A14" s="2451" t="s">
        <v>3042</v>
      </c>
      <c r="B14" s="1317" t="s">
        <v>3043</v>
      </c>
      <c r="C14" s="1317" t="s">
        <v>2449</v>
      </c>
      <c r="D14" s="1685">
        <f t="shared" si="0"/>
        <v>150000</v>
      </c>
      <c r="E14" s="1689">
        <v>150000</v>
      </c>
      <c r="F14" s="1677"/>
      <c r="G14" s="1677"/>
      <c r="H14" s="1333" t="s">
        <v>3041</v>
      </c>
      <c r="I14" s="2545"/>
    </row>
    <row r="15" spans="1:9" ht="48" customHeight="1">
      <c r="A15" s="1690" t="s">
        <v>3044</v>
      </c>
      <c r="B15" s="1317" t="s">
        <v>3045</v>
      </c>
      <c r="C15" s="1317" t="s">
        <v>2926</v>
      </c>
      <c r="D15" s="1685">
        <f t="shared" si="0"/>
        <v>550000</v>
      </c>
      <c r="E15" s="1689">
        <v>550000</v>
      </c>
      <c r="F15" s="1677"/>
      <c r="G15" s="1677"/>
      <c r="H15" s="1276" t="s">
        <v>545</v>
      </c>
      <c r="I15" s="2545"/>
    </row>
    <row r="16" spans="1:9" ht="40.5" customHeight="1">
      <c r="A16" s="2451" t="s">
        <v>3046</v>
      </c>
      <c r="B16" s="1317" t="s">
        <v>3047</v>
      </c>
      <c r="C16" s="1691" t="s">
        <v>2903</v>
      </c>
      <c r="D16" s="1685">
        <f t="shared" si="0"/>
        <v>460000</v>
      </c>
      <c r="E16" s="1689">
        <v>460000</v>
      </c>
      <c r="F16" s="1677"/>
      <c r="G16" s="1677"/>
      <c r="H16" s="1276" t="s">
        <v>545</v>
      </c>
      <c r="I16" s="2546"/>
    </row>
    <row r="17" spans="1:9" ht="49.5" customHeight="1">
      <c r="A17" s="1690" t="s">
        <v>3048</v>
      </c>
      <c r="B17" s="1317" t="s">
        <v>3049</v>
      </c>
      <c r="C17" s="1692" t="s">
        <v>2473</v>
      </c>
      <c r="D17" s="1685">
        <f t="shared" si="0"/>
        <v>225000</v>
      </c>
      <c r="E17" s="1689">
        <v>225000</v>
      </c>
      <c r="F17" s="1677"/>
      <c r="G17" s="1677"/>
      <c r="H17" s="1692" t="s">
        <v>547</v>
      </c>
      <c r="I17" s="2542"/>
    </row>
    <row r="18" spans="1:9" ht="39" customHeight="1">
      <c r="A18" s="2451" t="s">
        <v>3050</v>
      </c>
      <c r="B18" s="1317" t="s">
        <v>3051</v>
      </c>
      <c r="C18" s="1692" t="s">
        <v>2465</v>
      </c>
      <c r="D18" s="2453">
        <f t="shared" si="0"/>
        <v>900000</v>
      </c>
      <c r="E18" s="1689">
        <v>900000</v>
      </c>
      <c r="F18" s="1677"/>
      <c r="G18" s="1677"/>
      <c r="H18" s="1692" t="s">
        <v>547</v>
      </c>
      <c r="I18" s="2543"/>
    </row>
    <row r="19" spans="1:9" ht="29.25" customHeight="1">
      <c r="A19" s="1690" t="s">
        <v>3052</v>
      </c>
      <c r="B19" s="1317" t="s">
        <v>3053</v>
      </c>
      <c r="C19" s="2222" t="s">
        <v>2564</v>
      </c>
      <c r="D19" s="1685">
        <v>350000</v>
      </c>
      <c r="E19" s="1689">
        <v>350000</v>
      </c>
      <c r="F19" s="1677"/>
      <c r="G19" s="1677"/>
      <c r="H19" s="1276" t="s">
        <v>3054</v>
      </c>
      <c r="I19" s="2544"/>
    </row>
    <row r="20" spans="1:9" ht="30">
      <c r="A20" s="2451" t="s">
        <v>3055</v>
      </c>
      <c r="B20" s="1693" t="s">
        <v>3056</v>
      </c>
      <c r="C20" s="2454" t="s">
        <v>2585</v>
      </c>
      <c r="D20" s="1685">
        <f t="shared" ref="D20:D24" si="4">E20+F20+G20</f>
        <v>225000</v>
      </c>
      <c r="E20" s="1689">
        <v>225000</v>
      </c>
      <c r="F20" s="2455"/>
      <c r="G20" s="2455"/>
      <c r="H20" s="2456" t="s">
        <v>2914</v>
      </c>
      <c r="I20" s="2545"/>
    </row>
    <row r="21" spans="1:9" ht="45">
      <c r="A21" s="1690" t="s">
        <v>3057</v>
      </c>
      <c r="B21" s="2457" t="s">
        <v>3058</v>
      </c>
      <c r="C21" s="1694" t="s">
        <v>2842</v>
      </c>
      <c r="D21" s="1685">
        <f t="shared" si="4"/>
        <v>350000</v>
      </c>
      <c r="E21" s="1689">
        <v>350000</v>
      </c>
      <c r="F21" s="1695"/>
      <c r="G21" s="1695"/>
      <c r="H21" s="1696" t="s">
        <v>2914</v>
      </c>
      <c r="I21" s="2545"/>
    </row>
    <row r="22" spans="1:9" ht="30">
      <c r="A22" s="2451" t="s">
        <v>3059</v>
      </c>
      <c r="B22" s="1317" t="s">
        <v>3060</v>
      </c>
      <c r="C22" s="1317" t="s">
        <v>2980</v>
      </c>
      <c r="D22" s="1685">
        <f t="shared" si="4"/>
        <v>310000</v>
      </c>
      <c r="E22" s="1689">
        <v>310000</v>
      </c>
      <c r="F22" s="1677"/>
      <c r="G22" s="1677"/>
      <c r="H22" s="1276" t="s">
        <v>542</v>
      </c>
      <c r="I22" s="2545"/>
    </row>
    <row r="23" spans="1:9" ht="34.5" customHeight="1">
      <c r="A23" s="1690" t="s">
        <v>3061</v>
      </c>
      <c r="B23" s="1317" t="s">
        <v>3062</v>
      </c>
      <c r="C23" s="1317" t="s">
        <v>2979</v>
      </c>
      <c r="D23" s="1685">
        <f t="shared" si="4"/>
        <v>350000</v>
      </c>
      <c r="E23" s="1689">
        <v>350000</v>
      </c>
      <c r="F23" s="1677"/>
      <c r="G23" s="1677"/>
      <c r="H23" s="1276" t="s">
        <v>542</v>
      </c>
      <c r="I23" s="2545"/>
    </row>
    <row r="24" spans="1:9" ht="24" customHeight="1">
      <c r="A24" s="2451" t="s">
        <v>3063</v>
      </c>
      <c r="B24" s="1317" t="s">
        <v>3064</v>
      </c>
      <c r="C24" s="1317" t="s">
        <v>2977</v>
      </c>
      <c r="D24" s="1685">
        <f t="shared" si="4"/>
        <v>350000</v>
      </c>
      <c r="E24" s="1686">
        <v>350000</v>
      </c>
      <c r="F24" s="1684"/>
      <c r="G24" s="1684"/>
      <c r="H24" s="1276" t="s">
        <v>542</v>
      </c>
      <c r="I24" s="2545"/>
    </row>
    <row r="25" spans="1:9" ht="22.5" customHeight="1">
      <c r="A25" s="1690" t="s">
        <v>3065</v>
      </c>
      <c r="B25" s="1317" t="s">
        <v>3066</v>
      </c>
      <c r="C25" s="1317" t="s">
        <v>2974</v>
      </c>
      <c r="D25" s="1685">
        <v>350000</v>
      </c>
      <c r="E25" s="1686">
        <v>350000</v>
      </c>
      <c r="F25" s="1684"/>
      <c r="G25" s="1684"/>
      <c r="H25" s="1276" t="s">
        <v>542</v>
      </c>
      <c r="I25" s="2545"/>
    </row>
    <row r="26" spans="1:9" ht="49.5" customHeight="1">
      <c r="A26" s="2451" t="s">
        <v>3067</v>
      </c>
      <c r="B26" s="1317" t="s">
        <v>3068</v>
      </c>
      <c r="C26" s="1317" t="s">
        <v>2608</v>
      </c>
      <c r="D26" s="1685">
        <f t="shared" ref="D26:D31" si="5">E26+F26+G26</f>
        <v>330000</v>
      </c>
      <c r="E26" s="1686">
        <v>330000</v>
      </c>
      <c r="F26" s="1684"/>
      <c r="G26" s="1684"/>
      <c r="H26" s="1333" t="s">
        <v>3069</v>
      </c>
      <c r="I26" s="2546"/>
    </row>
    <row r="27" spans="1:9" ht="21.75" customHeight="1">
      <c r="A27" s="1681" t="s">
        <v>279</v>
      </c>
      <c r="B27" s="1682" t="s">
        <v>3070</v>
      </c>
      <c r="C27" s="1682"/>
      <c r="D27" s="1684">
        <f t="shared" si="5"/>
        <v>380000</v>
      </c>
      <c r="E27" s="1684">
        <f t="shared" ref="E27:G27" si="6">SUM(E28:E30)</f>
        <v>280000</v>
      </c>
      <c r="F27" s="1684">
        <f t="shared" si="6"/>
        <v>0</v>
      </c>
      <c r="G27" s="1684">
        <f t="shared" si="6"/>
        <v>100000</v>
      </c>
      <c r="H27" s="1688"/>
      <c r="I27" s="2545"/>
    </row>
    <row r="28" spans="1:9" ht="26.25" customHeight="1">
      <c r="A28" s="1279" t="s">
        <v>3071</v>
      </c>
      <c r="B28" s="1317" t="s">
        <v>3072</v>
      </c>
      <c r="C28" s="1317" t="s">
        <v>3073</v>
      </c>
      <c r="D28" s="1685">
        <f t="shared" si="5"/>
        <v>40000</v>
      </c>
      <c r="E28" s="2458">
        <v>40000</v>
      </c>
      <c r="F28" s="2458"/>
      <c r="G28" s="2458"/>
      <c r="H28" s="1276" t="s">
        <v>1842</v>
      </c>
      <c r="I28" s="2545"/>
    </row>
    <row r="29" spans="1:9" ht="37.5" customHeight="1">
      <c r="A29" s="1279" t="s">
        <v>3074</v>
      </c>
      <c r="B29" s="1317" t="s">
        <v>3075</v>
      </c>
      <c r="C29" s="1201" t="s">
        <v>2903</v>
      </c>
      <c r="D29" s="2459">
        <f t="shared" si="5"/>
        <v>40000</v>
      </c>
      <c r="E29" s="1686">
        <v>40000</v>
      </c>
      <c r="F29" s="1686"/>
      <c r="G29" s="1686"/>
      <c r="H29" s="2424" t="s">
        <v>545</v>
      </c>
      <c r="I29" s="2545"/>
    </row>
    <row r="30" spans="1:9" ht="36" customHeight="1">
      <c r="A30" s="1279" t="s">
        <v>3076</v>
      </c>
      <c r="B30" s="1697" t="s">
        <v>3077</v>
      </c>
      <c r="C30" s="1697" t="s">
        <v>3078</v>
      </c>
      <c r="D30" s="2459">
        <f t="shared" si="5"/>
        <v>300000</v>
      </c>
      <c r="E30" s="1698">
        <v>200000</v>
      </c>
      <c r="F30" s="1698"/>
      <c r="G30" s="1698">
        <v>100000</v>
      </c>
      <c r="H30" s="1697" t="s">
        <v>3078</v>
      </c>
      <c r="I30" s="2546"/>
    </row>
    <row r="31" spans="1:9" ht="48.75" customHeight="1">
      <c r="A31" s="1678" t="s">
        <v>284</v>
      </c>
      <c r="B31" s="1679" t="s">
        <v>3079</v>
      </c>
      <c r="C31" s="1678"/>
      <c r="D31" s="1699">
        <f t="shared" si="5"/>
        <v>4975000</v>
      </c>
      <c r="E31" s="1699">
        <f t="shared" ref="E31:G31" si="7">E32+E35+E69+E71+E84+E93+E95</f>
        <v>4300000</v>
      </c>
      <c r="F31" s="1699">
        <f t="shared" si="7"/>
        <v>675000</v>
      </c>
      <c r="G31" s="1699">
        <f t="shared" si="7"/>
        <v>0</v>
      </c>
      <c r="H31" s="1678"/>
      <c r="I31" s="2545"/>
    </row>
    <row r="32" spans="1:9" ht="21.75" customHeight="1">
      <c r="A32" s="1681" t="s">
        <v>726</v>
      </c>
      <c r="B32" s="1682" t="s">
        <v>3080</v>
      </c>
      <c r="C32" s="1682"/>
      <c r="D32" s="1700">
        <f t="shared" ref="D32:D34" si="8">SUM(E32:G32)</f>
        <v>850000</v>
      </c>
      <c r="E32" s="1700">
        <f>SUM(E33:E34)</f>
        <v>850000</v>
      </c>
      <c r="F32" s="1700">
        <f t="shared" ref="F32:G32" si="9">SUM(F33)</f>
        <v>0</v>
      </c>
      <c r="G32" s="1700">
        <f t="shared" si="9"/>
        <v>0</v>
      </c>
      <c r="H32" s="1701"/>
      <c r="I32" s="2545"/>
    </row>
    <row r="33" spans="1:9" ht="15.75" customHeight="1">
      <c r="A33" s="1279" t="s">
        <v>3081</v>
      </c>
      <c r="B33" s="1702" t="s">
        <v>3082</v>
      </c>
      <c r="C33" s="1317" t="s">
        <v>2516</v>
      </c>
      <c r="D33" s="1686">
        <f t="shared" si="8"/>
        <v>500000</v>
      </c>
      <c r="E33" s="1686">
        <v>500000</v>
      </c>
      <c r="F33" s="1703"/>
      <c r="G33" s="1704"/>
      <c r="H33" s="1276" t="s">
        <v>550</v>
      </c>
      <c r="I33" s="2545"/>
    </row>
    <row r="34" spans="1:9" ht="30">
      <c r="A34" s="1279" t="s">
        <v>3083</v>
      </c>
      <c r="B34" s="1702" t="s">
        <v>3084</v>
      </c>
      <c r="C34" s="1317" t="s">
        <v>2552</v>
      </c>
      <c r="D34" s="1686">
        <f t="shared" si="8"/>
        <v>350000</v>
      </c>
      <c r="E34" s="1686">
        <v>350000</v>
      </c>
      <c r="F34" s="1703"/>
      <c r="G34" s="1704"/>
      <c r="H34" s="1276" t="s">
        <v>3054</v>
      </c>
      <c r="I34" s="2546"/>
    </row>
    <row r="35" spans="1:9" ht="33.75" customHeight="1">
      <c r="A35" s="1681" t="s">
        <v>738</v>
      </c>
      <c r="B35" s="1682" t="s">
        <v>3085</v>
      </c>
      <c r="C35" s="1682"/>
      <c r="D35" s="1700">
        <f>E35+F35+G35</f>
        <v>1985000</v>
      </c>
      <c r="E35" s="1700">
        <f t="shared" ref="E35:F35" si="10">SUM(E36:E65)</f>
        <v>1700000</v>
      </c>
      <c r="F35" s="1700">
        <f t="shared" si="10"/>
        <v>285000</v>
      </c>
      <c r="G35" s="1700">
        <f>SUM(G36:G57)</f>
        <v>0</v>
      </c>
      <c r="H35" s="1701"/>
      <c r="I35" s="2545"/>
    </row>
    <row r="36" spans="1:9" ht="24.75" customHeight="1">
      <c r="A36" s="1279" t="s">
        <v>3086</v>
      </c>
      <c r="B36" s="1317" t="s">
        <v>3087</v>
      </c>
      <c r="C36" s="1317" t="s">
        <v>2937</v>
      </c>
      <c r="D36" s="1686">
        <f t="shared" ref="D36:D64" si="11">SUM(E36:G36)</f>
        <v>50000</v>
      </c>
      <c r="E36" s="2460">
        <v>50000</v>
      </c>
      <c r="F36" s="1703"/>
      <c r="G36" s="1703"/>
      <c r="H36" s="1276" t="s">
        <v>545</v>
      </c>
      <c r="I36" s="2545"/>
    </row>
    <row r="37" spans="1:9" ht="30" customHeight="1">
      <c r="A37" s="1279" t="s">
        <v>3088</v>
      </c>
      <c r="B37" s="1317" t="s">
        <v>3089</v>
      </c>
      <c r="C37" s="1317" t="s">
        <v>2938</v>
      </c>
      <c r="D37" s="1686">
        <f t="shared" si="11"/>
        <v>50000</v>
      </c>
      <c r="E37" s="2460">
        <v>50000</v>
      </c>
      <c r="F37" s="1703"/>
      <c r="G37" s="1703"/>
      <c r="H37" s="1276" t="s">
        <v>545</v>
      </c>
      <c r="I37" s="2545"/>
    </row>
    <row r="38" spans="1:9" ht="48.75" customHeight="1">
      <c r="A38" s="1279" t="s">
        <v>3090</v>
      </c>
      <c r="B38" s="1317" t="s">
        <v>3091</v>
      </c>
      <c r="C38" s="1317" t="s">
        <v>2945</v>
      </c>
      <c r="D38" s="1686">
        <f t="shared" si="11"/>
        <v>50000</v>
      </c>
      <c r="E38" s="2460">
        <v>50000</v>
      </c>
      <c r="F38" s="1703"/>
      <c r="G38" s="1703"/>
      <c r="H38" s="1276" t="s">
        <v>545</v>
      </c>
      <c r="I38" s="2546"/>
    </row>
    <row r="39" spans="1:9" ht="30">
      <c r="A39" s="1279" t="s">
        <v>3092</v>
      </c>
      <c r="B39" s="1317" t="s">
        <v>3093</v>
      </c>
      <c r="C39" s="1317" t="s">
        <v>2517</v>
      </c>
      <c r="D39" s="1686">
        <f t="shared" si="11"/>
        <v>50000</v>
      </c>
      <c r="E39" s="2460">
        <v>50000</v>
      </c>
      <c r="F39" s="1703"/>
      <c r="G39" s="1703"/>
      <c r="H39" s="1276" t="s">
        <v>550</v>
      </c>
      <c r="I39" s="2545"/>
    </row>
    <row r="40" spans="1:9" ht="30">
      <c r="A40" s="1279" t="s">
        <v>3094</v>
      </c>
      <c r="B40" s="1317" t="s">
        <v>3095</v>
      </c>
      <c r="C40" s="1317" t="s">
        <v>2522</v>
      </c>
      <c r="D40" s="1686">
        <f t="shared" si="11"/>
        <v>50000</v>
      </c>
      <c r="E40" s="2460">
        <v>50000</v>
      </c>
      <c r="F40" s="1703"/>
      <c r="G40" s="1703"/>
      <c r="H40" s="1276" t="s">
        <v>550</v>
      </c>
      <c r="I40" s="2545"/>
    </row>
    <row r="41" spans="1:9" ht="30">
      <c r="A41" s="1279" t="s">
        <v>3096</v>
      </c>
      <c r="B41" s="1317" t="s">
        <v>3097</v>
      </c>
      <c r="C41" s="1317" t="s">
        <v>2543</v>
      </c>
      <c r="D41" s="1686">
        <f t="shared" si="11"/>
        <v>50000</v>
      </c>
      <c r="E41" s="2460">
        <v>50000</v>
      </c>
      <c r="F41" s="1703"/>
      <c r="G41" s="1703"/>
      <c r="H41" s="1276" t="s">
        <v>1842</v>
      </c>
      <c r="I41" s="2545"/>
    </row>
    <row r="42" spans="1:9" ht="30">
      <c r="A42" s="1279" t="s">
        <v>3098</v>
      </c>
      <c r="B42" s="1317" t="s">
        <v>3099</v>
      </c>
      <c r="C42" s="1317" t="s">
        <v>2555</v>
      </c>
      <c r="D42" s="1686">
        <f t="shared" si="11"/>
        <v>50000</v>
      </c>
      <c r="E42" s="2460">
        <v>50000</v>
      </c>
      <c r="F42" s="1703"/>
      <c r="G42" s="1703"/>
      <c r="H42" s="1276" t="s">
        <v>1231</v>
      </c>
      <c r="I42" s="2546"/>
    </row>
    <row r="43" spans="1:9" ht="30">
      <c r="A43" s="1279" t="s">
        <v>3100</v>
      </c>
      <c r="B43" s="1317" t="s">
        <v>3101</v>
      </c>
      <c r="C43" s="1317" t="s">
        <v>2499</v>
      </c>
      <c r="D43" s="1686">
        <f t="shared" si="11"/>
        <v>230000</v>
      </c>
      <c r="E43" s="1703"/>
      <c r="F43" s="1703">
        <v>230000</v>
      </c>
      <c r="G43" s="1703"/>
      <c r="H43" s="1276" t="s">
        <v>549</v>
      </c>
      <c r="I43" s="2545"/>
    </row>
    <row r="44" spans="1:9" ht="30">
      <c r="A44" s="1279" t="s">
        <v>3102</v>
      </c>
      <c r="B44" s="1317" t="s">
        <v>3103</v>
      </c>
      <c r="C44" s="1317" t="s">
        <v>2498</v>
      </c>
      <c r="D44" s="1686">
        <f t="shared" si="11"/>
        <v>50000</v>
      </c>
      <c r="E44" s="2460">
        <v>50000</v>
      </c>
      <c r="F44" s="1703"/>
      <c r="G44" s="1703"/>
      <c r="H44" s="1276" t="s">
        <v>549</v>
      </c>
      <c r="I44" s="2545"/>
    </row>
    <row r="45" spans="1:9" ht="45" customHeight="1">
      <c r="A45" s="1279" t="s">
        <v>3104</v>
      </c>
      <c r="B45" s="1317" t="s">
        <v>3105</v>
      </c>
      <c r="C45" s="1317" t="s">
        <v>2502</v>
      </c>
      <c r="D45" s="1686">
        <f t="shared" si="11"/>
        <v>50000</v>
      </c>
      <c r="E45" s="2460">
        <v>50000</v>
      </c>
      <c r="F45" s="1703"/>
      <c r="G45" s="1703"/>
      <c r="H45" s="1276" t="s">
        <v>549</v>
      </c>
      <c r="I45" s="2545"/>
    </row>
    <row r="46" spans="1:9" ht="32.25" customHeight="1">
      <c r="A46" s="1279" t="s">
        <v>3106</v>
      </c>
      <c r="B46" s="1317" t="s">
        <v>3107</v>
      </c>
      <c r="C46" s="1317" t="s">
        <v>2493</v>
      </c>
      <c r="D46" s="1686">
        <f t="shared" si="11"/>
        <v>50000</v>
      </c>
      <c r="E46" s="2460">
        <v>50000</v>
      </c>
      <c r="F46" s="1703"/>
      <c r="G46" s="1703"/>
      <c r="H46" s="1276" t="s">
        <v>549</v>
      </c>
      <c r="I46" s="2546"/>
    </row>
    <row r="47" spans="1:9" ht="39.75" customHeight="1">
      <c r="A47" s="1279" t="s">
        <v>3108</v>
      </c>
      <c r="B47" s="1317" t="s">
        <v>3109</v>
      </c>
      <c r="C47" s="1317" t="s">
        <v>2493</v>
      </c>
      <c r="D47" s="1686">
        <f t="shared" si="11"/>
        <v>50000</v>
      </c>
      <c r="E47" s="2460">
        <v>50000</v>
      </c>
      <c r="F47" s="1703"/>
      <c r="G47" s="1703"/>
      <c r="H47" s="1276" t="s">
        <v>549</v>
      </c>
      <c r="I47" s="2545"/>
    </row>
    <row r="48" spans="1:9" ht="37.5" customHeight="1">
      <c r="A48" s="1279" t="s">
        <v>3110</v>
      </c>
      <c r="B48" s="1317" t="s">
        <v>3111</v>
      </c>
      <c r="C48" s="1317" t="s">
        <v>2506</v>
      </c>
      <c r="D48" s="1686">
        <f t="shared" si="11"/>
        <v>50000</v>
      </c>
      <c r="E48" s="2460">
        <v>50000</v>
      </c>
      <c r="F48" s="1703"/>
      <c r="G48" s="1703"/>
      <c r="H48" s="1276" t="s">
        <v>549</v>
      </c>
      <c r="I48" s="2545"/>
    </row>
    <row r="49" spans="1:9" ht="39.75" customHeight="1">
      <c r="A49" s="1279" t="s">
        <v>3112</v>
      </c>
      <c r="B49" s="1317" t="s">
        <v>3113</v>
      </c>
      <c r="C49" s="1317" t="s">
        <v>2507</v>
      </c>
      <c r="D49" s="1686">
        <f t="shared" si="11"/>
        <v>50000</v>
      </c>
      <c r="E49" s="2460">
        <v>50000</v>
      </c>
      <c r="F49" s="1703"/>
      <c r="G49" s="1703"/>
      <c r="H49" s="1276" t="s">
        <v>549</v>
      </c>
      <c r="I49" s="2545"/>
    </row>
    <row r="50" spans="1:9" ht="36.75" customHeight="1">
      <c r="A50" s="1279" t="s">
        <v>3114</v>
      </c>
      <c r="B50" s="1317" t="s">
        <v>3115</v>
      </c>
      <c r="C50" s="1317" t="s">
        <v>2496</v>
      </c>
      <c r="D50" s="1686">
        <f t="shared" si="11"/>
        <v>50000</v>
      </c>
      <c r="E50" s="2460">
        <v>50000</v>
      </c>
      <c r="F50" s="1703"/>
      <c r="G50" s="1703"/>
      <c r="H50" s="1276" t="s">
        <v>549</v>
      </c>
      <c r="I50" s="2546"/>
    </row>
    <row r="51" spans="1:9" ht="33" customHeight="1">
      <c r="A51" s="1279" t="s">
        <v>3116</v>
      </c>
      <c r="B51" s="1317" t="s">
        <v>3117</v>
      </c>
      <c r="C51" s="1317" t="s">
        <v>2495</v>
      </c>
      <c r="D51" s="1686">
        <f t="shared" si="11"/>
        <v>50000</v>
      </c>
      <c r="E51" s="2460">
        <v>50000</v>
      </c>
      <c r="F51" s="1703"/>
      <c r="G51" s="1703"/>
      <c r="H51" s="1276" t="s">
        <v>549</v>
      </c>
      <c r="I51" s="2545"/>
    </row>
    <row r="52" spans="1:9" ht="32.25" customHeight="1">
      <c r="A52" s="1279" t="s">
        <v>3118</v>
      </c>
      <c r="B52" s="1317" t="s">
        <v>3119</v>
      </c>
      <c r="C52" s="1317" t="s">
        <v>2577</v>
      </c>
      <c r="D52" s="1686">
        <f t="shared" si="11"/>
        <v>50000</v>
      </c>
      <c r="E52" s="2460">
        <v>50000</v>
      </c>
      <c r="F52" s="1703"/>
      <c r="G52" s="1703"/>
      <c r="H52" s="1276" t="s">
        <v>2680</v>
      </c>
      <c r="I52" s="2545"/>
    </row>
    <row r="53" spans="1:9" ht="30">
      <c r="A53" s="1279" t="s">
        <v>3120</v>
      </c>
      <c r="B53" s="1317" t="s">
        <v>3121</v>
      </c>
      <c r="C53" s="1317" t="s">
        <v>2574</v>
      </c>
      <c r="D53" s="1686">
        <f t="shared" si="11"/>
        <v>50000</v>
      </c>
      <c r="E53" s="2460">
        <v>50000</v>
      </c>
      <c r="F53" s="1703"/>
      <c r="G53" s="1703"/>
      <c r="H53" s="1276" t="s">
        <v>2680</v>
      </c>
      <c r="I53" s="2545"/>
    </row>
    <row r="54" spans="1:9" ht="41.25" customHeight="1">
      <c r="A54" s="1279" t="s">
        <v>3122</v>
      </c>
      <c r="B54" s="1317" t="s">
        <v>3123</v>
      </c>
      <c r="C54" s="1317" t="s">
        <v>2451</v>
      </c>
      <c r="D54" s="1686">
        <f t="shared" si="11"/>
        <v>55000</v>
      </c>
      <c r="E54" s="1703"/>
      <c r="F54" s="1703">
        <v>55000</v>
      </c>
      <c r="G54" s="1703"/>
      <c r="H54" s="1276" t="s">
        <v>546</v>
      </c>
      <c r="I54" s="2546"/>
    </row>
    <row r="55" spans="1:9" ht="56.25" customHeight="1">
      <c r="A55" s="1279" t="s">
        <v>3124</v>
      </c>
      <c r="B55" s="1317" t="s">
        <v>3125</v>
      </c>
      <c r="C55" s="1317" t="s">
        <v>2874</v>
      </c>
      <c r="D55" s="1686">
        <f t="shared" si="11"/>
        <v>50000</v>
      </c>
      <c r="E55" s="1703">
        <v>50000</v>
      </c>
      <c r="F55" s="1703"/>
      <c r="G55" s="1703"/>
      <c r="H55" s="1276" t="s">
        <v>548</v>
      </c>
      <c r="I55" s="2545"/>
    </row>
    <row r="56" spans="1:9" ht="45">
      <c r="A56" s="1279" t="s">
        <v>3126</v>
      </c>
      <c r="B56" s="1317" t="s">
        <v>3127</v>
      </c>
      <c r="C56" s="1317" t="s">
        <v>3128</v>
      </c>
      <c r="D56" s="1686">
        <f t="shared" si="11"/>
        <v>50000</v>
      </c>
      <c r="E56" s="1703">
        <v>50000</v>
      </c>
      <c r="F56" s="1703"/>
      <c r="G56" s="1703"/>
      <c r="H56" s="1276" t="s">
        <v>548</v>
      </c>
      <c r="I56" s="2545"/>
    </row>
    <row r="57" spans="1:9" ht="30">
      <c r="A57" s="1279" t="s">
        <v>3129</v>
      </c>
      <c r="B57" s="1317" t="s">
        <v>3130</v>
      </c>
      <c r="C57" s="2461" t="s">
        <v>2465</v>
      </c>
      <c r="D57" s="1686">
        <f t="shared" si="11"/>
        <v>50000</v>
      </c>
      <c r="E57" s="2460">
        <v>50000</v>
      </c>
      <c r="F57" s="1703"/>
      <c r="G57" s="1703"/>
      <c r="H57" s="1276" t="s">
        <v>547</v>
      </c>
      <c r="I57" s="2545"/>
    </row>
    <row r="58" spans="1:9" ht="30">
      <c r="A58" s="1705">
        <v>44959</v>
      </c>
      <c r="B58" s="1706" t="s">
        <v>3131</v>
      </c>
      <c r="C58" s="1707" t="s">
        <v>3132</v>
      </c>
      <c r="D58" s="1686">
        <f t="shared" si="11"/>
        <v>50000</v>
      </c>
      <c r="E58" s="2460">
        <v>50000</v>
      </c>
      <c r="F58" s="1708"/>
      <c r="G58" s="1708"/>
      <c r="H58" s="1276" t="s">
        <v>547</v>
      </c>
      <c r="I58" s="2546"/>
    </row>
    <row r="59" spans="1:9" ht="30">
      <c r="A59" s="1705">
        <v>45324</v>
      </c>
      <c r="B59" s="1709" t="s">
        <v>3133</v>
      </c>
      <c r="C59" s="2462" t="s">
        <v>3134</v>
      </c>
      <c r="D59" s="1686">
        <f t="shared" si="11"/>
        <v>50000</v>
      </c>
      <c r="E59" s="2460">
        <v>50000</v>
      </c>
      <c r="F59" s="1708"/>
      <c r="G59" s="1708"/>
      <c r="H59" s="1276" t="s">
        <v>547</v>
      </c>
      <c r="I59" s="2545"/>
    </row>
    <row r="60" spans="1:9" ht="30">
      <c r="A60" s="1705">
        <v>45690</v>
      </c>
      <c r="B60" s="1709" t="s">
        <v>3135</v>
      </c>
      <c r="C60" s="2462" t="s">
        <v>3136</v>
      </c>
      <c r="D60" s="1686">
        <f t="shared" si="11"/>
        <v>50000</v>
      </c>
      <c r="E60" s="2460">
        <v>50000</v>
      </c>
      <c r="F60" s="1708"/>
      <c r="G60" s="1708"/>
      <c r="H60" s="1276" t="s">
        <v>547</v>
      </c>
      <c r="I60" s="2545"/>
    </row>
    <row r="61" spans="1:9" ht="36" customHeight="1">
      <c r="A61" s="1705">
        <v>46055</v>
      </c>
      <c r="B61" s="1709" t="s">
        <v>3137</v>
      </c>
      <c r="C61" s="2462" t="s">
        <v>3138</v>
      </c>
      <c r="D61" s="1686">
        <f t="shared" si="11"/>
        <v>50000</v>
      </c>
      <c r="E61" s="2460">
        <v>50000</v>
      </c>
      <c r="F61" s="1708"/>
      <c r="G61" s="1708"/>
      <c r="H61" s="1276" t="s">
        <v>547</v>
      </c>
      <c r="I61" s="2545"/>
    </row>
    <row r="62" spans="1:9" ht="33" customHeight="1">
      <c r="A62" s="1705">
        <v>46420</v>
      </c>
      <c r="B62" s="1709" t="s">
        <v>3139</v>
      </c>
      <c r="C62" s="2462" t="s">
        <v>3140</v>
      </c>
      <c r="D62" s="1686">
        <f t="shared" si="11"/>
        <v>50000</v>
      </c>
      <c r="E62" s="2460">
        <v>50000</v>
      </c>
      <c r="F62" s="1708"/>
      <c r="G62" s="1708"/>
      <c r="H62" s="1276" t="s">
        <v>547</v>
      </c>
      <c r="I62" s="2546"/>
    </row>
    <row r="63" spans="1:9" ht="30">
      <c r="A63" s="1705">
        <v>46785</v>
      </c>
      <c r="B63" s="1710" t="s">
        <v>3141</v>
      </c>
      <c r="C63" s="2454" t="s">
        <v>2981</v>
      </c>
      <c r="D63" s="1686">
        <f t="shared" si="11"/>
        <v>50000</v>
      </c>
      <c r="E63" s="2460">
        <v>50000</v>
      </c>
      <c r="F63" s="1708"/>
      <c r="G63" s="1708"/>
      <c r="H63" s="1711" t="s">
        <v>3142</v>
      </c>
      <c r="I63" s="2545"/>
    </row>
    <row r="64" spans="1:9" ht="30">
      <c r="A64" s="1705">
        <v>47151</v>
      </c>
      <c r="B64" s="2463" t="s">
        <v>3143</v>
      </c>
      <c r="C64" s="2454" t="s">
        <v>2615</v>
      </c>
      <c r="D64" s="1686">
        <f t="shared" si="11"/>
        <v>50000</v>
      </c>
      <c r="E64" s="2460">
        <v>50000</v>
      </c>
      <c r="F64" s="1708"/>
      <c r="G64" s="1708"/>
      <c r="H64" s="1712" t="s">
        <v>3078</v>
      </c>
      <c r="I64" s="2545"/>
    </row>
    <row r="65" spans="1:10" ht="30" customHeight="1">
      <c r="A65" s="1705">
        <v>10991</v>
      </c>
      <c r="B65" s="1317" t="s">
        <v>3144</v>
      </c>
      <c r="C65" s="2454" t="s">
        <v>2620</v>
      </c>
      <c r="D65" s="1708">
        <v>350000</v>
      </c>
      <c r="E65" s="2464">
        <v>350000</v>
      </c>
      <c r="F65" s="1708"/>
      <c r="G65" s="1708"/>
      <c r="H65" s="1712" t="s">
        <v>3145</v>
      </c>
      <c r="I65" s="2545"/>
    </row>
    <row r="66" spans="1:10" ht="30" customHeight="1">
      <c r="A66" s="1713">
        <v>11356</v>
      </c>
      <c r="B66" s="1714" t="s">
        <v>3146</v>
      </c>
      <c r="C66" s="2465" t="s">
        <v>2538</v>
      </c>
      <c r="D66" s="1715">
        <f t="shared" ref="D66:D68" si="12">SUM(E66:G66)</f>
        <v>50000</v>
      </c>
      <c r="E66" s="2466">
        <v>50000</v>
      </c>
      <c r="F66" s="1716"/>
      <c r="G66" s="1716"/>
      <c r="H66" s="1717" t="s">
        <v>1780</v>
      </c>
      <c r="I66" s="2546"/>
    </row>
    <row r="67" spans="1:10" ht="27.75" customHeight="1">
      <c r="A67" s="1718">
        <v>11721</v>
      </c>
      <c r="B67" s="1714" t="s">
        <v>3147</v>
      </c>
      <c r="C67" s="2467" t="s">
        <v>2540</v>
      </c>
      <c r="D67" s="1715">
        <f t="shared" si="12"/>
        <v>50000</v>
      </c>
      <c r="E67" s="2466">
        <v>50000</v>
      </c>
      <c r="F67" s="1719"/>
      <c r="G67" s="1719"/>
      <c r="H67" s="1717" t="s">
        <v>1780</v>
      </c>
      <c r="I67" s="2545"/>
    </row>
    <row r="68" spans="1:10" ht="22.5" customHeight="1">
      <c r="A68" s="1718">
        <v>12087</v>
      </c>
      <c r="B68" s="1714" t="s">
        <v>3148</v>
      </c>
      <c r="C68" s="2467" t="s">
        <v>2542</v>
      </c>
      <c r="D68" s="1715">
        <f t="shared" si="12"/>
        <v>50000</v>
      </c>
      <c r="E68" s="2466">
        <v>50000</v>
      </c>
      <c r="F68" s="1719"/>
      <c r="G68" s="1719"/>
      <c r="H68" s="1720" t="s">
        <v>1780</v>
      </c>
      <c r="I68" s="2545"/>
    </row>
    <row r="69" spans="1:10" ht="21.75" customHeight="1">
      <c r="A69" s="1313" t="s">
        <v>2177</v>
      </c>
      <c r="B69" s="1316" t="s">
        <v>3149</v>
      </c>
      <c r="C69" s="1316"/>
      <c r="D69" s="1721">
        <f>E69+F69+G69</f>
        <v>0</v>
      </c>
      <c r="E69" s="1721">
        <f t="shared" ref="E69:G69" si="13">E70</f>
        <v>0</v>
      </c>
      <c r="F69" s="1721">
        <f t="shared" si="13"/>
        <v>0</v>
      </c>
      <c r="G69" s="1721">
        <f t="shared" si="13"/>
        <v>0</v>
      </c>
      <c r="H69" s="1276"/>
      <c r="I69" s="2545"/>
    </row>
    <row r="70" spans="1:10" ht="21.75" customHeight="1">
      <c r="A70" s="1279"/>
      <c r="B70" s="1317"/>
      <c r="C70" s="1317"/>
      <c r="D70" s="1703"/>
      <c r="E70" s="1703"/>
      <c r="F70" s="1703"/>
      <c r="G70" s="1703"/>
      <c r="H70" s="1276"/>
      <c r="I70" s="2546"/>
    </row>
    <row r="71" spans="1:10" ht="28.5" customHeight="1">
      <c r="A71" s="2468" t="s">
        <v>3150</v>
      </c>
      <c r="B71" s="2469" t="s">
        <v>3151</v>
      </c>
      <c r="C71" s="2469"/>
      <c r="D71" s="2448">
        <f t="shared" ref="D71:D91" si="14">SUM(E71:G71)</f>
        <v>1310000</v>
      </c>
      <c r="E71" s="2448">
        <f t="shared" ref="E71:G71" si="15">SUM(E72:E83)</f>
        <v>1280000</v>
      </c>
      <c r="F71" s="2448">
        <f t="shared" si="15"/>
        <v>30000</v>
      </c>
      <c r="G71" s="2448">
        <f t="shared" si="15"/>
        <v>0</v>
      </c>
      <c r="H71" s="2470"/>
      <c r="I71" s="2706"/>
    </row>
    <row r="72" spans="1:10" ht="90">
      <c r="A72" s="1279" t="s">
        <v>3152</v>
      </c>
      <c r="B72" s="1317" t="s">
        <v>3153</v>
      </c>
      <c r="C72" s="1317" t="s">
        <v>3154</v>
      </c>
      <c r="D72" s="2458">
        <f t="shared" si="14"/>
        <v>80000</v>
      </c>
      <c r="E72" s="1722">
        <v>80000</v>
      </c>
      <c r="F72" s="1722"/>
      <c r="G72" s="1686"/>
      <c r="H72" s="2693" t="s">
        <v>3155</v>
      </c>
      <c r="I72" s="2691"/>
      <c r="J72" s="2612"/>
    </row>
    <row r="73" spans="1:10" ht="60">
      <c r="A73" s="1279" t="s">
        <v>3156</v>
      </c>
      <c r="B73" s="1317" t="s">
        <v>3157</v>
      </c>
      <c r="C73" s="1317" t="s">
        <v>3158</v>
      </c>
      <c r="D73" s="2458">
        <f t="shared" si="14"/>
        <v>100000</v>
      </c>
      <c r="E73" s="1723">
        <v>100000</v>
      </c>
      <c r="F73" s="1723"/>
      <c r="G73" s="1703"/>
      <c r="H73" s="2694" t="s">
        <v>545</v>
      </c>
      <c r="I73" s="2691"/>
      <c r="J73" s="2612"/>
    </row>
    <row r="74" spans="1:10" ht="45" customHeight="1">
      <c r="A74" s="1279" t="s">
        <v>3159</v>
      </c>
      <c r="B74" s="1317" t="s">
        <v>3160</v>
      </c>
      <c r="C74" s="1317" t="s">
        <v>3161</v>
      </c>
      <c r="D74" s="2458">
        <f t="shared" si="14"/>
        <v>50000</v>
      </c>
      <c r="E74" s="1723">
        <v>50000</v>
      </c>
      <c r="F74" s="1723"/>
      <c r="G74" s="1703"/>
      <c r="H74" s="2694" t="s">
        <v>545</v>
      </c>
      <c r="I74" s="2692"/>
      <c r="J74" s="2612"/>
    </row>
    <row r="75" spans="1:10" ht="57" customHeight="1">
      <c r="A75" s="1279" t="s">
        <v>3162</v>
      </c>
      <c r="B75" s="1317" t="s">
        <v>3163</v>
      </c>
      <c r="C75" s="1317" t="s">
        <v>3164</v>
      </c>
      <c r="D75" s="2458">
        <f t="shared" si="14"/>
        <v>100000</v>
      </c>
      <c r="E75" s="1723">
        <v>100000</v>
      </c>
      <c r="F75" s="1723"/>
      <c r="G75" s="1703"/>
      <c r="H75" s="2694" t="s">
        <v>545</v>
      </c>
      <c r="I75" s="2691"/>
      <c r="J75" s="2612"/>
    </row>
    <row r="76" spans="1:10" ht="42.75" customHeight="1">
      <c r="A76" s="1279" t="s">
        <v>3165</v>
      </c>
      <c r="B76" s="1317" t="s">
        <v>3166</v>
      </c>
      <c r="C76" s="1276" t="s">
        <v>2945</v>
      </c>
      <c r="D76" s="2458">
        <f t="shared" si="14"/>
        <v>100000</v>
      </c>
      <c r="E76" s="1723">
        <v>100000</v>
      </c>
      <c r="F76" s="1723"/>
      <c r="G76" s="1703"/>
      <c r="H76" s="2694" t="s">
        <v>545</v>
      </c>
      <c r="I76" s="2691"/>
      <c r="J76" s="2612"/>
    </row>
    <row r="77" spans="1:10" ht="45">
      <c r="A77" s="1279" t="s">
        <v>3167</v>
      </c>
      <c r="B77" s="1317" t="s">
        <v>3168</v>
      </c>
      <c r="C77" s="1317" t="s">
        <v>3169</v>
      </c>
      <c r="D77" s="2458">
        <f t="shared" si="14"/>
        <v>100000</v>
      </c>
      <c r="E77" s="1703">
        <v>100000</v>
      </c>
      <c r="F77" s="1724"/>
      <c r="G77" s="1703"/>
      <c r="H77" s="2695" t="s">
        <v>626</v>
      </c>
      <c r="I77" s="2691"/>
      <c r="J77" s="2612"/>
    </row>
    <row r="78" spans="1:10" ht="30">
      <c r="A78" s="1279" t="s">
        <v>3170</v>
      </c>
      <c r="B78" s="1317" t="s">
        <v>3171</v>
      </c>
      <c r="C78" s="1317" t="s">
        <v>3172</v>
      </c>
      <c r="D78" s="2458">
        <f t="shared" si="14"/>
        <v>100000</v>
      </c>
      <c r="E78" s="1703">
        <v>100000</v>
      </c>
      <c r="F78" s="1724"/>
      <c r="G78" s="1703"/>
      <c r="H78" s="2695" t="s">
        <v>626</v>
      </c>
      <c r="I78" s="2692"/>
      <c r="J78" s="2612"/>
    </row>
    <row r="79" spans="1:10" ht="45">
      <c r="A79" s="1279" t="s">
        <v>3173</v>
      </c>
      <c r="B79" s="1317" t="s">
        <v>3174</v>
      </c>
      <c r="C79" s="1317" t="s">
        <v>3175</v>
      </c>
      <c r="D79" s="2458">
        <f t="shared" si="14"/>
        <v>100000</v>
      </c>
      <c r="E79" s="1703">
        <v>100000</v>
      </c>
      <c r="F79" s="1724"/>
      <c r="G79" s="1703"/>
      <c r="H79" s="2695" t="s">
        <v>626</v>
      </c>
      <c r="I79" s="2691"/>
      <c r="J79" s="2612"/>
    </row>
    <row r="80" spans="1:10" ht="81.75" customHeight="1">
      <c r="A80" s="1279" t="s">
        <v>3176</v>
      </c>
      <c r="B80" s="1317" t="s">
        <v>3177</v>
      </c>
      <c r="C80" s="1317" t="s">
        <v>3178</v>
      </c>
      <c r="D80" s="2458">
        <f t="shared" si="14"/>
        <v>100000</v>
      </c>
      <c r="E80" s="1703">
        <v>100000</v>
      </c>
      <c r="F80" s="1724"/>
      <c r="G80" s="1703"/>
      <c r="H80" s="2695" t="s">
        <v>626</v>
      </c>
      <c r="I80" s="2691"/>
      <c r="J80" s="2612"/>
    </row>
    <row r="81" spans="1:10" ht="30">
      <c r="A81" s="1279" t="s">
        <v>3179</v>
      </c>
      <c r="B81" s="1317" t="s">
        <v>3180</v>
      </c>
      <c r="C81" s="1317" t="s">
        <v>3181</v>
      </c>
      <c r="D81" s="2458">
        <f t="shared" si="14"/>
        <v>30000</v>
      </c>
      <c r="E81" s="1703"/>
      <c r="F81" s="1724">
        <v>30000</v>
      </c>
      <c r="G81" s="1703"/>
      <c r="H81" s="2694" t="s">
        <v>547</v>
      </c>
      <c r="I81" s="2613"/>
      <c r="J81" s="2612"/>
    </row>
    <row r="82" spans="1:10" ht="41.25" customHeight="1">
      <c r="A82" s="1725">
        <v>40635</v>
      </c>
      <c r="B82" s="1726" t="s">
        <v>3182</v>
      </c>
      <c r="C82" s="1073" t="s">
        <v>3183</v>
      </c>
      <c r="D82" s="2458">
        <f t="shared" si="14"/>
        <v>50000</v>
      </c>
      <c r="E82" s="1723">
        <v>50000</v>
      </c>
      <c r="F82" s="1700"/>
      <c r="G82" s="1700"/>
      <c r="H82" s="2694" t="s">
        <v>547</v>
      </c>
      <c r="I82" s="2613"/>
      <c r="J82" s="2612"/>
    </row>
    <row r="83" spans="1:10" ht="50.25" customHeight="1">
      <c r="A83" s="1725">
        <v>41001</v>
      </c>
      <c r="B83" s="1726" t="s">
        <v>3184</v>
      </c>
      <c r="C83" s="1073" t="s">
        <v>3185</v>
      </c>
      <c r="D83" s="2458">
        <f t="shared" si="14"/>
        <v>400000</v>
      </c>
      <c r="E83" s="1703">
        <v>400000</v>
      </c>
      <c r="F83" s="1700"/>
      <c r="G83" s="1700"/>
      <c r="H83" s="2694" t="s">
        <v>547</v>
      </c>
      <c r="I83" s="2613"/>
      <c r="J83" s="2612"/>
    </row>
    <row r="84" spans="1:10" ht="21.75" customHeight="1">
      <c r="A84" s="2471" t="s">
        <v>3186</v>
      </c>
      <c r="B84" s="2472" t="s">
        <v>3187</v>
      </c>
      <c r="C84" s="2472"/>
      <c r="D84" s="2450">
        <f t="shared" si="14"/>
        <v>440000</v>
      </c>
      <c r="E84" s="2473">
        <f t="shared" ref="E84:F84" si="16">SUM(E85:E92)</f>
        <v>430000</v>
      </c>
      <c r="F84" s="2473">
        <f t="shared" si="16"/>
        <v>10000</v>
      </c>
      <c r="G84" s="2473">
        <f>SUM(G85:G91)</f>
        <v>0</v>
      </c>
      <c r="H84" s="2696"/>
      <c r="I84" s="2613"/>
      <c r="J84" s="2612"/>
    </row>
    <row r="85" spans="1:10" ht="111" customHeight="1">
      <c r="A85" s="1279" t="s">
        <v>3188</v>
      </c>
      <c r="B85" s="1317" t="s">
        <v>3189</v>
      </c>
      <c r="C85" s="1317" t="s">
        <v>3190</v>
      </c>
      <c r="D85" s="2458">
        <f t="shared" si="14"/>
        <v>80000</v>
      </c>
      <c r="E85" s="2458">
        <v>80000</v>
      </c>
      <c r="F85" s="1727"/>
      <c r="G85" s="1703"/>
      <c r="H85" s="2693" t="s">
        <v>3155</v>
      </c>
      <c r="I85" s="2613"/>
      <c r="J85" s="2612"/>
    </row>
    <row r="86" spans="1:10" ht="21.75" customHeight="1">
      <c r="A86" s="1279" t="s">
        <v>3191</v>
      </c>
      <c r="B86" s="1317" t="s">
        <v>3192</v>
      </c>
      <c r="C86" s="1317" t="s">
        <v>549</v>
      </c>
      <c r="D86" s="2458">
        <f t="shared" si="14"/>
        <v>10000</v>
      </c>
      <c r="E86" s="1703"/>
      <c r="F86" s="1727">
        <v>10000</v>
      </c>
      <c r="G86" s="1703"/>
      <c r="H86" s="2694" t="s">
        <v>549</v>
      </c>
      <c r="I86" s="2613"/>
      <c r="J86" s="2612"/>
    </row>
    <row r="87" spans="1:10" ht="37.5" customHeight="1">
      <c r="A87" s="1279" t="s">
        <v>3193</v>
      </c>
      <c r="B87" s="1317" t="s">
        <v>3194</v>
      </c>
      <c r="C87" s="1276" t="s">
        <v>550</v>
      </c>
      <c r="D87" s="2458">
        <f t="shared" si="14"/>
        <v>50000</v>
      </c>
      <c r="E87" s="1703">
        <v>50000</v>
      </c>
      <c r="F87" s="1703"/>
      <c r="G87" s="1703"/>
      <c r="H87" s="2694" t="s">
        <v>550</v>
      </c>
      <c r="I87" s="2613"/>
      <c r="J87" s="2612"/>
    </row>
    <row r="88" spans="1:10" ht="21.75" customHeight="1">
      <c r="A88" s="1279" t="s">
        <v>3195</v>
      </c>
      <c r="B88" s="1317" t="s">
        <v>3192</v>
      </c>
      <c r="C88" s="1276" t="s">
        <v>545</v>
      </c>
      <c r="D88" s="2458">
        <f t="shared" si="14"/>
        <v>50000</v>
      </c>
      <c r="E88" s="1703">
        <v>50000</v>
      </c>
      <c r="F88" s="1677"/>
      <c r="G88" s="1677"/>
      <c r="H88" s="2694" t="s">
        <v>545</v>
      </c>
      <c r="I88" s="2613"/>
      <c r="J88" s="2612"/>
    </row>
    <row r="89" spans="1:10" ht="20.25" customHeight="1">
      <c r="A89" s="1279" t="s">
        <v>3196</v>
      </c>
      <c r="B89" s="1317" t="s">
        <v>3197</v>
      </c>
      <c r="C89" s="1317" t="s">
        <v>545</v>
      </c>
      <c r="D89" s="2458">
        <f t="shared" si="14"/>
        <v>100000</v>
      </c>
      <c r="E89" s="1686">
        <v>100000</v>
      </c>
      <c r="F89" s="1677"/>
      <c r="G89" s="1677"/>
      <c r="H89" s="2694" t="s">
        <v>545</v>
      </c>
      <c r="I89" s="2613"/>
      <c r="J89" s="2612"/>
    </row>
    <row r="90" spans="1:10" ht="20.25" customHeight="1">
      <c r="A90" s="1279" t="s">
        <v>3198</v>
      </c>
      <c r="B90" s="1317" t="s">
        <v>3192</v>
      </c>
      <c r="C90" s="1276" t="s">
        <v>547</v>
      </c>
      <c r="D90" s="2458">
        <f t="shared" si="14"/>
        <v>50000</v>
      </c>
      <c r="E90" s="1703">
        <v>50000</v>
      </c>
      <c r="F90" s="1677"/>
      <c r="G90" s="1677"/>
      <c r="H90" s="2694" t="s">
        <v>547</v>
      </c>
      <c r="I90" s="2613"/>
      <c r="J90" s="2612"/>
    </row>
    <row r="91" spans="1:10" ht="21.75" customHeight="1">
      <c r="A91" s="1279" t="s">
        <v>3199</v>
      </c>
      <c r="B91" s="1317" t="s">
        <v>3200</v>
      </c>
      <c r="C91" s="1276" t="s">
        <v>550</v>
      </c>
      <c r="D91" s="1686">
        <f t="shared" si="14"/>
        <v>50000</v>
      </c>
      <c r="E91" s="1703">
        <v>50000</v>
      </c>
      <c r="F91" s="1677"/>
      <c r="G91" s="1677"/>
      <c r="H91" s="2694" t="s">
        <v>550</v>
      </c>
      <c r="I91" s="2613"/>
      <c r="J91" s="2612"/>
    </row>
    <row r="92" spans="1:10" ht="30">
      <c r="A92" s="1279" t="s">
        <v>3201</v>
      </c>
      <c r="B92" s="1697" t="s">
        <v>3202</v>
      </c>
      <c r="C92" s="1697" t="s">
        <v>626</v>
      </c>
      <c r="D92" s="2459">
        <f>E92+F92+G92</f>
        <v>50000</v>
      </c>
      <c r="E92" s="1698">
        <v>50000</v>
      </c>
      <c r="F92" s="1698"/>
      <c r="G92" s="1698"/>
      <c r="H92" s="2697" t="s">
        <v>626</v>
      </c>
      <c r="I92" s="2613"/>
      <c r="J92" s="2612"/>
    </row>
    <row r="93" spans="1:10" ht="22.5" customHeight="1">
      <c r="A93" s="2474" t="s">
        <v>3203</v>
      </c>
      <c r="B93" s="2472" t="s">
        <v>3204</v>
      </c>
      <c r="C93" s="2475"/>
      <c r="D93" s="2450">
        <f>SUM(E93:G93)</f>
        <v>0</v>
      </c>
      <c r="E93" s="2476">
        <f t="shared" ref="E93:G93" si="17">SUM(E94)</f>
        <v>0</v>
      </c>
      <c r="F93" s="2477">
        <f t="shared" si="17"/>
        <v>0</v>
      </c>
      <c r="G93" s="2477">
        <f t="shared" si="17"/>
        <v>0</v>
      </c>
      <c r="H93" s="2698"/>
      <c r="I93" s="2613"/>
      <c r="J93" s="2612"/>
    </row>
    <row r="94" spans="1:10">
      <c r="A94" s="2451"/>
      <c r="B94" s="1272"/>
      <c r="C94" s="1272"/>
      <c r="D94" s="1272"/>
      <c r="E94" s="1686"/>
      <c r="F94" s="1686"/>
      <c r="G94" s="1686"/>
      <c r="H94" s="2423"/>
      <c r="I94" s="2613"/>
      <c r="J94" s="2612"/>
    </row>
    <row r="95" spans="1:10" ht="33" customHeight="1">
      <c r="A95" s="2478" t="s">
        <v>3205</v>
      </c>
      <c r="B95" s="2472" t="s">
        <v>3206</v>
      </c>
      <c r="C95" s="2472"/>
      <c r="D95" s="2477">
        <f>SUM(E95:G95)</f>
        <v>390000</v>
      </c>
      <c r="E95" s="2473">
        <f>SUM(E96:E130)</f>
        <v>40000</v>
      </c>
      <c r="F95" s="2473">
        <f>SUM(F96:F131)</f>
        <v>350000</v>
      </c>
      <c r="G95" s="2473">
        <f>SUM(G96:G119)</f>
        <v>0</v>
      </c>
      <c r="H95" s="2699"/>
      <c r="I95" s="2613"/>
      <c r="J95" s="2612"/>
    </row>
    <row r="96" spans="1:10" ht="31.5" customHeight="1">
      <c r="A96" s="1279" t="s">
        <v>3207</v>
      </c>
      <c r="B96" s="1317" t="s">
        <v>3208</v>
      </c>
      <c r="C96" s="1317" t="s">
        <v>3209</v>
      </c>
      <c r="D96" s="1686">
        <v>10000</v>
      </c>
      <c r="E96" s="1703">
        <v>10000</v>
      </c>
      <c r="F96" s="1703"/>
      <c r="G96" s="1703"/>
      <c r="H96" s="2694" t="s">
        <v>549</v>
      </c>
      <c r="I96" s="2613"/>
      <c r="J96" s="2612"/>
    </row>
    <row r="97" spans="1:10" ht="60">
      <c r="A97" s="1279" t="s">
        <v>3210</v>
      </c>
      <c r="B97" s="1317" t="s">
        <v>3211</v>
      </c>
      <c r="C97" s="1317" t="s">
        <v>3212</v>
      </c>
      <c r="D97" s="1686">
        <f t="shared" ref="D97:D128" si="18">SUM(E97:G97)</f>
        <v>30000</v>
      </c>
      <c r="E97" s="1703"/>
      <c r="F97" s="1703">
        <v>30000</v>
      </c>
      <c r="G97" s="1703"/>
      <c r="H97" s="2694" t="s">
        <v>1231</v>
      </c>
      <c r="I97" s="2613"/>
      <c r="J97" s="2612"/>
    </row>
    <row r="98" spans="1:10" ht="60">
      <c r="A98" s="1279" t="s">
        <v>3213</v>
      </c>
      <c r="B98" s="1317" t="s">
        <v>3214</v>
      </c>
      <c r="C98" s="1317" t="s">
        <v>3209</v>
      </c>
      <c r="D98" s="1686">
        <f t="shared" si="18"/>
        <v>10000</v>
      </c>
      <c r="E98" s="1703">
        <v>10000</v>
      </c>
      <c r="F98" s="1703"/>
      <c r="G98" s="1703"/>
      <c r="H98" s="2694" t="s">
        <v>2680</v>
      </c>
      <c r="I98" s="2613"/>
      <c r="J98" s="2612"/>
    </row>
    <row r="99" spans="1:10" ht="66">
      <c r="A99" s="1279" t="s">
        <v>3215</v>
      </c>
      <c r="B99" s="1638" t="s">
        <v>3216</v>
      </c>
      <c r="C99" s="1317" t="s">
        <v>3217</v>
      </c>
      <c r="D99" s="1686">
        <f t="shared" si="18"/>
        <v>10000</v>
      </c>
      <c r="E99" s="1703">
        <v>10000</v>
      </c>
      <c r="F99" s="1703"/>
      <c r="G99" s="1703"/>
      <c r="H99" s="2694" t="s">
        <v>2680</v>
      </c>
      <c r="I99" s="2613"/>
      <c r="J99" s="2612"/>
    </row>
    <row r="100" spans="1:10" ht="60">
      <c r="A100" s="1279" t="s">
        <v>3218</v>
      </c>
      <c r="B100" s="1317" t="s">
        <v>3219</v>
      </c>
      <c r="C100" s="1317" t="s">
        <v>3212</v>
      </c>
      <c r="D100" s="1686">
        <f t="shared" si="18"/>
        <v>10000</v>
      </c>
      <c r="E100" s="1703">
        <v>10000</v>
      </c>
      <c r="F100" s="1703"/>
      <c r="G100" s="1703"/>
      <c r="H100" s="2694" t="s">
        <v>2680</v>
      </c>
      <c r="I100" s="2613"/>
      <c r="J100" s="2612"/>
    </row>
    <row r="101" spans="1:10" ht="49.5" customHeight="1">
      <c r="A101" s="2221" t="s">
        <v>3220</v>
      </c>
      <c r="B101" s="1317" t="s">
        <v>3221</v>
      </c>
      <c r="C101" s="1728" t="s">
        <v>3222</v>
      </c>
      <c r="D101" s="1686">
        <f t="shared" si="18"/>
        <v>10000</v>
      </c>
      <c r="E101" s="1677"/>
      <c r="F101" s="1686">
        <v>10000</v>
      </c>
      <c r="G101" s="1677"/>
      <c r="H101" s="2694" t="s">
        <v>546</v>
      </c>
      <c r="I101" s="2613"/>
      <c r="J101" s="2612"/>
    </row>
    <row r="102" spans="1:10" ht="55.5" customHeight="1">
      <c r="A102" s="1279" t="s">
        <v>3223</v>
      </c>
      <c r="B102" s="2222" t="s">
        <v>3224</v>
      </c>
      <c r="C102" s="2479" t="s">
        <v>3225</v>
      </c>
      <c r="D102" s="1686">
        <f t="shared" si="18"/>
        <v>10000</v>
      </c>
      <c r="E102" s="2480"/>
      <c r="F102" s="2481">
        <v>10000</v>
      </c>
      <c r="G102" s="2480"/>
      <c r="H102" s="2698" t="s">
        <v>546</v>
      </c>
      <c r="I102" s="2613"/>
      <c r="J102" s="2612"/>
    </row>
    <row r="103" spans="1:10" ht="54.75" customHeight="1">
      <c r="A103" s="1279" t="s">
        <v>3226</v>
      </c>
      <c r="B103" s="1317" t="s">
        <v>3227</v>
      </c>
      <c r="C103" s="1728" t="s">
        <v>3228</v>
      </c>
      <c r="D103" s="1686">
        <f t="shared" si="18"/>
        <v>10000</v>
      </c>
      <c r="E103" s="1677"/>
      <c r="F103" s="1686">
        <v>10000</v>
      </c>
      <c r="G103" s="1677"/>
      <c r="H103" s="2694" t="s">
        <v>546</v>
      </c>
      <c r="I103" s="2613"/>
      <c r="J103" s="2612"/>
    </row>
    <row r="104" spans="1:10" ht="69" customHeight="1">
      <c r="A104" s="1279" t="s">
        <v>3229</v>
      </c>
      <c r="B104" s="1317" t="s">
        <v>3230</v>
      </c>
      <c r="C104" s="1728" t="s">
        <v>3231</v>
      </c>
      <c r="D104" s="1686">
        <f t="shared" si="18"/>
        <v>10000</v>
      </c>
      <c r="E104" s="1677"/>
      <c r="F104" s="1686">
        <v>10000</v>
      </c>
      <c r="G104" s="1677"/>
      <c r="H104" s="2694" t="s">
        <v>546</v>
      </c>
      <c r="I104" s="2613"/>
      <c r="J104" s="2612"/>
    </row>
    <row r="105" spans="1:10">
      <c r="A105" s="1279" t="s">
        <v>3232</v>
      </c>
      <c r="B105" s="1317" t="s">
        <v>3233</v>
      </c>
      <c r="C105" s="1728" t="s">
        <v>3228</v>
      </c>
      <c r="D105" s="1686">
        <f t="shared" si="18"/>
        <v>10000</v>
      </c>
      <c r="E105" s="1677"/>
      <c r="F105" s="1686">
        <v>10000</v>
      </c>
      <c r="G105" s="1677"/>
      <c r="H105" s="2694" t="s">
        <v>550</v>
      </c>
      <c r="I105" s="2613"/>
      <c r="J105" s="2612"/>
    </row>
    <row r="106" spans="1:10">
      <c r="A106" s="1279" t="s">
        <v>3234</v>
      </c>
      <c r="B106" s="1317" t="s">
        <v>3235</v>
      </c>
      <c r="C106" s="1728" t="s">
        <v>3236</v>
      </c>
      <c r="D106" s="1686">
        <f t="shared" si="18"/>
        <v>10000</v>
      </c>
      <c r="E106" s="1677"/>
      <c r="F106" s="1686">
        <v>10000</v>
      </c>
      <c r="G106" s="1677"/>
      <c r="H106" s="2694" t="s">
        <v>545</v>
      </c>
      <c r="I106" s="2613"/>
      <c r="J106" s="2612"/>
    </row>
    <row r="107" spans="1:10" ht="38.25" customHeight="1">
      <c r="A107" s="1279" t="s">
        <v>3237</v>
      </c>
      <c r="B107" s="1317" t="s">
        <v>3238</v>
      </c>
      <c r="C107" s="1728" t="s">
        <v>3222</v>
      </c>
      <c r="D107" s="1686">
        <f t="shared" si="18"/>
        <v>10000</v>
      </c>
      <c r="E107" s="1677"/>
      <c r="F107" s="1686">
        <v>10000</v>
      </c>
      <c r="G107" s="1677"/>
      <c r="H107" s="2694" t="s">
        <v>545</v>
      </c>
      <c r="I107" s="2613"/>
      <c r="J107" s="2612"/>
    </row>
    <row r="108" spans="1:10" ht="34.5" customHeight="1">
      <c r="A108" s="1279" t="s">
        <v>3239</v>
      </c>
      <c r="B108" s="1317" t="s">
        <v>3240</v>
      </c>
      <c r="C108" s="1728" t="s">
        <v>3222</v>
      </c>
      <c r="D108" s="1686">
        <f t="shared" si="18"/>
        <v>10000</v>
      </c>
      <c r="E108" s="1677"/>
      <c r="F108" s="1686">
        <v>10000</v>
      </c>
      <c r="G108" s="1677"/>
      <c r="H108" s="2694" t="s">
        <v>545</v>
      </c>
      <c r="I108" s="2613"/>
      <c r="J108" s="2612"/>
    </row>
    <row r="109" spans="1:10" ht="40.5" customHeight="1">
      <c r="A109" s="1725">
        <v>41822</v>
      </c>
      <c r="B109" s="1317" t="s">
        <v>3241</v>
      </c>
      <c r="C109" s="1728" t="s">
        <v>3222</v>
      </c>
      <c r="D109" s="1686">
        <f t="shared" si="18"/>
        <v>10000</v>
      </c>
      <c r="E109" s="1677"/>
      <c r="F109" s="1686">
        <v>10000</v>
      </c>
      <c r="G109" s="1677"/>
      <c r="H109" s="2694" t="s">
        <v>545</v>
      </c>
      <c r="I109" s="2613"/>
      <c r="J109" s="2612"/>
    </row>
    <row r="110" spans="1:10" ht="33.75" customHeight="1">
      <c r="A110" s="1725">
        <v>42187</v>
      </c>
      <c r="B110" s="1317" t="s">
        <v>3242</v>
      </c>
      <c r="C110" s="1728" t="s">
        <v>3243</v>
      </c>
      <c r="D110" s="1686">
        <f t="shared" si="18"/>
        <v>10000</v>
      </c>
      <c r="E110" s="1677"/>
      <c r="F110" s="1686">
        <v>10000</v>
      </c>
      <c r="G110" s="1677"/>
      <c r="H110" s="2694" t="s">
        <v>545</v>
      </c>
      <c r="I110" s="2613"/>
      <c r="J110" s="2612"/>
    </row>
    <row r="111" spans="1:10" ht="39" customHeight="1">
      <c r="A111" s="1725">
        <v>42553</v>
      </c>
      <c r="B111" s="1317" t="s">
        <v>3244</v>
      </c>
      <c r="C111" s="1728" t="s">
        <v>3222</v>
      </c>
      <c r="D111" s="1686">
        <f t="shared" si="18"/>
        <v>10000</v>
      </c>
      <c r="E111" s="1677"/>
      <c r="F111" s="1686">
        <v>10000</v>
      </c>
      <c r="G111" s="1677"/>
      <c r="H111" s="2694" t="s">
        <v>548</v>
      </c>
      <c r="I111" s="2613"/>
      <c r="J111" s="2612"/>
    </row>
    <row r="112" spans="1:10" ht="45">
      <c r="A112" s="1725">
        <v>42918</v>
      </c>
      <c r="B112" s="1317" t="s">
        <v>3245</v>
      </c>
      <c r="C112" s="1728" t="s">
        <v>3243</v>
      </c>
      <c r="D112" s="1686">
        <f t="shared" si="18"/>
        <v>10000</v>
      </c>
      <c r="E112" s="1677"/>
      <c r="F112" s="1686">
        <v>10000</v>
      </c>
      <c r="G112" s="1677"/>
      <c r="H112" s="2694" t="s">
        <v>548</v>
      </c>
      <c r="I112" s="2613"/>
      <c r="J112" s="2612"/>
    </row>
    <row r="113" spans="1:10" ht="45">
      <c r="A113" s="1725">
        <v>43283</v>
      </c>
      <c r="B113" s="1317" t="s">
        <v>3246</v>
      </c>
      <c r="C113" s="1728" t="s">
        <v>3243</v>
      </c>
      <c r="D113" s="1686">
        <f t="shared" si="18"/>
        <v>10000</v>
      </c>
      <c r="E113" s="1677"/>
      <c r="F113" s="1686">
        <v>10000</v>
      </c>
      <c r="G113" s="1677"/>
      <c r="H113" s="2694" t="s">
        <v>548</v>
      </c>
      <c r="I113" s="2613"/>
      <c r="J113" s="2612"/>
    </row>
    <row r="114" spans="1:10" ht="45">
      <c r="A114" s="1725">
        <v>43648</v>
      </c>
      <c r="B114" s="1317" t="s">
        <v>3247</v>
      </c>
      <c r="C114" s="1728" t="s">
        <v>3243</v>
      </c>
      <c r="D114" s="1686">
        <f t="shared" si="18"/>
        <v>10000</v>
      </c>
      <c r="E114" s="1677"/>
      <c r="F114" s="1686">
        <v>10000</v>
      </c>
      <c r="G114" s="1677"/>
      <c r="H114" s="2694" t="s">
        <v>548</v>
      </c>
      <c r="I114" s="2613"/>
      <c r="J114" s="2612"/>
    </row>
    <row r="115" spans="1:10" ht="45">
      <c r="A115" s="1725">
        <v>44014</v>
      </c>
      <c r="B115" s="1317" t="s">
        <v>3248</v>
      </c>
      <c r="C115" s="1728" t="s">
        <v>3243</v>
      </c>
      <c r="D115" s="1686">
        <f t="shared" si="18"/>
        <v>10000</v>
      </c>
      <c r="E115" s="1677"/>
      <c r="F115" s="1686">
        <v>10000</v>
      </c>
      <c r="G115" s="1677"/>
      <c r="H115" s="2694" t="s">
        <v>548</v>
      </c>
      <c r="I115" s="2613"/>
      <c r="J115" s="2612"/>
    </row>
    <row r="116" spans="1:10" ht="60">
      <c r="A116" s="1725">
        <v>44379</v>
      </c>
      <c r="B116" s="1317" t="s">
        <v>3249</v>
      </c>
      <c r="C116" s="1317" t="s">
        <v>3250</v>
      </c>
      <c r="D116" s="1686">
        <f t="shared" si="18"/>
        <v>20000</v>
      </c>
      <c r="E116" s="1677"/>
      <c r="F116" s="1729">
        <v>20000</v>
      </c>
      <c r="G116" s="1677"/>
      <c r="H116" s="2694" t="s">
        <v>547</v>
      </c>
      <c r="I116" s="2613"/>
      <c r="J116" s="2612"/>
    </row>
    <row r="117" spans="1:10" ht="40.5" customHeight="1">
      <c r="A117" s="1725">
        <v>44744</v>
      </c>
      <c r="B117" s="1317" t="s">
        <v>3251</v>
      </c>
      <c r="C117" s="1728" t="s">
        <v>3243</v>
      </c>
      <c r="D117" s="1686">
        <f t="shared" si="18"/>
        <v>10000</v>
      </c>
      <c r="E117" s="1677"/>
      <c r="F117" s="1686">
        <v>10000</v>
      </c>
      <c r="G117" s="1677"/>
      <c r="H117" s="2694" t="s">
        <v>547</v>
      </c>
      <c r="I117" s="2613"/>
      <c r="J117" s="2612"/>
    </row>
    <row r="118" spans="1:10" ht="60.75" customHeight="1">
      <c r="A118" s="1725">
        <v>45109</v>
      </c>
      <c r="B118" s="1317" t="s">
        <v>3252</v>
      </c>
      <c r="C118" s="1728" t="s">
        <v>3222</v>
      </c>
      <c r="D118" s="1686">
        <f t="shared" si="18"/>
        <v>10000</v>
      </c>
      <c r="E118" s="1677"/>
      <c r="F118" s="1686">
        <v>10000</v>
      </c>
      <c r="G118" s="1677"/>
      <c r="H118" s="2694" t="s">
        <v>547</v>
      </c>
      <c r="I118" s="2613"/>
      <c r="J118" s="2612"/>
    </row>
    <row r="119" spans="1:10" ht="44.25" customHeight="1">
      <c r="A119" s="1725">
        <v>45475</v>
      </c>
      <c r="B119" s="1317" t="s">
        <v>3253</v>
      </c>
      <c r="C119" s="1728" t="s">
        <v>3222</v>
      </c>
      <c r="D119" s="1686">
        <f t="shared" si="18"/>
        <v>10000</v>
      </c>
      <c r="E119" s="1677"/>
      <c r="F119" s="1686">
        <v>10000</v>
      </c>
      <c r="G119" s="1677"/>
      <c r="H119" s="2694" t="s">
        <v>547</v>
      </c>
      <c r="I119" s="2613"/>
      <c r="J119" s="2612"/>
    </row>
    <row r="120" spans="1:10" ht="40.5" customHeight="1">
      <c r="A120" s="1725">
        <v>45840</v>
      </c>
      <c r="B120" s="1317" t="s">
        <v>3254</v>
      </c>
      <c r="C120" s="1728" t="s">
        <v>3243</v>
      </c>
      <c r="D120" s="1686">
        <f t="shared" si="18"/>
        <v>10000</v>
      </c>
      <c r="E120" s="1677"/>
      <c r="F120" s="1686">
        <v>10000</v>
      </c>
      <c r="G120" s="1677"/>
      <c r="H120" s="2694" t="s">
        <v>547</v>
      </c>
      <c r="I120" s="2613"/>
      <c r="J120" s="2612"/>
    </row>
    <row r="121" spans="1:10" ht="44.25" customHeight="1">
      <c r="A121" s="1725">
        <v>46205</v>
      </c>
      <c r="B121" s="1317" t="s">
        <v>3255</v>
      </c>
      <c r="C121" s="1728" t="s">
        <v>3256</v>
      </c>
      <c r="D121" s="1686">
        <f t="shared" si="18"/>
        <v>10000</v>
      </c>
      <c r="E121" s="1677"/>
      <c r="F121" s="1686">
        <v>10000</v>
      </c>
      <c r="G121" s="1677"/>
      <c r="H121" s="2694" t="s">
        <v>542</v>
      </c>
      <c r="I121" s="2613"/>
      <c r="J121" s="2612"/>
    </row>
    <row r="122" spans="1:10" ht="39" customHeight="1">
      <c r="A122" s="1725">
        <v>46570</v>
      </c>
      <c r="B122" s="1317" t="s">
        <v>3257</v>
      </c>
      <c r="C122" s="1728" t="s">
        <v>3256</v>
      </c>
      <c r="D122" s="1686">
        <f t="shared" si="18"/>
        <v>10000</v>
      </c>
      <c r="E122" s="1677"/>
      <c r="F122" s="1686">
        <v>10000</v>
      </c>
      <c r="G122" s="1677"/>
      <c r="H122" s="2694" t="s">
        <v>542</v>
      </c>
      <c r="I122" s="2613"/>
      <c r="J122" s="2612"/>
    </row>
    <row r="123" spans="1:10" ht="45.75" customHeight="1">
      <c r="A123" s="1725">
        <v>46936</v>
      </c>
      <c r="B123" s="1317" t="s">
        <v>3258</v>
      </c>
      <c r="C123" s="1728" t="s">
        <v>3259</v>
      </c>
      <c r="D123" s="1686">
        <f t="shared" si="18"/>
        <v>10000</v>
      </c>
      <c r="E123" s="1677"/>
      <c r="F123" s="1686">
        <v>10000</v>
      </c>
      <c r="G123" s="1677"/>
      <c r="H123" s="2694" t="s">
        <v>542</v>
      </c>
      <c r="I123" s="2613"/>
      <c r="J123" s="2612"/>
    </row>
    <row r="124" spans="1:10" ht="45">
      <c r="A124" s="1725">
        <v>47301</v>
      </c>
      <c r="B124" s="1317" t="s">
        <v>3260</v>
      </c>
      <c r="C124" s="1728" t="s">
        <v>3259</v>
      </c>
      <c r="D124" s="1686">
        <f t="shared" si="18"/>
        <v>10000</v>
      </c>
      <c r="E124" s="1677"/>
      <c r="F124" s="1686">
        <v>10000</v>
      </c>
      <c r="G124" s="1677"/>
      <c r="H124" s="2694" t="s">
        <v>542</v>
      </c>
      <c r="I124" s="2613"/>
      <c r="J124" s="2612"/>
    </row>
    <row r="125" spans="1:10" ht="45">
      <c r="A125" s="1725">
        <v>47666</v>
      </c>
      <c r="B125" s="1317" t="s">
        <v>3261</v>
      </c>
      <c r="C125" s="1728" t="s">
        <v>3262</v>
      </c>
      <c r="D125" s="1686">
        <f t="shared" si="18"/>
        <v>10000</v>
      </c>
      <c r="E125" s="1677"/>
      <c r="F125" s="1686">
        <v>10000</v>
      </c>
      <c r="G125" s="1677"/>
      <c r="H125" s="2700" t="s">
        <v>3263</v>
      </c>
      <c r="I125" s="2613"/>
      <c r="J125" s="2612"/>
    </row>
    <row r="126" spans="1:10" ht="45">
      <c r="A126" s="1725">
        <v>48031</v>
      </c>
      <c r="B126" s="1317" t="s">
        <v>3264</v>
      </c>
      <c r="C126" s="1728" t="s">
        <v>3265</v>
      </c>
      <c r="D126" s="1686">
        <f t="shared" si="18"/>
        <v>10000</v>
      </c>
      <c r="E126" s="1677"/>
      <c r="F126" s="1686">
        <v>10000</v>
      </c>
      <c r="G126" s="1677"/>
      <c r="H126" s="2700" t="s">
        <v>3263</v>
      </c>
      <c r="I126" s="2613"/>
      <c r="J126" s="2612"/>
    </row>
    <row r="127" spans="1:10" ht="45">
      <c r="A127" s="1725">
        <v>48397</v>
      </c>
      <c r="B127" s="1730" t="s">
        <v>3266</v>
      </c>
      <c r="C127" s="1728" t="s">
        <v>3267</v>
      </c>
      <c r="D127" s="1686">
        <f t="shared" si="18"/>
        <v>10000</v>
      </c>
      <c r="E127" s="1686"/>
      <c r="F127" s="1686">
        <v>10000</v>
      </c>
      <c r="G127" s="1686"/>
      <c r="H127" s="2701" t="s">
        <v>3268</v>
      </c>
      <c r="I127" s="2613"/>
      <c r="J127" s="2612"/>
    </row>
    <row r="128" spans="1:10" ht="37.5" customHeight="1">
      <c r="A128" s="1725">
        <v>48762</v>
      </c>
      <c r="B128" s="1730" t="s">
        <v>3269</v>
      </c>
      <c r="C128" s="1728" t="s">
        <v>3267</v>
      </c>
      <c r="D128" s="1686">
        <f t="shared" si="18"/>
        <v>10000</v>
      </c>
      <c r="E128" s="1686"/>
      <c r="F128" s="1686">
        <v>10000</v>
      </c>
      <c r="G128" s="1686"/>
      <c r="H128" s="2701" t="s">
        <v>3268</v>
      </c>
      <c r="I128" s="2613"/>
      <c r="J128" s="2612"/>
    </row>
    <row r="129" spans="1:10" ht="37.5" customHeight="1">
      <c r="A129" s="1725">
        <v>49127</v>
      </c>
      <c r="B129" s="1730" t="s">
        <v>3270</v>
      </c>
      <c r="C129" s="1728" t="s">
        <v>3243</v>
      </c>
      <c r="D129" s="1686">
        <v>10000</v>
      </c>
      <c r="E129" s="1677"/>
      <c r="F129" s="1686">
        <v>10000</v>
      </c>
      <c r="G129" s="1677"/>
      <c r="H129" s="2701" t="s">
        <v>2682</v>
      </c>
      <c r="I129" s="2613"/>
      <c r="J129" s="2612"/>
    </row>
    <row r="130" spans="1:10" ht="37.5" customHeight="1">
      <c r="A130" s="1725">
        <v>12967</v>
      </c>
      <c r="B130" s="1730" t="s">
        <v>3271</v>
      </c>
      <c r="C130" s="1728" t="s">
        <v>3243</v>
      </c>
      <c r="D130" s="1686">
        <v>10000</v>
      </c>
      <c r="E130" s="1677"/>
      <c r="F130" s="1686">
        <v>10000</v>
      </c>
      <c r="G130" s="1677"/>
      <c r="H130" s="2701" t="s">
        <v>2682</v>
      </c>
      <c r="I130" s="2613"/>
      <c r="J130" s="2612"/>
    </row>
    <row r="131" spans="1:10" ht="37.5" customHeight="1">
      <c r="A131" s="1725">
        <v>13333</v>
      </c>
      <c r="B131" s="1730" t="s">
        <v>3272</v>
      </c>
      <c r="C131" s="1728" t="s">
        <v>3273</v>
      </c>
      <c r="D131" s="1686">
        <v>10000</v>
      </c>
      <c r="E131" s="1677"/>
      <c r="F131" s="1686">
        <v>10000</v>
      </c>
      <c r="G131" s="1677"/>
      <c r="H131" s="2701" t="s">
        <v>253</v>
      </c>
      <c r="I131" s="2613"/>
      <c r="J131" s="2612"/>
    </row>
    <row r="132" spans="1:10" ht="37.5" customHeight="1">
      <c r="A132" s="1725">
        <v>13699</v>
      </c>
      <c r="B132" s="1730" t="s">
        <v>3274</v>
      </c>
      <c r="C132" s="1728" t="s">
        <v>3275</v>
      </c>
      <c r="D132" s="1686">
        <v>10000</v>
      </c>
      <c r="E132" s="1686"/>
      <c r="F132" s="1686">
        <v>10000</v>
      </c>
      <c r="G132" s="1686"/>
      <c r="H132" s="2701" t="s">
        <v>1780</v>
      </c>
      <c r="I132" s="2613"/>
      <c r="J132" s="2612"/>
    </row>
    <row r="133" spans="1:10" ht="37.5" customHeight="1">
      <c r="A133" s="1676" t="s">
        <v>345</v>
      </c>
      <c r="B133" s="1731" t="s">
        <v>3276</v>
      </c>
      <c r="C133" s="1676"/>
      <c r="D133" s="1677">
        <f t="shared" ref="D133:G133" si="19">SUM(D134)</f>
        <v>4000000</v>
      </c>
      <c r="E133" s="1677">
        <f t="shared" si="19"/>
        <v>0</v>
      </c>
      <c r="F133" s="1677">
        <f t="shared" si="19"/>
        <v>0</v>
      </c>
      <c r="G133" s="1677">
        <f t="shared" si="19"/>
        <v>4000000</v>
      </c>
      <c r="H133" s="2702"/>
      <c r="I133" s="2613"/>
      <c r="J133" s="2612"/>
    </row>
    <row r="134" spans="1:10" ht="39.75" customHeight="1">
      <c r="A134" s="1690">
        <v>44564</v>
      </c>
      <c r="B134" s="1317" t="s">
        <v>3277</v>
      </c>
      <c r="C134" s="1317" t="s">
        <v>2903</v>
      </c>
      <c r="D134" s="1686">
        <f>SUM(E134:G134)</f>
        <v>4000000</v>
      </c>
      <c r="E134" s="13"/>
      <c r="F134" s="1703"/>
      <c r="G134" s="1703">
        <v>4000000</v>
      </c>
      <c r="H134" s="2693" t="s">
        <v>3278</v>
      </c>
      <c r="I134" s="2613"/>
      <c r="J134" s="2612"/>
    </row>
    <row r="135" spans="1:10" ht="39" customHeight="1">
      <c r="A135" s="2468"/>
      <c r="B135" s="2469" t="s">
        <v>3279</v>
      </c>
      <c r="C135" s="2469"/>
      <c r="D135" s="2448">
        <f t="shared" ref="D135:G135" si="20">D8+D31+D133</f>
        <v>15695000</v>
      </c>
      <c r="E135" s="2448">
        <f t="shared" si="20"/>
        <v>10620000</v>
      </c>
      <c r="F135" s="2448">
        <f t="shared" si="20"/>
        <v>975000</v>
      </c>
      <c r="G135" s="2448">
        <f t="shared" si="20"/>
        <v>4100000</v>
      </c>
      <c r="H135" s="2699"/>
      <c r="I135" s="2613"/>
      <c r="J135" s="2612"/>
    </row>
    <row r="136" spans="1:10" ht="25.5" customHeight="1">
      <c r="A136" s="2679"/>
      <c r="B136" s="2679"/>
      <c r="C136" s="2679"/>
      <c r="D136" s="2680"/>
      <c r="E136" s="2680"/>
      <c r="F136" s="2680"/>
      <c r="G136" s="2680"/>
      <c r="H136" s="2703"/>
      <c r="I136" s="2613"/>
      <c r="J136" s="2612"/>
    </row>
    <row r="137" spans="1:10" ht="19.5" customHeight="1">
      <c r="A137" s="2681"/>
      <c r="B137" s="2682"/>
      <c r="C137" s="2683"/>
      <c r="D137" s="2613"/>
      <c r="E137" s="2613"/>
      <c r="F137" s="2613"/>
      <c r="G137" s="2613"/>
      <c r="H137" s="2704"/>
      <c r="I137" s="2613"/>
      <c r="J137" s="2612"/>
    </row>
    <row r="138" spans="1:10" ht="30" customHeight="1">
      <c r="A138" s="2684"/>
      <c r="B138" s="2613"/>
      <c r="C138" s="2613"/>
      <c r="D138" s="2613"/>
      <c r="E138" s="2613"/>
      <c r="F138" s="2613"/>
      <c r="G138" s="2613"/>
      <c r="H138" s="2704"/>
      <c r="I138" s="2613"/>
      <c r="J138" s="2612"/>
    </row>
    <row r="139" spans="1:10" ht="12.75" customHeight="1">
      <c r="A139" s="2685"/>
      <c r="B139" s="2685"/>
      <c r="C139" s="2686"/>
      <c r="D139" s="2687"/>
      <c r="E139" s="2686"/>
      <c r="F139" s="2685"/>
      <c r="G139" s="2685"/>
      <c r="H139" s="2705"/>
      <c r="I139" s="2613"/>
      <c r="J139" s="2612"/>
    </row>
    <row r="140" spans="1:10" ht="12.75" customHeight="1">
      <c r="A140" s="2685"/>
      <c r="B140" s="2685"/>
      <c r="C140" s="2686"/>
      <c r="D140" s="2687"/>
      <c r="E140" s="2686"/>
      <c r="F140" s="2685"/>
      <c r="G140" s="2685"/>
      <c r="H140" s="2705"/>
      <c r="I140" s="2613"/>
      <c r="J140" s="2612"/>
    </row>
    <row r="141" spans="1:10" ht="12.75" customHeight="1">
      <c r="A141" s="2685"/>
      <c r="B141" s="2685"/>
      <c r="C141" s="2686"/>
      <c r="D141" s="2687"/>
      <c r="E141" s="2686"/>
      <c r="F141" s="2685"/>
      <c r="G141" s="2685"/>
      <c r="H141" s="2705"/>
      <c r="I141" s="2613"/>
      <c r="J141" s="2612"/>
    </row>
    <row r="142" spans="1:10" ht="12.75" customHeight="1">
      <c r="A142" s="2685"/>
      <c r="B142" s="2685"/>
      <c r="C142" s="2688"/>
      <c r="D142" s="2689"/>
      <c r="E142" s="2686"/>
      <c r="F142" s="2685"/>
      <c r="G142" s="2685"/>
      <c r="H142" s="2705"/>
      <c r="I142" s="2613"/>
      <c r="J142" s="2612"/>
    </row>
    <row r="143" spans="1:10" ht="12.75" customHeight="1">
      <c r="A143" s="2685"/>
      <c r="B143" s="2684"/>
      <c r="C143" s="3007"/>
      <c r="D143" s="3008"/>
      <c r="E143" s="2686"/>
      <c r="F143" s="2685"/>
      <c r="G143" s="2685"/>
      <c r="H143" s="2705"/>
      <c r="I143" s="2613"/>
      <c r="J143" s="2612"/>
    </row>
    <row r="144" spans="1:10" ht="15" customHeight="1">
      <c r="A144" s="2613"/>
      <c r="B144" s="2613"/>
      <c r="C144" s="2613"/>
      <c r="D144" s="2613"/>
      <c r="E144" s="2613"/>
      <c r="F144" s="2613"/>
      <c r="G144" s="2613"/>
      <c r="H144" s="2704"/>
      <c r="I144" s="2613"/>
      <c r="J144" s="2612"/>
    </row>
    <row r="145" spans="1:10" ht="15" customHeight="1">
      <c r="A145" s="2613"/>
      <c r="B145" s="2613"/>
      <c r="C145" s="2613"/>
      <c r="D145" s="2613"/>
      <c r="E145" s="2613"/>
      <c r="F145" s="2613"/>
      <c r="G145" s="2613"/>
      <c r="H145" s="2704"/>
      <c r="I145" s="2613"/>
      <c r="J145" s="2612"/>
    </row>
    <row r="146" spans="1:10" ht="15" customHeight="1">
      <c r="A146" s="2613"/>
      <c r="B146" s="2613"/>
      <c r="C146" s="2613"/>
      <c r="D146" s="2613"/>
      <c r="E146" s="2613"/>
      <c r="F146" s="2613"/>
      <c r="G146" s="2613"/>
      <c r="H146" s="2704"/>
      <c r="I146" s="2613"/>
      <c r="J146" s="2612"/>
    </row>
    <row r="147" spans="1:10" ht="15" customHeight="1">
      <c r="A147" s="2613"/>
      <c r="B147" s="2613"/>
      <c r="C147" s="2613"/>
      <c r="D147" s="2613"/>
      <c r="E147" s="2613"/>
      <c r="F147" s="2613"/>
      <c r="G147" s="2613"/>
      <c r="H147" s="2704"/>
      <c r="I147" s="2613"/>
      <c r="J147" s="2612"/>
    </row>
    <row r="148" spans="1:10" ht="15" customHeight="1">
      <c r="A148" s="2613"/>
      <c r="B148" s="2613"/>
      <c r="C148" s="2613"/>
      <c r="D148" s="2613"/>
      <c r="E148" s="2613"/>
      <c r="F148" s="2613"/>
      <c r="G148" s="2613"/>
      <c r="H148" s="2704"/>
      <c r="I148" s="2613"/>
      <c r="J148" s="2612"/>
    </row>
    <row r="149" spans="1:10" ht="15" customHeight="1">
      <c r="A149" s="2613"/>
      <c r="B149" s="2613"/>
      <c r="C149" s="2613"/>
      <c r="D149" s="2613"/>
      <c r="E149" s="2613"/>
      <c r="F149" s="2613"/>
      <c r="G149" s="2613"/>
      <c r="H149" s="2704"/>
      <c r="I149" s="2613"/>
      <c r="J149" s="2612"/>
    </row>
    <row r="150" spans="1:10" ht="15" customHeight="1">
      <c r="A150" s="2613"/>
      <c r="B150" s="2613"/>
      <c r="C150" s="2613"/>
      <c r="D150" s="2613"/>
      <c r="E150" s="2613"/>
      <c r="F150" s="2613"/>
      <c r="G150" s="2613"/>
      <c r="H150" s="2704"/>
      <c r="I150" s="2613"/>
      <c r="J150" s="2612"/>
    </row>
    <row r="151" spans="1:10" ht="15" customHeight="1">
      <c r="A151" s="2613"/>
      <c r="B151" s="2613"/>
      <c r="C151" s="2613"/>
      <c r="D151" s="2613"/>
      <c r="E151" s="2613"/>
      <c r="F151" s="2613"/>
      <c r="G151" s="2613"/>
      <c r="H151" s="2704"/>
      <c r="I151" s="2613"/>
      <c r="J151" s="2612"/>
    </row>
    <row r="152" spans="1:10" ht="15" customHeight="1">
      <c r="A152" s="2613"/>
      <c r="B152" s="2613"/>
      <c r="C152" s="2613"/>
      <c r="D152" s="2613"/>
      <c r="E152" s="2613"/>
      <c r="F152" s="2613"/>
      <c r="G152" s="2613"/>
      <c r="H152" s="2704"/>
      <c r="I152" s="2613"/>
      <c r="J152" s="2612"/>
    </row>
    <row r="153" spans="1:10" ht="15" customHeight="1">
      <c r="A153" s="2613"/>
      <c r="B153" s="2613"/>
      <c r="C153" s="2613"/>
      <c r="D153" s="2613"/>
      <c r="E153" s="2613"/>
      <c r="F153" s="2613"/>
      <c r="G153" s="2613"/>
      <c r="H153" s="2704"/>
      <c r="I153" s="2613"/>
      <c r="J153" s="2612"/>
    </row>
    <row r="154" spans="1:10" ht="15" customHeight="1">
      <c r="A154" s="2613"/>
      <c r="B154" s="2613"/>
      <c r="C154" s="2613"/>
      <c r="D154" s="2613"/>
      <c r="E154" s="2613"/>
      <c r="F154" s="2613"/>
      <c r="G154" s="2613"/>
      <c r="H154" s="2704"/>
      <c r="I154" s="2613"/>
      <c r="J154" s="2612"/>
    </row>
    <row r="155" spans="1:10" ht="15" customHeight="1">
      <c r="A155" s="2613"/>
      <c r="B155" s="2613"/>
      <c r="C155" s="2613"/>
      <c r="D155" s="2613"/>
      <c r="E155" s="2613"/>
      <c r="F155" s="2613"/>
      <c r="G155" s="2613"/>
      <c r="H155" s="2704"/>
      <c r="I155" s="2613"/>
      <c r="J155" s="2612"/>
    </row>
    <row r="156" spans="1:10" ht="15" customHeight="1">
      <c r="A156" s="2613"/>
      <c r="B156" s="2613"/>
      <c r="C156" s="2613"/>
      <c r="D156" s="2613"/>
      <c r="E156" s="2613"/>
      <c r="F156" s="2613"/>
      <c r="G156" s="2613"/>
      <c r="H156" s="2704"/>
      <c r="I156" s="2613"/>
      <c r="J156" s="2612"/>
    </row>
    <row r="157" spans="1:10" ht="15" customHeight="1">
      <c r="A157" s="2613"/>
      <c r="B157" s="2613"/>
      <c r="C157" s="2613"/>
      <c r="D157" s="2613"/>
      <c r="E157" s="2613"/>
      <c r="F157" s="2613"/>
      <c r="G157" s="2613"/>
      <c r="H157" s="2704"/>
      <c r="I157" s="2613"/>
      <c r="J157" s="2612"/>
    </row>
    <row r="158" spans="1:10" ht="15" customHeight="1">
      <c r="A158" s="2613"/>
      <c r="B158" s="2613"/>
      <c r="C158" s="2613"/>
      <c r="D158" s="2613"/>
      <c r="E158" s="2613"/>
      <c r="F158" s="2613"/>
      <c r="G158" s="2613"/>
      <c r="H158" s="2704"/>
      <c r="I158" s="2613"/>
      <c r="J158" s="2612"/>
    </row>
    <row r="159" spans="1:10" ht="15" customHeight="1">
      <c r="A159" s="2613"/>
      <c r="B159" s="2613"/>
      <c r="C159" s="2613"/>
      <c r="D159" s="2613"/>
      <c r="E159" s="2613"/>
      <c r="F159" s="2613"/>
      <c r="G159" s="2613"/>
      <c r="H159" s="2704"/>
      <c r="I159" s="2613"/>
      <c r="J159" s="2612"/>
    </row>
    <row r="160" spans="1:10" ht="15" customHeight="1">
      <c r="A160" s="2613"/>
      <c r="B160" s="2613"/>
      <c r="C160" s="2613"/>
      <c r="D160" s="2613"/>
      <c r="E160" s="2613"/>
      <c r="F160" s="2613"/>
      <c r="G160" s="2613"/>
      <c r="H160" s="2704"/>
      <c r="I160" s="2613"/>
      <c r="J160" s="2612"/>
    </row>
    <row r="161" spans="1:10" ht="15" customHeight="1">
      <c r="A161" s="2613"/>
      <c r="B161" s="2613"/>
      <c r="C161" s="2613"/>
      <c r="D161" s="2613"/>
      <c r="E161" s="2613"/>
      <c r="F161" s="2613"/>
      <c r="G161" s="2613"/>
      <c r="H161" s="2704"/>
      <c r="I161" s="2613"/>
      <c r="J161" s="2612"/>
    </row>
    <row r="162" spans="1:10" ht="15" customHeight="1">
      <c r="A162" s="2613"/>
      <c r="B162" s="2613"/>
      <c r="C162" s="2613"/>
      <c r="D162" s="2613"/>
      <c r="E162" s="2613"/>
      <c r="F162" s="2613"/>
      <c r="G162" s="2613"/>
      <c r="H162" s="2704"/>
      <c r="I162" s="2613"/>
      <c r="J162" s="2612"/>
    </row>
    <row r="163" spans="1:10" ht="15" customHeight="1">
      <c r="A163" s="2613"/>
      <c r="B163" s="2613"/>
      <c r="C163" s="2613"/>
      <c r="D163" s="2613"/>
      <c r="E163" s="2613"/>
      <c r="F163" s="2613"/>
      <c r="G163" s="2613"/>
      <c r="H163" s="2704"/>
      <c r="I163" s="2613"/>
      <c r="J163" s="2612"/>
    </row>
    <row r="164" spans="1:10" ht="15" customHeight="1">
      <c r="A164" s="2613"/>
      <c r="B164" s="2613"/>
      <c r="C164" s="2613"/>
      <c r="D164" s="2613"/>
      <c r="E164" s="2613"/>
      <c r="F164" s="2613"/>
      <c r="G164" s="2613"/>
      <c r="H164" s="2704"/>
      <c r="I164" s="2613"/>
      <c r="J164" s="2612"/>
    </row>
    <row r="165" spans="1:10" ht="15" customHeight="1">
      <c r="A165" s="2613"/>
      <c r="B165" s="2613"/>
      <c r="C165" s="2613"/>
      <c r="D165" s="2613"/>
      <c r="E165" s="2613"/>
      <c r="F165" s="2613"/>
      <c r="G165" s="2613"/>
      <c r="H165" s="2704"/>
      <c r="I165" s="2613"/>
      <c r="J165" s="2612"/>
    </row>
    <row r="166" spans="1:10" ht="15" customHeight="1">
      <c r="A166" s="2613"/>
      <c r="B166" s="2613"/>
      <c r="C166" s="2613"/>
      <c r="D166" s="2613"/>
      <c r="E166" s="2613"/>
      <c r="F166" s="2613"/>
      <c r="G166" s="2613"/>
      <c r="H166" s="2704"/>
      <c r="I166" s="2613"/>
      <c r="J166" s="2612"/>
    </row>
    <row r="167" spans="1:10" ht="15" customHeight="1">
      <c r="A167" s="2613"/>
      <c r="B167" s="2613"/>
      <c r="C167" s="2613"/>
      <c r="D167" s="2613"/>
      <c r="E167" s="2613"/>
      <c r="F167" s="2613"/>
      <c r="G167" s="2613"/>
      <c r="H167" s="2704"/>
      <c r="I167" s="2613"/>
      <c r="J167" s="2612"/>
    </row>
    <row r="168" spans="1:10" ht="15" customHeight="1">
      <c r="A168" s="2613"/>
      <c r="B168" s="2613"/>
      <c r="C168" s="2613"/>
      <c r="D168" s="2613"/>
      <c r="E168" s="2613"/>
      <c r="F168" s="2613"/>
      <c r="G168" s="2613"/>
      <c r="H168" s="2704"/>
      <c r="I168" s="2613"/>
      <c r="J168" s="2612"/>
    </row>
    <row r="169" spans="1:10" ht="15" customHeight="1">
      <c r="A169" s="2613"/>
      <c r="B169" s="2613"/>
      <c r="C169" s="2613"/>
      <c r="D169" s="2613"/>
      <c r="E169" s="2613"/>
      <c r="F169" s="2613"/>
      <c r="G169" s="2613"/>
      <c r="H169" s="2704"/>
      <c r="I169" s="2613"/>
      <c r="J169" s="2612"/>
    </row>
    <row r="170" spans="1:10" ht="15" customHeight="1">
      <c r="A170" s="2613"/>
      <c r="B170" s="2613"/>
      <c r="C170" s="2613"/>
      <c r="D170" s="2613"/>
      <c r="E170" s="2613"/>
      <c r="F170" s="2613"/>
      <c r="G170" s="2613"/>
      <c r="H170" s="2704"/>
      <c r="I170" s="2613"/>
      <c r="J170" s="2612"/>
    </row>
    <row r="171" spans="1:10" ht="15" customHeight="1">
      <c r="A171" s="2613"/>
      <c r="B171" s="2613"/>
      <c r="C171" s="2613"/>
      <c r="D171" s="2613"/>
      <c r="E171" s="2613"/>
      <c r="F171" s="2613"/>
      <c r="G171" s="2613"/>
      <c r="H171" s="2704"/>
      <c r="I171" s="2613"/>
      <c r="J171" s="2612"/>
    </row>
    <row r="172" spans="1:10" ht="15" customHeight="1">
      <c r="A172" s="2613"/>
      <c r="B172" s="2613"/>
      <c r="C172" s="2613"/>
      <c r="D172" s="2613"/>
      <c r="E172" s="2613"/>
      <c r="F172" s="2613"/>
      <c r="G172" s="2613"/>
      <c r="H172" s="2704"/>
      <c r="I172" s="2613"/>
      <c r="J172" s="2612"/>
    </row>
    <row r="173" spans="1:10" ht="15" customHeight="1">
      <c r="A173" s="2690"/>
      <c r="B173" s="2690"/>
      <c r="C173" s="2690"/>
      <c r="D173" s="2690"/>
      <c r="E173" s="2690"/>
      <c r="F173" s="2690"/>
      <c r="G173" s="2690"/>
      <c r="H173" s="2690"/>
      <c r="I173" s="2612"/>
    </row>
    <row r="174" spans="1:10" ht="15" customHeight="1">
      <c r="A174" s="2569"/>
      <c r="B174" s="2569"/>
      <c r="C174" s="2569"/>
      <c r="D174" s="2569"/>
      <c r="E174" s="2569"/>
      <c r="F174" s="2569"/>
      <c r="G174" s="2569"/>
      <c r="H174" s="2569"/>
    </row>
    <row r="175" spans="1:10" ht="15" customHeight="1">
      <c r="A175" s="2569"/>
      <c r="B175" s="2569"/>
      <c r="C175" s="2569"/>
      <c r="D175" s="2569"/>
      <c r="E175" s="2569"/>
      <c r="F175" s="2569"/>
      <c r="G175" s="2569"/>
      <c r="H175" s="2569"/>
    </row>
    <row r="176" spans="1:10" ht="15" customHeight="1">
      <c r="A176" s="2569"/>
      <c r="B176" s="2569"/>
      <c r="C176" s="2569"/>
      <c r="D176" s="2569"/>
      <c r="E176" s="2569"/>
      <c r="F176" s="2569"/>
      <c r="G176" s="2569"/>
      <c r="H176" s="2569"/>
    </row>
    <row r="177" spans="1:8" ht="15" customHeight="1">
      <c r="A177" s="2569"/>
      <c r="B177" s="2569"/>
      <c r="C177" s="2569"/>
      <c r="D177" s="2569"/>
      <c r="E177" s="2569"/>
      <c r="F177" s="2569"/>
      <c r="G177" s="2569"/>
      <c r="H177" s="2569"/>
    </row>
  </sheetData>
  <sheetProtection algorithmName="SHA-512" hashValue="6f4QfapPP1ESKQBOHU14iwZnGoifpXCSh9E3KtpYqAxTJxqr8zq/uBfDUeMj+wTvS1FI51SW267X0y/asQooRw==" saltValue="PBmzwwQPMtHchBtn2cBlbw==" spinCount="100000" sheet="1" objects="1" scenarios="1"/>
  <protectedRanges>
    <protectedRange sqref="I8:I172" name="VÀNG"/>
    <protectedRange sqref="A136:H172" name="BỔ SUNG THÊM"/>
  </protectedRanges>
  <mergeCells count="11">
    <mergeCell ref="I6:I7"/>
    <mergeCell ref="C143:D143"/>
    <mergeCell ref="A1:B1"/>
    <mergeCell ref="A2:B2"/>
    <mergeCell ref="A3:H3"/>
    <mergeCell ref="A6:A7"/>
    <mergeCell ref="B6:B7"/>
    <mergeCell ref="C6:C7"/>
    <mergeCell ref="D6:D7"/>
    <mergeCell ref="E6:G6"/>
    <mergeCell ref="A4:I4"/>
  </mergeCells>
  <pageMargins left="0.32" right="0.23" top="0.42" bottom="0.24" header="0" footer="0"/>
  <pageSetup scale="90"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workbookViewId="0">
      <pane xSplit="2" ySplit="6" topLeftCell="C75" activePane="bottomRight" state="frozen"/>
      <selection pane="topRight" activeCell="C1" sqref="C1"/>
      <selection pane="bottomLeft" activeCell="A7" sqref="A7"/>
      <selection pane="bottomRight" activeCell="C1" sqref="C1"/>
    </sheetView>
  </sheetViews>
  <sheetFormatPr defaultColWidth="14.42578125" defaultRowHeight="15" customHeight="1"/>
  <cols>
    <col min="1" max="1" width="7" customWidth="1"/>
    <col min="2" max="2" width="63.7109375" customWidth="1"/>
    <col min="3" max="3" width="9.42578125" customWidth="1"/>
    <col min="4" max="4" width="19" customWidth="1"/>
    <col min="5" max="5" width="39" customWidth="1"/>
    <col min="6" max="24" width="9" customWidth="1"/>
  </cols>
  <sheetData>
    <row r="1" spans="1:9" ht="15.75">
      <c r="A1" s="2775" t="s">
        <v>2721</v>
      </c>
      <c r="B1" s="2732"/>
      <c r="C1" s="2788" t="s">
        <v>3280</v>
      </c>
      <c r="D1" s="2732"/>
      <c r="E1" s="13"/>
    </row>
    <row r="2" spans="1:9" ht="13.5" customHeight="1">
      <c r="A2" s="2823" t="s">
        <v>2723</v>
      </c>
      <c r="B2" s="2732"/>
      <c r="C2" s="1733"/>
      <c r="D2" s="39"/>
      <c r="E2" s="13"/>
    </row>
    <row r="3" spans="1:9" ht="9" customHeight="1">
      <c r="A3" s="175"/>
      <c r="B3" s="175"/>
      <c r="C3" s="1733"/>
      <c r="D3" s="39"/>
      <c r="E3" s="13"/>
    </row>
    <row r="4" spans="1:9" ht="24.75" customHeight="1">
      <c r="A4" s="2823" t="s">
        <v>3281</v>
      </c>
      <c r="B4" s="2732"/>
      <c r="C4" s="2732"/>
      <c r="D4" s="2732"/>
      <c r="E4" s="13"/>
    </row>
    <row r="5" spans="1:9" ht="10.5" customHeight="1">
      <c r="A5" s="3013" t="s">
        <v>1643</v>
      </c>
      <c r="B5" s="3013"/>
      <c r="C5" s="3013"/>
      <c r="D5" s="3013"/>
      <c r="E5" s="3013"/>
      <c r="F5" s="3013"/>
      <c r="G5" s="3013"/>
      <c r="H5" s="3013"/>
      <c r="I5" s="3013"/>
    </row>
    <row r="6" spans="1:9" ht="31.5">
      <c r="A6" s="1676" t="s">
        <v>186</v>
      </c>
      <c r="B6" s="1734" t="s">
        <v>3282</v>
      </c>
      <c r="C6" s="1676" t="s">
        <v>1859</v>
      </c>
      <c r="D6" s="1676" t="s">
        <v>32</v>
      </c>
      <c r="E6" s="2546" t="s">
        <v>2726</v>
      </c>
    </row>
    <row r="7" spans="1:9" ht="24.95" customHeight="1">
      <c r="A7" s="1401">
        <v>1</v>
      </c>
      <c r="B7" s="2564" t="s">
        <v>3283</v>
      </c>
      <c r="C7" s="1313">
        <f>SUM(C8:C19)</f>
        <v>51</v>
      </c>
      <c r="D7" s="991"/>
      <c r="E7" s="2542"/>
    </row>
    <row r="8" spans="1:9" ht="24.95" customHeight="1">
      <c r="A8" s="1735" t="s">
        <v>260</v>
      </c>
      <c r="B8" s="1736" t="s">
        <v>626</v>
      </c>
      <c r="C8" s="1735">
        <v>12</v>
      </c>
      <c r="D8" s="1272"/>
      <c r="E8" s="2543"/>
    </row>
    <row r="9" spans="1:9" ht="24.95" customHeight="1">
      <c r="A9" s="1735" t="s">
        <v>274</v>
      </c>
      <c r="B9" s="1736" t="s">
        <v>545</v>
      </c>
      <c r="C9" s="1735">
        <v>15</v>
      </c>
      <c r="D9" s="1272"/>
      <c r="E9" s="2544"/>
    </row>
    <row r="10" spans="1:9" ht="24.95" customHeight="1">
      <c r="A10" s="1735" t="s">
        <v>279</v>
      </c>
      <c r="B10" s="1736" t="s">
        <v>546</v>
      </c>
      <c r="C10" s="1735">
        <v>12</v>
      </c>
      <c r="D10" s="1272"/>
      <c r="E10" s="2545"/>
    </row>
    <row r="11" spans="1:9" ht="24.95" customHeight="1">
      <c r="A11" s="1735" t="s">
        <v>282</v>
      </c>
      <c r="B11" s="1736" t="s">
        <v>547</v>
      </c>
      <c r="C11" s="1735">
        <v>7</v>
      </c>
      <c r="D11" s="1272"/>
      <c r="E11" s="2545"/>
    </row>
    <row r="12" spans="1:9" ht="24.95" customHeight="1">
      <c r="A12" s="1735" t="s">
        <v>2910</v>
      </c>
      <c r="B12" s="1736" t="s">
        <v>548</v>
      </c>
      <c r="C12" s="1735">
        <v>0</v>
      </c>
      <c r="D12" s="1272"/>
      <c r="E12" s="2545"/>
    </row>
    <row r="13" spans="1:9" ht="24.95" customHeight="1">
      <c r="A13" s="1735" t="s">
        <v>1783</v>
      </c>
      <c r="B13" s="1736" t="s">
        <v>2754</v>
      </c>
      <c r="C13" s="1735">
        <v>0</v>
      </c>
      <c r="D13" s="1272"/>
      <c r="E13" s="2545"/>
    </row>
    <row r="14" spans="1:9" ht="24.95" customHeight="1">
      <c r="A14" s="1735" t="s">
        <v>1786</v>
      </c>
      <c r="B14" s="1736" t="s">
        <v>550</v>
      </c>
      <c r="C14" s="1735">
        <v>1</v>
      </c>
      <c r="D14" s="1272"/>
      <c r="E14" s="2545"/>
    </row>
    <row r="15" spans="1:9" ht="24.95" customHeight="1">
      <c r="A15" s="1735" t="s">
        <v>2917</v>
      </c>
      <c r="B15" s="1736" t="s">
        <v>551</v>
      </c>
      <c r="C15" s="1735">
        <v>0</v>
      </c>
      <c r="D15" s="1272"/>
      <c r="E15" s="2545"/>
    </row>
    <row r="16" spans="1:9" ht="24.95" customHeight="1">
      <c r="A16" s="1735" t="s">
        <v>2918</v>
      </c>
      <c r="B16" s="1736" t="s">
        <v>552</v>
      </c>
      <c r="C16" s="1735">
        <v>1</v>
      </c>
      <c r="D16" s="1272"/>
      <c r="E16" s="2545"/>
    </row>
    <row r="17" spans="1:5" ht="24.95" customHeight="1">
      <c r="A17" s="1735" t="s">
        <v>3284</v>
      </c>
      <c r="B17" s="1736" t="s">
        <v>2769</v>
      </c>
      <c r="C17" s="1735">
        <v>1</v>
      </c>
      <c r="D17" s="1272"/>
      <c r="E17" s="2545"/>
    </row>
    <row r="18" spans="1:5" ht="24.95" customHeight="1">
      <c r="A18" s="1735" t="s">
        <v>3285</v>
      </c>
      <c r="B18" s="1736" t="s">
        <v>3286</v>
      </c>
      <c r="C18" s="1735">
        <v>0</v>
      </c>
      <c r="D18" s="1272"/>
      <c r="E18" s="2545"/>
    </row>
    <row r="19" spans="1:5" ht="24.95" customHeight="1">
      <c r="A19" s="1735" t="s">
        <v>3287</v>
      </c>
      <c r="B19" s="1736" t="s">
        <v>3288</v>
      </c>
      <c r="C19" s="1735">
        <v>2</v>
      </c>
      <c r="D19" s="1272"/>
      <c r="E19" s="2545"/>
    </row>
    <row r="20" spans="1:5" ht="24.95" customHeight="1">
      <c r="A20" s="1401">
        <v>2</v>
      </c>
      <c r="B20" s="2563" t="s">
        <v>3289</v>
      </c>
      <c r="C20" s="1313">
        <f>SUM(C21:C32)</f>
        <v>19</v>
      </c>
      <c r="D20" s="991"/>
      <c r="E20" s="2545"/>
    </row>
    <row r="21" spans="1:5" ht="24.95" customHeight="1">
      <c r="A21" s="1735" t="s">
        <v>726</v>
      </c>
      <c r="B21" s="1736" t="s">
        <v>626</v>
      </c>
      <c r="C21" s="1735">
        <v>2</v>
      </c>
      <c r="D21" s="1272"/>
      <c r="E21" s="2543"/>
    </row>
    <row r="22" spans="1:5" ht="24.95" customHeight="1">
      <c r="A22" s="1735" t="s">
        <v>738</v>
      </c>
      <c r="B22" s="1736" t="s">
        <v>545</v>
      </c>
      <c r="C22" s="1735">
        <v>2</v>
      </c>
      <c r="D22" s="1272"/>
      <c r="E22" s="2545"/>
    </row>
    <row r="23" spans="1:5" ht="24.95" customHeight="1">
      <c r="A23" s="1735" t="s">
        <v>2177</v>
      </c>
      <c r="B23" s="1736" t="s">
        <v>546</v>
      </c>
      <c r="C23" s="1735">
        <v>8</v>
      </c>
      <c r="D23" s="1272"/>
      <c r="E23" s="2543"/>
    </row>
    <row r="24" spans="1:5" ht="24.95" customHeight="1">
      <c r="A24" s="1735" t="s">
        <v>3150</v>
      </c>
      <c r="B24" s="1736" t="s">
        <v>547</v>
      </c>
      <c r="C24" s="1735">
        <v>2</v>
      </c>
      <c r="D24" s="1272"/>
      <c r="E24" s="2543"/>
    </row>
    <row r="25" spans="1:5" ht="24.95" customHeight="1">
      <c r="A25" s="1735" t="s">
        <v>3186</v>
      </c>
      <c r="B25" s="1736" t="s">
        <v>548</v>
      </c>
      <c r="C25" s="1735">
        <v>0</v>
      </c>
      <c r="D25" s="1272"/>
      <c r="E25" s="2545"/>
    </row>
    <row r="26" spans="1:5" ht="24.95" customHeight="1">
      <c r="A26" s="1735" t="s">
        <v>3203</v>
      </c>
      <c r="B26" s="1736" t="s">
        <v>2754</v>
      </c>
      <c r="C26" s="1735">
        <v>0</v>
      </c>
      <c r="D26" s="1272"/>
      <c r="E26" s="2543"/>
    </row>
    <row r="27" spans="1:5" ht="24.95" customHeight="1">
      <c r="A27" s="1735" t="s">
        <v>3205</v>
      </c>
      <c r="B27" s="1736" t="s">
        <v>550</v>
      </c>
      <c r="C27" s="1735">
        <v>1</v>
      </c>
      <c r="D27" s="1272"/>
      <c r="E27" s="2543"/>
    </row>
    <row r="28" spans="1:5" ht="24.95" customHeight="1">
      <c r="A28" s="1735" t="s">
        <v>3290</v>
      </c>
      <c r="B28" s="1736" t="s">
        <v>551</v>
      </c>
      <c r="C28" s="1735">
        <v>2</v>
      </c>
      <c r="D28" s="1272"/>
      <c r="E28" s="2545"/>
    </row>
    <row r="29" spans="1:5" ht="24.95" customHeight="1">
      <c r="A29" s="1735" t="s">
        <v>3291</v>
      </c>
      <c r="B29" s="1736" t="s">
        <v>552</v>
      </c>
      <c r="C29" s="1735">
        <v>0</v>
      </c>
      <c r="D29" s="1272"/>
      <c r="E29" s="2543">
        <v>3</v>
      </c>
    </row>
    <row r="30" spans="1:5" ht="24.95" customHeight="1">
      <c r="A30" s="1735" t="s">
        <v>3292</v>
      </c>
      <c r="B30" s="1736" t="s">
        <v>2769</v>
      </c>
      <c r="C30" s="1735">
        <v>1</v>
      </c>
      <c r="D30" s="1272"/>
      <c r="E30" s="2543"/>
    </row>
    <row r="31" spans="1:5" ht="24.95" customHeight="1">
      <c r="A31" s="1735" t="s">
        <v>3293</v>
      </c>
      <c r="B31" s="1736" t="s">
        <v>3286</v>
      </c>
      <c r="C31" s="1735">
        <v>0</v>
      </c>
      <c r="D31" s="1272"/>
      <c r="E31" s="2545"/>
    </row>
    <row r="32" spans="1:5" ht="24.95" customHeight="1">
      <c r="A32" s="1735" t="s">
        <v>3294</v>
      </c>
      <c r="B32" s="1736" t="s">
        <v>3288</v>
      </c>
      <c r="C32" s="1735">
        <v>1</v>
      </c>
      <c r="D32" s="1272"/>
      <c r="E32" s="2543">
        <v>2</v>
      </c>
    </row>
    <row r="33" spans="1:5" ht="24.95" customHeight="1">
      <c r="A33" s="1401">
        <v>3</v>
      </c>
      <c r="B33" s="2563" t="s">
        <v>3295</v>
      </c>
      <c r="C33" s="1313">
        <f>SUM(C34:C45)</f>
        <v>43</v>
      </c>
      <c r="D33" s="1275"/>
      <c r="E33" s="2546"/>
    </row>
    <row r="34" spans="1:5" ht="24.95" customHeight="1">
      <c r="A34" s="1735" t="s">
        <v>2178</v>
      </c>
      <c r="B34" s="1736" t="s">
        <v>626</v>
      </c>
      <c r="C34" s="1735">
        <v>5</v>
      </c>
      <c r="D34" s="1272"/>
      <c r="E34" s="2542"/>
    </row>
    <row r="35" spans="1:5" ht="24.95" customHeight="1">
      <c r="A35" s="1735" t="s">
        <v>2180</v>
      </c>
      <c r="B35" s="1736" t="s">
        <v>545</v>
      </c>
      <c r="C35" s="1735">
        <v>10</v>
      </c>
      <c r="D35" s="1272"/>
      <c r="E35" s="2543"/>
    </row>
    <row r="36" spans="1:5" ht="24.95" customHeight="1">
      <c r="A36" s="1735" t="s">
        <v>2181</v>
      </c>
      <c r="B36" s="1736" t="s">
        <v>546</v>
      </c>
      <c r="C36" s="1735">
        <v>1</v>
      </c>
      <c r="D36" s="1272"/>
      <c r="E36" s="2544"/>
    </row>
    <row r="37" spans="1:5" ht="24.95" customHeight="1">
      <c r="A37" s="1735" t="s">
        <v>3296</v>
      </c>
      <c r="B37" s="1736" t="s">
        <v>547</v>
      </c>
      <c r="C37" s="1735">
        <v>1</v>
      </c>
      <c r="D37" s="1272"/>
      <c r="E37" s="2545"/>
    </row>
    <row r="38" spans="1:5" ht="24.95" customHeight="1">
      <c r="A38" s="1735" t="s">
        <v>3297</v>
      </c>
      <c r="B38" s="1736" t="s">
        <v>548</v>
      </c>
      <c r="C38" s="1735">
        <v>2</v>
      </c>
      <c r="D38" s="1272"/>
      <c r="E38" s="2545"/>
    </row>
    <row r="39" spans="1:5" ht="24.95" customHeight="1">
      <c r="A39" s="1735" t="s">
        <v>3298</v>
      </c>
      <c r="B39" s="1736" t="s">
        <v>2754</v>
      </c>
      <c r="C39" s="1735">
        <v>10</v>
      </c>
      <c r="D39" s="1272"/>
      <c r="E39" s="2545"/>
    </row>
    <row r="40" spans="1:5" ht="24.95" customHeight="1">
      <c r="A40" s="1735" t="s">
        <v>3299</v>
      </c>
      <c r="B40" s="1736" t="s">
        <v>550</v>
      </c>
      <c r="C40" s="1735">
        <v>3</v>
      </c>
      <c r="D40" s="1272"/>
      <c r="E40" s="2545"/>
    </row>
    <row r="41" spans="1:5" ht="24.95" customHeight="1">
      <c r="A41" s="1735" t="s">
        <v>3300</v>
      </c>
      <c r="B41" s="1736" t="s">
        <v>551</v>
      </c>
      <c r="C41" s="1735">
        <v>0</v>
      </c>
      <c r="D41" s="1272"/>
      <c r="E41" s="2545"/>
    </row>
    <row r="42" spans="1:5" ht="24.95" customHeight="1">
      <c r="A42" s="1735" t="s">
        <v>3301</v>
      </c>
      <c r="B42" s="1736" t="s">
        <v>552</v>
      </c>
      <c r="C42" s="1735">
        <v>5</v>
      </c>
      <c r="D42" s="1272"/>
      <c r="E42" s="2545">
        <v>3</v>
      </c>
    </row>
    <row r="43" spans="1:5" ht="24.95" customHeight="1">
      <c r="A43" s="1735" t="s">
        <v>3302</v>
      </c>
      <c r="B43" s="1736" t="s">
        <v>2769</v>
      </c>
      <c r="C43" s="1735">
        <v>2</v>
      </c>
      <c r="D43" s="1272"/>
      <c r="E43" s="2545"/>
    </row>
    <row r="44" spans="1:5" ht="24.95" customHeight="1">
      <c r="A44" s="1735" t="s">
        <v>3303</v>
      </c>
      <c r="B44" s="1736" t="s">
        <v>3286</v>
      </c>
      <c r="C44" s="1735">
        <v>1</v>
      </c>
      <c r="D44" s="1272"/>
      <c r="E44" s="2545"/>
    </row>
    <row r="45" spans="1:5" ht="24.95" customHeight="1">
      <c r="A45" s="1735" t="s">
        <v>3304</v>
      </c>
      <c r="B45" s="1736" t="s">
        <v>3288</v>
      </c>
      <c r="C45" s="1735">
        <v>3</v>
      </c>
      <c r="D45" s="1272"/>
      <c r="E45" s="2545"/>
    </row>
    <row r="46" spans="1:5" ht="24.95" customHeight="1">
      <c r="A46" s="1401">
        <v>4</v>
      </c>
      <c r="B46" s="2563" t="s">
        <v>3305</v>
      </c>
      <c r="C46" s="1313">
        <f>SUM(C47:C58)</f>
        <v>106</v>
      </c>
      <c r="D46" s="1275"/>
      <c r="E46" s="2545"/>
    </row>
    <row r="47" spans="1:5" ht="24.95" customHeight="1">
      <c r="A47" s="1735" t="s">
        <v>3306</v>
      </c>
      <c r="B47" s="1736" t="s">
        <v>626</v>
      </c>
      <c r="C47" s="1735">
        <v>10</v>
      </c>
      <c r="D47" s="1272"/>
      <c r="E47" s="2545"/>
    </row>
    <row r="48" spans="1:5" ht="24.95" customHeight="1">
      <c r="A48" s="1735" t="s">
        <v>3307</v>
      </c>
      <c r="B48" s="1736" t="s">
        <v>545</v>
      </c>
      <c r="C48" s="1735">
        <v>5</v>
      </c>
      <c r="D48" s="1272"/>
      <c r="E48" s="2543"/>
    </row>
    <row r="49" spans="1:5" ht="24.95" customHeight="1">
      <c r="A49" s="1735" t="s">
        <v>3308</v>
      </c>
      <c r="B49" s="1736" t="s">
        <v>546</v>
      </c>
      <c r="C49" s="1735">
        <v>15</v>
      </c>
      <c r="D49" s="1272"/>
      <c r="E49" s="2545"/>
    </row>
    <row r="50" spans="1:5" ht="24.95" customHeight="1">
      <c r="A50" s="1735" t="s">
        <v>3309</v>
      </c>
      <c r="B50" s="1736" t="s">
        <v>547</v>
      </c>
      <c r="C50" s="1735">
        <v>10</v>
      </c>
      <c r="D50" s="1272"/>
      <c r="E50" s="2543"/>
    </row>
    <row r="51" spans="1:5" ht="24.95" customHeight="1">
      <c r="A51" s="1735" t="s">
        <v>3310</v>
      </c>
      <c r="B51" s="1736" t="s">
        <v>548</v>
      </c>
      <c r="C51" s="1735">
        <v>2</v>
      </c>
      <c r="D51" s="1272"/>
      <c r="E51" s="2543"/>
    </row>
    <row r="52" spans="1:5" ht="24.95" customHeight="1">
      <c r="A52" s="1735" t="s">
        <v>3311</v>
      </c>
      <c r="B52" s="1736" t="s">
        <v>2754</v>
      </c>
      <c r="C52" s="1735">
        <v>18</v>
      </c>
      <c r="D52" s="1272"/>
      <c r="E52" s="2545"/>
    </row>
    <row r="53" spans="1:5" ht="24.95" customHeight="1">
      <c r="A53" s="1735" t="s">
        <v>3312</v>
      </c>
      <c r="B53" s="1736" t="s">
        <v>550</v>
      </c>
      <c r="C53" s="1735">
        <v>10</v>
      </c>
      <c r="D53" s="1272"/>
      <c r="E53" s="2543"/>
    </row>
    <row r="54" spans="1:5" ht="24.95" customHeight="1">
      <c r="A54" s="1735" t="s">
        <v>3313</v>
      </c>
      <c r="B54" s="1736" t="s">
        <v>551</v>
      </c>
      <c r="C54" s="1735">
        <v>4</v>
      </c>
      <c r="D54" s="1272"/>
      <c r="E54" s="2543"/>
    </row>
    <row r="55" spans="1:5" ht="24.95" customHeight="1">
      <c r="A55" s="1735" t="s">
        <v>3314</v>
      </c>
      <c r="B55" s="1736" t="s">
        <v>552</v>
      </c>
      <c r="C55" s="1735">
        <v>10</v>
      </c>
      <c r="D55" s="1272"/>
      <c r="E55" s="2545">
        <v>3</v>
      </c>
    </row>
    <row r="56" spans="1:5" ht="24.95" customHeight="1">
      <c r="A56" s="1735" t="s">
        <v>3315</v>
      </c>
      <c r="B56" s="1736" t="s">
        <v>2769</v>
      </c>
      <c r="C56" s="1735">
        <v>10</v>
      </c>
      <c r="D56" s="1272"/>
      <c r="E56" s="2543"/>
    </row>
    <row r="57" spans="1:5" ht="24.95" customHeight="1">
      <c r="A57" s="1735" t="s">
        <v>3316</v>
      </c>
      <c r="B57" s="1736" t="s">
        <v>3286</v>
      </c>
      <c r="C57" s="1735">
        <v>4</v>
      </c>
      <c r="D57" s="1272"/>
      <c r="E57" s="2543"/>
    </row>
    <row r="58" spans="1:5" ht="24.95" customHeight="1">
      <c r="A58" s="1735" t="s">
        <v>3317</v>
      </c>
      <c r="B58" s="1736" t="s">
        <v>3288</v>
      </c>
      <c r="C58" s="1735">
        <v>8</v>
      </c>
      <c r="D58" s="1272"/>
      <c r="E58" s="2545"/>
    </row>
    <row r="59" spans="1:5" ht="24.95" customHeight="1">
      <c r="A59" s="1401">
        <v>5</v>
      </c>
      <c r="B59" s="2563" t="s">
        <v>3318</v>
      </c>
      <c r="C59" s="1313">
        <f>SUM(C60:C71)</f>
        <v>64</v>
      </c>
      <c r="D59" s="1275"/>
      <c r="E59" s="2543"/>
    </row>
    <row r="60" spans="1:5" ht="24.95" customHeight="1">
      <c r="A60" s="1735" t="s">
        <v>3319</v>
      </c>
      <c r="B60" s="1736" t="s">
        <v>626</v>
      </c>
      <c r="C60" s="1735">
        <v>8</v>
      </c>
      <c r="D60" s="1272"/>
      <c r="E60" s="2546"/>
    </row>
    <row r="61" spans="1:5" ht="24.95" customHeight="1">
      <c r="A61" s="1735" t="s">
        <v>3320</v>
      </c>
      <c r="B61" s="1736" t="s">
        <v>545</v>
      </c>
      <c r="C61" s="1735">
        <v>5</v>
      </c>
      <c r="D61" s="1272"/>
      <c r="E61" s="2542"/>
    </row>
    <row r="62" spans="1:5" ht="24.95" customHeight="1">
      <c r="A62" s="1735" t="s">
        <v>3321</v>
      </c>
      <c r="B62" s="1736" t="s">
        <v>546</v>
      </c>
      <c r="C62" s="1735">
        <v>3</v>
      </c>
      <c r="D62" s="1272"/>
      <c r="E62" s="2543"/>
    </row>
    <row r="63" spans="1:5" ht="24.95" customHeight="1">
      <c r="A63" s="1735" t="s">
        <v>3322</v>
      </c>
      <c r="B63" s="1736" t="s">
        <v>547</v>
      </c>
      <c r="C63" s="1735">
        <v>5</v>
      </c>
      <c r="D63" s="1272"/>
      <c r="E63" s="2544"/>
    </row>
    <row r="64" spans="1:5" ht="24.95" customHeight="1">
      <c r="A64" s="1735" t="s">
        <v>3323</v>
      </c>
      <c r="B64" s="1736" t="s">
        <v>548</v>
      </c>
      <c r="C64" s="1735">
        <v>2</v>
      </c>
      <c r="D64" s="1272"/>
      <c r="E64" s="2545"/>
    </row>
    <row r="65" spans="1:5" ht="24.95" customHeight="1">
      <c r="A65" s="1735" t="s">
        <v>3324</v>
      </c>
      <c r="B65" s="1736" t="s">
        <v>2754</v>
      </c>
      <c r="C65" s="1735">
        <v>5</v>
      </c>
      <c r="D65" s="1272"/>
      <c r="E65" s="2545"/>
    </row>
    <row r="66" spans="1:5" ht="24.95" customHeight="1">
      <c r="A66" s="1735" t="s">
        <v>3325</v>
      </c>
      <c r="B66" s="1736" t="s">
        <v>550</v>
      </c>
      <c r="C66" s="1735">
        <v>8</v>
      </c>
      <c r="D66" s="1272"/>
      <c r="E66" s="2545"/>
    </row>
    <row r="67" spans="1:5" ht="24.95" customHeight="1">
      <c r="A67" s="1735" t="s">
        <v>3326</v>
      </c>
      <c r="B67" s="1736" t="s">
        <v>551</v>
      </c>
      <c r="C67" s="1735">
        <v>8</v>
      </c>
      <c r="D67" s="1272"/>
      <c r="E67" s="2545"/>
    </row>
    <row r="68" spans="1:5" ht="24.95" customHeight="1">
      <c r="A68" s="1735" t="s">
        <v>3327</v>
      </c>
      <c r="B68" s="1736" t="s">
        <v>552</v>
      </c>
      <c r="C68" s="1735">
        <v>15</v>
      </c>
      <c r="D68" s="1272"/>
      <c r="E68" s="2545">
        <v>3</v>
      </c>
    </row>
    <row r="69" spans="1:5" ht="24.95" customHeight="1">
      <c r="A69" s="1735" t="s">
        <v>3328</v>
      </c>
      <c r="B69" s="1736" t="s">
        <v>2769</v>
      </c>
      <c r="C69" s="1735">
        <v>0</v>
      </c>
      <c r="D69" s="1272"/>
      <c r="E69" s="2545"/>
    </row>
    <row r="70" spans="1:5" ht="24.95" customHeight="1">
      <c r="A70" s="1735" t="s">
        <v>3329</v>
      </c>
      <c r="B70" s="1736" t="s">
        <v>3286</v>
      </c>
      <c r="C70" s="1735">
        <v>2</v>
      </c>
      <c r="D70" s="1272"/>
      <c r="E70" s="2545"/>
    </row>
    <row r="71" spans="1:5" ht="24.95" customHeight="1">
      <c r="A71" s="1735" t="s">
        <v>3330</v>
      </c>
      <c r="B71" s="1736" t="s">
        <v>3288</v>
      </c>
      <c r="C71" s="1735">
        <v>3</v>
      </c>
      <c r="D71" s="1272"/>
      <c r="E71" s="2545"/>
    </row>
    <row r="72" spans="1:5" ht="24.95" customHeight="1">
      <c r="A72" s="1401">
        <v>6</v>
      </c>
      <c r="B72" s="2563" t="s">
        <v>3331</v>
      </c>
      <c r="C72" s="1313">
        <f>SUM(C73:C84)</f>
        <v>28</v>
      </c>
      <c r="D72" s="1279"/>
      <c r="E72" s="2545"/>
    </row>
    <row r="73" spans="1:5" ht="24.95" customHeight="1">
      <c r="A73" s="1735" t="s">
        <v>3332</v>
      </c>
      <c r="B73" s="1736" t="s">
        <v>626</v>
      </c>
      <c r="C73" s="1735">
        <v>0</v>
      </c>
      <c r="D73" s="1272"/>
      <c r="E73" s="2545"/>
    </row>
    <row r="74" spans="1:5" ht="24.95" customHeight="1">
      <c r="A74" s="1735" t="s">
        <v>3333</v>
      </c>
      <c r="B74" s="1736" t="s">
        <v>545</v>
      </c>
      <c r="C74" s="1735">
        <v>2</v>
      </c>
      <c r="D74" s="1272"/>
      <c r="E74" s="2545"/>
    </row>
    <row r="75" spans="1:5" ht="24.95" customHeight="1">
      <c r="A75" s="1735" t="s">
        <v>3334</v>
      </c>
      <c r="B75" s="1736" t="s">
        <v>546</v>
      </c>
      <c r="C75" s="1735">
        <v>0</v>
      </c>
      <c r="D75" s="1272"/>
      <c r="E75" s="2543"/>
    </row>
    <row r="76" spans="1:5" ht="24.95" customHeight="1">
      <c r="A76" s="1735" t="s">
        <v>3335</v>
      </c>
      <c r="B76" s="1736" t="s">
        <v>547</v>
      </c>
      <c r="C76" s="1735">
        <v>5</v>
      </c>
      <c r="D76" s="1272"/>
      <c r="E76" s="2545"/>
    </row>
    <row r="77" spans="1:5" ht="24.95" customHeight="1">
      <c r="A77" s="1735" t="s">
        <v>3336</v>
      </c>
      <c r="B77" s="1736" t="s">
        <v>548</v>
      </c>
      <c r="C77" s="1275">
        <v>2</v>
      </c>
      <c r="D77" s="1272"/>
      <c r="E77" s="2543"/>
    </row>
    <row r="78" spans="1:5" ht="24.95" customHeight="1">
      <c r="A78" s="1735" t="s">
        <v>3337</v>
      </c>
      <c r="B78" s="1736" t="s">
        <v>2754</v>
      </c>
      <c r="C78" s="1400">
        <v>2</v>
      </c>
      <c r="D78" s="1272"/>
      <c r="E78" s="2543"/>
    </row>
    <row r="79" spans="1:5" ht="24.95" customHeight="1">
      <c r="A79" s="1735" t="s">
        <v>3338</v>
      </c>
      <c r="B79" s="1736" t="s">
        <v>550</v>
      </c>
      <c r="C79" s="1735">
        <v>2</v>
      </c>
      <c r="D79" s="1272"/>
      <c r="E79" s="2545"/>
    </row>
    <row r="80" spans="1:5" ht="24.95" customHeight="1">
      <c r="A80" s="1735" t="s">
        <v>3339</v>
      </c>
      <c r="B80" s="1736" t="s">
        <v>551</v>
      </c>
      <c r="C80" s="1735">
        <v>2</v>
      </c>
      <c r="D80" s="1272"/>
      <c r="E80" s="2543"/>
    </row>
    <row r="81" spans="1:5" ht="24.95" customHeight="1">
      <c r="A81" s="1735" t="s">
        <v>3340</v>
      </c>
      <c r="B81" s="1736" t="s">
        <v>552</v>
      </c>
      <c r="C81" s="1735">
        <v>3</v>
      </c>
      <c r="D81" s="1272"/>
      <c r="E81" s="2543"/>
    </row>
    <row r="82" spans="1:5" ht="24.95" customHeight="1">
      <c r="A82" s="1735" t="s">
        <v>3341</v>
      </c>
      <c r="B82" s="1736" t="s">
        <v>2769</v>
      </c>
      <c r="C82" s="1735">
        <v>3</v>
      </c>
      <c r="D82" s="1272"/>
      <c r="E82" s="2545"/>
    </row>
    <row r="83" spans="1:5" ht="24.95" customHeight="1">
      <c r="A83" s="1735" t="s">
        <v>3342</v>
      </c>
      <c r="B83" s="1736" t="s">
        <v>3286</v>
      </c>
      <c r="C83" s="1275">
        <v>5</v>
      </c>
      <c r="D83" s="1272"/>
      <c r="E83" s="2543"/>
    </row>
    <row r="84" spans="1:5" ht="24.95" customHeight="1">
      <c r="A84" s="1735" t="s">
        <v>3343</v>
      </c>
      <c r="B84" s="1736" t="s">
        <v>3288</v>
      </c>
      <c r="C84" s="1400">
        <v>2</v>
      </c>
      <c r="D84" s="1272"/>
      <c r="E84" s="2543"/>
    </row>
    <row r="85" spans="1:5" ht="13.5" customHeight="1">
      <c r="A85" s="13"/>
      <c r="B85" s="1737"/>
      <c r="C85" s="39"/>
      <c r="D85" s="39"/>
      <c r="E85" s="17"/>
    </row>
    <row r="86" spans="1:5" ht="13.5" customHeight="1">
      <c r="A86" s="36"/>
      <c r="B86" s="3012" t="s">
        <v>3344</v>
      </c>
      <c r="C86" s="2732"/>
      <c r="D86" s="2732"/>
      <c r="E86" s="17"/>
    </row>
    <row r="87" spans="1:5" ht="13.5" customHeight="1">
      <c r="A87" s="2773" t="s">
        <v>3345</v>
      </c>
      <c r="B87" s="2732"/>
      <c r="C87" s="2732"/>
      <c r="D87" s="2732"/>
      <c r="E87" s="13"/>
    </row>
  </sheetData>
  <sheetProtection algorithmName="SHA-512" hashValue="5PwTo/4eY6aAyyHm3DrWyBme01vXxAJyQyZpeDpx80VK1/yNfwELxVXsYKonO4xed6Ry9hqs0oOLGQrHR6uyIg==" saltValue="qP12hxaXiJTpu+MkFl2gdw==" spinCount="100000" sheet="1" objects="1" scenarios="1"/>
  <protectedRanges>
    <protectedRange sqref="E7:E84" name="VÀNG"/>
  </protectedRanges>
  <mergeCells count="7">
    <mergeCell ref="A87:D87"/>
    <mergeCell ref="A1:B1"/>
    <mergeCell ref="C1:D1"/>
    <mergeCell ref="A2:B2"/>
    <mergeCell ref="A4:D4"/>
    <mergeCell ref="B86:D86"/>
    <mergeCell ref="A5:I5"/>
  </mergeCells>
  <pageMargins left="0.55000000000000004" right="0.35" top="0.75" bottom="0.4"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2" ySplit="5" topLeftCell="M44" activePane="bottomRight" state="frozen"/>
      <selection pane="topRight" activeCell="C1" sqref="C1"/>
      <selection pane="bottomLeft" activeCell="A6" sqref="A6"/>
      <selection pane="bottomRight" activeCell="C1" sqref="C1"/>
    </sheetView>
  </sheetViews>
  <sheetFormatPr defaultColWidth="14.42578125" defaultRowHeight="15" customHeight="1"/>
  <cols>
    <col min="1" max="1" width="5.42578125" customWidth="1"/>
    <col min="2" max="2" width="26" customWidth="1"/>
    <col min="3" max="3" width="15.7109375" customWidth="1"/>
    <col min="4" max="4" width="7.42578125" customWidth="1"/>
    <col min="5" max="5" width="12" customWidth="1"/>
    <col min="6" max="6" width="5.42578125" customWidth="1"/>
    <col min="7" max="7" width="12.42578125" customWidth="1"/>
    <col min="8" max="8" width="21.42578125" customWidth="1"/>
    <col min="9" max="9" width="23" customWidth="1"/>
    <col min="10" max="10" width="14.28515625" customWidth="1"/>
    <col min="11" max="11" width="10.28515625" customWidth="1"/>
    <col min="12" max="12" width="16.28515625" customWidth="1"/>
    <col min="13" max="13" width="37" customWidth="1"/>
    <col min="14" max="14" width="40" customWidth="1"/>
    <col min="15" max="26" width="9" customWidth="1"/>
  </cols>
  <sheetData>
    <row r="1" spans="1:14" ht="15.75" customHeight="1">
      <c r="A1" s="3014" t="s">
        <v>3346</v>
      </c>
      <c r="B1" s="2732"/>
      <c r="C1" s="2798"/>
      <c r="D1" s="2732"/>
      <c r="E1" s="2732"/>
      <c r="F1" s="2732"/>
      <c r="G1" s="2732"/>
      <c r="H1" s="2732"/>
      <c r="I1" s="2732"/>
      <c r="J1" s="40"/>
      <c r="K1" s="1738"/>
      <c r="L1" s="93" t="s">
        <v>3347</v>
      </c>
      <c r="M1" s="95"/>
      <c r="N1" s="95"/>
    </row>
    <row r="2" spans="1:14" ht="24.75" customHeight="1">
      <c r="A2" s="2790" t="s">
        <v>2723</v>
      </c>
      <c r="B2" s="2732"/>
      <c r="C2" s="2732"/>
      <c r="D2" s="2732"/>
      <c r="E2" s="2732"/>
      <c r="F2" s="2732"/>
      <c r="G2" s="2732"/>
      <c r="H2" s="2732"/>
      <c r="I2" s="2732"/>
      <c r="J2" s="91"/>
      <c r="K2" s="1738"/>
      <c r="L2" s="91"/>
      <c r="M2" s="95"/>
      <c r="N2" s="95"/>
    </row>
    <row r="3" spans="1:14" ht="41.1" customHeight="1">
      <c r="A3" s="43"/>
      <c r="B3" s="43"/>
      <c r="C3" s="2798" t="s">
        <v>3348</v>
      </c>
      <c r="D3" s="2798"/>
      <c r="E3" s="2798"/>
      <c r="F3" s="2798"/>
      <c r="G3" s="2798"/>
      <c r="H3" s="2798"/>
      <c r="I3" s="2798"/>
      <c r="J3" s="91"/>
      <c r="K3" s="1738"/>
      <c r="L3" s="91"/>
      <c r="M3" s="95"/>
      <c r="N3" s="95"/>
    </row>
    <row r="4" spans="1:14" ht="30" customHeight="1">
      <c r="A4" s="3013" t="s">
        <v>1643</v>
      </c>
      <c r="B4" s="3013"/>
      <c r="C4" s="3013"/>
      <c r="D4" s="3013"/>
      <c r="E4" s="3013"/>
      <c r="F4" s="3013"/>
      <c r="G4" s="3013"/>
      <c r="H4" s="3013"/>
      <c r="I4" s="3013"/>
      <c r="J4" s="40" t="s">
        <v>3349</v>
      </c>
      <c r="K4" s="1738"/>
      <c r="L4" s="91"/>
      <c r="M4" s="95"/>
      <c r="N4" s="95"/>
    </row>
    <row r="5" spans="1:14" ht="99" customHeight="1">
      <c r="A5" s="253" t="s">
        <v>27</v>
      </c>
      <c r="B5" s="252" t="s">
        <v>3350</v>
      </c>
      <c r="C5" s="252" t="s">
        <v>3351</v>
      </c>
      <c r="D5" s="252" t="s">
        <v>3352</v>
      </c>
      <c r="E5" s="252" t="s">
        <v>3353</v>
      </c>
      <c r="F5" s="252" t="s">
        <v>3354</v>
      </c>
      <c r="G5" s="252" t="s">
        <v>3355</v>
      </c>
      <c r="H5" s="252" t="s">
        <v>3356</v>
      </c>
      <c r="I5" s="2482" t="s">
        <v>3357</v>
      </c>
      <c r="J5" s="252" t="s">
        <v>3358</v>
      </c>
      <c r="K5" s="2483" t="s">
        <v>3359</v>
      </c>
      <c r="L5" s="429" t="s">
        <v>32</v>
      </c>
      <c r="M5" s="2546" t="s">
        <v>3360</v>
      </c>
      <c r="N5" s="95"/>
    </row>
    <row r="6" spans="1:14" ht="44.25" customHeight="1">
      <c r="A6" s="253" t="s">
        <v>258</v>
      </c>
      <c r="B6" s="1106" t="s">
        <v>3361</v>
      </c>
      <c r="C6" s="252"/>
      <c r="D6" s="252"/>
      <c r="E6" s="252"/>
      <c r="F6" s="252"/>
      <c r="G6" s="252"/>
      <c r="H6" s="252"/>
      <c r="I6" s="252"/>
      <c r="J6" s="2484"/>
      <c r="K6" s="2485"/>
      <c r="L6" s="429" t="s">
        <v>3362</v>
      </c>
      <c r="M6" s="2542"/>
      <c r="N6" s="95"/>
    </row>
    <row r="7" spans="1:14" ht="37.5" customHeight="1">
      <c r="A7" s="253" t="s">
        <v>260</v>
      </c>
      <c r="B7" s="423" t="s">
        <v>3363</v>
      </c>
      <c r="C7" s="423"/>
      <c r="D7" s="253"/>
      <c r="E7" s="436"/>
      <c r="F7" s="253">
        <f>SUM(F8:F24)</f>
        <v>62</v>
      </c>
      <c r="G7" s="1106"/>
      <c r="H7" s="423"/>
      <c r="I7" s="423"/>
      <c r="J7" s="1106"/>
      <c r="K7" s="2486"/>
      <c r="L7" s="423"/>
      <c r="M7" s="2543"/>
      <c r="N7" s="161"/>
    </row>
    <row r="8" spans="1:14" ht="38.25" customHeight="1">
      <c r="A8" s="261">
        <v>1</v>
      </c>
      <c r="B8" s="429" t="s">
        <v>3364</v>
      </c>
      <c r="C8" s="429" t="s">
        <v>3364</v>
      </c>
      <c r="D8" s="163" t="s">
        <v>3365</v>
      </c>
      <c r="E8" s="163" t="s">
        <v>3366</v>
      </c>
      <c r="F8" s="163">
        <v>3</v>
      </c>
      <c r="G8" s="429" t="s">
        <v>3367</v>
      </c>
      <c r="H8" s="429" t="s">
        <v>2576</v>
      </c>
      <c r="I8" s="164" t="s">
        <v>3368</v>
      </c>
      <c r="J8" s="164" t="s">
        <v>3369</v>
      </c>
      <c r="K8" s="2487">
        <f t="shared" ref="K8:K20" si="0">IF(D8="ĐH",F8*9000,IF(D8="SĐH",F8*10000,0))</f>
        <v>27000</v>
      </c>
      <c r="L8" s="429" t="s">
        <v>3370</v>
      </c>
      <c r="M8" s="2544"/>
      <c r="N8" s="95"/>
    </row>
    <row r="9" spans="1:14" ht="39" customHeight="1">
      <c r="A9" s="261">
        <v>2</v>
      </c>
      <c r="B9" s="429" t="s">
        <v>1743</v>
      </c>
      <c r="C9" s="157" t="s">
        <v>1743</v>
      </c>
      <c r="D9" s="1539" t="s">
        <v>3365</v>
      </c>
      <c r="E9" s="119" t="s">
        <v>3371</v>
      </c>
      <c r="F9" s="261">
        <v>5</v>
      </c>
      <c r="G9" s="429" t="s">
        <v>1733</v>
      </c>
      <c r="H9" s="164" t="s">
        <v>3372</v>
      </c>
      <c r="I9" s="429" t="s">
        <v>3373</v>
      </c>
      <c r="J9" s="1739" t="s">
        <v>3374</v>
      </c>
      <c r="K9" s="2487">
        <f t="shared" si="0"/>
        <v>45000</v>
      </c>
      <c r="L9" s="429"/>
      <c r="M9" s="2545"/>
      <c r="N9" s="95"/>
    </row>
    <row r="10" spans="1:14" ht="73.5" customHeight="1">
      <c r="A10" s="400">
        <v>3</v>
      </c>
      <c r="B10" s="373" t="s">
        <v>3375</v>
      </c>
      <c r="C10" s="323" t="s">
        <v>3376</v>
      </c>
      <c r="D10" s="319" t="s">
        <v>3365</v>
      </c>
      <c r="E10" s="400" t="s">
        <v>3377</v>
      </c>
      <c r="F10" s="319">
        <v>5</v>
      </c>
      <c r="G10" s="373" t="s">
        <v>3268</v>
      </c>
      <c r="H10" s="373" t="s">
        <v>3378</v>
      </c>
      <c r="I10" s="164" t="s">
        <v>3379</v>
      </c>
      <c r="J10" s="323" t="s">
        <v>3380</v>
      </c>
      <c r="K10" s="2487">
        <f t="shared" si="0"/>
        <v>45000</v>
      </c>
      <c r="L10" s="163" t="s">
        <v>3381</v>
      </c>
      <c r="M10" s="2545"/>
      <c r="N10" s="1965"/>
    </row>
    <row r="11" spans="1:14" ht="38.25" customHeight="1">
      <c r="A11" s="261">
        <v>4</v>
      </c>
      <c r="B11" s="429" t="s">
        <v>3382</v>
      </c>
      <c r="C11" s="164" t="s">
        <v>3382</v>
      </c>
      <c r="D11" s="163" t="s">
        <v>3365</v>
      </c>
      <c r="E11" s="163" t="s">
        <v>3383</v>
      </c>
      <c r="F11" s="163">
        <v>4</v>
      </c>
      <c r="G11" s="429" t="s">
        <v>1664</v>
      </c>
      <c r="H11" s="429" t="s">
        <v>2269</v>
      </c>
      <c r="I11" s="164" t="s">
        <v>3384</v>
      </c>
      <c r="J11" s="1740">
        <v>45231</v>
      </c>
      <c r="K11" s="2487">
        <f t="shared" si="0"/>
        <v>36000</v>
      </c>
      <c r="L11" s="429"/>
      <c r="M11" s="2545"/>
      <c r="N11" s="95"/>
    </row>
    <row r="12" spans="1:14" ht="54" customHeight="1">
      <c r="A12" s="261">
        <v>5</v>
      </c>
      <c r="B12" s="429" t="s">
        <v>3385</v>
      </c>
      <c r="C12" s="164" t="s">
        <v>3385</v>
      </c>
      <c r="D12" s="163" t="s">
        <v>3365</v>
      </c>
      <c r="E12" s="163" t="s">
        <v>3386</v>
      </c>
      <c r="F12" s="163">
        <v>2</v>
      </c>
      <c r="G12" s="429" t="s">
        <v>1664</v>
      </c>
      <c r="H12" s="429" t="s">
        <v>3387</v>
      </c>
      <c r="I12" s="164" t="s">
        <v>3388</v>
      </c>
      <c r="J12" s="1739" t="s">
        <v>3389</v>
      </c>
      <c r="K12" s="2487">
        <f t="shared" si="0"/>
        <v>18000</v>
      </c>
      <c r="L12" s="429"/>
      <c r="M12" s="2545"/>
      <c r="N12" s="95"/>
    </row>
    <row r="13" spans="1:14" ht="36.75" customHeight="1">
      <c r="A13" s="400">
        <v>6</v>
      </c>
      <c r="B13" s="429" t="s">
        <v>928</v>
      </c>
      <c r="C13" s="429" t="s">
        <v>928</v>
      </c>
      <c r="D13" s="163" t="s">
        <v>3365</v>
      </c>
      <c r="E13" s="163" t="s">
        <v>3390</v>
      </c>
      <c r="F13" s="163">
        <v>4</v>
      </c>
      <c r="G13" s="429" t="s">
        <v>1766</v>
      </c>
      <c r="H13" s="429" t="s">
        <v>3391</v>
      </c>
      <c r="I13" s="164" t="s">
        <v>3392</v>
      </c>
      <c r="J13" s="1739" t="s">
        <v>3389</v>
      </c>
      <c r="K13" s="2487">
        <f t="shared" si="0"/>
        <v>36000</v>
      </c>
      <c r="L13" s="429"/>
      <c r="M13" s="2545"/>
      <c r="N13" s="95"/>
    </row>
    <row r="14" spans="1:14" ht="36.75" customHeight="1">
      <c r="A14" s="261">
        <v>7</v>
      </c>
      <c r="B14" s="429" t="s">
        <v>825</v>
      </c>
      <c r="C14" s="164" t="s">
        <v>825</v>
      </c>
      <c r="D14" s="163" t="s">
        <v>3365</v>
      </c>
      <c r="E14" s="119" t="s">
        <v>3393</v>
      </c>
      <c r="F14" s="163">
        <v>3</v>
      </c>
      <c r="G14" s="429" t="s">
        <v>1733</v>
      </c>
      <c r="H14" s="429" t="s">
        <v>3394</v>
      </c>
      <c r="I14" s="164" t="s">
        <v>3395</v>
      </c>
      <c r="J14" s="1741">
        <v>45231</v>
      </c>
      <c r="K14" s="2487">
        <f t="shared" si="0"/>
        <v>27000</v>
      </c>
      <c r="L14" s="429"/>
      <c r="M14" s="2545"/>
      <c r="N14" s="95"/>
    </row>
    <row r="15" spans="1:14" ht="51" customHeight="1">
      <c r="A15" s="261">
        <v>8</v>
      </c>
      <c r="B15" s="1537" t="s">
        <v>3396</v>
      </c>
      <c r="C15" s="323" t="s">
        <v>3397</v>
      </c>
      <c r="D15" s="400" t="s">
        <v>3365</v>
      </c>
      <c r="E15" s="400" t="s">
        <v>3398</v>
      </c>
      <c r="F15" s="400">
        <v>3</v>
      </c>
      <c r="G15" s="323" t="s">
        <v>1701</v>
      </c>
      <c r="H15" s="1537" t="s">
        <v>3399</v>
      </c>
      <c r="I15" s="1865" t="s">
        <v>3400</v>
      </c>
      <c r="J15" s="1742">
        <v>45233</v>
      </c>
      <c r="K15" s="1743">
        <f t="shared" si="0"/>
        <v>27000</v>
      </c>
      <c r="L15" s="373"/>
      <c r="M15" s="2545" t="s">
        <v>3401</v>
      </c>
      <c r="N15" s="1965"/>
    </row>
    <row r="16" spans="1:14" ht="60" customHeight="1">
      <c r="A16" s="400">
        <v>9</v>
      </c>
      <c r="B16" s="1537" t="s">
        <v>3402</v>
      </c>
      <c r="C16" s="1537" t="s">
        <v>3402</v>
      </c>
      <c r="D16" s="400" t="s">
        <v>3365</v>
      </c>
      <c r="E16" s="400" t="s">
        <v>3403</v>
      </c>
      <c r="F16" s="400">
        <v>3</v>
      </c>
      <c r="G16" s="323" t="s">
        <v>1701</v>
      </c>
      <c r="H16" s="1537" t="s">
        <v>3404</v>
      </c>
      <c r="I16" s="373" t="s">
        <v>3405</v>
      </c>
      <c r="J16" s="1742">
        <v>45234</v>
      </c>
      <c r="K16" s="1743">
        <f t="shared" si="0"/>
        <v>27000</v>
      </c>
      <c r="L16" s="373"/>
      <c r="M16" s="2545"/>
      <c r="N16" s="1965"/>
    </row>
    <row r="17" spans="1:14" ht="49.5" customHeight="1">
      <c r="A17" s="261">
        <v>10</v>
      </c>
      <c r="B17" s="1537" t="s">
        <v>3406</v>
      </c>
      <c r="C17" s="323" t="s">
        <v>3406</v>
      </c>
      <c r="D17" s="400" t="s">
        <v>3365</v>
      </c>
      <c r="E17" s="400" t="s">
        <v>3407</v>
      </c>
      <c r="F17" s="400">
        <v>3</v>
      </c>
      <c r="G17" s="323" t="s">
        <v>1701</v>
      </c>
      <c r="H17" s="323" t="s">
        <v>3408</v>
      </c>
      <c r="I17" s="373" t="s">
        <v>3409</v>
      </c>
      <c r="J17" s="1742">
        <v>45235</v>
      </c>
      <c r="K17" s="1743">
        <f t="shared" si="0"/>
        <v>27000</v>
      </c>
      <c r="L17" s="373"/>
      <c r="M17" s="2545"/>
      <c r="N17" s="1965"/>
    </row>
    <row r="18" spans="1:14" ht="33" customHeight="1">
      <c r="A18" s="261">
        <v>11</v>
      </c>
      <c r="B18" s="1537" t="s">
        <v>3410</v>
      </c>
      <c r="C18" s="1537" t="s">
        <v>3411</v>
      </c>
      <c r="D18" s="400" t="s">
        <v>3365</v>
      </c>
      <c r="E18" s="400" t="s">
        <v>3412</v>
      </c>
      <c r="F18" s="400">
        <v>4</v>
      </c>
      <c r="G18" s="323" t="s">
        <v>1701</v>
      </c>
      <c r="H18" s="1537" t="s">
        <v>3132</v>
      </c>
      <c r="I18" s="373" t="s">
        <v>3413</v>
      </c>
      <c r="J18" s="1742">
        <v>45236</v>
      </c>
      <c r="K18" s="1743">
        <f t="shared" si="0"/>
        <v>36000</v>
      </c>
      <c r="L18" s="373"/>
      <c r="M18" s="2545"/>
      <c r="N18" s="1965"/>
    </row>
    <row r="19" spans="1:14" ht="46.5" customHeight="1">
      <c r="A19" s="400">
        <v>12</v>
      </c>
      <c r="B19" s="1537" t="s">
        <v>3414</v>
      </c>
      <c r="C19" s="323" t="s">
        <v>3415</v>
      </c>
      <c r="D19" s="400" t="s">
        <v>3365</v>
      </c>
      <c r="E19" s="400" t="s">
        <v>3416</v>
      </c>
      <c r="F19" s="400">
        <v>2</v>
      </c>
      <c r="G19" s="323" t="s">
        <v>1701</v>
      </c>
      <c r="H19" s="1537" t="s">
        <v>3417</v>
      </c>
      <c r="I19" s="373" t="s">
        <v>3418</v>
      </c>
      <c r="J19" s="1742">
        <v>45237</v>
      </c>
      <c r="K19" s="1743">
        <f t="shared" si="0"/>
        <v>18000</v>
      </c>
      <c r="L19" s="373"/>
      <c r="M19" s="2545"/>
      <c r="N19" s="1965"/>
    </row>
    <row r="20" spans="1:14" ht="280.5">
      <c r="A20" s="261">
        <v>13</v>
      </c>
      <c r="B20" s="2488" t="s">
        <v>3419</v>
      </c>
      <c r="C20" s="1744" t="s">
        <v>3420</v>
      </c>
      <c r="D20" s="1745" t="s">
        <v>3365</v>
      </c>
      <c r="E20" s="1863" t="s">
        <v>3421</v>
      </c>
      <c r="F20" s="2489">
        <v>5</v>
      </c>
      <c r="G20" s="1744" t="s">
        <v>1701</v>
      </c>
      <c r="H20" s="1746" t="s">
        <v>3422</v>
      </c>
      <c r="I20" s="373" t="s">
        <v>3423</v>
      </c>
      <c r="J20" s="2490">
        <v>45031</v>
      </c>
      <c r="K20" s="1743">
        <f t="shared" si="0"/>
        <v>45000</v>
      </c>
      <c r="L20" s="373" t="s">
        <v>3424</v>
      </c>
      <c r="M20" s="2543"/>
      <c r="N20" s="1965"/>
    </row>
    <row r="21" spans="1:14" ht="55.5" customHeight="1">
      <c r="A21" s="261">
        <v>14</v>
      </c>
      <c r="B21" s="429" t="s">
        <v>3425</v>
      </c>
      <c r="C21" s="429" t="s">
        <v>3425</v>
      </c>
      <c r="D21" s="261" t="s">
        <v>3365</v>
      </c>
      <c r="E21" s="261" t="s">
        <v>3426</v>
      </c>
      <c r="F21" s="261">
        <v>5</v>
      </c>
      <c r="G21" s="164" t="s">
        <v>542</v>
      </c>
      <c r="H21" s="164" t="s">
        <v>3427</v>
      </c>
      <c r="I21" s="429" t="s">
        <v>3428</v>
      </c>
      <c r="J21" s="1739" t="s">
        <v>3429</v>
      </c>
      <c r="K21" s="2487">
        <v>45000</v>
      </c>
      <c r="L21" s="429" t="s">
        <v>3430</v>
      </c>
      <c r="M21" s="2545"/>
      <c r="N21" s="91" t="s">
        <v>3431</v>
      </c>
    </row>
    <row r="22" spans="1:14" ht="41.25" customHeight="1">
      <c r="A22" s="400">
        <v>15</v>
      </c>
      <c r="B22" s="2199" t="s">
        <v>3432</v>
      </c>
      <c r="C22" s="2199" t="s">
        <v>3432</v>
      </c>
      <c r="D22" s="2379" t="s">
        <v>3365</v>
      </c>
      <c r="E22" s="261" t="s">
        <v>3433</v>
      </c>
      <c r="F22" s="261">
        <v>4</v>
      </c>
      <c r="G22" s="164" t="s">
        <v>3069</v>
      </c>
      <c r="H22" s="429" t="s">
        <v>3434</v>
      </c>
      <c r="I22" s="429" t="s">
        <v>3435</v>
      </c>
      <c r="J22" s="1739" t="s">
        <v>3429</v>
      </c>
      <c r="K22" s="2487">
        <f>IF(D22="ĐH",F22*9000,IF(D22="SĐH",F22*10000,0))</f>
        <v>36000</v>
      </c>
      <c r="L22" s="429"/>
      <c r="M22" s="2543"/>
      <c r="N22" s="95"/>
    </row>
    <row r="23" spans="1:14" ht="41.25" customHeight="1">
      <c r="A23" s="261">
        <v>16</v>
      </c>
      <c r="B23" s="1747" t="s">
        <v>3436</v>
      </c>
      <c r="C23" s="1747" t="s">
        <v>3436</v>
      </c>
      <c r="D23" s="157" t="s">
        <v>3365</v>
      </c>
      <c r="E23" s="157" t="s">
        <v>3437</v>
      </c>
      <c r="F23" s="261">
        <v>4</v>
      </c>
      <c r="G23" s="164" t="s">
        <v>554</v>
      </c>
      <c r="H23" s="2378" t="s">
        <v>2107</v>
      </c>
      <c r="I23" s="2378" t="s">
        <v>3438</v>
      </c>
      <c r="J23" s="1748" t="s">
        <v>3439</v>
      </c>
      <c r="K23" s="2487">
        <v>36000</v>
      </c>
      <c r="L23" s="429" t="s">
        <v>3430</v>
      </c>
      <c r="M23" s="2543"/>
      <c r="N23" s="95"/>
    </row>
    <row r="24" spans="1:14" ht="53.25" customHeight="1">
      <c r="A24" s="261">
        <v>17</v>
      </c>
      <c r="B24" s="1747" t="s">
        <v>3440</v>
      </c>
      <c r="C24" s="1747" t="s">
        <v>3441</v>
      </c>
      <c r="D24" s="1749" t="s">
        <v>207</v>
      </c>
      <c r="E24" s="261" t="s">
        <v>3442</v>
      </c>
      <c r="F24" s="261">
        <v>3</v>
      </c>
      <c r="G24" s="164" t="s">
        <v>3069</v>
      </c>
      <c r="H24" s="429" t="s">
        <v>154</v>
      </c>
      <c r="I24" s="429" t="s">
        <v>3443</v>
      </c>
      <c r="J24" s="1739" t="s">
        <v>3429</v>
      </c>
      <c r="K24" s="2487">
        <f>K22</f>
        <v>36000</v>
      </c>
      <c r="L24" s="429" t="s">
        <v>3430</v>
      </c>
      <c r="M24" s="2545"/>
      <c r="N24" s="95"/>
    </row>
    <row r="25" spans="1:14" ht="30.75" customHeight="1">
      <c r="A25" s="253" t="s">
        <v>274</v>
      </c>
      <c r="B25" s="2491" t="s">
        <v>3444</v>
      </c>
      <c r="C25" s="2491"/>
      <c r="D25" s="253" t="s">
        <v>207</v>
      </c>
      <c r="E25" s="436"/>
      <c r="F25" s="253"/>
      <c r="G25" s="1106"/>
      <c r="H25" s="423"/>
      <c r="I25" s="423"/>
      <c r="J25" s="1106"/>
      <c r="K25" s="2487"/>
      <c r="L25" s="423"/>
      <c r="M25" s="2543"/>
      <c r="N25" s="161"/>
    </row>
    <row r="26" spans="1:14" ht="77.25" customHeight="1">
      <c r="A26" s="261">
        <v>1</v>
      </c>
      <c r="B26" s="429" t="s">
        <v>3445</v>
      </c>
      <c r="C26" s="429" t="s">
        <v>3445</v>
      </c>
      <c r="D26" s="163" t="s">
        <v>207</v>
      </c>
      <c r="E26" s="163" t="s">
        <v>3446</v>
      </c>
      <c r="F26" s="261">
        <v>3</v>
      </c>
      <c r="G26" s="429" t="s">
        <v>2682</v>
      </c>
      <c r="H26" s="429" t="s">
        <v>3447</v>
      </c>
      <c r="I26" s="429" t="s">
        <v>3448</v>
      </c>
      <c r="J26" s="1741">
        <v>45139</v>
      </c>
      <c r="K26" s="2487">
        <f t="shared" ref="K26:K27" si="1">IF(D26="ĐH",F26*9000,IF(D26="SĐH",F26*10000,0))</f>
        <v>30000</v>
      </c>
      <c r="L26" s="429"/>
      <c r="M26" s="2543"/>
      <c r="N26" s="95"/>
    </row>
    <row r="27" spans="1:14" ht="79.5" customHeight="1">
      <c r="A27" s="261">
        <v>2</v>
      </c>
      <c r="B27" s="157" t="s">
        <v>3449</v>
      </c>
      <c r="C27" s="157" t="s">
        <v>3450</v>
      </c>
      <c r="D27" s="261" t="s">
        <v>207</v>
      </c>
      <c r="E27" s="163" t="s">
        <v>3451</v>
      </c>
      <c r="F27" s="261">
        <v>3</v>
      </c>
      <c r="G27" s="429" t="s">
        <v>1701</v>
      </c>
      <c r="H27" s="157" t="s">
        <v>3408</v>
      </c>
      <c r="I27" s="91" t="s">
        <v>3452</v>
      </c>
      <c r="J27" s="1741">
        <v>45139</v>
      </c>
      <c r="K27" s="2487">
        <f t="shared" si="1"/>
        <v>30000</v>
      </c>
      <c r="L27" s="429"/>
      <c r="M27" s="2545"/>
      <c r="N27" s="95"/>
    </row>
    <row r="28" spans="1:14" ht="35.25" customHeight="1">
      <c r="A28" s="261">
        <v>3</v>
      </c>
      <c r="B28" s="429" t="s">
        <v>3453</v>
      </c>
      <c r="C28" s="429" t="s">
        <v>3453</v>
      </c>
      <c r="D28" s="261" t="s">
        <v>207</v>
      </c>
      <c r="E28" s="163" t="s">
        <v>3454</v>
      </c>
      <c r="F28" s="261">
        <v>3</v>
      </c>
      <c r="G28" s="164" t="s">
        <v>542</v>
      </c>
      <c r="H28" s="429" t="s">
        <v>2218</v>
      </c>
      <c r="I28" s="429" t="s">
        <v>3455</v>
      </c>
      <c r="J28" s="1741">
        <v>45261</v>
      </c>
      <c r="K28" s="2492">
        <v>30000</v>
      </c>
      <c r="L28" s="429"/>
      <c r="M28" s="2543"/>
      <c r="N28" s="95"/>
    </row>
    <row r="29" spans="1:14" ht="46.5" customHeight="1">
      <c r="A29" s="261">
        <v>4</v>
      </c>
      <c r="B29" s="1747" t="s">
        <v>3456</v>
      </c>
      <c r="C29" s="1747" t="s">
        <v>3457</v>
      </c>
      <c r="D29" s="261" t="s">
        <v>207</v>
      </c>
      <c r="E29" s="261" t="s">
        <v>3458</v>
      </c>
      <c r="F29" s="261">
        <v>3</v>
      </c>
      <c r="G29" s="164" t="s">
        <v>507</v>
      </c>
      <c r="H29" s="429" t="s">
        <v>2559</v>
      </c>
      <c r="I29" s="429" t="s">
        <v>3459</v>
      </c>
      <c r="J29" s="1748" t="s">
        <v>3439</v>
      </c>
      <c r="K29" s="2492">
        <v>30000</v>
      </c>
      <c r="L29" s="429" t="s">
        <v>3430</v>
      </c>
      <c r="M29" s="2543"/>
      <c r="N29" s="95"/>
    </row>
    <row r="30" spans="1:14" ht="45" customHeight="1">
      <c r="A30" s="253" t="s">
        <v>284</v>
      </c>
      <c r="B30" s="1106" t="s">
        <v>3460</v>
      </c>
      <c r="C30" s="252"/>
      <c r="D30" s="252"/>
      <c r="E30" s="252"/>
      <c r="F30" s="252"/>
      <c r="G30" s="252"/>
      <c r="H30" s="252"/>
      <c r="I30" s="252"/>
      <c r="J30" s="1106"/>
      <c r="K30" s="2492"/>
      <c r="L30" s="429"/>
      <c r="M30" s="2545"/>
      <c r="N30" s="95"/>
    </row>
    <row r="31" spans="1:14" ht="27" customHeight="1">
      <c r="A31" s="261"/>
      <c r="B31" s="252" t="s">
        <v>3461</v>
      </c>
      <c r="C31" s="3015" t="s">
        <v>3462</v>
      </c>
      <c r="D31" s="2782"/>
      <c r="E31" s="2782"/>
      <c r="F31" s="2782"/>
      <c r="G31" s="2782"/>
      <c r="H31" s="2783"/>
      <c r="I31" s="429"/>
      <c r="J31" s="429"/>
      <c r="K31" s="2487">
        <f>SUM(K8:K29)</f>
        <v>687000</v>
      </c>
      <c r="L31" s="429"/>
      <c r="M31" s="2543"/>
      <c r="N31" s="95"/>
    </row>
    <row r="33" spans="1:12" ht="18" customHeight="1">
      <c r="A33" s="1425"/>
      <c r="B33" s="1425"/>
      <c r="C33" s="1733"/>
      <c r="D33" s="1751"/>
      <c r="E33" s="1733"/>
      <c r="F33" s="18"/>
      <c r="G33" s="18"/>
      <c r="H33" s="42"/>
      <c r="I33" s="2936" t="s">
        <v>3463</v>
      </c>
      <c r="J33" s="2732"/>
      <c r="K33" s="2732"/>
      <c r="L33" s="2732"/>
    </row>
    <row r="34" spans="1:12" ht="30" customHeight="1">
      <c r="A34" s="2773" t="s">
        <v>3464</v>
      </c>
      <c r="B34" s="2732"/>
      <c r="C34" s="2773" t="s">
        <v>3465</v>
      </c>
      <c r="D34" s="2732"/>
      <c r="E34" s="2732"/>
      <c r="F34" s="2732"/>
      <c r="G34" s="38" t="s">
        <v>3466</v>
      </c>
      <c r="H34" s="38"/>
      <c r="I34" s="2776" t="s">
        <v>3467</v>
      </c>
      <c r="J34" s="2732"/>
      <c r="K34" s="2732"/>
      <c r="L34" s="2732"/>
    </row>
    <row r="35" spans="1:12" ht="15.75" customHeight="1">
      <c r="A35" s="1732"/>
      <c r="B35" s="1732"/>
      <c r="C35" s="43"/>
      <c r="D35" s="86"/>
      <c r="E35" s="161"/>
      <c r="F35" s="1732"/>
      <c r="G35" s="1752"/>
      <c r="H35" s="1752"/>
      <c r="I35" s="1752"/>
      <c r="J35" s="1752"/>
      <c r="K35" s="1753"/>
      <c r="L35" s="1752"/>
    </row>
    <row r="36" spans="1:12" ht="15.75" customHeight="1">
      <c r="A36" s="1732"/>
      <c r="B36" s="1732"/>
      <c r="C36" s="43"/>
      <c r="D36" s="86"/>
      <c r="E36" s="161"/>
      <c r="F36" s="1732"/>
      <c r="G36" s="1752"/>
      <c r="H36" s="1752"/>
      <c r="I36" s="1752"/>
      <c r="J36" s="1752"/>
      <c r="K36" s="1753"/>
      <c r="L36" s="1752"/>
    </row>
    <row r="37" spans="1:12" ht="15.75" customHeight="1">
      <c r="A37" s="1732"/>
      <c r="B37" s="1732"/>
      <c r="C37" s="43"/>
      <c r="D37" s="86"/>
      <c r="E37" s="161"/>
      <c r="F37" s="1732"/>
      <c r="G37" s="1752"/>
      <c r="H37" s="1752"/>
      <c r="I37" s="1752"/>
      <c r="J37" s="1752"/>
      <c r="K37" s="1753"/>
      <c r="L37" s="1752"/>
    </row>
    <row r="38" spans="1:12" ht="15.75" customHeight="1">
      <c r="A38" s="1732"/>
      <c r="B38" s="1732"/>
      <c r="C38" s="43"/>
      <c r="D38" s="86"/>
      <c r="E38" s="161"/>
      <c r="F38" s="1732"/>
      <c r="G38" s="1752"/>
      <c r="H38" s="1752"/>
      <c r="I38" s="1752"/>
      <c r="J38" s="1752"/>
      <c r="K38" s="1753"/>
      <c r="L38" s="1752"/>
    </row>
    <row r="39" spans="1:12" ht="15.75" customHeight="1">
      <c r="A39" s="1732"/>
      <c r="B39" s="174"/>
      <c r="C39" s="2992"/>
      <c r="D39" s="2732"/>
      <c r="E39" s="161"/>
      <c r="F39" s="1732"/>
      <c r="G39" s="1752"/>
      <c r="H39" s="1752"/>
      <c r="I39" s="1752"/>
      <c r="J39" s="1752"/>
      <c r="K39" s="1753"/>
      <c r="L39" s="1752"/>
    </row>
  </sheetData>
  <sheetProtection sheet="1" objects="1" scenarios="1"/>
  <protectedRanges>
    <protectedRange sqref="M6:M31" name="VÀNG"/>
  </protectedRanges>
  <mergeCells count="11">
    <mergeCell ref="A34:B34"/>
    <mergeCell ref="C34:F34"/>
    <mergeCell ref="I34:L34"/>
    <mergeCell ref="C39:D39"/>
    <mergeCell ref="A1:B1"/>
    <mergeCell ref="C1:I2"/>
    <mergeCell ref="A2:B2"/>
    <mergeCell ref="C31:H31"/>
    <mergeCell ref="I33:L33"/>
    <mergeCell ref="C3:I3"/>
    <mergeCell ref="A4:I4"/>
  </mergeCells>
  <pageMargins left="0.47" right="0" top="0.4" bottom="0" header="0" footer="0"/>
  <pageSetup paperSize="9" orientation="landscape"/>
  <colBreaks count="1" manualBreakCount="1">
    <brk id="77" man="1"/>
  </col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pane ySplit="8" topLeftCell="A24" activePane="bottomLeft" state="frozen"/>
      <selection pane="bottomLeft" activeCell="G8" sqref="G8"/>
    </sheetView>
  </sheetViews>
  <sheetFormatPr defaultColWidth="14.42578125" defaultRowHeight="15" customHeight="1"/>
  <cols>
    <col min="1" max="1" width="5.7109375" customWidth="1"/>
    <col min="2" max="2" width="64.42578125" customWidth="1"/>
    <col min="3" max="3" width="9.28515625" customWidth="1"/>
    <col min="4" max="4" width="9.140625" customWidth="1"/>
    <col min="5" max="5" width="15.28515625" customWidth="1"/>
    <col min="6" max="6" width="18.140625" customWidth="1"/>
    <col min="7" max="7" width="40.140625" customWidth="1"/>
    <col min="8" max="26" width="9" customWidth="1"/>
  </cols>
  <sheetData>
    <row r="1" spans="1:9" ht="15.75" customHeight="1">
      <c r="A1" s="2775" t="s">
        <v>3346</v>
      </c>
      <c r="B1" s="2732"/>
      <c r="C1" s="18"/>
      <c r="D1" s="13"/>
      <c r="E1" s="13"/>
      <c r="F1" s="16" t="s">
        <v>3468</v>
      </c>
      <c r="G1" s="13"/>
    </row>
    <row r="2" spans="1:9" ht="15.75" customHeight="1">
      <c r="A2" s="2790" t="s">
        <v>2723</v>
      </c>
      <c r="B2" s="2732"/>
      <c r="C2" s="13"/>
      <c r="D2" s="13"/>
      <c r="E2" s="13"/>
      <c r="F2" s="13"/>
      <c r="G2" s="13"/>
    </row>
    <row r="3" spans="1:9" ht="15.75">
      <c r="A3" s="43"/>
      <c r="B3" s="43"/>
      <c r="C3" s="18"/>
      <c r="D3" s="18"/>
      <c r="E3" s="19"/>
      <c r="F3" s="15"/>
      <c r="G3" s="15"/>
    </row>
    <row r="4" spans="1:9" ht="16.5" customHeight="1">
      <c r="A4" s="43"/>
      <c r="B4" s="43"/>
      <c r="C4" s="18"/>
      <c r="D4" s="18"/>
      <c r="E4" s="19"/>
      <c r="F4" s="15"/>
      <c r="G4" s="15"/>
    </row>
    <row r="5" spans="1:9" ht="16.5" customHeight="1">
      <c r="A5" s="2905" t="s">
        <v>3469</v>
      </c>
      <c r="B5" s="2732"/>
      <c r="C5" s="2732"/>
      <c r="D5" s="2732"/>
      <c r="E5" s="2732"/>
      <c r="F5" s="2732"/>
      <c r="G5" s="15"/>
    </row>
    <row r="6" spans="1:9" ht="16.5" customHeight="1">
      <c r="A6" s="3013" t="s">
        <v>1643</v>
      </c>
      <c r="B6" s="3013"/>
      <c r="C6" s="3013"/>
      <c r="D6" s="3013"/>
      <c r="E6" s="3013"/>
      <c r="F6" s="3013"/>
      <c r="G6" s="3013"/>
      <c r="H6" s="3013"/>
      <c r="I6" s="3013"/>
    </row>
    <row r="7" spans="1:9" ht="16.5" customHeight="1">
      <c r="A7" s="15"/>
      <c r="B7" s="15"/>
      <c r="C7" s="18"/>
      <c r="D7" s="18"/>
      <c r="E7" s="19"/>
      <c r="F7" s="170" t="s">
        <v>3349</v>
      </c>
      <c r="G7" s="15"/>
    </row>
    <row r="8" spans="1:9" ht="44.25" customHeight="1">
      <c r="A8" s="1754" t="s">
        <v>27</v>
      </c>
      <c r="B8" s="1313" t="s">
        <v>1928</v>
      </c>
      <c r="C8" s="1313" t="s">
        <v>3352</v>
      </c>
      <c r="D8" s="1313" t="s">
        <v>3354</v>
      </c>
      <c r="E8" s="1313" t="s">
        <v>3470</v>
      </c>
      <c r="F8" s="2530" t="s">
        <v>3471</v>
      </c>
      <c r="G8" s="2546" t="s">
        <v>3472</v>
      </c>
    </row>
    <row r="9" spans="1:9" ht="33.75" customHeight="1">
      <c r="A9" s="1754" t="s">
        <v>258</v>
      </c>
      <c r="B9" s="1316" t="s">
        <v>3473</v>
      </c>
      <c r="C9" s="1313"/>
      <c r="D9" s="1313"/>
      <c r="E9" s="1313"/>
      <c r="F9" s="2530"/>
      <c r="G9" s="2542"/>
    </row>
    <row r="10" spans="1:9" ht="44.25" customHeight="1">
      <c r="A10" s="1755" t="s">
        <v>27</v>
      </c>
      <c r="B10" s="1755" t="s">
        <v>1928</v>
      </c>
      <c r="C10" s="1755" t="s">
        <v>3474</v>
      </c>
      <c r="D10" s="1755" t="s">
        <v>3354</v>
      </c>
      <c r="E10" s="1755" t="s">
        <v>3470</v>
      </c>
      <c r="F10" s="2533" t="s">
        <v>3471</v>
      </c>
      <c r="G10" s="2543"/>
    </row>
    <row r="11" spans="1:9" ht="28.5" customHeight="1">
      <c r="A11" s="1000" t="s">
        <v>258</v>
      </c>
      <c r="B11" s="1009" t="s">
        <v>3473</v>
      </c>
      <c r="C11" s="1756"/>
      <c r="D11" s="1000"/>
      <c r="E11" s="1043">
        <f>SUM(E12:E18)</f>
        <v>1530200</v>
      </c>
      <c r="F11" s="2534"/>
      <c r="G11" s="2544"/>
    </row>
    <row r="12" spans="1:9" ht="21" customHeight="1">
      <c r="A12" s="1004">
        <v>1</v>
      </c>
      <c r="B12" s="1073" t="s">
        <v>1743</v>
      </c>
      <c r="C12" s="1004" t="s">
        <v>207</v>
      </c>
      <c r="D12" s="1000"/>
      <c r="E12" s="2493">
        <v>270000</v>
      </c>
      <c r="F12" s="2535" t="s">
        <v>3475</v>
      </c>
      <c r="G12" s="2545"/>
    </row>
    <row r="13" spans="1:9" ht="20.25" customHeight="1">
      <c r="A13" s="1004">
        <v>2</v>
      </c>
      <c r="B13" s="1073" t="s">
        <v>3476</v>
      </c>
      <c r="C13" s="1004" t="s">
        <v>207</v>
      </c>
      <c r="D13" s="1004"/>
      <c r="E13" s="2494">
        <v>270000</v>
      </c>
      <c r="F13" s="2536" t="s">
        <v>3475</v>
      </c>
      <c r="G13" s="2545"/>
    </row>
    <row r="14" spans="1:9" ht="20.25" customHeight="1">
      <c r="A14" s="1004">
        <v>3</v>
      </c>
      <c r="B14" s="1073" t="s">
        <v>3477</v>
      </c>
      <c r="C14" s="1004" t="s">
        <v>207</v>
      </c>
      <c r="D14" s="1004"/>
      <c r="E14" s="2494">
        <v>90100</v>
      </c>
      <c r="F14" s="2536" t="s">
        <v>3478</v>
      </c>
      <c r="G14" s="2545"/>
    </row>
    <row r="15" spans="1:9" ht="20.25" customHeight="1">
      <c r="A15" s="1004">
        <v>4</v>
      </c>
      <c r="B15" s="1073" t="s">
        <v>3005</v>
      </c>
      <c r="C15" s="1004" t="s">
        <v>207</v>
      </c>
      <c r="D15" s="1004"/>
      <c r="E15" s="2494">
        <v>270000</v>
      </c>
      <c r="F15" s="2536" t="s">
        <v>3479</v>
      </c>
      <c r="G15" s="2545"/>
    </row>
    <row r="16" spans="1:9" ht="20.25" customHeight="1">
      <c r="A16" s="1004">
        <v>5</v>
      </c>
      <c r="B16" s="1073" t="s">
        <v>2882</v>
      </c>
      <c r="C16" s="1004" t="s">
        <v>207</v>
      </c>
      <c r="D16" s="1004"/>
      <c r="E16" s="2494">
        <v>270000</v>
      </c>
      <c r="F16" s="2536" t="s">
        <v>3479</v>
      </c>
      <c r="G16" s="2545"/>
    </row>
    <row r="17" spans="1:7" ht="20.25" customHeight="1">
      <c r="A17" s="1004">
        <v>6</v>
      </c>
      <c r="B17" s="1073" t="s">
        <v>3480</v>
      </c>
      <c r="C17" s="1004" t="s">
        <v>207</v>
      </c>
      <c r="D17" s="1004"/>
      <c r="E17" s="2494">
        <v>270000</v>
      </c>
      <c r="F17" s="2536" t="s">
        <v>3479</v>
      </c>
      <c r="G17" s="2545"/>
    </row>
    <row r="18" spans="1:7" ht="20.25" customHeight="1">
      <c r="A18" s="1004">
        <v>7</v>
      </c>
      <c r="B18" s="1073" t="s">
        <v>506</v>
      </c>
      <c r="C18" s="1004" t="s">
        <v>207</v>
      </c>
      <c r="D18" s="1004"/>
      <c r="E18" s="2494">
        <v>90100</v>
      </c>
      <c r="F18" s="2536" t="s">
        <v>3481</v>
      </c>
      <c r="G18" s="2545" t="s">
        <v>3482</v>
      </c>
    </row>
    <row r="19" spans="1:7" ht="20.25" customHeight="1">
      <c r="A19" s="1000" t="s">
        <v>284</v>
      </c>
      <c r="B19" s="1009" t="s">
        <v>3483</v>
      </c>
      <c r="C19" s="1000" t="s">
        <v>207</v>
      </c>
      <c r="D19" s="1000"/>
      <c r="E19" s="1043">
        <f>SUM(E20:E25)</f>
        <v>2220000</v>
      </c>
      <c r="F19" s="2537"/>
      <c r="G19" s="2545"/>
    </row>
    <row r="20" spans="1:7" ht="21" customHeight="1">
      <c r="A20" s="1004">
        <v>1</v>
      </c>
      <c r="B20" s="1073" t="s">
        <v>506</v>
      </c>
      <c r="C20" s="1004" t="s">
        <v>207</v>
      </c>
      <c r="D20" s="1040"/>
      <c r="E20" s="2495">
        <v>370000</v>
      </c>
      <c r="F20" s="2538" t="s">
        <v>3484</v>
      </c>
      <c r="G20" s="2545"/>
    </row>
    <row r="21" spans="1:7" ht="21" customHeight="1">
      <c r="A21" s="1004">
        <v>2</v>
      </c>
      <c r="B21" s="1073" t="s">
        <v>506</v>
      </c>
      <c r="C21" s="1004" t="s">
        <v>3365</v>
      </c>
      <c r="D21" s="2496">
        <v>60</v>
      </c>
      <c r="E21" s="2497">
        <v>370000</v>
      </c>
      <c r="F21" s="2539" t="s">
        <v>3484</v>
      </c>
      <c r="G21" s="2545" t="s">
        <v>3485</v>
      </c>
    </row>
    <row r="22" spans="1:7" ht="27" customHeight="1">
      <c r="A22" s="1004">
        <v>3</v>
      </c>
      <c r="B22" s="1363" t="s">
        <v>2776</v>
      </c>
      <c r="C22" s="991" t="s">
        <v>207</v>
      </c>
      <c r="D22" s="2498"/>
      <c r="E22" s="2497">
        <v>370000</v>
      </c>
      <c r="F22" s="2536" t="s">
        <v>3486</v>
      </c>
      <c r="G22" s="2545"/>
    </row>
    <row r="23" spans="1:7" ht="24" customHeight="1">
      <c r="A23" s="1004">
        <v>4</v>
      </c>
      <c r="B23" s="1073" t="s">
        <v>500</v>
      </c>
      <c r="C23" s="1004" t="s">
        <v>3365</v>
      </c>
      <c r="D23" s="2498">
        <v>60</v>
      </c>
      <c r="E23" s="2497">
        <v>370000</v>
      </c>
      <c r="F23" s="2536" t="s">
        <v>3487</v>
      </c>
      <c r="G23" s="2543"/>
    </row>
    <row r="24" spans="1:7" ht="26.25" customHeight="1">
      <c r="A24" s="1004">
        <v>5</v>
      </c>
      <c r="B24" s="1073" t="s">
        <v>2819</v>
      </c>
      <c r="C24" s="1004" t="s">
        <v>207</v>
      </c>
      <c r="D24" s="2498"/>
      <c r="E24" s="2497">
        <v>370000</v>
      </c>
      <c r="F24" s="2536" t="s">
        <v>3488</v>
      </c>
      <c r="G24" s="2545"/>
    </row>
    <row r="25" spans="1:7" ht="25.5" customHeight="1">
      <c r="A25" s="1004">
        <v>6</v>
      </c>
      <c r="B25" s="1073" t="s">
        <v>3477</v>
      </c>
      <c r="C25" s="1004" t="s">
        <v>207</v>
      </c>
      <c r="D25" s="2499">
        <v>60</v>
      </c>
      <c r="E25" s="1757">
        <v>370000</v>
      </c>
      <c r="F25" s="2540" t="s">
        <v>3488</v>
      </c>
      <c r="G25" s="2543"/>
    </row>
    <row r="26" spans="1:7" ht="25.5" customHeight="1">
      <c r="A26" s="1004"/>
      <c r="B26" s="1000" t="s">
        <v>3461</v>
      </c>
      <c r="C26" s="995"/>
      <c r="D26" s="1000"/>
      <c r="E26" s="1043">
        <f>E19+E11</f>
        <v>3750200</v>
      </c>
      <c r="F26" s="2541"/>
      <c r="G26" s="2543"/>
    </row>
    <row r="27" spans="1:7" ht="23.25" customHeight="1">
      <c r="A27" s="1201"/>
      <c r="B27" s="1201"/>
      <c r="C27" s="1758"/>
      <c r="D27" s="1201"/>
      <c r="E27" s="1758"/>
      <c r="F27" s="1758"/>
      <c r="G27" s="15"/>
    </row>
    <row r="28" spans="1:7" ht="18" customHeight="1">
      <c r="A28" s="1118"/>
      <c r="B28" s="1118"/>
      <c r="C28" s="3016" t="s">
        <v>448</v>
      </c>
      <c r="D28" s="2732"/>
      <c r="E28" s="2732"/>
      <c r="F28" s="2732"/>
      <c r="G28" s="15"/>
    </row>
    <row r="29" spans="1:7" ht="15.75" customHeight="1">
      <c r="A29" s="2823" t="s">
        <v>3489</v>
      </c>
      <c r="B29" s="2732"/>
      <c r="C29" s="2732"/>
      <c r="D29" s="2732"/>
      <c r="E29" s="2732"/>
      <c r="F29" s="2732"/>
      <c r="G29" s="1732"/>
    </row>
  </sheetData>
  <sheetProtection algorithmName="SHA-512" hashValue="4c+cSVm5oArfwiZ15FHNqFiqPd6N5uCRUZIcW2s7jeErFRL+JTE+6lNGhdvJsHLQXenSUVvYFCUeK/16KV2P+w==" saltValue="p+fjSf0d6euDR4LpUJdKRQ==" spinCount="100000" sheet="1" objects="1" scenarios="1"/>
  <protectedRanges>
    <protectedRange sqref="G9:G26" name="VÀNG"/>
  </protectedRanges>
  <mergeCells count="6">
    <mergeCell ref="A29:F29"/>
    <mergeCell ref="A1:B1"/>
    <mergeCell ref="A2:B2"/>
    <mergeCell ref="A5:F5"/>
    <mergeCell ref="C28:F28"/>
    <mergeCell ref="A6:I6"/>
  </mergeCells>
  <pageMargins left="0.7" right="0.7" top="0.41" bottom="0.2" header="0" footer="0"/>
  <pageSetup orientation="landscape"/>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0"/>
  <sheetViews>
    <sheetView workbookViewId="0">
      <pane xSplit="2" ySplit="7" topLeftCell="C9" activePane="bottomRight" state="frozen"/>
      <selection pane="topRight" activeCell="C1" sqref="C1"/>
      <selection pane="bottomLeft" activeCell="A8" sqref="A8"/>
      <selection pane="bottomRight" activeCell="C1" sqref="C1"/>
    </sheetView>
  </sheetViews>
  <sheetFormatPr defaultColWidth="14.42578125" defaultRowHeight="15" customHeight="1"/>
  <cols>
    <col min="1" max="1" width="5.140625" customWidth="1"/>
    <col min="2" max="2" width="52.28515625" customWidth="1"/>
    <col min="3" max="3" width="11.140625" customWidth="1"/>
    <col min="4" max="4" width="9.140625" customWidth="1"/>
    <col min="5" max="5" width="11" customWidth="1"/>
    <col min="6" max="6" width="11.28515625" customWidth="1"/>
    <col min="7" max="7" width="11.7109375" customWidth="1"/>
    <col min="8" max="8" width="48" customWidth="1"/>
    <col min="9" max="26" width="9" customWidth="1"/>
  </cols>
  <sheetData>
    <row r="1" spans="1:9" ht="18" customHeight="1">
      <c r="A1" s="2775" t="s">
        <v>23</v>
      </c>
      <c r="B1" s="2732"/>
      <c r="C1" s="17"/>
      <c r="D1" s="17"/>
      <c r="E1" s="1759"/>
      <c r="F1" s="1759"/>
      <c r="G1" s="16" t="s">
        <v>3490</v>
      </c>
      <c r="H1" s="1425"/>
    </row>
    <row r="2" spans="1:9" ht="18" customHeight="1">
      <c r="A2" s="2773" t="s">
        <v>183</v>
      </c>
      <c r="B2" s="2732"/>
      <c r="C2" s="17"/>
      <c r="D2" s="17"/>
      <c r="E2" s="1760"/>
      <c r="F2" s="1759"/>
      <c r="G2" s="15"/>
      <c r="H2" s="1425"/>
    </row>
    <row r="3" spans="1:9" ht="18" customHeight="1">
      <c r="A3" s="17"/>
      <c r="B3" s="13"/>
      <c r="C3" s="17"/>
      <c r="D3" s="17"/>
      <c r="E3" s="1760"/>
      <c r="F3" s="1759"/>
      <c r="G3" s="15"/>
      <c r="H3" s="1425"/>
    </row>
    <row r="4" spans="1:9" ht="24.75" customHeight="1">
      <c r="A4" s="3004" t="s">
        <v>3491</v>
      </c>
      <c r="B4" s="2732"/>
      <c r="C4" s="2732"/>
      <c r="D4" s="2732"/>
      <c r="E4" s="2732"/>
      <c r="F4" s="2732"/>
      <c r="G4" s="2732"/>
      <c r="H4" s="1425"/>
    </row>
    <row r="5" spans="1:9" ht="19.5" customHeight="1">
      <c r="A5" s="2906" t="s">
        <v>3492</v>
      </c>
      <c r="B5" s="2732"/>
      <c r="C5" s="2732"/>
      <c r="D5" s="2732"/>
      <c r="E5" s="2732"/>
      <c r="F5" s="2732"/>
      <c r="G5" s="2732"/>
      <c r="H5" s="1425"/>
    </row>
    <row r="6" spans="1:9" ht="21" customHeight="1">
      <c r="A6" s="3013" t="s">
        <v>3493</v>
      </c>
      <c r="B6" s="3013"/>
      <c r="C6" s="3013"/>
      <c r="D6" s="3013"/>
      <c r="E6" s="3013"/>
      <c r="F6" s="3013"/>
      <c r="G6" s="3013"/>
      <c r="H6" s="3013"/>
      <c r="I6" s="3013"/>
    </row>
    <row r="7" spans="1:9" ht="42" customHeight="1">
      <c r="A7" s="1761" t="s">
        <v>27</v>
      </c>
      <c r="B7" s="1762" t="s">
        <v>28</v>
      </c>
      <c r="C7" s="1763" t="s">
        <v>242</v>
      </c>
      <c r="D7" s="1763" t="s">
        <v>1859</v>
      </c>
      <c r="E7" s="1764" t="s">
        <v>1860</v>
      </c>
      <c r="F7" s="1764" t="s">
        <v>1929</v>
      </c>
      <c r="G7" s="1765" t="s">
        <v>32</v>
      </c>
      <c r="H7" s="2546" t="s">
        <v>3360</v>
      </c>
    </row>
    <row r="8" spans="1:9" ht="24.75" customHeight="1">
      <c r="A8" s="2500" t="s">
        <v>465</v>
      </c>
      <c r="B8" s="2501" t="s">
        <v>466</v>
      </c>
      <c r="C8" s="2502" t="s">
        <v>467</v>
      </c>
      <c r="D8" s="2502" t="s">
        <v>468</v>
      </c>
      <c r="E8" s="2503" t="s">
        <v>469</v>
      </c>
      <c r="F8" s="1766" t="s">
        <v>3494</v>
      </c>
      <c r="G8" s="1767" t="s">
        <v>471</v>
      </c>
      <c r="H8" s="2542"/>
    </row>
    <row r="9" spans="1:9" ht="15.75" customHeight="1">
      <c r="A9" s="2504">
        <v>1</v>
      </c>
      <c r="B9" s="2505" t="s">
        <v>3495</v>
      </c>
      <c r="C9" s="2506"/>
      <c r="D9" s="2506"/>
      <c r="E9" s="2507"/>
      <c r="F9" s="2508">
        <f>SUM(F10:F22)</f>
        <v>1915000</v>
      </c>
      <c r="G9" s="1768"/>
      <c r="H9" s="2543"/>
    </row>
    <row r="10" spans="1:9" ht="15.75" customHeight="1">
      <c r="A10" s="2504"/>
      <c r="B10" s="2509" t="s">
        <v>3496</v>
      </c>
      <c r="C10" s="2506" t="s">
        <v>3497</v>
      </c>
      <c r="D10" s="2506"/>
      <c r="E10" s="2507">
        <v>1800</v>
      </c>
      <c r="F10" s="2508">
        <f t="shared" ref="F10:F16" si="0">+E10*D10</f>
        <v>0</v>
      </c>
      <c r="G10" s="1768"/>
      <c r="H10" s="2544"/>
    </row>
    <row r="11" spans="1:9" ht="15.75" customHeight="1">
      <c r="A11" s="2504"/>
      <c r="B11" s="2509" t="s">
        <v>3498</v>
      </c>
      <c r="C11" s="2506" t="s">
        <v>3497</v>
      </c>
      <c r="D11" s="2506"/>
      <c r="E11" s="2507">
        <v>1500</v>
      </c>
      <c r="F11" s="2508">
        <f t="shared" si="0"/>
        <v>0</v>
      </c>
      <c r="G11" s="1768"/>
      <c r="H11" s="2545"/>
    </row>
    <row r="12" spans="1:9" ht="15.75" customHeight="1">
      <c r="A12" s="2504"/>
      <c r="B12" s="2509" t="s">
        <v>3499</v>
      </c>
      <c r="C12" s="2506" t="s">
        <v>3497</v>
      </c>
      <c r="D12" s="2506"/>
      <c r="E12" s="2507">
        <v>1000</v>
      </c>
      <c r="F12" s="2508">
        <f t="shared" si="0"/>
        <v>0</v>
      </c>
      <c r="G12" s="1768"/>
      <c r="H12" s="2545"/>
    </row>
    <row r="13" spans="1:9" ht="15.75" customHeight="1">
      <c r="A13" s="2504"/>
      <c r="B13" s="2509" t="s">
        <v>3500</v>
      </c>
      <c r="C13" s="2506" t="s">
        <v>3497</v>
      </c>
      <c r="D13" s="2506"/>
      <c r="E13" s="2507">
        <v>900</v>
      </c>
      <c r="F13" s="2508">
        <f t="shared" si="0"/>
        <v>0</v>
      </c>
      <c r="G13" s="1768"/>
      <c r="H13" s="2545"/>
    </row>
    <row r="14" spans="1:9" ht="15.75" customHeight="1">
      <c r="A14" s="2504"/>
      <c r="B14" s="2509" t="s">
        <v>3501</v>
      </c>
      <c r="C14" s="2506" t="s">
        <v>3497</v>
      </c>
      <c r="D14" s="2506">
        <v>500</v>
      </c>
      <c r="E14" s="2507">
        <v>1100</v>
      </c>
      <c r="F14" s="2508">
        <f t="shared" si="0"/>
        <v>550000</v>
      </c>
      <c r="G14" s="1768"/>
      <c r="H14" s="2727" t="s">
        <v>3502</v>
      </c>
    </row>
    <row r="15" spans="1:9" ht="15.75" customHeight="1">
      <c r="A15" s="2504"/>
      <c r="B15" s="2509" t="s">
        <v>3503</v>
      </c>
      <c r="C15" s="2506" t="s">
        <v>3497</v>
      </c>
      <c r="D15" s="2506">
        <v>150</v>
      </c>
      <c r="E15" s="2507">
        <v>2500</v>
      </c>
      <c r="F15" s="2508">
        <f t="shared" si="0"/>
        <v>375000</v>
      </c>
      <c r="G15" s="1768"/>
      <c r="H15" s="2727" t="s">
        <v>3504</v>
      </c>
    </row>
    <row r="16" spans="1:9" ht="15.75" customHeight="1">
      <c r="A16" s="2504"/>
      <c r="B16" s="2509" t="s">
        <v>3505</v>
      </c>
      <c r="C16" s="2506" t="s">
        <v>3497</v>
      </c>
      <c r="D16" s="2506"/>
      <c r="E16" s="2507">
        <v>1000</v>
      </c>
      <c r="F16" s="2508">
        <f t="shared" si="0"/>
        <v>0</v>
      </c>
      <c r="G16" s="1768"/>
      <c r="H16" s="2545"/>
    </row>
    <row r="17" spans="1:8" ht="15.75" customHeight="1">
      <c r="A17" s="2504"/>
      <c r="B17" s="2509" t="s">
        <v>3506</v>
      </c>
      <c r="C17" s="2506"/>
      <c r="D17" s="2506"/>
      <c r="E17" s="2507"/>
      <c r="F17" s="2508"/>
      <c r="G17" s="1768"/>
      <c r="H17" s="2546"/>
    </row>
    <row r="18" spans="1:8" ht="15.75" customHeight="1">
      <c r="A18" s="2504"/>
      <c r="B18" s="2509" t="s">
        <v>3507</v>
      </c>
      <c r="C18" s="2506" t="s">
        <v>3497</v>
      </c>
      <c r="D18" s="2506">
        <v>100</v>
      </c>
      <c r="E18" s="2507">
        <v>1100</v>
      </c>
      <c r="F18" s="2508">
        <f t="shared" ref="F18:F22" si="1">+E18*D18</f>
        <v>110000</v>
      </c>
      <c r="G18" s="1768"/>
      <c r="H18" s="2542"/>
    </row>
    <row r="19" spans="1:8" ht="15.75" customHeight="1">
      <c r="A19" s="2504"/>
      <c r="B19" s="2509" t="s">
        <v>3508</v>
      </c>
      <c r="C19" s="2506" t="s">
        <v>3497</v>
      </c>
      <c r="D19" s="2506">
        <v>100</v>
      </c>
      <c r="E19" s="2507">
        <v>1100</v>
      </c>
      <c r="F19" s="2508">
        <f t="shared" si="1"/>
        <v>110000</v>
      </c>
      <c r="G19" s="1768"/>
      <c r="H19" s="2543"/>
    </row>
    <row r="20" spans="1:8" ht="15.75" customHeight="1">
      <c r="A20" s="2504"/>
      <c r="B20" s="2509" t="s">
        <v>3509</v>
      </c>
      <c r="C20" s="2506" t="s">
        <v>3497</v>
      </c>
      <c r="D20" s="2506">
        <v>100</v>
      </c>
      <c r="E20" s="2507">
        <v>1100</v>
      </c>
      <c r="F20" s="2508">
        <f t="shared" si="1"/>
        <v>110000</v>
      </c>
      <c r="G20" s="1768"/>
      <c r="H20" s="2544"/>
    </row>
    <row r="21" spans="1:8" ht="15.75" customHeight="1">
      <c r="A21" s="2504"/>
      <c r="B21" s="2509" t="s">
        <v>3510</v>
      </c>
      <c r="C21" s="2506" t="s">
        <v>3497</v>
      </c>
      <c r="D21" s="2506">
        <v>100</v>
      </c>
      <c r="E21" s="2507">
        <v>1100</v>
      </c>
      <c r="F21" s="2508">
        <f t="shared" si="1"/>
        <v>110000</v>
      </c>
      <c r="G21" s="1768"/>
      <c r="H21" s="2545"/>
    </row>
    <row r="22" spans="1:8" ht="15.75" customHeight="1">
      <c r="A22" s="2504"/>
      <c r="B22" s="2509" t="s">
        <v>3511</v>
      </c>
      <c r="C22" s="2506" t="s">
        <v>3497</v>
      </c>
      <c r="D22" s="2506">
        <v>500</v>
      </c>
      <c r="E22" s="2507">
        <v>1100</v>
      </c>
      <c r="F22" s="2508">
        <f t="shared" si="1"/>
        <v>550000</v>
      </c>
      <c r="G22" s="1768"/>
      <c r="H22" s="2545"/>
    </row>
    <row r="23" spans="1:8" ht="15.75" customHeight="1">
      <c r="A23" s="2504"/>
      <c r="B23" s="2509"/>
      <c r="C23" s="2506"/>
      <c r="D23" s="2506"/>
      <c r="E23" s="2507"/>
      <c r="F23" s="2508"/>
      <c r="G23" s="1768"/>
      <c r="H23" s="2545"/>
    </row>
    <row r="24" spans="1:8" ht="15.75" customHeight="1">
      <c r="A24" s="2504"/>
      <c r="B24" s="2509"/>
      <c r="C24" s="2506"/>
      <c r="D24" s="2506"/>
      <c r="E24" s="2507"/>
      <c r="F24" s="2508"/>
      <c r="G24" s="1768"/>
      <c r="H24" s="2545"/>
    </row>
    <row r="25" spans="1:8" ht="15.75" customHeight="1">
      <c r="A25" s="2504"/>
      <c r="B25" s="2509"/>
      <c r="C25" s="2506"/>
      <c r="D25" s="2506"/>
      <c r="E25" s="2507"/>
      <c r="F25" s="2508"/>
      <c r="G25" s="1768"/>
      <c r="H25" s="2545"/>
    </row>
    <row r="26" spans="1:8" ht="15.75" customHeight="1">
      <c r="A26" s="2504">
        <v>2</v>
      </c>
      <c r="B26" s="2510" t="s">
        <v>3512</v>
      </c>
      <c r="C26" s="2511"/>
      <c r="D26" s="2511"/>
      <c r="E26" s="2512"/>
      <c r="F26" s="2513"/>
      <c r="G26" s="1769"/>
      <c r="H26" s="2545"/>
    </row>
    <row r="27" spans="1:8" ht="15.75" customHeight="1">
      <c r="A27" s="1770"/>
      <c r="B27" s="1771"/>
      <c r="C27" s="1772"/>
      <c r="D27" s="1772"/>
      <c r="E27" s="1773"/>
      <c r="F27" s="1774"/>
      <c r="G27" s="1775"/>
      <c r="H27" s="2546"/>
    </row>
    <row r="28" spans="1:8" ht="36.75" customHeight="1">
      <c r="A28" s="170"/>
      <c r="B28" s="170"/>
      <c r="C28" s="3017" t="s">
        <v>3513</v>
      </c>
      <c r="D28" s="2902"/>
      <c r="E28" s="2902"/>
      <c r="F28" s="2902"/>
      <c r="G28" s="2902"/>
      <c r="H28" s="1750"/>
    </row>
    <row r="29" spans="1:8" ht="15.75" customHeight="1">
      <c r="A29" s="15"/>
      <c r="B29" s="1425"/>
      <c r="C29" s="2774" t="s">
        <v>359</v>
      </c>
      <c r="D29" s="2732"/>
      <c r="E29" s="2732"/>
      <c r="F29" s="2732"/>
      <c r="G29" s="2732"/>
      <c r="H29" s="1425"/>
    </row>
    <row r="30" spans="1:8" ht="15.75" customHeight="1">
      <c r="A30" s="3018"/>
      <c r="B30" s="2732"/>
      <c r="C30" s="2732"/>
      <c r="D30" s="2732"/>
      <c r="E30" s="2732"/>
      <c r="F30" s="1759"/>
      <c r="G30" s="15"/>
      <c r="H30" s="1425"/>
    </row>
  </sheetData>
  <sheetProtection algorithmName="SHA-512" hashValue="IOXmeJ7Dn6gDoXwyHitKOBQGeI5LCoPQJ7F+sTqSCLm21rV+039R2SP4T2psRMswxyfDAYglmUjnGkdYwK9E8Q==" saltValue="s9My+yvMagBG+Yhyhn4ZIw==" spinCount="100000" sheet="1" objects="1" scenarios="1"/>
  <protectedRanges>
    <protectedRange sqref="H8:H27" name="VÀNG"/>
  </protectedRanges>
  <mergeCells count="8">
    <mergeCell ref="C28:G28"/>
    <mergeCell ref="C29:G29"/>
    <mergeCell ref="A30:E30"/>
    <mergeCell ref="A1:B1"/>
    <mergeCell ref="A2:B2"/>
    <mergeCell ref="A4:G4"/>
    <mergeCell ref="A5:G5"/>
    <mergeCell ref="A6:I6"/>
  </mergeCells>
  <pageMargins left="0.7" right="0.7" top="0.75" bottom="0.75" header="0" footer="0"/>
  <pageSetup orientation="landscape"/>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990"/>
  <sheetViews>
    <sheetView workbookViewId="0">
      <pane xSplit="4" ySplit="6" topLeftCell="E54" activePane="bottomRight" state="frozen"/>
      <selection pane="topRight"/>
      <selection pane="bottomLeft"/>
      <selection pane="bottomRight"/>
    </sheetView>
  </sheetViews>
  <sheetFormatPr defaultColWidth="14.42578125" defaultRowHeight="15" customHeight="1"/>
  <cols>
    <col min="1" max="1" width="10" customWidth="1"/>
    <col min="2" max="2" width="58.28515625" customWidth="1"/>
    <col min="3" max="3" width="15" customWidth="1"/>
    <col min="4" max="4" width="43.42578125" customWidth="1"/>
    <col min="5" max="5" width="19.85546875" customWidth="1"/>
    <col min="6" max="26" width="9" customWidth="1"/>
  </cols>
  <sheetData>
    <row r="1" spans="1:26" ht="18" customHeight="1">
      <c r="A1" s="2775"/>
      <c r="B1" s="2732"/>
      <c r="C1" s="3020" t="s">
        <v>3514</v>
      </c>
      <c r="D1" s="2732"/>
      <c r="E1" s="1732"/>
      <c r="F1" s="1732"/>
      <c r="G1" s="1732"/>
      <c r="H1" s="1732"/>
      <c r="I1" s="1732"/>
      <c r="J1" s="1732"/>
      <c r="K1" s="1732"/>
      <c r="L1" s="1732"/>
      <c r="M1" s="1732"/>
      <c r="N1" s="1732"/>
      <c r="O1" s="1732"/>
      <c r="P1" s="1732"/>
      <c r="Q1" s="1732"/>
      <c r="R1" s="1732"/>
      <c r="S1" s="1732"/>
      <c r="T1" s="1732"/>
      <c r="U1" s="1732"/>
      <c r="V1" s="1732"/>
      <c r="W1" s="1732"/>
      <c r="X1" s="1732"/>
      <c r="Y1" s="1732"/>
      <c r="Z1" s="1732"/>
    </row>
    <row r="2" spans="1:26" ht="18" customHeight="1">
      <c r="A2" s="2773" t="s">
        <v>183</v>
      </c>
      <c r="B2" s="2732"/>
      <c r="C2" s="1776"/>
      <c r="D2" s="1732"/>
      <c r="E2" s="1732"/>
      <c r="F2" s="1732"/>
      <c r="G2" s="1732"/>
      <c r="H2" s="1732"/>
      <c r="I2" s="1732"/>
      <c r="J2" s="1732"/>
      <c r="K2" s="1732"/>
      <c r="L2" s="1732"/>
      <c r="M2" s="1732"/>
      <c r="N2" s="1732"/>
      <c r="O2" s="1732"/>
      <c r="P2" s="1732"/>
      <c r="Q2" s="1732"/>
      <c r="R2" s="1732"/>
      <c r="S2" s="1732"/>
      <c r="T2" s="1732"/>
      <c r="U2" s="1732"/>
      <c r="V2" s="1732"/>
      <c r="W2" s="1732"/>
      <c r="X2" s="1732"/>
      <c r="Y2" s="1732"/>
      <c r="Z2" s="1732"/>
    </row>
    <row r="3" spans="1:26" ht="4.5" customHeight="1">
      <c r="A3" s="1732"/>
      <c r="B3" s="1732"/>
      <c r="C3" s="1776"/>
      <c r="D3" s="1732"/>
      <c r="E3" s="1732"/>
      <c r="F3" s="1732"/>
      <c r="G3" s="1732"/>
      <c r="H3" s="1732"/>
      <c r="I3" s="1732"/>
      <c r="J3" s="1732"/>
      <c r="K3" s="1732"/>
      <c r="L3" s="1732"/>
      <c r="M3" s="1732"/>
      <c r="N3" s="1732"/>
      <c r="O3" s="1732"/>
      <c r="P3" s="1732"/>
      <c r="Q3" s="1732"/>
      <c r="R3" s="1732"/>
      <c r="S3" s="1732"/>
      <c r="T3" s="1732"/>
      <c r="U3" s="1732"/>
      <c r="V3" s="1732"/>
      <c r="W3" s="1732"/>
      <c r="X3" s="1732"/>
      <c r="Y3" s="1732"/>
      <c r="Z3" s="1732"/>
    </row>
    <row r="4" spans="1:26" ht="19.5" customHeight="1">
      <c r="A4" s="2773" t="s">
        <v>3515</v>
      </c>
      <c r="B4" s="2732"/>
      <c r="C4" s="2732"/>
      <c r="D4" s="2732"/>
      <c r="E4" s="1732"/>
      <c r="F4" s="1732"/>
      <c r="G4" s="1732"/>
      <c r="H4" s="1732"/>
      <c r="I4" s="1732"/>
      <c r="J4" s="1732"/>
      <c r="K4" s="1732"/>
      <c r="L4" s="1732"/>
      <c r="M4" s="1732"/>
      <c r="N4" s="1732"/>
      <c r="O4" s="1732"/>
      <c r="P4" s="1732"/>
      <c r="Q4" s="1732"/>
      <c r="R4" s="1732"/>
      <c r="S4" s="1732"/>
      <c r="T4" s="1732"/>
      <c r="U4" s="1732"/>
      <c r="V4" s="1732"/>
      <c r="W4" s="1732"/>
      <c r="X4" s="1732"/>
      <c r="Y4" s="1732"/>
      <c r="Z4" s="1732"/>
    </row>
    <row r="5" spans="1:26" ht="18" customHeight="1">
      <c r="A5" s="1732"/>
      <c r="B5" s="1732"/>
      <c r="C5" s="3021" t="s">
        <v>3516</v>
      </c>
      <c r="D5" s="2732"/>
      <c r="E5" s="2720"/>
      <c r="F5" s="1732"/>
      <c r="G5" s="1732"/>
      <c r="H5" s="1732"/>
      <c r="I5" s="1732"/>
      <c r="J5" s="1732"/>
      <c r="K5" s="1732"/>
      <c r="L5" s="1732"/>
      <c r="M5" s="1732"/>
      <c r="N5" s="1732"/>
      <c r="O5" s="1732"/>
      <c r="P5" s="1732"/>
      <c r="Q5" s="1732"/>
      <c r="R5" s="1732"/>
      <c r="S5" s="1732"/>
      <c r="T5" s="1732"/>
      <c r="U5" s="1732"/>
      <c r="V5" s="1732"/>
      <c r="W5" s="1732"/>
      <c r="X5" s="1732"/>
      <c r="Y5" s="1732"/>
      <c r="Z5" s="1732"/>
    </row>
    <row r="6" spans="1:26" ht="26.25" customHeight="1">
      <c r="A6" s="1778" t="s">
        <v>27</v>
      </c>
      <c r="B6" s="2301" t="s">
        <v>28</v>
      </c>
      <c r="C6" s="2514" t="s">
        <v>1929</v>
      </c>
      <c r="D6" s="2707" t="s">
        <v>32</v>
      </c>
      <c r="E6" s="2721" t="s">
        <v>3517</v>
      </c>
      <c r="F6" s="2717"/>
      <c r="G6" s="17"/>
      <c r="H6" s="17"/>
      <c r="I6" s="17"/>
      <c r="J6" s="17"/>
      <c r="K6" s="17"/>
      <c r="L6" s="17"/>
      <c r="M6" s="17"/>
      <c r="N6" s="17"/>
      <c r="O6" s="17"/>
      <c r="P6" s="17"/>
      <c r="Q6" s="17"/>
      <c r="R6" s="17"/>
      <c r="S6" s="17"/>
      <c r="T6" s="17"/>
      <c r="U6" s="17"/>
      <c r="V6" s="17"/>
      <c r="W6" s="17"/>
      <c r="X6" s="17"/>
      <c r="Y6" s="17"/>
      <c r="Z6" s="17"/>
    </row>
    <row r="7" spans="1:26" ht="24" customHeight="1">
      <c r="A7" s="1779">
        <v>1</v>
      </c>
      <c r="B7" s="1780" t="s">
        <v>3518</v>
      </c>
      <c r="C7" s="1781">
        <f>SUM(C8:C25)</f>
        <v>48223182.223212339</v>
      </c>
      <c r="D7" s="2708"/>
      <c r="E7" s="2722"/>
      <c r="F7" s="2718"/>
      <c r="G7" s="38"/>
      <c r="H7" s="38"/>
      <c r="I7" s="38"/>
      <c r="J7" s="38"/>
      <c r="K7" s="38"/>
      <c r="L7" s="38"/>
      <c r="M7" s="38"/>
      <c r="N7" s="38"/>
      <c r="O7" s="38"/>
      <c r="P7" s="38"/>
      <c r="Q7" s="38"/>
      <c r="R7" s="38"/>
      <c r="S7" s="38"/>
      <c r="T7" s="38"/>
      <c r="U7" s="38"/>
      <c r="V7" s="38"/>
      <c r="W7" s="38"/>
      <c r="X7" s="38"/>
      <c r="Y7" s="38"/>
      <c r="Z7" s="38"/>
    </row>
    <row r="8" spans="1:26" ht="15.75">
      <c r="A8" s="1782" t="s">
        <v>260</v>
      </c>
      <c r="B8" s="1783" t="s">
        <v>3519</v>
      </c>
      <c r="C8" s="1784"/>
      <c r="D8" s="2709"/>
      <c r="E8" s="2618"/>
      <c r="F8" s="2624"/>
      <c r="G8" s="15"/>
      <c r="H8" s="15"/>
      <c r="I8" s="15"/>
      <c r="J8" s="15"/>
      <c r="K8" s="15"/>
      <c r="L8" s="15"/>
      <c r="M8" s="15"/>
      <c r="N8" s="15"/>
      <c r="O8" s="15"/>
      <c r="P8" s="15"/>
      <c r="Q8" s="15"/>
      <c r="R8" s="15"/>
      <c r="S8" s="15"/>
      <c r="T8" s="15"/>
      <c r="U8" s="15"/>
      <c r="V8" s="15"/>
      <c r="W8" s="15"/>
      <c r="X8" s="15"/>
      <c r="Y8" s="15"/>
      <c r="Z8" s="15"/>
    </row>
    <row r="9" spans="1:26" ht="15.75">
      <c r="A9" s="1786" t="s">
        <v>263</v>
      </c>
      <c r="B9" s="1787" t="s">
        <v>3520</v>
      </c>
      <c r="C9" s="1788">
        <f>'Bieu so lieu ThuNhap 2021'!C21+'Bieu so lieu ThuNhap 2021'!E21</f>
        <v>29755000.151999999</v>
      </c>
      <c r="D9" s="2710" t="s">
        <v>3521</v>
      </c>
      <c r="E9" s="2723"/>
      <c r="F9" s="2719"/>
      <c r="G9" s="170"/>
      <c r="H9" s="170"/>
      <c r="I9" s="170"/>
      <c r="J9" s="170"/>
      <c r="K9" s="170"/>
      <c r="L9" s="170"/>
      <c r="M9" s="170"/>
      <c r="N9" s="170"/>
      <c r="O9" s="170"/>
      <c r="P9" s="170"/>
      <c r="Q9" s="170"/>
      <c r="R9" s="170"/>
      <c r="S9" s="170"/>
      <c r="T9" s="170"/>
      <c r="U9" s="170"/>
      <c r="V9" s="170"/>
      <c r="W9" s="170"/>
      <c r="X9" s="170"/>
      <c r="Y9" s="170"/>
      <c r="Z9" s="170"/>
    </row>
    <row r="10" spans="1:26" ht="31.5">
      <c r="A10" s="1786" t="s">
        <v>265</v>
      </c>
      <c r="B10" s="1790" t="s">
        <v>3522</v>
      </c>
      <c r="C10" s="1788">
        <f>'Bieu so lieu ThuNhap 2021'!D21+'Bieu so lieu ThuNhap 2021'!F21</f>
        <v>6411588.9096000008</v>
      </c>
      <c r="D10" s="2710" t="s">
        <v>3521</v>
      </c>
      <c r="E10" s="2723"/>
      <c r="F10" s="2719"/>
      <c r="G10" s="170"/>
      <c r="H10" s="170"/>
      <c r="I10" s="170"/>
      <c r="J10" s="170"/>
      <c r="K10" s="170"/>
      <c r="L10" s="170"/>
      <c r="M10" s="170"/>
      <c r="N10" s="170"/>
      <c r="O10" s="170"/>
      <c r="P10" s="170"/>
      <c r="Q10" s="170"/>
      <c r="R10" s="170"/>
      <c r="S10" s="170"/>
      <c r="T10" s="170"/>
      <c r="U10" s="170"/>
      <c r="V10" s="170"/>
      <c r="W10" s="170"/>
      <c r="X10" s="170"/>
      <c r="Y10" s="170"/>
      <c r="Z10" s="170"/>
    </row>
    <row r="11" spans="1:26" ht="15.75">
      <c r="A11" s="1782" t="s">
        <v>274</v>
      </c>
      <c r="B11" s="1791" t="s">
        <v>3523</v>
      </c>
      <c r="C11" s="1788"/>
      <c r="D11" s="2710"/>
      <c r="E11" s="2723"/>
      <c r="F11" s="2719"/>
      <c r="G11" s="170"/>
      <c r="H11" s="170"/>
      <c r="I11" s="170"/>
      <c r="J11" s="170"/>
      <c r="K11" s="170"/>
      <c r="L11" s="170"/>
      <c r="M11" s="170"/>
      <c r="N11" s="170"/>
      <c r="O11" s="170"/>
      <c r="P11" s="170"/>
      <c r="Q11" s="170"/>
      <c r="R11" s="170"/>
      <c r="S11" s="170"/>
      <c r="T11" s="170"/>
      <c r="U11" s="170"/>
      <c r="V11" s="170"/>
      <c r="W11" s="170"/>
      <c r="X11" s="170"/>
      <c r="Y11" s="170"/>
      <c r="Z11" s="170"/>
    </row>
    <row r="12" spans="1:26" ht="15.75">
      <c r="A12" s="1782"/>
      <c r="B12" s="1789" t="s">
        <v>3524</v>
      </c>
      <c r="C12" s="1788">
        <f>'Tính thừa giờ'!F16</f>
        <v>7887296.833333334</v>
      </c>
      <c r="D12" s="2710" t="s">
        <v>3525</v>
      </c>
      <c r="E12" s="2618"/>
      <c r="F12" s="2624"/>
      <c r="G12" s="15"/>
      <c r="H12" s="15"/>
      <c r="I12" s="15"/>
      <c r="J12" s="15"/>
      <c r="K12" s="15"/>
      <c r="L12" s="15"/>
      <c r="M12" s="15"/>
      <c r="N12" s="15"/>
      <c r="O12" s="15"/>
      <c r="P12" s="15"/>
      <c r="Q12" s="15"/>
      <c r="R12" s="15"/>
      <c r="S12" s="15"/>
      <c r="T12" s="15"/>
      <c r="U12" s="15"/>
      <c r="V12" s="15"/>
      <c r="W12" s="15"/>
      <c r="X12" s="15"/>
      <c r="Y12" s="15"/>
      <c r="Z12" s="15"/>
    </row>
    <row r="13" spans="1:26" ht="15.75">
      <c r="A13" s="1782"/>
      <c r="B13" s="1789" t="s">
        <v>3526</v>
      </c>
      <c r="C13" s="1788">
        <f>'Bieu so lieu ThuNhap 2021'!H21</f>
        <v>441316.75677259569</v>
      </c>
      <c r="D13" s="2710" t="s">
        <v>3521</v>
      </c>
      <c r="E13" s="2618"/>
      <c r="F13" s="2624"/>
      <c r="G13" s="15"/>
      <c r="H13" s="15"/>
      <c r="I13" s="15"/>
      <c r="J13" s="15"/>
      <c r="K13" s="15"/>
      <c r="L13" s="15"/>
      <c r="M13" s="15"/>
      <c r="N13" s="15"/>
      <c r="O13" s="15"/>
      <c r="P13" s="15"/>
      <c r="Q13" s="15"/>
      <c r="R13" s="15"/>
      <c r="S13" s="15"/>
      <c r="T13" s="15"/>
      <c r="U13" s="15"/>
      <c r="V13" s="15"/>
      <c r="W13" s="15"/>
      <c r="X13" s="15"/>
      <c r="Y13" s="15"/>
      <c r="Z13" s="15"/>
    </row>
    <row r="14" spans="1:26" ht="15.75">
      <c r="A14" s="1782"/>
      <c r="D14" s="2612"/>
      <c r="E14" s="2618"/>
      <c r="F14" s="2624"/>
      <c r="G14" s="15"/>
      <c r="H14" s="15"/>
      <c r="I14" s="15"/>
      <c r="J14" s="15"/>
      <c r="K14" s="15"/>
      <c r="L14" s="15"/>
      <c r="M14" s="15"/>
      <c r="N14" s="15"/>
      <c r="O14" s="15"/>
      <c r="P14" s="15"/>
      <c r="Q14" s="15"/>
      <c r="R14" s="15"/>
      <c r="S14" s="15"/>
      <c r="T14" s="15"/>
      <c r="U14" s="15"/>
      <c r="V14" s="15"/>
      <c r="W14" s="15"/>
      <c r="X14" s="15"/>
      <c r="Y14" s="15"/>
      <c r="Z14" s="15"/>
    </row>
    <row r="15" spans="1:26" ht="15.75">
      <c r="A15" s="1782" t="s">
        <v>2910</v>
      </c>
      <c r="B15" s="1792" t="s">
        <v>3527</v>
      </c>
      <c r="C15" s="1784"/>
      <c r="D15" s="2711" t="s">
        <v>3528</v>
      </c>
      <c r="E15" s="2618"/>
      <c r="F15" s="2624"/>
      <c r="G15" s="15"/>
      <c r="H15" s="15"/>
      <c r="I15" s="15"/>
      <c r="J15" s="15"/>
      <c r="K15" s="15"/>
      <c r="L15" s="15"/>
      <c r="M15" s="15"/>
      <c r="N15" s="15"/>
      <c r="O15" s="15"/>
      <c r="P15" s="15"/>
      <c r="Q15" s="15"/>
      <c r="R15" s="15"/>
      <c r="S15" s="15"/>
      <c r="T15" s="15"/>
      <c r="U15" s="15"/>
      <c r="V15" s="15"/>
      <c r="W15" s="15"/>
      <c r="X15" s="15"/>
      <c r="Y15" s="15"/>
      <c r="Z15" s="15"/>
    </row>
    <row r="16" spans="1:26" ht="15.75">
      <c r="A16" s="1793">
        <v>44774</v>
      </c>
      <c r="B16" s="1792" t="s">
        <v>3529</v>
      </c>
      <c r="C16" s="1794">
        <v>0</v>
      </c>
      <c r="D16" s="2712" t="s">
        <v>3530</v>
      </c>
      <c r="E16" s="2618"/>
      <c r="F16" s="2624"/>
      <c r="G16" s="15"/>
      <c r="H16" s="15"/>
      <c r="I16" s="15"/>
      <c r="J16" s="15"/>
      <c r="K16" s="15"/>
      <c r="L16" s="15"/>
      <c r="M16" s="15"/>
      <c r="N16" s="15"/>
      <c r="O16" s="15"/>
      <c r="P16" s="15"/>
      <c r="Q16" s="15"/>
      <c r="R16" s="15"/>
      <c r="S16" s="15"/>
      <c r="T16" s="15"/>
      <c r="U16" s="15"/>
      <c r="V16" s="15"/>
      <c r="W16" s="15"/>
      <c r="X16" s="15"/>
      <c r="Y16" s="15"/>
      <c r="Z16" s="15"/>
    </row>
    <row r="17" spans="1:26" ht="31.5">
      <c r="A17" s="1793">
        <v>44805</v>
      </c>
      <c r="B17" s="1785" t="s">
        <v>3531</v>
      </c>
      <c r="C17" s="1784">
        <f>'Bieu so lieu ThuNhap 2021'!I21</f>
        <v>1948579.5715064143</v>
      </c>
      <c r="D17" s="2710" t="s">
        <v>3521</v>
      </c>
      <c r="E17" s="2618"/>
      <c r="F17" s="2624"/>
      <c r="G17" s="15"/>
      <c r="H17" s="15"/>
      <c r="I17" s="15"/>
      <c r="J17" s="15"/>
      <c r="K17" s="15"/>
      <c r="L17" s="15"/>
      <c r="M17" s="15"/>
      <c r="N17" s="15"/>
      <c r="O17" s="15"/>
      <c r="P17" s="15"/>
      <c r="Q17" s="15"/>
      <c r="R17" s="15"/>
      <c r="S17" s="15"/>
      <c r="T17" s="15"/>
      <c r="U17" s="15"/>
      <c r="V17" s="15"/>
      <c r="W17" s="15"/>
      <c r="X17" s="15"/>
      <c r="Y17" s="15"/>
      <c r="Z17" s="15"/>
    </row>
    <row r="18" spans="1:26" ht="15.75">
      <c r="A18" s="1793">
        <v>44835</v>
      </c>
      <c r="B18" s="1785" t="s">
        <v>3532</v>
      </c>
      <c r="C18" s="1784"/>
      <c r="D18" s="2712" t="s">
        <v>3533</v>
      </c>
      <c r="E18" s="2618"/>
      <c r="F18" s="2624"/>
      <c r="G18" s="15"/>
      <c r="H18" s="15"/>
      <c r="I18" s="15"/>
      <c r="J18" s="15"/>
      <c r="K18" s="15"/>
      <c r="L18" s="15"/>
      <c r="M18" s="15"/>
      <c r="N18" s="15"/>
      <c r="O18" s="15"/>
      <c r="P18" s="15"/>
      <c r="Q18" s="15"/>
      <c r="R18" s="15"/>
      <c r="S18" s="15"/>
      <c r="T18" s="15"/>
      <c r="U18" s="15"/>
      <c r="V18" s="15"/>
      <c r="W18" s="15"/>
      <c r="X18" s="15"/>
      <c r="Y18" s="15"/>
      <c r="Z18" s="15"/>
    </row>
    <row r="19" spans="1:26" ht="31.5">
      <c r="A19" s="1793">
        <v>44866</v>
      </c>
      <c r="B19" s="1785" t="s">
        <v>3534</v>
      </c>
      <c r="C19" s="1784">
        <f>46*2000+125*1500</f>
        <v>279500</v>
      </c>
      <c r="D19" s="2712" t="s">
        <v>3533</v>
      </c>
      <c r="E19" s="2618"/>
      <c r="F19" s="2624"/>
      <c r="G19" s="15"/>
      <c r="H19" s="15"/>
      <c r="I19" s="15"/>
      <c r="J19" s="15"/>
      <c r="K19" s="15"/>
      <c r="L19" s="15"/>
      <c r="M19" s="15"/>
      <c r="N19" s="15"/>
      <c r="O19" s="15"/>
      <c r="P19" s="15"/>
      <c r="Q19" s="15"/>
      <c r="R19" s="15"/>
      <c r="S19" s="15"/>
      <c r="T19" s="15"/>
      <c r="U19" s="15"/>
      <c r="V19" s="15"/>
      <c r="W19" s="15"/>
      <c r="X19" s="15"/>
      <c r="Y19" s="15"/>
      <c r="Z19" s="15"/>
    </row>
    <row r="20" spans="1:26" ht="47.25">
      <c r="A20" s="1793">
        <v>44896</v>
      </c>
      <c r="B20" s="1785" t="s">
        <v>3535</v>
      </c>
      <c r="C20" s="1784">
        <v>50000</v>
      </c>
      <c r="D20" s="2712" t="s">
        <v>3533</v>
      </c>
      <c r="E20" s="2724" t="s">
        <v>3536</v>
      </c>
      <c r="F20" s="2624"/>
      <c r="G20" s="15"/>
      <c r="H20" s="15"/>
      <c r="I20" s="15"/>
      <c r="J20" s="15"/>
      <c r="K20" s="15"/>
      <c r="L20" s="15"/>
      <c r="M20" s="15"/>
      <c r="N20" s="15"/>
      <c r="O20" s="15"/>
      <c r="P20" s="15"/>
      <c r="Q20" s="15"/>
      <c r="R20" s="15"/>
      <c r="S20" s="15"/>
      <c r="T20" s="15"/>
      <c r="U20" s="15"/>
      <c r="V20" s="15"/>
      <c r="W20" s="15"/>
      <c r="X20" s="15"/>
      <c r="Y20" s="15"/>
      <c r="Z20" s="15"/>
    </row>
    <row r="21" spans="1:26" ht="31.5">
      <c r="A21" s="1782" t="s">
        <v>3537</v>
      </c>
      <c r="B21" s="1785" t="s">
        <v>3538</v>
      </c>
      <c r="C21" s="1784">
        <f>80*200+864*100</f>
        <v>102400</v>
      </c>
      <c r="D21" s="2712" t="s">
        <v>3533</v>
      </c>
      <c r="E21" s="2618" t="s">
        <v>3539</v>
      </c>
      <c r="F21" s="2624"/>
      <c r="G21" s="15"/>
      <c r="H21" s="15"/>
      <c r="I21" s="15"/>
      <c r="J21" s="15"/>
      <c r="K21" s="15"/>
      <c r="L21" s="15"/>
      <c r="M21" s="15"/>
      <c r="N21" s="15"/>
      <c r="O21" s="15"/>
      <c r="P21" s="15"/>
      <c r="Q21" s="15"/>
      <c r="R21" s="15"/>
      <c r="S21" s="15"/>
      <c r="T21" s="15"/>
      <c r="U21" s="15"/>
      <c r="V21" s="15"/>
      <c r="W21" s="15"/>
      <c r="X21" s="15"/>
      <c r="Y21" s="15"/>
      <c r="Z21" s="15"/>
    </row>
    <row r="22" spans="1:26" ht="31.5">
      <c r="A22" s="1782" t="s">
        <v>3540</v>
      </c>
      <c r="B22" s="1785" t="s">
        <v>3541</v>
      </c>
      <c r="C22" s="1784">
        <f>46*2000+127*1500</f>
        <v>282500</v>
      </c>
      <c r="D22" s="2712" t="s">
        <v>3533</v>
      </c>
      <c r="E22" s="2618"/>
      <c r="F22" s="2624"/>
      <c r="G22" s="15"/>
      <c r="H22" s="15"/>
      <c r="I22" s="15"/>
      <c r="J22" s="15"/>
      <c r="K22" s="15"/>
      <c r="L22" s="15"/>
      <c r="M22" s="15"/>
      <c r="N22" s="15"/>
      <c r="O22" s="15"/>
      <c r="P22" s="15"/>
      <c r="Q22" s="15"/>
      <c r="R22" s="15"/>
      <c r="S22" s="15"/>
      <c r="T22" s="15"/>
      <c r="U22" s="15"/>
      <c r="V22" s="15"/>
      <c r="W22" s="15"/>
      <c r="X22" s="15"/>
      <c r="Y22" s="15"/>
      <c r="Z22" s="15"/>
    </row>
    <row r="23" spans="1:26" ht="15.75">
      <c r="A23" s="1782" t="s">
        <v>3542</v>
      </c>
      <c r="B23" s="1792" t="s">
        <v>3543</v>
      </c>
      <c r="C23" s="1784">
        <v>50000</v>
      </c>
      <c r="D23" s="2712"/>
      <c r="E23" s="2724" t="s">
        <v>3544</v>
      </c>
      <c r="F23" s="2624"/>
      <c r="G23" s="15"/>
      <c r="H23" s="15"/>
      <c r="I23" s="15"/>
      <c r="J23" s="15"/>
      <c r="K23" s="15"/>
      <c r="L23" s="15"/>
      <c r="M23" s="15"/>
      <c r="N23" s="15"/>
      <c r="O23" s="15"/>
      <c r="P23" s="15"/>
      <c r="Q23" s="15"/>
      <c r="R23" s="15"/>
      <c r="S23" s="15"/>
      <c r="T23" s="15"/>
      <c r="U23" s="15"/>
      <c r="V23" s="15"/>
      <c r="W23" s="15"/>
      <c r="X23" s="15"/>
      <c r="Y23" s="15"/>
      <c r="Z23" s="15"/>
    </row>
    <row r="24" spans="1:26" ht="47.25">
      <c r="A24" s="1782" t="s">
        <v>3545</v>
      </c>
      <c r="B24" s="1785" t="s">
        <v>3546</v>
      </c>
      <c r="C24" s="1784">
        <f>'Bieu 6 Ke hoach can bo'!C240</f>
        <v>1015000</v>
      </c>
      <c r="D24" s="2712" t="s">
        <v>3547</v>
      </c>
      <c r="E24" s="2618"/>
      <c r="F24" s="2624"/>
      <c r="G24" s="15"/>
      <c r="H24" s="15"/>
      <c r="I24" s="15"/>
      <c r="J24" s="15"/>
      <c r="K24" s="15"/>
      <c r="L24" s="15"/>
      <c r="M24" s="15"/>
      <c r="N24" s="15"/>
      <c r="O24" s="15"/>
      <c r="P24" s="15"/>
      <c r="Q24" s="15"/>
      <c r="R24" s="15"/>
      <c r="S24" s="15"/>
      <c r="T24" s="15"/>
      <c r="U24" s="15"/>
      <c r="V24" s="15"/>
      <c r="W24" s="15"/>
      <c r="X24" s="15"/>
      <c r="Y24" s="15"/>
      <c r="Z24" s="15"/>
    </row>
    <row r="25" spans="1:26" ht="47.25">
      <c r="A25" s="1782" t="s">
        <v>1487</v>
      </c>
      <c r="B25" s="1785" t="s">
        <v>3548</v>
      </c>
      <c r="C25" s="1795"/>
      <c r="D25" s="2709" t="s">
        <v>3549</v>
      </c>
      <c r="E25" s="2618"/>
      <c r="F25" s="2624"/>
      <c r="G25" s="15"/>
      <c r="H25" s="15"/>
      <c r="I25" s="15"/>
      <c r="J25" s="15"/>
      <c r="K25" s="15"/>
      <c r="L25" s="15"/>
      <c r="M25" s="15"/>
      <c r="N25" s="15"/>
      <c r="O25" s="15"/>
      <c r="P25" s="15"/>
      <c r="Q25" s="15"/>
      <c r="R25" s="15"/>
      <c r="S25" s="15"/>
      <c r="T25" s="15"/>
      <c r="U25" s="15"/>
      <c r="V25" s="15"/>
      <c r="W25" s="15"/>
      <c r="X25" s="15"/>
      <c r="Y25" s="15"/>
      <c r="Z25" s="15"/>
    </row>
    <row r="26" spans="1:26" ht="15.75">
      <c r="A26" s="1796">
        <v>2</v>
      </c>
      <c r="B26" s="1797" t="s">
        <v>3550</v>
      </c>
      <c r="C26" s="1798">
        <f>SUM(C27:C45)</f>
        <v>15862420.999999998</v>
      </c>
      <c r="D26" s="2713"/>
      <c r="E26" s="2618"/>
      <c r="F26" s="2624"/>
      <c r="G26" s="15"/>
      <c r="H26" s="15"/>
      <c r="I26" s="15"/>
      <c r="J26" s="15"/>
      <c r="K26" s="15"/>
      <c r="L26" s="15"/>
      <c r="M26" s="15"/>
      <c r="N26" s="15"/>
      <c r="O26" s="15"/>
      <c r="P26" s="15"/>
      <c r="Q26" s="15"/>
      <c r="R26" s="15"/>
      <c r="S26" s="15"/>
      <c r="T26" s="15"/>
      <c r="U26" s="15"/>
      <c r="V26" s="15"/>
      <c r="W26" s="15"/>
      <c r="X26" s="15"/>
      <c r="Y26" s="15"/>
      <c r="Z26" s="15"/>
    </row>
    <row r="27" spans="1:26" ht="15.75">
      <c r="A27" s="1799" t="s">
        <v>726</v>
      </c>
      <c r="B27" s="1785" t="s">
        <v>3551</v>
      </c>
      <c r="C27" s="1784">
        <f>'Bieu 4a-KP thuc hanh thi nghiem'!I8</f>
        <v>2488007</v>
      </c>
      <c r="D27" s="2712" t="s">
        <v>3552</v>
      </c>
      <c r="E27" s="2618"/>
      <c r="F27" s="2624"/>
      <c r="G27" s="15"/>
      <c r="H27" s="15"/>
      <c r="I27" s="15"/>
      <c r="J27" s="15"/>
      <c r="K27" s="15"/>
      <c r="L27" s="15"/>
      <c r="M27" s="15"/>
      <c r="N27" s="15"/>
      <c r="O27" s="15"/>
      <c r="P27" s="15"/>
      <c r="Q27" s="15"/>
      <c r="R27" s="15"/>
      <c r="S27" s="15"/>
      <c r="T27" s="15"/>
      <c r="U27" s="15"/>
      <c r="V27" s="15"/>
      <c r="W27" s="15"/>
      <c r="X27" s="15"/>
      <c r="Y27" s="15"/>
      <c r="Z27" s="15"/>
    </row>
    <row r="28" spans="1:26" ht="21.75" customHeight="1">
      <c r="A28" s="1799" t="s">
        <v>738</v>
      </c>
      <c r="B28" s="1785" t="s">
        <v>1768</v>
      </c>
      <c r="C28" s="1784">
        <f>'Bieu 4a-KP thuc hanh thi nghiem'!I82+'Bieu 4a-KP thuc hanh thi nghiem'!I96</f>
        <v>2907182</v>
      </c>
      <c r="D28" s="2712" t="s">
        <v>3552</v>
      </c>
      <c r="E28" s="2618"/>
      <c r="F28" s="2624"/>
      <c r="G28" s="15"/>
      <c r="H28" s="15"/>
      <c r="I28" s="15"/>
      <c r="J28" s="15"/>
      <c r="K28" s="15"/>
      <c r="L28" s="15"/>
      <c r="M28" s="15"/>
      <c r="N28" s="15"/>
      <c r="O28" s="15"/>
      <c r="P28" s="15"/>
      <c r="Q28" s="15"/>
      <c r="R28" s="15"/>
      <c r="S28" s="15"/>
      <c r="T28" s="15"/>
      <c r="U28" s="15"/>
      <c r="V28" s="15"/>
      <c r="W28" s="15"/>
      <c r="X28" s="15"/>
      <c r="Y28" s="15"/>
      <c r="Z28" s="15"/>
    </row>
    <row r="29" spans="1:26" ht="15.75">
      <c r="A29" s="1799" t="s">
        <v>2177</v>
      </c>
      <c r="B29" s="1785" t="s">
        <v>3553</v>
      </c>
      <c r="C29" s="1784">
        <f>'Bieu5-Nhu cau mua sam sua chua'!H15</f>
        <v>81890</v>
      </c>
      <c r="D29" s="2712" t="s">
        <v>3554</v>
      </c>
      <c r="E29" s="2618"/>
      <c r="F29" s="2624"/>
      <c r="G29" s="15"/>
      <c r="H29" s="15"/>
      <c r="I29" s="15"/>
      <c r="J29" s="15"/>
      <c r="K29" s="15"/>
      <c r="L29" s="15"/>
      <c r="M29" s="15"/>
      <c r="N29" s="15"/>
      <c r="O29" s="15"/>
      <c r="P29" s="15"/>
      <c r="Q29" s="15"/>
      <c r="R29" s="15"/>
      <c r="S29" s="15"/>
      <c r="T29" s="15"/>
      <c r="U29" s="15"/>
      <c r="V29" s="15"/>
      <c r="W29" s="15"/>
      <c r="X29" s="15"/>
      <c r="Y29" s="15"/>
      <c r="Z29" s="15"/>
    </row>
    <row r="30" spans="1:26" ht="15.75">
      <c r="A30" s="1799" t="s">
        <v>3150</v>
      </c>
      <c r="B30" s="1785" t="s">
        <v>3555</v>
      </c>
      <c r="C30" s="1784">
        <f>'Bieu5-Nhu cau mua sam sua chua'!H36</f>
        <v>111276</v>
      </c>
      <c r="D30" s="2712" t="s">
        <v>3554</v>
      </c>
      <c r="E30" s="2618"/>
      <c r="F30" s="2624"/>
      <c r="G30" s="15"/>
      <c r="H30" s="15"/>
      <c r="I30" s="15"/>
      <c r="J30" s="15"/>
      <c r="K30" s="15"/>
      <c r="L30" s="15"/>
      <c r="M30" s="15"/>
      <c r="N30" s="15"/>
      <c r="O30" s="15"/>
      <c r="P30" s="15"/>
      <c r="Q30" s="15"/>
      <c r="R30" s="15"/>
      <c r="S30" s="15"/>
      <c r="T30" s="15"/>
      <c r="U30" s="15"/>
      <c r="V30" s="15"/>
      <c r="W30" s="15"/>
      <c r="X30" s="15"/>
      <c r="Y30" s="15"/>
      <c r="Z30" s="15"/>
    </row>
    <row r="31" spans="1:26" ht="15.75">
      <c r="A31" s="1799" t="s">
        <v>3186</v>
      </c>
      <c r="B31" s="1785" t="s">
        <v>3556</v>
      </c>
      <c r="C31" s="1784">
        <f>'Bieu5-Nhu cau mua sam sua chua'!H46</f>
        <v>34000</v>
      </c>
      <c r="D31" s="2712" t="s">
        <v>3554</v>
      </c>
      <c r="E31" s="2618"/>
      <c r="F31" s="2624"/>
      <c r="G31" s="15"/>
      <c r="H31" s="15"/>
      <c r="I31" s="15"/>
      <c r="J31" s="15"/>
      <c r="K31" s="15"/>
      <c r="L31" s="15"/>
      <c r="M31" s="15"/>
      <c r="N31" s="15"/>
      <c r="O31" s="15"/>
      <c r="P31" s="15"/>
      <c r="Q31" s="15"/>
      <c r="R31" s="15"/>
      <c r="S31" s="15"/>
      <c r="T31" s="15"/>
      <c r="U31" s="15"/>
      <c r="V31" s="15"/>
      <c r="W31" s="15"/>
      <c r="X31" s="15"/>
      <c r="Y31" s="15"/>
      <c r="Z31" s="15"/>
    </row>
    <row r="32" spans="1:26" ht="28.5" customHeight="1">
      <c r="A32" s="1799" t="s">
        <v>3203</v>
      </c>
      <c r="B32" s="1785" t="s">
        <v>3557</v>
      </c>
      <c r="C32" s="1784">
        <f>'Bieu 4a-KP thuc hanh thi nghiem'!I104</f>
        <v>287248</v>
      </c>
      <c r="D32" s="2712" t="s">
        <v>3552</v>
      </c>
      <c r="E32" s="2618"/>
      <c r="F32" s="2624"/>
      <c r="G32" s="15"/>
      <c r="H32" s="15"/>
      <c r="I32" s="15"/>
      <c r="J32" s="15"/>
      <c r="K32" s="15"/>
      <c r="L32" s="15"/>
      <c r="M32" s="15"/>
      <c r="N32" s="15"/>
      <c r="O32" s="15"/>
      <c r="P32" s="15"/>
      <c r="Q32" s="15"/>
      <c r="R32" s="15"/>
      <c r="S32" s="15"/>
      <c r="T32" s="15"/>
      <c r="U32" s="15"/>
      <c r="V32" s="15"/>
      <c r="W32" s="15"/>
      <c r="X32" s="15"/>
      <c r="Y32" s="15"/>
      <c r="Z32" s="15"/>
    </row>
    <row r="33" spans="1:26" ht="15.75">
      <c r="A33" s="1782"/>
      <c r="B33" s="1250" t="s">
        <v>1846</v>
      </c>
      <c r="C33" s="1800">
        <v>40000</v>
      </c>
      <c r="D33" s="2712" t="s">
        <v>3552</v>
      </c>
      <c r="E33" s="2725"/>
      <c r="F33" s="2624"/>
      <c r="G33" s="15"/>
      <c r="H33" s="15"/>
      <c r="I33" s="15"/>
      <c r="J33" s="15"/>
      <c r="K33" s="15"/>
      <c r="L33" s="15"/>
      <c r="M33" s="15"/>
      <c r="N33" s="15"/>
      <c r="O33" s="15"/>
      <c r="P33" s="15"/>
      <c r="Q33" s="15"/>
      <c r="R33" s="15"/>
      <c r="S33" s="15"/>
      <c r="T33" s="15"/>
      <c r="U33" s="15"/>
      <c r="V33" s="15"/>
      <c r="W33" s="15"/>
      <c r="X33" s="15"/>
      <c r="Y33" s="15"/>
      <c r="Z33" s="15"/>
    </row>
    <row r="34" spans="1:26" ht="31.5">
      <c r="A34" s="1799" t="s">
        <v>3205</v>
      </c>
      <c r="B34" s="1785" t="s">
        <v>3558</v>
      </c>
      <c r="C34" s="1800">
        <v>250000</v>
      </c>
      <c r="D34" s="2712"/>
      <c r="E34" s="2725" t="s">
        <v>3559</v>
      </c>
      <c r="F34" s="2624"/>
      <c r="G34" s="15"/>
      <c r="H34" s="15"/>
      <c r="I34" s="15"/>
      <c r="J34" s="15"/>
      <c r="K34" s="15"/>
      <c r="L34" s="15"/>
      <c r="M34" s="15"/>
      <c r="N34" s="15"/>
      <c r="O34" s="15"/>
      <c r="P34" s="15"/>
      <c r="Q34" s="15"/>
      <c r="R34" s="15"/>
      <c r="S34" s="15"/>
      <c r="T34" s="15"/>
      <c r="U34" s="15"/>
      <c r="V34" s="15"/>
      <c r="W34" s="15"/>
      <c r="X34" s="15"/>
      <c r="Y34" s="15"/>
      <c r="Z34" s="15"/>
    </row>
    <row r="35" spans="1:26" ht="31.5">
      <c r="A35" s="1799" t="s">
        <v>3290</v>
      </c>
      <c r="B35" s="1785" t="s">
        <v>3560</v>
      </c>
      <c r="C35" s="1784">
        <f>'Bieu 6 Ke hoach can bo'!C42*1000</f>
        <v>173000</v>
      </c>
      <c r="D35" s="2712" t="s">
        <v>3561</v>
      </c>
      <c r="E35" s="2618"/>
      <c r="F35" s="2624"/>
      <c r="G35" s="15"/>
      <c r="H35" s="15"/>
      <c r="I35" s="15"/>
      <c r="J35" s="15"/>
      <c r="K35" s="15"/>
      <c r="L35" s="15"/>
      <c r="M35" s="15"/>
      <c r="N35" s="15"/>
      <c r="O35" s="15"/>
      <c r="P35" s="15"/>
      <c r="Q35" s="15"/>
      <c r="R35" s="15"/>
      <c r="S35" s="15"/>
      <c r="T35" s="15"/>
      <c r="U35" s="15"/>
      <c r="V35" s="15"/>
      <c r="W35" s="15"/>
      <c r="X35" s="15"/>
      <c r="Y35" s="15"/>
      <c r="Z35" s="15"/>
    </row>
    <row r="36" spans="1:26" ht="15.75">
      <c r="A36" s="1799" t="s">
        <v>3291</v>
      </c>
      <c r="B36" s="1785" t="s">
        <v>3562</v>
      </c>
      <c r="C36" s="1784">
        <f>(400*1)+(350*2)+(300*13)+(200*25)*12</f>
        <v>65000</v>
      </c>
      <c r="D36" s="2709" t="s">
        <v>3563</v>
      </c>
      <c r="E36" s="2618"/>
      <c r="F36" s="2624"/>
      <c r="G36" s="15"/>
      <c r="H36" s="15"/>
      <c r="I36" s="15"/>
      <c r="J36" s="15"/>
      <c r="K36" s="15"/>
      <c r="L36" s="15"/>
      <c r="M36" s="15"/>
      <c r="N36" s="15"/>
      <c r="O36" s="15"/>
      <c r="P36" s="15"/>
      <c r="Q36" s="15"/>
      <c r="R36" s="15"/>
      <c r="S36" s="15"/>
      <c r="T36" s="15"/>
      <c r="U36" s="15"/>
      <c r="V36" s="15"/>
      <c r="W36" s="15"/>
      <c r="X36" s="15"/>
      <c r="Y36" s="15"/>
      <c r="Z36" s="15"/>
    </row>
    <row r="37" spans="1:26" ht="24.75" customHeight="1">
      <c r="A37" s="1799" t="s">
        <v>3292</v>
      </c>
      <c r="B37" s="1785" t="s">
        <v>3564</v>
      </c>
      <c r="C37" s="1784"/>
      <c r="D37" s="2709" t="s">
        <v>3565</v>
      </c>
      <c r="E37" s="2618"/>
      <c r="F37" s="2624"/>
      <c r="G37" s="15"/>
      <c r="H37" s="15"/>
      <c r="I37" s="15"/>
      <c r="J37" s="15"/>
      <c r="K37" s="15"/>
      <c r="L37" s="15"/>
      <c r="M37" s="15"/>
      <c r="N37" s="15"/>
      <c r="O37" s="15"/>
      <c r="P37" s="15"/>
      <c r="Q37" s="15"/>
      <c r="R37" s="15"/>
      <c r="S37" s="15"/>
      <c r="T37" s="15"/>
      <c r="U37" s="15"/>
      <c r="V37" s="15"/>
      <c r="W37" s="15"/>
      <c r="X37" s="15"/>
      <c r="Y37" s="15"/>
      <c r="Z37" s="15"/>
    </row>
    <row r="38" spans="1:26" ht="78.75">
      <c r="A38" s="1799" t="s">
        <v>3293</v>
      </c>
      <c r="B38" s="1785" t="s">
        <v>3566</v>
      </c>
      <c r="C38" s="1801">
        <f>1600*'Bieu 6 Ke hoach can bo'!D42+1200*'Bieu 6 Ke hoach can bo'!E42+800*'Bieu 6 Ke hoach can bo'!F42</f>
        <v>197200</v>
      </c>
      <c r="D38" s="2709" t="s">
        <v>3565</v>
      </c>
      <c r="E38" s="2618"/>
      <c r="F38" s="2624"/>
      <c r="G38" s="15"/>
      <c r="H38" s="15"/>
      <c r="I38" s="15"/>
      <c r="J38" s="15"/>
      <c r="K38" s="15"/>
      <c r="L38" s="15"/>
      <c r="M38" s="15"/>
      <c r="N38" s="15"/>
      <c r="O38" s="15"/>
      <c r="P38" s="15"/>
      <c r="Q38" s="15"/>
      <c r="R38" s="15"/>
      <c r="S38" s="15"/>
      <c r="T38" s="15"/>
      <c r="U38" s="15"/>
      <c r="V38" s="15"/>
      <c r="W38" s="15"/>
      <c r="X38" s="15"/>
      <c r="Y38" s="15"/>
      <c r="Z38" s="15"/>
    </row>
    <row r="39" spans="1:26" ht="94.5">
      <c r="A39" s="1799" t="s">
        <v>3294</v>
      </c>
      <c r="B39" s="1785" t="s">
        <v>3567</v>
      </c>
      <c r="C39" s="1801">
        <f>9*10000+30000+16920+13840</f>
        <v>150760</v>
      </c>
      <c r="D39" s="2709" t="s">
        <v>3568</v>
      </c>
      <c r="E39" s="2618"/>
      <c r="F39" s="2624"/>
      <c r="G39" s="15"/>
      <c r="H39" s="15"/>
      <c r="I39" s="15"/>
      <c r="J39" s="15"/>
      <c r="K39" s="15"/>
      <c r="L39" s="15"/>
      <c r="M39" s="15"/>
      <c r="N39" s="15"/>
      <c r="O39" s="15"/>
      <c r="P39" s="15"/>
      <c r="Q39" s="15"/>
      <c r="R39" s="15"/>
      <c r="S39" s="15"/>
      <c r="T39" s="15"/>
      <c r="U39" s="15"/>
      <c r="V39" s="15"/>
      <c r="W39" s="15"/>
      <c r="X39" s="15"/>
      <c r="Y39" s="15"/>
      <c r="Z39" s="15"/>
    </row>
    <row r="40" spans="1:26" ht="15.75">
      <c r="A40" s="1799" t="s">
        <v>3569</v>
      </c>
      <c r="B40" s="1785" t="s">
        <v>3570</v>
      </c>
      <c r="C40" s="1801">
        <f>80*'B2 SP'!L255</f>
        <v>671257.99999999814</v>
      </c>
      <c r="D40" s="2709" t="s">
        <v>3571</v>
      </c>
      <c r="E40" s="2618"/>
      <c r="F40" s="2624"/>
      <c r="G40" s="15"/>
      <c r="H40" s="15"/>
      <c r="I40" s="15"/>
      <c r="J40" s="15"/>
      <c r="K40" s="15"/>
      <c r="L40" s="15"/>
      <c r="M40" s="15"/>
      <c r="N40" s="15"/>
      <c r="O40" s="15"/>
      <c r="P40" s="15"/>
      <c r="Q40" s="15"/>
      <c r="R40" s="15"/>
      <c r="S40" s="15"/>
      <c r="T40" s="15"/>
      <c r="U40" s="15"/>
      <c r="V40" s="15"/>
      <c r="W40" s="15"/>
      <c r="X40" s="15"/>
      <c r="Y40" s="15"/>
      <c r="Z40" s="15"/>
    </row>
    <row r="41" spans="1:26" ht="31.5">
      <c r="A41" s="1799" t="s">
        <v>3572</v>
      </c>
      <c r="B41" s="1785" t="s">
        <v>3573</v>
      </c>
      <c r="C41" s="1801">
        <f>1300*'Bieu 1-Tong hop quy mo (SP)'!I12</f>
        <v>523900</v>
      </c>
      <c r="D41" s="2712"/>
      <c r="E41" s="2618"/>
      <c r="F41" s="2624"/>
      <c r="G41" s="15"/>
      <c r="H41" s="15"/>
      <c r="I41" s="15"/>
      <c r="J41" s="15"/>
      <c r="K41" s="15"/>
      <c r="L41" s="15"/>
      <c r="M41" s="15"/>
      <c r="N41" s="15"/>
      <c r="O41" s="15"/>
      <c r="P41" s="15"/>
      <c r="Q41" s="15"/>
      <c r="R41" s="15"/>
      <c r="S41" s="15"/>
      <c r="T41" s="15"/>
      <c r="U41" s="15"/>
      <c r="V41" s="15"/>
      <c r="W41" s="15"/>
      <c r="X41" s="15"/>
      <c r="Y41" s="15"/>
      <c r="Z41" s="15"/>
    </row>
    <row r="42" spans="1:26" ht="31.5">
      <c r="A42" s="1799" t="s">
        <v>3574</v>
      </c>
      <c r="B42" s="1785" t="s">
        <v>3575</v>
      </c>
      <c r="C42" s="1802">
        <f>'Bieu 1a - Quy mo Chinh quy (SP)'!D35*10*1250*3%+0.05*'Bieu 9 Ke hoach boi duong'!F9</f>
        <v>2022500</v>
      </c>
      <c r="D42" s="2709" t="s">
        <v>3576</v>
      </c>
      <c r="E42" s="2618"/>
      <c r="F42" s="2624"/>
      <c r="G42" s="15"/>
      <c r="H42" s="15"/>
      <c r="I42" s="15"/>
      <c r="J42" s="15"/>
      <c r="K42" s="15"/>
      <c r="L42" s="15"/>
      <c r="M42" s="15"/>
      <c r="N42" s="15"/>
      <c r="O42" s="15"/>
      <c r="P42" s="15"/>
      <c r="Q42" s="15"/>
      <c r="R42" s="15"/>
      <c r="S42" s="15"/>
      <c r="T42" s="15"/>
      <c r="U42" s="15"/>
      <c r="V42" s="15"/>
      <c r="W42" s="15"/>
      <c r="X42" s="15"/>
      <c r="Y42" s="15"/>
      <c r="Z42" s="15"/>
    </row>
    <row r="43" spans="1:26" ht="24" customHeight="1">
      <c r="A43" s="1799" t="s">
        <v>3577</v>
      </c>
      <c r="B43" s="1785" t="s">
        <v>3578</v>
      </c>
      <c r="C43" s="1801">
        <f>'Bieu 8a Bien soan GT'!K31</f>
        <v>687000</v>
      </c>
      <c r="D43" s="2709" t="s">
        <v>3579</v>
      </c>
      <c r="E43" s="2724"/>
      <c r="F43" s="2624"/>
      <c r="G43" s="15"/>
      <c r="H43" s="15"/>
      <c r="I43" s="15"/>
      <c r="J43" s="15"/>
      <c r="K43" s="15"/>
      <c r="L43" s="15"/>
      <c r="M43" s="15"/>
      <c r="N43" s="15"/>
      <c r="O43" s="15"/>
      <c r="P43" s="15"/>
      <c r="Q43" s="15"/>
      <c r="R43" s="15"/>
      <c r="S43" s="15"/>
      <c r="T43" s="15"/>
      <c r="U43" s="15"/>
      <c r="V43" s="15"/>
      <c r="W43" s="15"/>
      <c r="X43" s="15"/>
      <c r="Y43" s="15"/>
      <c r="Z43" s="15"/>
    </row>
    <row r="44" spans="1:26" ht="78.75">
      <c r="A44" s="1799" t="s">
        <v>3580</v>
      </c>
      <c r="B44" s="1785" t="s">
        <v>3581</v>
      </c>
      <c r="C44" s="1801">
        <f>79*18000</f>
        <v>1422000</v>
      </c>
      <c r="D44" s="2709" t="s">
        <v>3582</v>
      </c>
      <c r="E44" s="2724"/>
      <c r="F44" s="2624"/>
      <c r="G44" s="15"/>
      <c r="H44" s="15"/>
      <c r="I44" s="15"/>
      <c r="J44" s="15"/>
      <c r="K44" s="15"/>
      <c r="L44" s="15"/>
      <c r="M44" s="15"/>
      <c r="N44" s="15"/>
      <c r="O44" s="15"/>
      <c r="P44" s="15"/>
      <c r="Q44" s="15"/>
      <c r="R44" s="15"/>
      <c r="S44" s="15"/>
      <c r="T44" s="15"/>
      <c r="U44" s="15"/>
      <c r="V44" s="15"/>
      <c r="W44" s="15"/>
      <c r="X44" s="15"/>
      <c r="Y44" s="15"/>
      <c r="Z44" s="15"/>
    </row>
    <row r="45" spans="1:26" ht="31.5">
      <c r="A45" s="1799" t="s">
        <v>3583</v>
      </c>
      <c r="B45" s="1785" t="s">
        <v>3584</v>
      </c>
      <c r="C45" s="1801">
        <f>'Bieu 8b ĐBCL'!E26</f>
        <v>3750200</v>
      </c>
      <c r="D45" s="2709" t="s">
        <v>3468</v>
      </c>
      <c r="E45" s="2724"/>
      <c r="F45" s="2624"/>
      <c r="G45" s="15"/>
      <c r="H45" s="15"/>
      <c r="I45" s="15"/>
      <c r="J45" s="15"/>
      <c r="K45" s="15"/>
      <c r="L45" s="15"/>
      <c r="M45" s="15"/>
      <c r="N45" s="15"/>
      <c r="O45" s="15"/>
      <c r="P45" s="15"/>
      <c r="Q45" s="15"/>
      <c r="R45" s="15"/>
      <c r="S45" s="15"/>
      <c r="T45" s="15"/>
      <c r="U45" s="15"/>
      <c r="V45" s="15"/>
      <c r="W45" s="15"/>
      <c r="X45" s="15"/>
      <c r="Y45" s="15"/>
      <c r="Z45" s="15"/>
    </row>
    <row r="46" spans="1:26" ht="31.5">
      <c r="A46" s="1796">
        <v>3</v>
      </c>
      <c r="B46" s="1803" t="s">
        <v>3585</v>
      </c>
      <c r="C46" s="1804">
        <f>SUM(C47:C48)</f>
        <v>6625500</v>
      </c>
      <c r="D46" s="2713"/>
      <c r="E46" s="2618"/>
      <c r="F46" s="2624"/>
      <c r="G46" s="15"/>
      <c r="H46" s="15"/>
      <c r="I46" s="15"/>
      <c r="J46" s="15"/>
      <c r="K46" s="15"/>
      <c r="L46" s="15"/>
      <c r="M46" s="15"/>
      <c r="N46" s="15"/>
      <c r="O46" s="15"/>
      <c r="P46" s="15"/>
      <c r="Q46" s="15"/>
      <c r="R46" s="15"/>
      <c r="S46" s="15"/>
      <c r="T46" s="15"/>
      <c r="U46" s="15"/>
      <c r="V46" s="15"/>
      <c r="W46" s="15"/>
      <c r="X46" s="15"/>
      <c r="Y46" s="15"/>
      <c r="Z46" s="15"/>
    </row>
    <row r="47" spans="1:26" ht="15.75">
      <c r="A47" s="1782"/>
      <c r="B47" s="1785" t="s">
        <v>3586</v>
      </c>
      <c r="C47" s="1801">
        <f>'Bieu5-Nhu cau mua sam sua chua'!H8</f>
        <v>203000</v>
      </c>
      <c r="D47" s="2712" t="s">
        <v>3554</v>
      </c>
      <c r="E47" s="2618"/>
      <c r="F47" s="2624"/>
      <c r="G47" s="15"/>
      <c r="H47" s="15"/>
      <c r="I47" s="15"/>
      <c r="J47" s="15"/>
      <c r="K47" s="15"/>
      <c r="L47" s="15"/>
      <c r="M47" s="15"/>
      <c r="N47" s="15"/>
      <c r="O47" s="15"/>
      <c r="P47" s="15"/>
      <c r="Q47" s="15"/>
      <c r="R47" s="15"/>
      <c r="S47" s="15"/>
      <c r="T47" s="15"/>
      <c r="U47" s="15"/>
      <c r="V47" s="15"/>
      <c r="W47" s="15"/>
      <c r="X47" s="15"/>
      <c r="Y47" s="15"/>
      <c r="Z47" s="15"/>
    </row>
    <row r="48" spans="1:26" ht="15.75">
      <c r="A48" s="1805" t="s">
        <v>2181</v>
      </c>
      <c r="B48" s="1806" t="s">
        <v>3587</v>
      </c>
      <c r="C48" s="1801">
        <f>'Bieu 1a - Quy mo Chinh quy (SP)'!D35*10*1250*10%</f>
        <v>6422500</v>
      </c>
      <c r="D48" s="2712" t="s">
        <v>3588</v>
      </c>
      <c r="E48" s="2618"/>
      <c r="F48" s="2624"/>
      <c r="G48" s="15"/>
      <c r="H48" s="15"/>
      <c r="I48" s="15"/>
      <c r="J48" s="15"/>
      <c r="K48" s="15"/>
      <c r="L48" s="15"/>
      <c r="M48" s="15"/>
      <c r="N48" s="15"/>
      <c r="O48" s="15"/>
      <c r="P48" s="15"/>
      <c r="Q48" s="15"/>
      <c r="R48" s="15"/>
      <c r="S48" s="15"/>
      <c r="T48" s="15"/>
      <c r="U48" s="15"/>
      <c r="V48" s="15"/>
      <c r="W48" s="15"/>
      <c r="X48" s="15"/>
      <c r="Y48" s="15"/>
      <c r="Z48" s="15"/>
    </row>
    <row r="49" spans="1:26" ht="15.75">
      <c r="A49" s="1796">
        <v>4</v>
      </c>
      <c r="B49" s="1803" t="s">
        <v>2154</v>
      </c>
      <c r="C49" s="1804">
        <f>SUM(C50:C51)</f>
        <v>1640500</v>
      </c>
      <c r="D49" s="2713"/>
      <c r="E49" s="2618"/>
      <c r="F49" s="2624"/>
      <c r="G49" s="15"/>
      <c r="H49" s="15"/>
      <c r="I49" s="15"/>
      <c r="J49" s="15"/>
      <c r="K49" s="15"/>
      <c r="L49" s="15"/>
      <c r="M49" s="15"/>
      <c r="N49" s="15"/>
      <c r="O49" s="15"/>
      <c r="P49" s="15"/>
      <c r="Q49" s="15"/>
      <c r="R49" s="15"/>
      <c r="S49" s="15"/>
      <c r="T49" s="15"/>
      <c r="U49" s="15"/>
      <c r="V49" s="15"/>
      <c r="W49" s="15"/>
      <c r="X49" s="15"/>
      <c r="Y49" s="15"/>
      <c r="Z49" s="15"/>
    </row>
    <row r="50" spans="1:26" ht="15.75">
      <c r="A50" s="1782"/>
      <c r="B50" s="1792" t="s">
        <v>3589</v>
      </c>
      <c r="C50" s="1784">
        <f>'Bieu 9 Ke hoach boi duong'!F9*70%</f>
        <v>1340500</v>
      </c>
      <c r="D50" s="2712" t="s">
        <v>3590</v>
      </c>
      <c r="E50" s="2618"/>
      <c r="F50" s="2624"/>
      <c r="G50" s="15"/>
      <c r="H50" s="15"/>
      <c r="I50" s="15"/>
      <c r="J50" s="15"/>
      <c r="K50" s="15"/>
      <c r="L50" s="15"/>
      <c r="M50" s="15"/>
      <c r="N50" s="15"/>
      <c r="O50" s="15"/>
      <c r="P50" s="15"/>
      <c r="Q50" s="15"/>
      <c r="R50" s="15"/>
      <c r="S50" s="15"/>
      <c r="T50" s="15"/>
      <c r="U50" s="15"/>
      <c r="V50" s="15"/>
      <c r="W50" s="15"/>
      <c r="X50" s="15"/>
      <c r="Y50" s="15"/>
      <c r="Z50" s="15"/>
    </row>
    <row r="51" spans="1:26" ht="86.25">
      <c r="A51" s="2515"/>
      <c r="B51" s="1807" t="s">
        <v>3591</v>
      </c>
      <c r="C51" s="2516">
        <v>300000</v>
      </c>
      <c r="D51" s="2714" t="s">
        <v>3592</v>
      </c>
      <c r="E51" s="2618"/>
      <c r="F51" s="2624"/>
      <c r="G51" s="15"/>
      <c r="H51" s="15"/>
      <c r="I51" s="15"/>
      <c r="J51" s="15"/>
      <c r="K51" s="15"/>
      <c r="L51" s="15"/>
      <c r="M51" s="15"/>
      <c r="N51" s="15"/>
      <c r="O51" s="15"/>
      <c r="P51" s="15"/>
      <c r="Q51" s="15"/>
      <c r="R51" s="15"/>
      <c r="S51" s="15"/>
      <c r="T51" s="15"/>
      <c r="U51" s="15"/>
      <c r="V51" s="15"/>
      <c r="W51" s="15"/>
      <c r="X51" s="15"/>
      <c r="Y51" s="15"/>
      <c r="Z51" s="15"/>
    </row>
    <row r="52" spans="1:26" ht="15.75">
      <c r="A52" s="1808">
        <v>5</v>
      </c>
      <c r="B52" s="1809" t="s">
        <v>3593</v>
      </c>
      <c r="C52" s="1810"/>
      <c r="D52" s="2715"/>
      <c r="E52" s="2618"/>
      <c r="F52" s="2624"/>
      <c r="G52" s="15"/>
      <c r="H52" s="15"/>
      <c r="I52" s="15"/>
      <c r="J52" s="15"/>
      <c r="K52" s="15"/>
      <c r="L52" s="15"/>
      <c r="M52" s="15"/>
      <c r="N52" s="15"/>
      <c r="O52" s="15"/>
      <c r="P52" s="15"/>
      <c r="Q52" s="15"/>
      <c r="R52" s="15"/>
      <c r="S52" s="15"/>
      <c r="T52" s="15"/>
      <c r="U52" s="15"/>
      <c r="V52" s="15"/>
      <c r="W52" s="15"/>
      <c r="X52" s="15"/>
      <c r="Y52" s="15"/>
      <c r="Z52" s="15"/>
    </row>
    <row r="53" spans="1:26" ht="31.5">
      <c r="A53" s="1811"/>
      <c r="B53" s="1792" t="s">
        <v>3594</v>
      </c>
      <c r="C53" s="1784">
        <f>('Bieu 1a - Quy mo Chinh quy (SP)'!D35)*10*1250*8%</f>
        <v>5138000</v>
      </c>
      <c r="D53" s="2709" t="s">
        <v>3595</v>
      </c>
      <c r="E53" s="2685"/>
      <c r="F53" s="2720"/>
      <c r="G53" s="1732"/>
      <c r="H53" s="1732"/>
      <c r="I53" s="1732"/>
      <c r="J53" s="1732"/>
      <c r="K53" s="1732"/>
      <c r="L53" s="1732"/>
      <c r="M53" s="1732"/>
      <c r="N53" s="1732"/>
      <c r="O53" s="1732"/>
      <c r="P53" s="1732"/>
      <c r="Q53" s="1732"/>
      <c r="R53" s="1732"/>
      <c r="S53" s="1732"/>
      <c r="T53" s="1732"/>
      <c r="U53" s="1732"/>
      <c r="V53" s="1732"/>
      <c r="W53" s="1732"/>
      <c r="X53" s="1732"/>
      <c r="Y53" s="1732"/>
      <c r="Z53" s="1732"/>
    </row>
    <row r="54" spans="1:26" ht="18.75">
      <c r="A54" s="1811" t="s">
        <v>211</v>
      </c>
      <c r="B54" s="2517" t="s">
        <v>3596</v>
      </c>
      <c r="C54" s="2518"/>
      <c r="D54" s="2716"/>
      <c r="E54" s="2685"/>
      <c r="F54" s="2720"/>
      <c r="G54" s="1732"/>
      <c r="H54" s="1732"/>
      <c r="I54" s="1732"/>
      <c r="J54" s="1732"/>
      <c r="K54" s="1732"/>
      <c r="L54" s="1732"/>
      <c r="M54" s="1732"/>
      <c r="N54" s="1732"/>
      <c r="O54" s="1732"/>
      <c r="P54" s="1732"/>
      <c r="Q54" s="1732"/>
      <c r="R54" s="1732"/>
      <c r="S54" s="1732"/>
      <c r="T54" s="1732"/>
      <c r="U54" s="1732"/>
      <c r="V54" s="1732"/>
      <c r="W54" s="1732"/>
      <c r="X54" s="1732"/>
      <c r="Y54" s="1732"/>
      <c r="Z54" s="1732"/>
    </row>
    <row r="55" spans="1:26" ht="18.75">
      <c r="A55" s="1811"/>
      <c r="B55" s="1792" t="s">
        <v>3597</v>
      </c>
      <c r="C55" s="1784">
        <f>518520+643680</f>
        <v>1162200</v>
      </c>
      <c r="D55" s="3022" t="s">
        <v>3528</v>
      </c>
      <c r="E55" s="2685"/>
      <c r="F55" s="2720"/>
      <c r="G55" s="1732"/>
      <c r="H55" s="1732"/>
      <c r="I55" s="1732"/>
      <c r="J55" s="1732"/>
      <c r="K55" s="1732"/>
      <c r="L55" s="1732"/>
      <c r="M55" s="1732"/>
      <c r="N55" s="1732"/>
      <c r="O55" s="1732"/>
      <c r="P55" s="1732"/>
      <c r="Q55" s="1732"/>
      <c r="R55" s="1732"/>
      <c r="S55" s="1732"/>
      <c r="T55" s="1732"/>
      <c r="U55" s="1732"/>
      <c r="V55" s="1732"/>
      <c r="W55" s="1732"/>
      <c r="X55" s="1732"/>
      <c r="Y55" s="1732"/>
      <c r="Z55" s="1732"/>
    </row>
    <row r="56" spans="1:26" ht="18.75">
      <c r="A56" s="1811"/>
      <c r="B56" s="1792" t="s">
        <v>3598</v>
      </c>
      <c r="C56" s="1784">
        <f>58310+77910</f>
        <v>136220</v>
      </c>
      <c r="D56" s="3023"/>
      <c r="E56" s="2685"/>
      <c r="F56" s="2720"/>
      <c r="G56" s="1732"/>
      <c r="H56" s="1732"/>
      <c r="I56" s="1732"/>
      <c r="J56" s="1732"/>
      <c r="K56" s="1732"/>
      <c r="L56" s="1732"/>
      <c r="M56" s="1732"/>
      <c r="N56" s="1732"/>
      <c r="O56" s="1732"/>
      <c r="P56" s="1732"/>
      <c r="Q56" s="1732"/>
      <c r="R56" s="1732"/>
      <c r="S56" s="1732"/>
      <c r="T56" s="1732"/>
      <c r="U56" s="1732"/>
      <c r="V56" s="1732"/>
      <c r="W56" s="1732"/>
      <c r="X56" s="1732"/>
      <c r="Y56" s="1732"/>
      <c r="Z56" s="1732"/>
    </row>
    <row r="57" spans="1:26" ht="18.75">
      <c r="A57" s="1861"/>
      <c r="B57" s="1406" t="s">
        <v>2024</v>
      </c>
      <c r="C57" s="1812">
        <f>+C7+C26+C46+C49+C52</f>
        <v>72351603.223212332</v>
      </c>
      <c r="D57" s="3024"/>
      <c r="E57" s="2685"/>
      <c r="F57" s="2720"/>
      <c r="G57" s="1732"/>
      <c r="H57" s="1732"/>
      <c r="I57" s="1732"/>
      <c r="J57" s="1732"/>
      <c r="K57" s="1732"/>
      <c r="L57" s="1732"/>
      <c r="M57" s="1732"/>
      <c r="N57" s="1732"/>
      <c r="O57" s="1732"/>
      <c r="P57" s="1732"/>
      <c r="Q57" s="1732"/>
      <c r="R57" s="1732"/>
      <c r="S57" s="1732"/>
      <c r="T57" s="1732"/>
      <c r="U57" s="1732"/>
      <c r="V57" s="1732"/>
      <c r="W57" s="1732"/>
      <c r="X57" s="1732"/>
      <c r="Y57" s="1732"/>
      <c r="Z57" s="1732"/>
    </row>
    <row r="58" spans="1:26" ht="18" customHeight="1">
      <c r="A58" s="1732"/>
      <c r="B58" s="1732"/>
      <c r="C58" s="1813"/>
      <c r="D58" s="1777" t="s">
        <v>3599</v>
      </c>
      <c r="E58" s="2719"/>
      <c r="F58" s="1732"/>
      <c r="G58" s="1732"/>
      <c r="H58" s="1732"/>
      <c r="I58" s="1732"/>
      <c r="J58" s="1732"/>
      <c r="K58" s="1732"/>
      <c r="L58" s="1732"/>
      <c r="M58" s="1732"/>
      <c r="N58" s="1732"/>
      <c r="O58" s="1732"/>
      <c r="P58" s="1732"/>
      <c r="Q58" s="1732"/>
      <c r="R58" s="1732"/>
      <c r="S58" s="1732"/>
      <c r="T58" s="1732"/>
      <c r="U58" s="1732"/>
      <c r="V58" s="1732"/>
      <c r="W58" s="1732"/>
      <c r="X58" s="1732"/>
      <c r="Y58" s="1732"/>
      <c r="Z58" s="1732"/>
    </row>
    <row r="59" spans="1:26" ht="30" customHeight="1">
      <c r="A59" s="2773" t="s">
        <v>3600</v>
      </c>
      <c r="B59" s="2732"/>
      <c r="C59" s="2732"/>
      <c r="D59" s="2732"/>
      <c r="E59" s="38"/>
      <c r="F59" s="15"/>
      <c r="G59" s="15"/>
      <c r="H59" s="15"/>
      <c r="I59" s="15"/>
      <c r="J59" s="15"/>
      <c r="K59" s="15"/>
      <c r="L59" s="15"/>
      <c r="M59" s="15"/>
      <c r="N59" s="15"/>
      <c r="O59" s="15"/>
      <c r="P59" s="15"/>
      <c r="Q59" s="15"/>
      <c r="R59" s="15"/>
      <c r="S59" s="15"/>
      <c r="T59" s="15"/>
      <c r="U59" s="15"/>
      <c r="V59" s="15"/>
      <c r="W59" s="15"/>
      <c r="X59" s="15"/>
      <c r="Y59" s="15"/>
      <c r="Z59" s="15"/>
    </row>
    <row r="60" spans="1:26" ht="18" customHeight="1">
      <c r="A60" s="15"/>
      <c r="B60" s="15"/>
      <c r="C60" s="17"/>
      <c r="D60" s="19"/>
      <c r="E60" s="38"/>
      <c r="F60" s="15"/>
      <c r="G60" s="15"/>
      <c r="H60" s="15"/>
      <c r="I60" s="15"/>
      <c r="J60" s="15"/>
      <c r="K60" s="15"/>
      <c r="L60" s="15"/>
      <c r="M60" s="15"/>
      <c r="N60" s="15"/>
      <c r="O60" s="15"/>
      <c r="P60" s="15"/>
      <c r="Q60" s="15"/>
      <c r="R60" s="15"/>
      <c r="S60" s="15"/>
      <c r="T60" s="15"/>
      <c r="U60" s="15"/>
      <c r="V60" s="15"/>
      <c r="W60" s="15"/>
      <c r="X60" s="15"/>
      <c r="Y60" s="15"/>
      <c r="Z60" s="15"/>
    </row>
    <row r="61" spans="1:26" ht="18" customHeight="1">
      <c r="A61" s="15"/>
      <c r="B61" s="15"/>
      <c r="C61" s="17"/>
      <c r="D61" s="19"/>
      <c r="E61" s="38"/>
      <c r="F61" s="15"/>
      <c r="G61" s="15"/>
      <c r="H61" s="15"/>
      <c r="I61" s="15"/>
      <c r="J61" s="15"/>
      <c r="K61" s="15"/>
      <c r="L61" s="15"/>
      <c r="M61" s="15"/>
      <c r="N61" s="15"/>
      <c r="O61" s="15"/>
      <c r="P61" s="15"/>
      <c r="Q61" s="15"/>
      <c r="R61" s="15"/>
      <c r="S61" s="15"/>
      <c r="T61" s="15"/>
      <c r="U61" s="15"/>
      <c r="V61" s="15"/>
      <c r="W61" s="15"/>
      <c r="X61" s="15"/>
      <c r="Y61" s="15"/>
      <c r="Z61" s="15"/>
    </row>
    <row r="62" spans="1:26" ht="18" customHeight="1">
      <c r="A62" s="15"/>
      <c r="B62" s="15"/>
      <c r="C62" s="17"/>
      <c r="D62" s="19"/>
      <c r="E62" s="38"/>
      <c r="F62" s="15"/>
      <c r="G62" s="15"/>
      <c r="H62" s="15"/>
      <c r="I62" s="15"/>
      <c r="J62" s="15"/>
      <c r="K62" s="15"/>
      <c r="L62" s="15"/>
      <c r="M62" s="15"/>
      <c r="N62" s="15"/>
      <c r="O62" s="15"/>
      <c r="P62" s="15"/>
      <c r="Q62" s="15"/>
      <c r="R62" s="15"/>
      <c r="S62" s="15"/>
      <c r="T62" s="15"/>
      <c r="U62" s="15"/>
      <c r="V62" s="15"/>
      <c r="W62" s="15"/>
      <c r="X62" s="15"/>
      <c r="Y62" s="15"/>
      <c r="Z62" s="15"/>
    </row>
    <row r="63" spans="1:26" ht="18" customHeight="1">
      <c r="A63" s="15"/>
      <c r="B63" s="15"/>
      <c r="C63" s="17"/>
      <c r="D63" s="19"/>
      <c r="E63" s="38"/>
      <c r="F63" s="15"/>
      <c r="G63" s="15"/>
      <c r="H63" s="15"/>
      <c r="I63" s="15"/>
      <c r="J63" s="15"/>
      <c r="K63" s="15"/>
      <c r="L63" s="15"/>
      <c r="M63" s="15"/>
      <c r="N63" s="15"/>
      <c r="O63" s="15"/>
      <c r="P63" s="15"/>
      <c r="Q63" s="15"/>
      <c r="R63" s="15"/>
      <c r="S63" s="15"/>
      <c r="T63" s="15"/>
      <c r="U63" s="15"/>
      <c r="V63" s="15"/>
      <c r="W63" s="15"/>
      <c r="X63" s="15"/>
      <c r="Y63" s="15"/>
      <c r="Z63" s="15"/>
    </row>
    <row r="64" spans="1:26" ht="18" customHeight="1">
      <c r="A64" s="15"/>
      <c r="B64" s="38"/>
      <c r="C64" s="2776"/>
      <c r="D64" s="2732"/>
      <c r="E64" s="38"/>
      <c r="F64" s="15"/>
      <c r="G64" s="15"/>
      <c r="H64" s="15"/>
      <c r="I64" s="15"/>
      <c r="J64" s="15"/>
      <c r="K64" s="15"/>
      <c r="L64" s="15"/>
      <c r="M64" s="15"/>
      <c r="N64" s="15"/>
      <c r="O64" s="15"/>
      <c r="P64" s="15"/>
      <c r="Q64" s="15"/>
      <c r="R64" s="15"/>
      <c r="S64" s="15"/>
      <c r="T64" s="15"/>
      <c r="U64" s="15"/>
      <c r="V64" s="15"/>
      <c r="W64" s="15"/>
      <c r="X64" s="15"/>
      <c r="Y64" s="15"/>
      <c r="Z64" s="15"/>
    </row>
    <row r="65" spans="1:26" ht="18" customHeight="1">
      <c r="A65" s="15"/>
      <c r="B65" s="15"/>
      <c r="C65" s="89"/>
      <c r="D65" s="17"/>
      <c r="E65" s="38"/>
      <c r="F65" s="15"/>
      <c r="G65" s="15"/>
      <c r="H65" s="15"/>
      <c r="I65" s="15"/>
      <c r="J65" s="15"/>
      <c r="K65" s="15"/>
      <c r="L65" s="15"/>
      <c r="M65" s="15"/>
      <c r="N65" s="15"/>
      <c r="O65" s="15"/>
      <c r="P65" s="15"/>
      <c r="Q65" s="15"/>
      <c r="R65" s="15"/>
      <c r="S65" s="15"/>
      <c r="T65" s="15"/>
      <c r="U65" s="15"/>
      <c r="V65" s="15"/>
      <c r="W65" s="15"/>
      <c r="X65" s="15"/>
      <c r="Y65" s="15"/>
      <c r="Z65" s="15"/>
    </row>
    <row r="66" spans="1:26" ht="63" customHeight="1">
      <c r="A66" s="15"/>
      <c r="B66" s="3019"/>
      <c r="C66" s="2732"/>
      <c r="D66" s="2732"/>
      <c r="E66" s="15"/>
      <c r="F66" s="15"/>
      <c r="G66" s="15"/>
      <c r="H66" s="15"/>
      <c r="I66" s="15"/>
      <c r="J66" s="15"/>
      <c r="K66" s="15"/>
      <c r="L66" s="15"/>
      <c r="M66" s="15"/>
      <c r="N66" s="15"/>
      <c r="O66" s="15"/>
      <c r="P66" s="15"/>
      <c r="Q66" s="15"/>
      <c r="R66" s="15"/>
      <c r="S66" s="15"/>
      <c r="T66" s="15"/>
      <c r="U66" s="15"/>
      <c r="V66" s="15"/>
      <c r="W66" s="15"/>
      <c r="X66" s="15"/>
      <c r="Y66" s="15"/>
      <c r="Z66" s="15"/>
    </row>
    <row r="67" spans="1:26" ht="18" customHeight="1">
      <c r="A67" s="1732"/>
      <c r="B67" s="1732"/>
      <c r="C67" s="1776"/>
      <c r="D67" s="1732"/>
      <c r="E67" s="1732"/>
      <c r="F67" s="1732"/>
      <c r="G67" s="1732"/>
      <c r="H67" s="1732"/>
      <c r="I67" s="1732"/>
      <c r="J67" s="1732"/>
      <c r="K67" s="1732"/>
      <c r="L67" s="1732"/>
      <c r="M67" s="1732"/>
      <c r="N67" s="1732"/>
      <c r="O67" s="1732"/>
      <c r="P67" s="1732"/>
      <c r="Q67" s="1732"/>
      <c r="R67" s="1732"/>
      <c r="S67" s="1732"/>
      <c r="T67" s="1732"/>
      <c r="U67" s="1732"/>
      <c r="V67" s="1732"/>
      <c r="W67" s="1732"/>
      <c r="X67" s="1732"/>
      <c r="Y67" s="1732"/>
      <c r="Z67" s="1732"/>
    </row>
    <row r="68" spans="1:26" ht="18" customHeight="1">
      <c r="A68" s="1732"/>
      <c r="B68" s="1732"/>
      <c r="C68" s="1776"/>
      <c r="D68" s="1732"/>
      <c r="E68" s="1732"/>
      <c r="F68" s="1732"/>
      <c r="G68" s="1732"/>
      <c r="H68" s="1732"/>
      <c r="I68" s="1732"/>
      <c r="J68" s="1732"/>
      <c r="K68" s="1732"/>
      <c r="L68" s="1732"/>
      <c r="M68" s="1732"/>
      <c r="N68" s="1732"/>
      <c r="O68" s="1732"/>
      <c r="P68" s="1732"/>
      <c r="Q68" s="1732"/>
      <c r="R68" s="1732"/>
      <c r="S68" s="1732"/>
      <c r="T68" s="1732"/>
      <c r="U68" s="1732"/>
      <c r="V68" s="1732"/>
      <c r="W68" s="1732"/>
      <c r="X68" s="1732"/>
      <c r="Y68" s="1732"/>
      <c r="Z68" s="1732"/>
    </row>
    <row r="69" spans="1:26" ht="18" customHeight="1">
      <c r="A69" s="1732"/>
      <c r="B69" s="1732"/>
      <c r="C69" s="1776"/>
      <c r="D69" s="1732"/>
      <c r="E69" s="1732"/>
      <c r="F69" s="1732"/>
      <c r="G69" s="1732"/>
      <c r="H69" s="1732"/>
      <c r="I69" s="1732"/>
      <c r="J69" s="1732"/>
      <c r="K69" s="1732"/>
      <c r="L69" s="1732"/>
      <c r="M69" s="1732"/>
      <c r="N69" s="1732"/>
      <c r="O69" s="1732"/>
      <c r="P69" s="1732"/>
      <c r="Q69" s="1732"/>
      <c r="R69" s="1732"/>
      <c r="S69" s="1732"/>
      <c r="T69" s="1732"/>
      <c r="U69" s="1732"/>
      <c r="V69" s="1732"/>
      <c r="W69" s="1732"/>
      <c r="X69" s="1732"/>
      <c r="Y69" s="1732"/>
      <c r="Z69" s="1732"/>
    </row>
    <row r="70" spans="1:26" ht="18" customHeight="1">
      <c r="A70" s="1732"/>
      <c r="B70" s="1732"/>
      <c r="C70" s="1776"/>
      <c r="D70" s="1732"/>
      <c r="E70" s="1732"/>
      <c r="F70" s="1732"/>
      <c r="G70" s="1732"/>
      <c r="H70" s="1732"/>
      <c r="I70" s="1732"/>
      <c r="J70" s="1732"/>
      <c r="K70" s="1732"/>
      <c r="L70" s="1732"/>
      <c r="M70" s="1732"/>
      <c r="N70" s="1732"/>
      <c r="O70" s="1732"/>
      <c r="P70" s="1732"/>
      <c r="Q70" s="1732"/>
      <c r="R70" s="1732"/>
      <c r="S70" s="1732"/>
      <c r="T70" s="1732"/>
      <c r="U70" s="1732"/>
      <c r="V70" s="1732"/>
      <c r="W70" s="1732"/>
      <c r="X70" s="1732"/>
      <c r="Y70" s="1732"/>
      <c r="Z70" s="1732"/>
    </row>
    <row r="71" spans="1:26" ht="18" customHeight="1">
      <c r="A71" s="1732"/>
      <c r="B71" s="1732"/>
      <c r="C71" s="1776"/>
      <c r="D71" s="1732"/>
      <c r="E71" s="1732"/>
      <c r="F71" s="1732"/>
      <c r="G71" s="1732"/>
      <c r="H71" s="1732"/>
      <c r="I71" s="1732"/>
      <c r="J71" s="1732"/>
      <c r="K71" s="1732"/>
      <c r="L71" s="1732"/>
      <c r="M71" s="1732"/>
      <c r="N71" s="1732"/>
      <c r="O71" s="1732"/>
      <c r="P71" s="1732"/>
      <c r="Q71" s="1732"/>
      <c r="R71" s="1732"/>
      <c r="S71" s="1732"/>
      <c r="T71" s="1732"/>
      <c r="U71" s="1732"/>
      <c r="V71" s="1732"/>
      <c r="W71" s="1732"/>
      <c r="X71" s="1732"/>
      <c r="Y71" s="1732"/>
      <c r="Z71" s="1732"/>
    </row>
    <row r="72" spans="1:26" ht="18" customHeight="1">
      <c r="A72" s="1732"/>
      <c r="B72" s="1732"/>
      <c r="C72" s="1776"/>
      <c r="D72" s="1732"/>
      <c r="E72" s="1732"/>
      <c r="F72" s="1732"/>
      <c r="G72" s="1732"/>
      <c r="H72" s="1732"/>
      <c r="I72" s="1732"/>
      <c r="J72" s="1732"/>
      <c r="K72" s="1732"/>
      <c r="L72" s="1732"/>
      <c r="M72" s="1732"/>
      <c r="N72" s="1732"/>
      <c r="O72" s="1732"/>
      <c r="P72" s="1732"/>
      <c r="Q72" s="1732"/>
      <c r="R72" s="1732"/>
      <c r="S72" s="1732"/>
      <c r="T72" s="1732"/>
      <c r="U72" s="1732"/>
      <c r="V72" s="1732"/>
      <c r="W72" s="1732"/>
      <c r="X72" s="1732"/>
      <c r="Y72" s="1732"/>
      <c r="Z72" s="1732"/>
    </row>
    <row r="73" spans="1:26" ht="18" customHeight="1">
      <c r="A73" s="1732"/>
      <c r="B73" s="1732"/>
      <c r="C73" s="1776"/>
      <c r="D73" s="1732"/>
      <c r="E73" s="1732"/>
      <c r="F73" s="1732"/>
      <c r="G73" s="1732"/>
      <c r="H73" s="1732"/>
      <c r="I73" s="1732"/>
      <c r="J73" s="1732"/>
      <c r="K73" s="1732"/>
      <c r="L73" s="1732"/>
      <c r="M73" s="1732"/>
      <c r="N73" s="1732"/>
      <c r="O73" s="1732"/>
      <c r="P73" s="1732"/>
      <c r="Q73" s="1732"/>
      <c r="R73" s="1732"/>
      <c r="S73" s="1732"/>
      <c r="T73" s="1732"/>
      <c r="U73" s="1732"/>
      <c r="V73" s="1732"/>
      <c r="W73" s="1732"/>
      <c r="X73" s="1732"/>
      <c r="Y73" s="1732"/>
      <c r="Z73" s="1732"/>
    </row>
    <row r="74" spans="1:26" ht="18" customHeight="1">
      <c r="A74" s="1732"/>
      <c r="B74" s="1732"/>
      <c r="C74" s="1776"/>
      <c r="D74" s="1732"/>
      <c r="E74" s="1732"/>
      <c r="F74" s="1732"/>
      <c r="G74" s="1732"/>
      <c r="H74" s="1732"/>
      <c r="I74" s="1732"/>
      <c r="J74" s="1732"/>
      <c r="K74" s="1732"/>
      <c r="L74" s="1732"/>
      <c r="M74" s="1732"/>
      <c r="N74" s="1732"/>
      <c r="O74" s="1732"/>
      <c r="P74" s="1732"/>
      <c r="Q74" s="1732"/>
      <c r="R74" s="1732"/>
      <c r="S74" s="1732"/>
      <c r="T74" s="1732"/>
      <c r="U74" s="1732"/>
      <c r="V74" s="1732"/>
      <c r="W74" s="1732"/>
      <c r="X74" s="1732"/>
      <c r="Y74" s="1732"/>
      <c r="Z74" s="1732"/>
    </row>
    <row r="75" spans="1:26" ht="18" customHeight="1">
      <c r="A75" s="1732"/>
      <c r="B75" s="1732"/>
      <c r="C75" s="1776"/>
      <c r="D75" s="1732"/>
      <c r="E75" s="1732"/>
      <c r="F75" s="1732"/>
      <c r="G75" s="1732"/>
      <c r="H75" s="1732"/>
      <c r="I75" s="1732"/>
      <c r="J75" s="1732"/>
      <c r="K75" s="1732"/>
      <c r="L75" s="1732"/>
      <c r="M75" s="1732"/>
      <c r="N75" s="1732"/>
      <c r="O75" s="1732"/>
      <c r="P75" s="1732"/>
      <c r="Q75" s="1732"/>
      <c r="R75" s="1732"/>
      <c r="S75" s="1732"/>
      <c r="T75" s="1732"/>
      <c r="U75" s="1732"/>
      <c r="V75" s="1732"/>
      <c r="W75" s="1732"/>
      <c r="X75" s="1732"/>
      <c r="Y75" s="1732"/>
      <c r="Z75" s="1732"/>
    </row>
    <row r="76" spans="1:26" ht="18" customHeight="1">
      <c r="A76" s="1732"/>
      <c r="B76" s="1732"/>
      <c r="C76" s="1776"/>
      <c r="D76" s="1732"/>
      <c r="E76" s="1732"/>
      <c r="F76" s="1732"/>
      <c r="G76" s="1732"/>
      <c r="H76" s="1732"/>
      <c r="I76" s="1732"/>
      <c r="J76" s="1732"/>
      <c r="K76" s="1732"/>
      <c r="L76" s="1732"/>
      <c r="M76" s="1732"/>
      <c r="N76" s="1732"/>
      <c r="O76" s="1732"/>
      <c r="P76" s="1732"/>
      <c r="Q76" s="1732"/>
      <c r="R76" s="1732"/>
      <c r="S76" s="1732"/>
      <c r="T76" s="1732"/>
      <c r="U76" s="1732"/>
      <c r="V76" s="1732"/>
      <c r="W76" s="1732"/>
      <c r="X76" s="1732"/>
      <c r="Y76" s="1732"/>
      <c r="Z76" s="1732"/>
    </row>
    <row r="77" spans="1:26" ht="18" customHeight="1">
      <c r="A77" s="1732"/>
      <c r="B77" s="1732"/>
      <c r="C77" s="1776"/>
      <c r="D77" s="1732"/>
      <c r="E77" s="1732"/>
      <c r="F77" s="1732"/>
      <c r="G77" s="1732"/>
      <c r="H77" s="1732"/>
      <c r="I77" s="1732"/>
      <c r="J77" s="1732"/>
      <c r="K77" s="1732"/>
      <c r="L77" s="1732"/>
      <c r="M77" s="1732"/>
      <c r="N77" s="1732"/>
      <c r="O77" s="1732"/>
      <c r="P77" s="1732"/>
      <c r="Q77" s="1732"/>
      <c r="R77" s="1732"/>
      <c r="S77" s="1732"/>
      <c r="T77" s="1732"/>
      <c r="U77" s="1732"/>
      <c r="V77" s="1732"/>
      <c r="W77" s="1732"/>
      <c r="X77" s="1732"/>
      <c r="Y77" s="1732"/>
      <c r="Z77" s="1732"/>
    </row>
    <row r="78" spans="1:26" ht="18" customHeight="1">
      <c r="A78" s="1732"/>
      <c r="B78" s="1732"/>
      <c r="C78" s="1776"/>
      <c r="D78" s="1732"/>
      <c r="E78" s="1732"/>
      <c r="F78" s="1732"/>
      <c r="G78" s="1732"/>
      <c r="H78" s="1732"/>
      <c r="I78" s="1732"/>
      <c r="J78" s="1732"/>
      <c r="K78" s="1732"/>
      <c r="L78" s="1732"/>
      <c r="M78" s="1732"/>
      <c r="N78" s="1732"/>
      <c r="O78" s="1732"/>
      <c r="P78" s="1732"/>
      <c r="Q78" s="1732"/>
      <c r="R78" s="1732"/>
      <c r="S78" s="1732"/>
      <c r="T78" s="1732"/>
      <c r="U78" s="1732"/>
      <c r="V78" s="1732"/>
      <c r="W78" s="1732"/>
      <c r="X78" s="1732"/>
      <c r="Y78" s="1732"/>
      <c r="Z78" s="1732"/>
    </row>
    <row r="79" spans="1:26" ht="18" customHeight="1">
      <c r="A79" s="1732"/>
      <c r="B79" s="1732"/>
      <c r="C79" s="1776"/>
      <c r="D79" s="1732"/>
      <c r="E79" s="1732"/>
      <c r="F79" s="1732"/>
      <c r="G79" s="1732"/>
      <c r="H79" s="1732"/>
      <c r="I79" s="1732"/>
      <c r="J79" s="1732"/>
      <c r="K79" s="1732"/>
      <c r="L79" s="1732"/>
      <c r="M79" s="1732"/>
      <c r="N79" s="1732"/>
      <c r="O79" s="1732"/>
      <c r="P79" s="1732"/>
      <c r="Q79" s="1732"/>
      <c r="R79" s="1732"/>
      <c r="S79" s="1732"/>
      <c r="T79" s="1732"/>
      <c r="U79" s="1732"/>
      <c r="V79" s="1732"/>
      <c r="W79" s="1732"/>
      <c r="X79" s="1732"/>
      <c r="Y79" s="1732"/>
      <c r="Z79" s="1732"/>
    </row>
    <row r="80" spans="1:26" ht="18" customHeight="1">
      <c r="A80" s="1732"/>
      <c r="B80" s="1732"/>
      <c r="C80" s="1776"/>
      <c r="D80" s="1732"/>
      <c r="E80" s="1732"/>
      <c r="F80" s="1732"/>
      <c r="G80" s="1732"/>
      <c r="H80" s="1732"/>
      <c r="I80" s="1732"/>
      <c r="J80" s="1732"/>
      <c r="K80" s="1732"/>
      <c r="L80" s="1732"/>
      <c r="M80" s="1732"/>
      <c r="N80" s="1732"/>
      <c r="O80" s="1732"/>
      <c r="P80" s="1732"/>
      <c r="Q80" s="1732"/>
      <c r="R80" s="1732"/>
      <c r="S80" s="1732"/>
      <c r="T80" s="1732"/>
      <c r="U80" s="1732"/>
      <c r="V80" s="1732"/>
      <c r="W80" s="1732"/>
      <c r="X80" s="1732"/>
      <c r="Y80" s="1732"/>
      <c r="Z80" s="1732"/>
    </row>
    <row r="81" spans="1:26" ht="18" customHeight="1">
      <c r="A81" s="1732"/>
      <c r="B81" s="1732"/>
      <c r="C81" s="1776"/>
      <c r="D81" s="1732"/>
      <c r="E81" s="1732"/>
      <c r="F81" s="1732"/>
      <c r="G81" s="1732"/>
      <c r="H81" s="1732"/>
      <c r="I81" s="1732"/>
      <c r="J81" s="1732"/>
      <c r="K81" s="1732"/>
      <c r="L81" s="1732"/>
      <c r="M81" s="1732"/>
      <c r="N81" s="1732"/>
      <c r="O81" s="1732"/>
      <c r="P81" s="1732"/>
      <c r="Q81" s="1732"/>
      <c r="R81" s="1732"/>
      <c r="S81" s="1732"/>
      <c r="T81" s="1732"/>
      <c r="U81" s="1732"/>
      <c r="V81" s="1732"/>
      <c r="W81" s="1732"/>
      <c r="X81" s="1732"/>
      <c r="Y81" s="1732"/>
      <c r="Z81" s="1732"/>
    </row>
    <row r="82" spans="1:26" ht="18" customHeight="1">
      <c r="A82" s="1732"/>
      <c r="B82" s="1732"/>
      <c r="C82" s="1776"/>
      <c r="D82" s="1732"/>
      <c r="E82" s="1732"/>
      <c r="F82" s="1732"/>
      <c r="G82" s="1732"/>
      <c r="H82" s="1732"/>
      <c r="I82" s="1732"/>
      <c r="J82" s="1732"/>
      <c r="K82" s="1732"/>
      <c r="L82" s="1732"/>
      <c r="M82" s="1732"/>
      <c r="N82" s="1732"/>
      <c r="O82" s="1732"/>
      <c r="P82" s="1732"/>
      <c r="Q82" s="1732"/>
      <c r="R82" s="1732"/>
      <c r="S82" s="1732"/>
      <c r="T82" s="1732"/>
      <c r="U82" s="1732"/>
      <c r="V82" s="1732"/>
      <c r="W82" s="1732"/>
      <c r="X82" s="1732"/>
      <c r="Y82" s="1732"/>
      <c r="Z82" s="1732"/>
    </row>
    <row r="83" spans="1:26" ht="18" customHeight="1">
      <c r="A83" s="1732"/>
      <c r="B83" s="1732"/>
      <c r="C83" s="1776"/>
      <c r="D83" s="1732"/>
      <c r="E83" s="1732"/>
      <c r="F83" s="1732"/>
      <c r="G83" s="1732"/>
      <c r="H83" s="1732"/>
      <c r="I83" s="1732"/>
      <c r="J83" s="1732"/>
      <c r="K83" s="1732"/>
      <c r="L83" s="1732"/>
      <c r="M83" s="1732"/>
      <c r="N83" s="1732"/>
      <c r="O83" s="1732"/>
      <c r="P83" s="1732"/>
      <c r="Q83" s="1732"/>
      <c r="R83" s="1732"/>
      <c r="S83" s="1732"/>
      <c r="T83" s="1732"/>
      <c r="U83" s="1732"/>
      <c r="V83" s="1732"/>
      <c r="W83" s="1732"/>
      <c r="X83" s="1732"/>
      <c r="Y83" s="1732"/>
      <c r="Z83" s="1732"/>
    </row>
    <row r="84" spans="1:26" ht="18" customHeight="1">
      <c r="A84" s="1732"/>
      <c r="B84" s="1732"/>
      <c r="C84" s="1776"/>
      <c r="D84" s="1732"/>
      <c r="E84" s="1732"/>
      <c r="F84" s="1732"/>
      <c r="G84" s="1732"/>
      <c r="H84" s="1732"/>
      <c r="I84" s="1732"/>
      <c r="J84" s="1732"/>
      <c r="K84" s="1732"/>
      <c r="L84" s="1732"/>
      <c r="M84" s="1732"/>
      <c r="N84" s="1732"/>
      <c r="O84" s="1732"/>
      <c r="P84" s="1732"/>
      <c r="Q84" s="1732"/>
      <c r="R84" s="1732"/>
      <c r="S84" s="1732"/>
      <c r="T84" s="1732"/>
      <c r="U84" s="1732"/>
      <c r="V84" s="1732"/>
      <c r="W84" s="1732"/>
      <c r="X84" s="1732"/>
      <c r="Y84" s="1732"/>
      <c r="Z84" s="1732"/>
    </row>
    <row r="85" spans="1:26" ht="18" customHeight="1">
      <c r="A85" s="1732"/>
      <c r="B85" s="1732"/>
      <c r="C85" s="1776"/>
      <c r="D85" s="1732"/>
      <c r="E85" s="1732"/>
      <c r="F85" s="1732"/>
      <c r="G85" s="1732"/>
      <c r="H85" s="1732"/>
      <c r="I85" s="1732"/>
      <c r="J85" s="1732"/>
      <c r="K85" s="1732"/>
      <c r="L85" s="1732"/>
      <c r="M85" s="1732"/>
      <c r="N85" s="1732"/>
      <c r="O85" s="1732"/>
      <c r="P85" s="1732"/>
      <c r="Q85" s="1732"/>
      <c r="R85" s="1732"/>
      <c r="S85" s="1732"/>
      <c r="T85" s="1732"/>
      <c r="U85" s="1732"/>
      <c r="V85" s="1732"/>
      <c r="W85" s="1732"/>
      <c r="X85" s="1732"/>
      <c r="Y85" s="1732"/>
      <c r="Z85" s="1732"/>
    </row>
    <row r="86" spans="1:26" ht="18" customHeight="1">
      <c r="A86" s="1732"/>
      <c r="B86" s="1732"/>
      <c r="C86" s="1776"/>
      <c r="D86" s="1732"/>
      <c r="E86" s="1732"/>
      <c r="F86" s="1732"/>
      <c r="G86" s="1732"/>
      <c r="H86" s="1732"/>
      <c r="I86" s="1732"/>
      <c r="J86" s="1732"/>
      <c r="K86" s="1732"/>
      <c r="L86" s="1732"/>
      <c r="M86" s="1732"/>
      <c r="N86" s="1732"/>
      <c r="O86" s="1732"/>
      <c r="P86" s="1732"/>
      <c r="Q86" s="1732"/>
      <c r="R86" s="1732"/>
      <c r="S86" s="1732"/>
      <c r="T86" s="1732"/>
      <c r="U86" s="1732"/>
      <c r="V86" s="1732"/>
      <c r="W86" s="1732"/>
      <c r="X86" s="1732"/>
      <c r="Y86" s="1732"/>
      <c r="Z86" s="1732"/>
    </row>
    <row r="87" spans="1:26" ht="18" customHeight="1">
      <c r="A87" s="1732"/>
      <c r="B87" s="1732"/>
      <c r="C87" s="1776"/>
      <c r="D87" s="1732"/>
      <c r="E87" s="1732"/>
      <c r="F87" s="1732"/>
      <c r="G87" s="1732"/>
      <c r="H87" s="1732"/>
      <c r="I87" s="1732"/>
      <c r="J87" s="1732"/>
      <c r="K87" s="1732"/>
      <c r="L87" s="1732"/>
      <c r="M87" s="1732"/>
      <c r="N87" s="1732"/>
      <c r="O87" s="1732"/>
      <c r="P87" s="1732"/>
      <c r="Q87" s="1732"/>
      <c r="R87" s="1732"/>
      <c r="S87" s="1732"/>
      <c r="T87" s="1732"/>
      <c r="U87" s="1732"/>
      <c r="V87" s="1732"/>
      <c r="W87" s="1732"/>
      <c r="X87" s="1732"/>
      <c r="Y87" s="1732"/>
      <c r="Z87" s="1732"/>
    </row>
    <row r="88" spans="1:26" ht="18" customHeight="1">
      <c r="A88" s="1732"/>
      <c r="B88" s="1732"/>
      <c r="C88" s="1776"/>
      <c r="D88" s="1732"/>
      <c r="E88" s="1732"/>
      <c r="F88" s="1732"/>
      <c r="G88" s="1732"/>
      <c r="H88" s="1732"/>
      <c r="I88" s="1732"/>
      <c r="J88" s="1732"/>
      <c r="K88" s="1732"/>
      <c r="L88" s="1732"/>
      <c r="M88" s="1732"/>
      <c r="N88" s="1732"/>
      <c r="O88" s="1732"/>
      <c r="P88" s="1732"/>
      <c r="Q88" s="1732"/>
      <c r="R88" s="1732"/>
      <c r="S88" s="1732"/>
      <c r="T88" s="1732"/>
      <c r="U88" s="1732"/>
      <c r="V88" s="1732"/>
      <c r="W88" s="1732"/>
      <c r="X88" s="1732"/>
      <c r="Y88" s="1732"/>
      <c r="Z88" s="1732"/>
    </row>
    <row r="89" spans="1:26" ht="18" customHeight="1">
      <c r="A89" s="1732"/>
      <c r="B89" s="1732"/>
      <c r="C89" s="1776"/>
      <c r="D89" s="1732"/>
      <c r="E89" s="1732"/>
      <c r="F89" s="1732"/>
      <c r="G89" s="1732"/>
      <c r="H89" s="1732"/>
      <c r="I89" s="1732"/>
      <c r="J89" s="1732"/>
      <c r="K89" s="1732"/>
      <c r="L89" s="1732"/>
      <c r="M89" s="1732"/>
      <c r="N89" s="1732"/>
      <c r="O89" s="1732"/>
      <c r="P89" s="1732"/>
      <c r="Q89" s="1732"/>
      <c r="R89" s="1732"/>
      <c r="S89" s="1732"/>
      <c r="T89" s="1732"/>
      <c r="U89" s="1732"/>
      <c r="V89" s="1732"/>
      <c r="W89" s="1732"/>
      <c r="X89" s="1732"/>
      <c r="Y89" s="1732"/>
      <c r="Z89" s="1732"/>
    </row>
    <row r="90" spans="1:26" ht="18" customHeight="1">
      <c r="A90" s="1732"/>
      <c r="B90" s="1732"/>
      <c r="C90" s="1776"/>
      <c r="D90" s="1732"/>
      <c r="E90" s="1732"/>
      <c r="F90" s="1732"/>
      <c r="G90" s="1732"/>
      <c r="H90" s="1732"/>
      <c r="I90" s="1732"/>
      <c r="J90" s="1732"/>
      <c r="K90" s="1732"/>
      <c r="L90" s="1732"/>
      <c r="M90" s="1732"/>
      <c r="N90" s="1732"/>
      <c r="O90" s="1732"/>
      <c r="P90" s="1732"/>
      <c r="Q90" s="1732"/>
      <c r="R90" s="1732"/>
      <c r="S90" s="1732"/>
      <c r="T90" s="1732"/>
      <c r="U90" s="1732"/>
      <c r="V90" s="1732"/>
      <c r="W90" s="1732"/>
      <c r="X90" s="1732"/>
      <c r="Y90" s="1732"/>
      <c r="Z90" s="1732"/>
    </row>
    <row r="91" spans="1:26" ht="18" customHeight="1">
      <c r="A91" s="1732"/>
      <c r="B91" s="1732"/>
      <c r="C91" s="1776"/>
      <c r="D91" s="1732"/>
      <c r="E91" s="1732"/>
      <c r="F91" s="1732"/>
      <c r="G91" s="1732"/>
      <c r="H91" s="1732"/>
      <c r="I91" s="1732"/>
      <c r="J91" s="1732"/>
      <c r="K91" s="1732"/>
      <c r="L91" s="1732"/>
      <c r="M91" s="1732"/>
      <c r="N91" s="1732"/>
      <c r="O91" s="1732"/>
      <c r="P91" s="1732"/>
      <c r="Q91" s="1732"/>
      <c r="R91" s="1732"/>
      <c r="S91" s="1732"/>
      <c r="T91" s="1732"/>
      <c r="U91" s="1732"/>
      <c r="V91" s="1732"/>
      <c r="W91" s="1732"/>
      <c r="X91" s="1732"/>
      <c r="Y91" s="1732"/>
      <c r="Z91" s="1732"/>
    </row>
    <row r="92" spans="1:26" ht="18" customHeight="1">
      <c r="A92" s="1732"/>
      <c r="B92" s="1732"/>
      <c r="C92" s="1776"/>
      <c r="D92" s="1732"/>
      <c r="E92" s="1732"/>
      <c r="F92" s="1732"/>
      <c r="G92" s="1732"/>
      <c r="H92" s="1732"/>
      <c r="I92" s="1732"/>
      <c r="J92" s="1732"/>
      <c r="K92" s="1732"/>
      <c r="L92" s="1732"/>
      <c r="M92" s="1732"/>
      <c r="N92" s="1732"/>
      <c r="O92" s="1732"/>
      <c r="P92" s="1732"/>
      <c r="Q92" s="1732"/>
      <c r="R92" s="1732"/>
      <c r="S92" s="1732"/>
      <c r="T92" s="1732"/>
      <c r="U92" s="1732"/>
      <c r="V92" s="1732"/>
      <c r="W92" s="1732"/>
      <c r="X92" s="1732"/>
      <c r="Y92" s="1732"/>
      <c r="Z92" s="1732"/>
    </row>
    <row r="93" spans="1:26" ht="18" customHeight="1">
      <c r="A93" s="1732"/>
      <c r="B93" s="1732"/>
      <c r="C93" s="1776"/>
      <c r="D93" s="1732"/>
      <c r="E93" s="1732"/>
      <c r="F93" s="1732"/>
      <c r="G93" s="1732"/>
      <c r="H93" s="1732"/>
      <c r="I93" s="1732"/>
      <c r="J93" s="1732"/>
      <c r="K93" s="1732"/>
      <c r="L93" s="1732"/>
      <c r="M93" s="1732"/>
      <c r="N93" s="1732"/>
      <c r="O93" s="1732"/>
      <c r="P93" s="1732"/>
      <c r="Q93" s="1732"/>
      <c r="R93" s="1732"/>
      <c r="S93" s="1732"/>
      <c r="T93" s="1732"/>
      <c r="U93" s="1732"/>
      <c r="V93" s="1732"/>
      <c r="W93" s="1732"/>
      <c r="X93" s="1732"/>
      <c r="Y93" s="1732"/>
      <c r="Z93" s="1732"/>
    </row>
    <row r="94" spans="1:26" ht="18" customHeight="1">
      <c r="A94" s="1732"/>
      <c r="B94" s="1732"/>
      <c r="C94" s="1776"/>
      <c r="D94" s="1732"/>
      <c r="E94" s="1732"/>
      <c r="F94" s="1732"/>
      <c r="G94" s="1732"/>
      <c r="H94" s="1732"/>
      <c r="I94" s="1732"/>
      <c r="J94" s="1732"/>
      <c r="K94" s="1732"/>
      <c r="L94" s="1732"/>
      <c r="M94" s="1732"/>
      <c r="N94" s="1732"/>
      <c r="O94" s="1732"/>
      <c r="P94" s="1732"/>
      <c r="Q94" s="1732"/>
      <c r="R94" s="1732"/>
      <c r="S94" s="1732"/>
      <c r="T94" s="1732"/>
      <c r="U94" s="1732"/>
      <c r="V94" s="1732"/>
      <c r="W94" s="1732"/>
      <c r="X94" s="1732"/>
      <c r="Y94" s="1732"/>
      <c r="Z94" s="1732"/>
    </row>
    <row r="95" spans="1:26" ht="18" customHeight="1">
      <c r="A95" s="1732"/>
      <c r="B95" s="1732"/>
      <c r="C95" s="1776"/>
      <c r="D95" s="1732"/>
      <c r="E95" s="1732"/>
      <c r="F95" s="1732"/>
      <c r="G95" s="1732"/>
      <c r="H95" s="1732"/>
      <c r="I95" s="1732"/>
      <c r="J95" s="1732"/>
      <c r="K95" s="1732"/>
      <c r="L95" s="1732"/>
      <c r="M95" s="1732"/>
      <c r="N95" s="1732"/>
      <c r="O95" s="1732"/>
      <c r="P95" s="1732"/>
      <c r="Q95" s="1732"/>
      <c r="R95" s="1732"/>
      <c r="S95" s="1732"/>
      <c r="T95" s="1732"/>
      <c r="U95" s="1732"/>
      <c r="V95" s="1732"/>
      <c r="W95" s="1732"/>
      <c r="X95" s="1732"/>
      <c r="Y95" s="1732"/>
      <c r="Z95" s="1732"/>
    </row>
    <row r="96" spans="1:26" ht="18" customHeight="1">
      <c r="A96" s="1732"/>
      <c r="B96" s="1732"/>
      <c r="C96" s="1776"/>
      <c r="D96" s="1732"/>
      <c r="E96" s="1732"/>
      <c r="F96" s="1732"/>
      <c r="G96" s="1732"/>
      <c r="H96" s="1732"/>
      <c r="I96" s="1732"/>
      <c r="J96" s="1732"/>
      <c r="K96" s="1732"/>
      <c r="L96" s="1732"/>
      <c r="M96" s="1732"/>
      <c r="N96" s="1732"/>
      <c r="O96" s="1732"/>
      <c r="P96" s="1732"/>
      <c r="Q96" s="1732"/>
      <c r="R96" s="1732"/>
      <c r="S96" s="1732"/>
      <c r="T96" s="1732"/>
      <c r="U96" s="1732"/>
      <c r="V96" s="1732"/>
      <c r="W96" s="1732"/>
      <c r="X96" s="1732"/>
      <c r="Y96" s="1732"/>
      <c r="Z96" s="1732"/>
    </row>
    <row r="97" spans="1:26" ht="18" customHeight="1">
      <c r="A97" s="1732"/>
      <c r="B97" s="1732"/>
      <c r="C97" s="1776"/>
      <c r="D97" s="1732"/>
      <c r="E97" s="1732"/>
      <c r="F97" s="1732"/>
      <c r="G97" s="1732"/>
      <c r="H97" s="1732"/>
      <c r="I97" s="1732"/>
      <c r="J97" s="1732"/>
      <c r="K97" s="1732"/>
      <c r="L97" s="1732"/>
      <c r="M97" s="1732"/>
      <c r="N97" s="1732"/>
      <c r="O97" s="1732"/>
      <c r="P97" s="1732"/>
      <c r="Q97" s="1732"/>
      <c r="R97" s="1732"/>
      <c r="S97" s="1732"/>
      <c r="T97" s="1732"/>
      <c r="U97" s="1732"/>
      <c r="V97" s="1732"/>
      <c r="W97" s="1732"/>
      <c r="X97" s="1732"/>
      <c r="Y97" s="1732"/>
      <c r="Z97" s="1732"/>
    </row>
    <row r="98" spans="1:26" ht="18" customHeight="1">
      <c r="A98" s="1732"/>
      <c r="B98" s="1732"/>
      <c r="C98" s="1776"/>
      <c r="D98" s="1732"/>
      <c r="E98" s="1732"/>
      <c r="F98" s="1732"/>
      <c r="G98" s="1732"/>
      <c r="H98" s="1732"/>
      <c r="I98" s="1732"/>
      <c r="J98" s="1732"/>
      <c r="K98" s="1732"/>
      <c r="L98" s="1732"/>
      <c r="M98" s="1732"/>
      <c r="N98" s="1732"/>
      <c r="O98" s="1732"/>
      <c r="P98" s="1732"/>
      <c r="Q98" s="1732"/>
      <c r="R98" s="1732"/>
      <c r="S98" s="1732"/>
      <c r="T98" s="1732"/>
      <c r="U98" s="1732"/>
      <c r="V98" s="1732"/>
      <c r="W98" s="1732"/>
      <c r="X98" s="1732"/>
      <c r="Y98" s="1732"/>
      <c r="Z98" s="1732"/>
    </row>
    <row r="99" spans="1:26" ht="18" customHeight="1">
      <c r="A99" s="1732"/>
      <c r="B99" s="1732"/>
      <c r="C99" s="1776"/>
      <c r="D99" s="1732"/>
      <c r="E99" s="1732"/>
      <c r="F99" s="1732"/>
      <c r="G99" s="1732"/>
      <c r="H99" s="1732"/>
      <c r="I99" s="1732"/>
      <c r="J99" s="1732"/>
      <c r="K99" s="1732"/>
      <c r="L99" s="1732"/>
      <c r="M99" s="1732"/>
      <c r="N99" s="1732"/>
      <c r="O99" s="1732"/>
      <c r="P99" s="1732"/>
      <c r="Q99" s="1732"/>
      <c r="R99" s="1732"/>
      <c r="S99" s="1732"/>
      <c r="T99" s="1732"/>
      <c r="U99" s="1732"/>
      <c r="V99" s="1732"/>
      <c r="W99" s="1732"/>
      <c r="X99" s="1732"/>
      <c r="Y99" s="1732"/>
      <c r="Z99" s="1732"/>
    </row>
    <row r="100" spans="1:26" ht="18" customHeight="1">
      <c r="A100" s="1732"/>
      <c r="B100" s="1732"/>
      <c r="C100" s="1776"/>
      <c r="D100" s="1732"/>
      <c r="E100" s="1732"/>
      <c r="F100" s="1732"/>
      <c r="G100" s="1732"/>
      <c r="H100" s="1732"/>
      <c r="I100" s="1732"/>
      <c r="J100" s="1732"/>
      <c r="K100" s="1732"/>
      <c r="L100" s="1732"/>
      <c r="M100" s="1732"/>
      <c r="N100" s="1732"/>
      <c r="O100" s="1732"/>
      <c r="P100" s="1732"/>
      <c r="Q100" s="1732"/>
      <c r="R100" s="1732"/>
      <c r="S100" s="1732"/>
      <c r="T100" s="1732"/>
      <c r="U100" s="1732"/>
      <c r="V100" s="1732"/>
      <c r="W100" s="1732"/>
      <c r="X100" s="1732"/>
      <c r="Y100" s="1732"/>
      <c r="Z100" s="1732"/>
    </row>
    <row r="101" spans="1:26" ht="18" customHeight="1">
      <c r="A101" s="1732"/>
      <c r="B101" s="1732"/>
      <c r="C101" s="1776"/>
      <c r="D101" s="1732"/>
      <c r="E101" s="1732"/>
      <c r="F101" s="1732"/>
      <c r="G101" s="1732"/>
      <c r="H101" s="1732"/>
      <c r="I101" s="1732"/>
      <c r="J101" s="1732"/>
      <c r="K101" s="1732"/>
      <c r="L101" s="1732"/>
      <c r="M101" s="1732"/>
      <c r="N101" s="1732"/>
      <c r="O101" s="1732"/>
      <c r="P101" s="1732"/>
      <c r="Q101" s="1732"/>
      <c r="R101" s="1732"/>
      <c r="S101" s="1732"/>
      <c r="T101" s="1732"/>
      <c r="U101" s="1732"/>
      <c r="V101" s="1732"/>
      <c r="W101" s="1732"/>
      <c r="X101" s="1732"/>
      <c r="Y101" s="1732"/>
      <c r="Z101" s="1732"/>
    </row>
    <row r="102" spans="1:26" ht="18" customHeight="1">
      <c r="A102" s="1732"/>
      <c r="B102" s="1732"/>
      <c r="C102" s="1776"/>
      <c r="D102" s="1732"/>
      <c r="E102" s="1732"/>
      <c r="F102" s="1732"/>
      <c r="G102" s="1732"/>
      <c r="H102" s="1732"/>
      <c r="I102" s="1732"/>
      <c r="J102" s="1732"/>
      <c r="K102" s="1732"/>
      <c r="L102" s="1732"/>
      <c r="M102" s="1732"/>
      <c r="N102" s="1732"/>
      <c r="O102" s="1732"/>
      <c r="P102" s="1732"/>
      <c r="Q102" s="1732"/>
      <c r="R102" s="1732"/>
      <c r="S102" s="1732"/>
      <c r="T102" s="1732"/>
      <c r="U102" s="1732"/>
      <c r="V102" s="1732"/>
      <c r="W102" s="1732"/>
      <c r="X102" s="1732"/>
      <c r="Y102" s="1732"/>
      <c r="Z102" s="1732"/>
    </row>
    <row r="103" spans="1:26" ht="18" customHeight="1">
      <c r="A103" s="1732"/>
      <c r="B103" s="1732"/>
      <c r="C103" s="1776"/>
      <c r="D103" s="1732"/>
      <c r="E103" s="1732"/>
      <c r="F103" s="1732"/>
      <c r="G103" s="1732"/>
      <c r="H103" s="1732"/>
      <c r="I103" s="1732"/>
      <c r="J103" s="1732"/>
      <c r="K103" s="1732"/>
      <c r="L103" s="1732"/>
      <c r="M103" s="1732"/>
      <c r="N103" s="1732"/>
      <c r="O103" s="1732"/>
      <c r="P103" s="1732"/>
      <c r="Q103" s="1732"/>
      <c r="R103" s="1732"/>
      <c r="S103" s="1732"/>
      <c r="T103" s="1732"/>
      <c r="U103" s="1732"/>
      <c r="V103" s="1732"/>
      <c r="W103" s="1732"/>
      <c r="X103" s="1732"/>
      <c r="Y103" s="1732"/>
      <c r="Z103" s="1732"/>
    </row>
    <row r="104" spans="1:26" ht="18" customHeight="1">
      <c r="A104" s="1732"/>
      <c r="B104" s="1732"/>
      <c r="C104" s="1776"/>
      <c r="D104" s="1732"/>
      <c r="E104" s="1732"/>
      <c r="F104" s="1732"/>
      <c r="G104" s="1732"/>
      <c r="H104" s="1732"/>
      <c r="I104" s="1732"/>
      <c r="J104" s="1732"/>
      <c r="K104" s="1732"/>
      <c r="L104" s="1732"/>
      <c r="M104" s="1732"/>
      <c r="N104" s="1732"/>
      <c r="O104" s="1732"/>
      <c r="P104" s="1732"/>
      <c r="Q104" s="1732"/>
      <c r="R104" s="1732"/>
      <c r="S104" s="1732"/>
      <c r="T104" s="1732"/>
      <c r="U104" s="1732"/>
      <c r="V104" s="1732"/>
      <c r="W104" s="1732"/>
      <c r="X104" s="1732"/>
      <c r="Y104" s="1732"/>
      <c r="Z104" s="1732"/>
    </row>
    <row r="105" spans="1:26" ht="18" customHeight="1">
      <c r="A105" s="1732"/>
      <c r="B105" s="1732"/>
      <c r="C105" s="1776"/>
      <c r="D105" s="1732"/>
      <c r="E105" s="1732"/>
      <c r="F105" s="1732"/>
      <c r="G105" s="1732"/>
      <c r="H105" s="1732"/>
      <c r="I105" s="1732"/>
      <c r="J105" s="1732"/>
      <c r="K105" s="1732"/>
      <c r="L105" s="1732"/>
      <c r="M105" s="1732"/>
      <c r="N105" s="1732"/>
      <c r="O105" s="1732"/>
      <c r="P105" s="1732"/>
      <c r="Q105" s="1732"/>
      <c r="R105" s="1732"/>
      <c r="S105" s="1732"/>
      <c r="T105" s="1732"/>
      <c r="U105" s="1732"/>
      <c r="V105" s="1732"/>
      <c r="W105" s="1732"/>
      <c r="X105" s="1732"/>
      <c r="Y105" s="1732"/>
      <c r="Z105" s="1732"/>
    </row>
    <row r="106" spans="1:26" ht="18" customHeight="1">
      <c r="A106" s="1732"/>
      <c r="B106" s="1732"/>
      <c r="C106" s="1776"/>
      <c r="D106" s="1732"/>
      <c r="E106" s="1732"/>
      <c r="F106" s="1732"/>
      <c r="G106" s="1732"/>
      <c r="H106" s="1732"/>
      <c r="I106" s="1732"/>
      <c r="J106" s="1732"/>
      <c r="K106" s="1732"/>
      <c r="L106" s="1732"/>
      <c r="M106" s="1732"/>
      <c r="N106" s="1732"/>
      <c r="O106" s="1732"/>
      <c r="P106" s="1732"/>
      <c r="Q106" s="1732"/>
      <c r="R106" s="1732"/>
      <c r="S106" s="1732"/>
      <c r="T106" s="1732"/>
      <c r="U106" s="1732"/>
      <c r="V106" s="1732"/>
      <c r="W106" s="1732"/>
      <c r="X106" s="1732"/>
      <c r="Y106" s="1732"/>
      <c r="Z106" s="1732"/>
    </row>
    <row r="107" spans="1:26" ht="18" customHeight="1">
      <c r="A107" s="1732"/>
      <c r="B107" s="1732"/>
      <c r="C107" s="1776"/>
      <c r="D107" s="1732"/>
      <c r="E107" s="1732"/>
      <c r="F107" s="1732"/>
      <c r="G107" s="1732"/>
      <c r="H107" s="1732"/>
      <c r="I107" s="1732"/>
      <c r="J107" s="1732"/>
      <c r="K107" s="1732"/>
      <c r="L107" s="1732"/>
      <c r="M107" s="1732"/>
      <c r="N107" s="1732"/>
      <c r="O107" s="1732"/>
      <c r="P107" s="1732"/>
      <c r="Q107" s="1732"/>
      <c r="R107" s="1732"/>
      <c r="S107" s="1732"/>
      <c r="T107" s="1732"/>
      <c r="U107" s="1732"/>
      <c r="V107" s="1732"/>
      <c r="W107" s="1732"/>
      <c r="X107" s="1732"/>
      <c r="Y107" s="1732"/>
      <c r="Z107" s="1732"/>
    </row>
    <row r="108" spans="1:26" ht="18" customHeight="1">
      <c r="A108" s="1732"/>
      <c r="B108" s="1732"/>
      <c r="C108" s="1776"/>
      <c r="D108" s="1732"/>
      <c r="E108" s="1732"/>
      <c r="F108" s="1732"/>
      <c r="G108" s="1732"/>
      <c r="H108" s="1732"/>
      <c r="I108" s="1732"/>
      <c r="J108" s="1732"/>
      <c r="K108" s="1732"/>
      <c r="L108" s="1732"/>
      <c r="M108" s="1732"/>
      <c r="N108" s="1732"/>
      <c r="O108" s="1732"/>
      <c r="P108" s="1732"/>
      <c r="Q108" s="1732"/>
      <c r="R108" s="1732"/>
      <c r="S108" s="1732"/>
      <c r="T108" s="1732"/>
      <c r="U108" s="1732"/>
      <c r="V108" s="1732"/>
      <c r="W108" s="1732"/>
      <c r="X108" s="1732"/>
      <c r="Y108" s="1732"/>
      <c r="Z108" s="1732"/>
    </row>
    <row r="109" spans="1:26" ht="18" customHeight="1">
      <c r="A109" s="1732"/>
      <c r="B109" s="1732"/>
      <c r="C109" s="1776"/>
      <c r="D109" s="1732"/>
      <c r="E109" s="1732"/>
      <c r="F109" s="1732"/>
      <c r="G109" s="1732"/>
      <c r="H109" s="1732"/>
      <c r="I109" s="1732"/>
      <c r="J109" s="1732"/>
      <c r="K109" s="1732"/>
      <c r="L109" s="1732"/>
      <c r="M109" s="1732"/>
      <c r="N109" s="1732"/>
      <c r="O109" s="1732"/>
      <c r="P109" s="1732"/>
      <c r="Q109" s="1732"/>
      <c r="R109" s="1732"/>
      <c r="S109" s="1732"/>
      <c r="T109" s="1732"/>
      <c r="U109" s="1732"/>
      <c r="V109" s="1732"/>
      <c r="W109" s="1732"/>
      <c r="X109" s="1732"/>
      <c r="Y109" s="1732"/>
      <c r="Z109" s="1732"/>
    </row>
    <row r="110" spans="1:26" ht="18" customHeight="1">
      <c r="A110" s="1732"/>
      <c r="B110" s="1732"/>
      <c r="C110" s="1776"/>
      <c r="D110" s="1732"/>
      <c r="E110" s="1732"/>
      <c r="F110" s="1732"/>
      <c r="G110" s="1732"/>
      <c r="H110" s="1732"/>
      <c r="I110" s="1732"/>
      <c r="J110" s="1732"/>
      <c r="K110" s="1732"/>
      <c r="L110" s="1732"/>
      <c r="M110" s="1732"/>
      <c r="N110" s="1732"/>
      <c r="O110" s="1732"/>
      <c r="P110" s="1732"/>
      <c r="Q110" s="1732"/>
      <c r="R110" s="1732"/>
      <c r="S110" s="1732"/>
      <c r="T110" s="1732"/>
      <c r="U110" s="1732"/>
      <c r="V110" s="1732"/>
      <c r="W110" s="1732"/>
      <c r="X110" s="1732"/>
      <c r="Y110" s="1732"/>
      <c r="Z110" s="1732"/>
    </row>
    <row r="111" spans="1:26" ht="18" customHeight="1">
      <c r="A111" s="1732"/>
      <c r="B111" s="1732"/>
      <c r="C111" s="1776"/>
      <c r="D111" s="1732"/>
      <c r="E111" s="1732"/>
      <c r="F111" s="1732"/>
      <c r="G111" s="1732"/>
      <c r="H111" s="1732"/>
      <c r="I111" s="1732"/>
      <c r="J111" s="1732"/>
      <c r="K111" s="1732"/>
      <c r="L111" s="1732"/>
      <c r="M111" s="1732"/>
      <c r="N111" s="1732"/>
      <c r="O111" s="1732"/>
      <c r="P111" s="1732"/>
      <c r="Q111" s="1732"/>
      <c r="R111" s="1732"/>
      <c r="S111" s="1732"/>
      <c r="T111" s="1732"/>
      <c r="U111" s="1732"/>
      <c r="V111" s="1732"/>
      <c r="W111" s="1732"/>
      <c r="X111" s="1732"/>
      <c r="Y111" s="1732"/>
      <c r="Z111" s="1732"/>
    </row>
    <row r="112" spans="1:26" ht="18" customHeight="1">
      <c r="A112" s="1732"/>
      <c r="B112" s="1732"/>
      <c r="C112" s="1776"/>
      <c r="D112" s="1732"/>
      <c r="E112" s="1732"/>
      <c r="F112" s="1732"/>
      <c r="G112" s="1732"/>
      <c r="H112" s="1732"/>
      <c r="I112" s="1732"/>
      <c r="J112" s="1732"/>
      <c r="K112" s="1732"/>
      <c r="L112" s="1732"/>
      <c r="M112" s="1732"/>
      <c r="N112" s="1732"/>
      <c r="O112" s="1732"/>
      <c r="P112" s="1732"/>
      <c r="Q112" s="1732"/>
      <c r="R112" s="1732"/>
      <c r="S112" s="1732"/>
      <c r="T112" s="1732"/>
      <c r="U112" s="1732"/>
      <c r="V112" s="1732"/>
      <c r="W112" s="1732"/>
      <c r="X112" s="1732"/>
      <c r="Y112" s="1732"/>
      <c r="Z112" s="1732"/>
    </row>
    <row r="113" spans="1:26" ht="18" customHeight="1">
      <c r="A113" s="1732"/>
      <c r="B113" s="1732"/>
      <c r="C113" s="1776"/>
      <c r="D113" s="1732"/>
      <c r="E113" s="1732"/>
      <c r="F113" s="1732"/>
      <c r="G113" s="1732"/>
      <c r="H113" s="1732"/>
      <c r="I113" s="1732"/>
      <c r="J113" s="1732"/>
      <c r="K113" s="1732"/>
      <c r="L113" s="1732"/>
      <c r="M113" s="1732"/>
      <c r="N113" s="1732"/>
      <c r="O113" s="1732"/>
      <c r="P113" s="1732"/>
      <c r="Q113" s="1732"/>
      <c r="R113" s="1732"/>
      <c r="S113" s="1732"/>
      <c r="T113" s="1732"/>
      <c r="U113" s="1732"/>
      <c r="V113" s="1732"/>
      <c r="W113" s="1732"/>
      <c r="X113" s="1732"/>
      <c r="Y113" s="1732"/>
      <c r="Z113" s="1732"/>
    </row>
    <row r="114" spans="1:26" ht="18" customHeight="1">
      <c r="A114" s="1732"/>
      <c r="B114" s="1732"/>
      <c r="C114" s="1776"/>
      <c r="D114" s="1732"/>
      <c r="E114" s="1732"/>
      <c r="F114" s="1732"/>
      <c r="G114" s="1732"/>
      <c r="H114" s="1732"/>
      <c r="I114" s="1732"/>
      <c r="J114" s="1732"/>
      <c r="K114" s="1732"/>
      <c r="L114" s="1732"/>
      <c r="M114" s="1732"/>
      <c r="N114" s="1732"/>
      <c r="O114" s="1732"/>
      <c r="P114" s="1732"/>
      <c r="Q114" s="1732"/>
      <c r="R114" s="1732"/>
      <c r="S114" s="1732"/>
      <c r="T114" s="1732"/>
      <c r="U114" s="1732"/>
      <c r="V114" s="1732"/>
      <c r="W114" s="1732"/>
      <c r="X114" s="1732"/>
      <c r="Y114" s="1732"/>
      <c r="Z114" s="1732"/>
    </row>
    <row r="115" spans="1:26" ht="18" customHeight="1">
      <c r="A115" s="1732"/>
      <c r="B115" s="1732"/>
      <c r="C115" s="1776"/>
      <c r="D115" s="1732"/>
      <c r="E115" s="1732"/>
      <c r="F115" s="1732"/>
      <c r="G115" s="1732"/>
      <c r="H115" s="1732"/>
      <c r="I115" s="1732"/>
      <c r="J115" s="1732"/>
      <c r="K115" s="1732"/>
      <c r="L115" s="1732"/>
      <c r="M115" s="1732"/>
      <c r="N115" s="1732"/>
      <c r="O115" s="1732"/>
      <c r="P115" s="1732"/>
      <c r="Q115" s="1732"/>
      <c r="R115" s="1732"/>
      <c r="S115" s="1732"/>
      <c r="T115" s="1732"/>
      <c r="U115" s="1732"/>
      <c r="V115" s="1732"/>
      <c r="W115" s="1732"/>
      <c r="X115" s="1732"/>
      <c r="Y115" s="1732"/>
      <c r="Z115" s="1732"/>
    </row>
    <row r="116" spans="1:26" ht="18" customHeight="1">
      <c r="A116" s="1732"/>
      <c r="B116" s="1732"/>
      <c r="C116" s="1776"/>
      <c r="D116" s="1732"/>
      <c r="E116" s="1732"/>
      <c r="F116" s="1732"/>
      <c r="G116" s="1732"/>
      <c r="H116" s="1732"/>
      <c r="I116" s="1732"/>
      <c r="J116" s="1732"/>
      <c r="K116" s="1732"/>
      <c r="L116" s="1732"/>
      <c r="M116" s="1732"/>
      <c r="N116" s="1732"/>
      <c r="O116" s="1732"/>
      <c r="P116" s="1732"/>
      <c r="Q116" s="1732"/>
      <c r="R116" s="1732"/>
      <c r="S116" s="1732"/>
      <c r="T116" s="1732"/>
      <c r="U116" s="1732"/>
      <c r="V116" s="1732"/>
      <c r="W116" s="1732"/>
      <c r="X116" s="1732"/>
      <c r="Y116" s="1732"/>
      <c r="Z116" s="1732"/>
    </row>
    <row r="117" spans="1:26" ht="18" customHeight="1">
      <c r="A117" s="1732"/>
      <c r="B117" s="1732"/>
      <c r="C117" s="1776"/>
      <c r="D117" s="1732"/>
      <c r="E117" s="1732"/>
      <c r="F117" s="1732"/>
      <c r="G117" s="1732"/>
      <c r="H117" s="1732"/>
      <c r="I117" s="1732"/>
      <c r="J117" s="1732"/>
      <c r="K117" s="1732"/>
      <c r="L117" s="1732"/>
      <c r="M117" s="1732"/>
      <c r="N117" s="1732"/>
      <c r="O117" s="1732"/>
      <c r="P117" s="1732"/>
      <c r="Q117" s="1732"/>
      <c r="R117" s="1732"/>
      <c r="S117" s="1732"/>
      <c r="T117" s="1732"/>
      <c r="U117" s="1732"/>
      <c r="V117" s="1732"/>
      <c r="W117" s="1732"/>
      <c r="X117" s="1732"/>
      <c r="Y117" s="1732"/>
      <c r="Z117" s="1732"/>
    </row>
    <row r="118" spans="1:26" ht="18" customHeight="1">
      <c r="A118" s="1732"/>
      <c r="B118" s="1732"/>
      <c r="C118" s="1776"/>
      <c r="D118" s="1732"/>
      <c r="E118" s="1732"/>
      <c r="F118" s="1732"/>
      <c r="G118" s="1732"/>
      <c r="H118" s="1732"/>
      <c r="I118" s="1732"/>
      <c r="J118" s="1732"/>
      <c r="K118" s="1732"/>
      <c r="L118" s="1732"/>
      <c r="M118" s="1732"/>
      <c r="N118" s="1732"/>
      <c r="O118" s="1732"/>
      <c r="P118" s="1732"/>
      <c r="Q118" s="1732"/>
      <c r="R118" s="1732"/>
      <c r="S118" s="1732"/>
      <c r="T118" s="1732"/>
      <c r="U118" s="1732"/>
      <c r="V118" s="1732"/>
      <c r="W118" s="1732"/>
      <c r="X118" s="1732"/>
      <c r="Y118" s="1732"/>
      <c r="Z118" s="1732"/>
    </row>
    <row r="119" spans="1:26" ht="18" customHeight="1">
      <c r="A119" s="1732"/>
      <c r="B119" s="1732"/>
      <c r="C119" s="1776"/>
      <c r="D119" s="1732"/>
      <c r="E119" s="1732"/>
      <c r="F119" s="1732"/>
      <c r="G119" s="1732"/>
      <c r="H119" s="1732"/>
      <c r="I119" s="1732"/>
      <c r="J119" s="1732"/>
      <c r="K119" s="1732"/>
      <c r="L119" s="1732"/>
      <c r="M119" s="1732"/>
      <c r="N119" s="1732"/>
      <c r="O119" s="1732"/>
      <c r="P119" s="1732"/>
      <c r="Q119" s="1732"/>
      <c r="R119" s="1732"/>
      <c r="S119" s="1732"/>
      <c r="T119" s="1732"/>
      <c r="U119" s="1732"/>
      <c r="V119" s="1732"/>
      <c r="W119" s="1732"/>
      <c r="X119" s="1732"/>
      <c r="Y119" s="1732"/>
      <c r="Z119" s="1732"/>
    </row>
    <row r="120" spans="1:26" ht="18" customHeight="1">
      <c r="A120" s="1732"/>
      <c r="B120" s="1732"/>
      <c r="C120" s="1776"/>
      <c r="D120" s="1732"/>
      <c r="E120" s="1732"/>
      <c r="F120" s="1732"/>
      <c r="G120" s="1732"/>
      <c r="H120" s="1732"/>
      <c r="I120" s="1732"/>
      <c r="J120" s="1732"/>
      <c r="K120" s="1732"/>
      <c r="L120" s="1732"/>
      <c r="M120" s="1732"/>
      <c r="N120" s="1732"/>
      <c r="O120" s="1732"/>
      <c r="P120" s="1732"/>
      <c r="Q120" s="1732"/>
      <c r="R120" s="1732"/>
      <c r="S120" s="1732"/>
      <c r="T120" s="1732"/>
      <c r="U120" s="1732"/>
      <c r="V120" s="1732"/>
      <c r="W120" s="1732"/>
      <c r="X120" s="1732"/>
      <c r="Y120" s="1732"/>
      <c r="Z120" s="1732"/>
    </row>
    <row r="121" spans="1:26" ht="18" customHeight="1">
      <c r="A121" s="1732"/>
      <c r="B121" s="1732"/>
      <c r="C121" s="1776"/>
      <c r="D121" s="1732"/>
      <c r="E121" s="1732"/>
      <c r="F121" s="1732"/>
      <c r="G121" s="1732"/>
      <c r="H121" s="1732"/>
      <c r="I121" s="1732"/>
      <c r="J121" s="1732"/>
      <c r="K121" s="1732"/>
      <c r="L121" s="1732"/>
      <c r="M121" s="1732"/>
      <c r="N121" s="1732"/>
      <c r="O121" s="1732"/>
      <c r="P121" s="1732"/>
      <c r="Q121" s="1732"/>
      <c r="R121" s="1732"/>
      <c r="S121" s="1732"/>
      <c r="T121" s="1732"/>
      <c r="U121" s="1732"/>
      <c r="V121" s="1732"/>
      <c r="W121" s="1732"/>
      <c r="X121" s="1732"/>
      <c r="Y121" s="1732"/>
      <c r="Z121" s="1732"/>
    </row>
    <row r="122" spans="1:26" ht="18" customHeight="1">
      <c r="A122" s="1732"/>
      <c r="B122" s="1732"/>
      <c r="C122" s="1776"/>
      <c r="D122" s="1732"/>
      <c r="E122" s="1732"/>
      <c r="F122" s="1732"/>
      <c r="G122" s="1732"/>
      <c r="H122" s="1732"/>
      <c r="I122" s="1732"/>
      <c r="J122" s="1732"/>
      <c r="K122" s="1732"/>
      <c r="L122" s="1732"/>
      <c r="M122" s="1732"/>
      <c r="N122" s="1732"/>
      <c r="O122" s="1732"/>
      <c r="P122" s="1732"/>
      <c r="Q122" s="1732"/>
      <c r="R122" s="1732"/>
      <c r="S122" s="1732"/>
      <c r="T122" s="1732"/>
      <c r="U122" s="1732"/>
      <c r="V122" s="1732"/>
      <c r="W122" s="1732"/>
      <c r="X122" s="1732"/>
      <c r="Y122" s="1732"/>
      <c r="Z122" s="1732"/>
    </row>
    <row r="123" spans="1:26" ht="18" customHeight="1">
      <c r="A123" s="1732"/>
      <c r="B123" s="1732"/>
      <c r="C123" s="1776"/>
      <c r="D123" s="1732"/>
      <c r="E123" s="1732"/>
      <c r="F123" s="1732"/>
      <c r="G123" s="1732"/>
      <c r="H123" s="1732"/>
      <c r="I123" s="1732"/>
      <c r="J123" s="1732"/>
      <c r="K123" s="1732"/>
      <c r="L123" s="1732"/>
      <c r="M123" s="1732"/>
      <c r="N123" s="1732"/>
      <c r="O123" s="1732"/>
      <c r="P123" s="1732"/>
      <c r="Q123" s="1732"/>
      <c r="R123" s="1732"/>
      <c r="S123" s="1732"/>
      <c r="T123" s="1732"/>
      <c r="U123" s="1732"/>
      <c r="V123" s="1732"/>
      <c r="W123" s="1732"/>
      <c r="X123" s="1732"/>
      <c r="Y123" s="1732"/>
      <c r="Z123" s="1732"/>
    </row>
    <row r="124" spans="1:26" ht="18" customHeight="1">
      <c r="A124" s="1732"/>
      <c r="B124" s="1732"/>
      <c r="C124" s="1776"/>
      <c r="D124" s="1732"/>
      <c r="E124" s="1732"/>
      <c r="F124" s="1732"/>
      <c r="G124" s="1732"/>
      <c r="H124" s="1732"/>
      <c r="I124" s="1732"/>
      <c r="J124" s="1732"/>
      <c r="K124" s="1732"/>
      <c r="L124" s="1732"/>
      <c r="M124" s="1732"/>
      <c r="N124" s="1732"/>
      <c r="O124" s="1732"/>
      <c r="P124" s="1732"/>
      <c r="Q124" s="1732"/>
      <c r="R124" s="1732"/>
      <c r="S124" s="1732"/>
      <c r="T124" s="1732"/>
      <c r="U124" s="1732"/>
      <c r="V124" s="1732"/>
      <c r="W124" s="1732"/>
      <c r="X124" s="1732"/>
      <c r="Y124" s="1732"/>
      <c r="Z124" s="1732"/>
    </row>
    <row r="125" spans="1:26" ht="18" customHeight="1">
      <c r="A125" s="1732"/>
      <c r="B125" s="1732"/>
      <c r="C125" s="1776"/>
      <c r="D125" s="1732"/>
      <c r="E125" s="1732"/>
      <c r="F125" s="1732"/>
      <c r="G125" s="1732"/>
      <c r="H125" s="1732"/>
      <c r="I125" s="1732"/>
      <c r="J125" s="1732"/>
      <c r="K125" s="1732"/>
      <c r="L125" s="1732"/>
      <c r="M125" s="1732"/>
      <c r="N125" s="1732"/>
      <c r="O125" s="1732"/>
      <c r="P125" s="1732"/>
      <c r="Q125" s="1732"/>
      <c r="R125" s="1732"/>
      <c r="S125" s="1732"/>
      <c r="T125" s="1732"/>
      <c r="U125" s="1732"/>
      <c r="V125" s="1732"/>
      <c r="W125" s="1732"/>
      <c r="X125" s="1732"/>
      <c r="Y125" s="1732"/>
      <c r="Z125" s="1732"/>
    </row>
    <row r="126" spans="1:26" ht="18" customHeight="1">
      <c r="A126" s="1732"/>
      <c r="B126" s="1732"/>
      <c r="C126" s="1776"/>
      <c r="D126" s="1732"/>
      <c r="E126" s="1732"/>
      <c r="F126" s="1732"/>
      <c r="G126" s="1732"/>
      <c r="H126" s="1732"/>
      <c r="I126" s="1732"/>
      <c r="J126" s="1732"/>
      <c r="K126" s="1732"/>
      <c r="L126" s="1732"/>
      <c r="M126" s="1732"/>
      <c r="N126" s="1732"/>
      <c r="O126" s="1732"/>
      <c r="P126" s="1732"/>
      <c r="Q126" s="1732"/>
      <c r="R126" s="1732"/>
      <c r="S126" s="1732"/>
      <c r="T126" s="1732"/>
      <c r="U126" s="1732"/>
      <c r="V126" s="1732"/>
      <c r="W126" s="1732"/>
      <c r="X126" s="1732"/>
      <c r="Y126" s="1732"/>
      <c r="Z126" s="1732"/>
    </row>
    <row r="127" spans="1:26" ht="18" customHeight="1">
      <c r="A127" s="1732"/>
      <c r="B127" s="1732"/>
      <c r="C127" s="1776"/>
      <c r="D127" s="1732"/>
      <c r="E127" s="1732"/>
      <c r="F127" s="1732"/>
      <c r="G127" s="1732"/>
      <c r="H127" s="1732"/>
      <c r="I127" s="1732"/>
      <c r="J127" s="1732"/>
      <c r="K127" s="1732"/>
      <c r="L127" s="1732"/>
      <c r="M127" s="1732"/>
      <c r="N127" s="1732"/>
      <c r="O127" s="1732"/>
      <c r="P127" s="1732"/>
      <c r="Q127" s="1732"/>
      <c r="R127" s="1732"/>
      <c r="S127" s="1732"/>
      <c r="T127" s="1732"/>
      <c r="U127" s="1732"/>
      <c r="V127" s="1732"/>
      <c r="W127" s="1732"/>
      <c r="X127" s="1732"/>
      <c r="Y127" s="1732"/>
      <c r="Z127" s="1732"/>
    </row>
    <row r="128" spans="1:26" ht="18" customHeight="1">
      <c r="A128" s="1732"/>
      <c r="B128" s="1732"/>
      <c r="C128" s="1776"/>
      <c r="D128" s="1732"/>
      <c r="E128" s="1732"/>
      <c r="F128" s="1732"/>
      <c r="G128" s="1732"/>
      <c r="H128" s="1732"/>
      <c r="I128" s="1732"/>
      <c r="J128" s="1732"/>
      <c r="K128" s="1732"/>
      <c r="L128" s="1732"/>
      <c r="M128" s="1732"/>
      <c r="N128" s="1732"/>
      <c r="O128" s="1732"/>
      <c r="P128" s="1732"/>
      <c r="Q128" s="1732"/>
      <c r="R128" s="1732"/>
      <c r="S128" s="1732"/>
      <c r="T128" s="1732"/>
      <c r="U128" s="1732"/>
      <c r="V128" s="1732"/>
      <c r="W128" s="1732"/>
      <c r="X128" s="1732"/>
      <c r="Y128" s="1732"/>
      <c r="Z128" s="1732"/>
    </row>
    <row r="129" spans="1:26" ht="18" customHeight="1">
      <c r="A129" s="1732"/>
      <c r="B129" s="1732"/>
      <c r="C129" s="1776"/>
      <c r="D129" s="1732"/>
      <c r="E129" s="1732"/>
      <c r="F129" s="1732"/>
      <c r="G129" s="1732"/>
      <c r="H129" s="1732"/>
      <c r="I129" s="1732"/>
      <c r="J129" s="1732"/>
      <c r="K129" s="1732"/>
      <c r="L129" s="1732"/>
      <c r="M129" s="1732"/>
      <c r="N129" s="1732"/>
      <c r="O129" s="1732"/>
      <c r="P129" s="1732"/>
      <c r="Q129" s="1732"/>
      <c r="R129" s="1732"/>
      <c r="S129" s="1732"/>
      <c r="T129" s="1732"/>
      <c r="U129" s="1732"/>
      <c r="V129" s="1732"/>
      <c r="W129" s="1732"/>
      <c r="X129" s="1732"/>
      <c r="Y129" s="1732"/>
      <c r="Z129" s="1732"/>
    </row>
    <row r="130" spans="1:26" ht="18" customHeight="1">
      <c r="A130" s="1732"/>
      <c r="B130" s="1732"/>
      <c r="C130" s="1776"/>
      <c r="D130" s="1732"/>
      <c r="E130" s="1732"/>
      <c r="F130" s="1732"/>
      <c r="G130" s="1732"/>
      <c r="H130" s="1732"/>
      <c r="I130" s="1732"/>
      <c r="J130" s="1732"/>
      <c r="K130" s="1732"/>
      <c r="L130" s="1732"/>
      <c r="M130" s="1732"/>
      <c r="N130" s="1732"/>
      <c r="O130" s="1732"/>
      <c r="P130" s="1732"/>
      <c r="Q130" s="1732"/>
      <c r="R130" s="1732"/>
      <c r="S130" s="1732"/>
      <c r="T130" s="1732"/>
      <c r="U130" s="1732"/>
      <c r="V130" s="1732"/>
      <c r="W130" s="1732"/>
      <c r="X130" s="1732"/>
      <c r="Y130" s="1732"/>
      <c r="Z130" s="1732"/>
    </row>
    <row r="131" spans="1:26" ht="18" customHeight="1">
      <c r="A131" s="1732"/>
      <c r="B131" s="1732"/>
      <c r="C131" s="1776"/>
      <c r="D131" s="1732"/>
      <c r="E131" s="1732"/>
      <c r="F131" s="1732"/>
      <c r="G131" s="1732"/>
      <c r="H131" s="1732"/>
      <c r="I131" s="1732"/>
      <c r="J131" s="1732"/>
      <c r="K131" s="1732"/>
      <c r="L131" s="1732"/>
      <c r="M131" s="1732"/>
      <c r="N131" s="1732"/>
      <c r="O131" s="1732"/>
      <c r="P131" s="1732"/>
      <c r="Q131" s="1732"/>
      <c r="R131" s="1732"/>
      <c r="S131" s="1732"/>
      <c r="T131" s="1732"/>
      <c r="U131" s="1732"/>
      <c r="V131" s="1732"/>
      <c r="W131" s="1732"/>
      <c r="X131" s="1732"/>
      <c r="Y131" s="1732"/>
      <c r="Z131" s="1732"/>
    </row>
    <row r="132" spans="1:26" ht="18" customHeight="1">
      <c r="A132" s="1732"/>
      <c r="B132" s="1732"/>
      <c r="C132" s="1776"/>
      <c r="D132" s="1732"/>
      <c r="E132" s="1732"/>
      <c r="F132" s="1732"/>
      <c r="G132" s="1732"/>
      <c r="H132" s="1732"/>
      <c r="I132" s="1732"/>
      <c r="J132" s="1732"/>
      <c r="K132" s="1732"/>
      <c r="L132" s="1732"/>
      <c r="M132" s="1732"/>
      <c r="N132" s="1732"/>
      <c r="O132" s="1732"/>
      <c r="P132" s="1732"/>
      <c r="Q132" s="1732"/>
      <c r="R132" s="1732"/>
      <c r="S132" s="1732"/>
      <c r="T132" s="1732"/>
      <c r="U132" s="1732"/>
      <c r="V132" s="1732"/>
      <c r="W132" s="1732"/>
      <c r="X132" s="1732"/>
      <c r="Y132" s="1732"/>
      <c r="Z132" s="1732"/>
    </row>
    <row r="133" spans="1:26" ht="18" customHeight="1">
      <c r="A133" s="1732"/>
      <c r="B133" s="1732"/>
      <c r="C133" s="1776"/>
      <c r="D133" s="1732"/>
      <c r="E133" s="1732"/>
      <c r="F133" s="1732"/>
      <c r="G133" s="1732"/>
      <c r="H133" s="1732"/>
      <c r="I133" s="1732"/>
      <c r="J133" s="1732"/>
      <c r="K133" s="1732"/>
      <c r="L133" s="1732"/>
      <c r="M133" s="1732"/>
      <c r="N133" s="1732"/>
      <c r="O133" s="1732"/>
      <c r="P133" s="1732"/>
      <c r="Q133" s="1732"/>
      <c r="R133" s="1732"/>
      <c r="S133" s="1732"/>
      <c r="T133" s="1732"/>
      <c r="U133" s="1732"/>
      <c r="V133" s="1732"/>
      <c r="W133" s="1732"/>
      <c r="X133" s="1732"/>
      <c r="Y133" s="1732"/>
      <c r="Z133" s="1732"/>
    </row>
    <row r="134" spans="1:26" ht="18" customHeight="1">
      <c r="A134" s="1732"/>
      <c r="B134" s="1732"/>
      <c r="C134" s="1776"/>
      <c r="D134" s="1732"/>
      <c r="E134" s="1732"/>
      <c r="F134" s="1732"/>
      <c r="G134" s="1732"/>
      <c r="H134" s="1732"/>
      <c r="I134" s="1732"/>
      <c r="J134" s="1732"/>
      <c r="K134" s="1732"/>
      <c r="L134" s="1732"/>
      <c r="M134" s="1732"/>
      <c r="N134" s="1732"/>
      <c r="O134" s="1732"/>
      <c r="P134" s="1732"/>
      <c r="Q134" s="1732"/>
      <c r="R134" s="1732"/>
      <c r="S134" s="1732"/>
      <c r="T134" s="1732"/>
      <c r="U134" s="1732"/>
      <c r="V134" s="1732"/>
      <c r="W134" s="1732"/>
      <c r="X134" s="1732"/>
      <c r="Y134" s="1732"/>
      <c r="Z134" s="1732"/>
    </row>
    <row r="135" spans="1:26" ht="18" customHeight="1">
      <c r="A135" s="1732"/>
      <c r="B135" s="1732"/>
      <c r="C135" s="1776"/>
      <c r="D135" s="1732"/>
      <c r="E135" s="1732"/>
      <c r="F135" s="1732"/>
      <c r="G135" s="1732"/>
      <c r="H135" s="1732"/>
      <c r="I135" s="1732"/>
      <c r="J135" s="1732"/>
      <c r="K135" s="1732"/>
      <c r="L135" s="1732"/>
      <c r="M135" s="1732"/>
      <c r="N135" s="1732"/>
      <c r="O135" s="1732"/>
      <c r="P135" s="1732"/>
      <c r="Q135" s="1732"/>
      <c r="R135" s="1732"/>
      <c r="S135" s="1732"/>
      <c r="T135" s="1732"/>
      <c r="U135" s="1732"/>
      <c r="V135" s="1732"/>
      <c r="W135" s="1732"/>
      <c r="X135" s="1732"/>
      <c r="Y135" s="1732"/>
      <c r="Z135" s="1732"/>
    </row>
    <row r="136" spans="1:26" ht="18" customHeight="1">
      <c r="A136" s="1732"/>
      <c r="B136" s="1732"/>
      <c r="C136" s="1776"/>
      <c r="D136" s="1732"/>
      <c r="E136" s="1732"/>
      <c r="F136" s="1732"/>
      <c r="G136" s="1732"/>
      <c r="H136" s="1732"/>
      <c r="I136" s="1732"/>
      <c r="J136" s="1732"/>
      <c r="K136" s="1732"/>
      <c r="L136" s="1732"/>
      <c r="M136" s="1732"/>
      <c r="N136" s="1732"/>
      <c r="O136" s="1732"/>
      <c r="P136" s="1732"/>
      <c r="Q136" s="1732"/>
      <c r="R136" s="1732"/>
      <c r="S136" s="1732"/>
      <c r="T136" s="1732"/>
      <c r="U136" s="1732"/>
      <c r="V136" s="1732"/>
      <c r="W136" s="1732"/>
      <c r="X136" s="1732"/>
      <c r="Y136" s="1732"/>
      <c r="Z136" s="1732"/>
    </row>
    <row r="137" spans="1:26" ht="18" customHeight="1">
      <c r="A137" s="1732"/>
      <c r="B137" s="1732"/>
      <c r="C137" s="1776"/>
      <c r="D137" s="1732"/>
      <c r="E137" s="1732"/>
      <c r="F137" s="1732"/>
      <c r="G137" s="1732"/>
      <c r="H137" s="1732"/>
      <c r="I137" s="1732"/>
      <c r="J137" s="1732"/>
      <c r="K137" s="1732"/>
      <c r="L137" s="1732"/>
      <c r="M137" s="1732"/>
      <c r="N137" s="1732"/>
      <c r="O137" s="1732"/>
      <c r="P137" s="1732"/>
      <c r="Q137" s="1732"/>
      <c r="R137" s="1732"/>
      <c r="S137" s="1732"/>
      <c r="T137" s="1732"/>
      <c r="U137" s="1732"/>
      <c r="V137" s="1732"/>
      <c r="W137" s="1732"/>
      <c r="X137" s="1732"/>
      <c r="Y137" s="1732"/>
      <c r="Z137" s="1732"/>
    </row>
    <row r="138" spans="1:26" ht="18" customHeight="1">
      <c r="A138" s="1732"/>
      <c r="B138" s="1732"/>
      <c r="C138" s="1776"/>
      <c r="D138" s="1732"/>
      <c r="E138" s="1732"/>
      <c r="F138" s="1732"/>
      <c r="G138" s="1732"/>
      <c r="H138" s="1732"/>
      <c r="I138" s="1732"/>
      <c r="J138" s="1732"/>
      <c r="K138" s="1732"/>
      <c r="L138" s="1732"/>
      <c r="M138" s="1732"/>
      <c r="N138" s="1732"/>
      <c r="O138" s="1732"/>
      <c r="P138" s="1732"/>
      <c r="Q138" s="1732"/>
      <c r="R138" s="1732"/>
      <c r="S138" s="1732"/>
      <c r="T138" s="1732"/>
      <c r="U138" s="1732"/>
      <c r="V138" s="1732"/>
      <c r="W138" s="1732"/>
      <c r="X138" s="1732"/>
      <c r="Y138" s="1732"/>
      <c r="Z138" s="1732"/>
    </row>
    <row r="139" spans="1:26" ht="18" customHeight="1">
      <c r="A139" s="1732"/>
      <c r="B139" s="1732"/>
      <c r="C139" s="1776"/>
      <c r="D139" s="1732"/>
      <c r="E139" s="1732"/>
      <c r="F139" s="1732"/>
      <c r="G139" s="1732"/>
      <c r="H139" s="1732"/>
      <c r="I139" s="1732"/>
      <c r="J139" s="1732"/>
      <c r="K139" s="1732"/>
      <c r="L139" s="1732"/>
      <c r="M139" s="1732"/>
      <c r="N139" s="1732"/>
      <c r="O139" s="1732"/>
      <c r="P139" s="1732"/>
      <c r="Q139" s="1732"/>
      <c r="R139" s="1732"/>
      <c r="S139" s="1732"/>
      <c r="T139" s="1732"/>
      <c r="U139" s="1732"/>
      <c r="V139" s="1732"/>
      <c r="W139" s="1732"/>
      <c r="X139" s="1732"/>
      <c r="Y139" s="1732"/>
      <c r="Z139" s="1732"/>
    </row>
    <row r="140" spans="1:26" ht="18" customHeight="1">
      <c r="A140" s="1732"/>
      <c r="B140" s="1732"/>
      <c r="C140" s="1776"/>
      <c r="D140" s="1732"/>
      <c r="E140" s="1732"/>
      <c r="F140" s="1732"/>
      <c r="G140" s="1732"/>
      <c r="H140" s="1732"/>
      <c r="I140" s="1732"/>
      <c r="J140" s="1732"/>
      <c r="K140" s="1732"/>
      <c r="L140" s="1732"/>
      <c r="M140" s="1732"/>
      <c r="N140" s="1732"/>
      <c r="O140" s="1732"/>
      <c r="P140" s="1732"/>
      <c r="Q140" s="1732"/>
      <c r="R140" s="1732"/>
      <c r="S140" s="1732"/>
      <c r="T140" s="1732"/>
      <c r="U140" s="1732"/>
      <c r="V140" s="1732"/>
      <c r="W140" s="1732"/>
      <c r="X140" s="1732"/>
      <c r="Y140" s="1732"/>
      <c r="Z140" s="1732"/>
    </row>
    <row r="141" spans="1:26" ht="18" customHeight="1">
      <c r="A141" s="1732"/>
      <c r="B141" s="1732"/>
      <c r="C141" s="1776"/>
      <c r="D141" s="1732"/>
      <c r="E141" s="1732"/>
      <c r="F141" s="1732"/>
      <c r="G141" s="1732"/>
      <c r="H141" s="1732"/>
      <c r="I141" s="1732"/>
      <c r="J141" s="1732"/>
      <c r="K141" s="1732"/>
      <c r="L141" s="1732"/>
      <c r="M141" s="1732"/>
      <c r="N141" s="1732"/>
      <c r="O141" s="1732"/>
      <c r="P141" s="1732"/>
      <c r="Q141" s="1732"/>
      <c r="R141" s="1732"/>
      <c r="S141" s="1732"/>
      <c r="T141" s="1732"/>
      <c r="U141" s="1732"/>
      <c r="V141" s="1732"/>
      <c r="W141" s="1732"/>
      <c r="X141" s="1732"/>
      <c r="Y141" s="1732"/>
      <c r="Z141" s="1732"/>
    </row>
    <row r="142" spans="1:26" ht="18" customHeight="1">
      <c r="A142" s="1732"/>
      <c r="B142" s="1732"/>
      <c r="C142" s="1776"/>
      <c r="D142" s="1732"/>
      <c r="E142" s="1732"/>
      <c r="F142" s="1732"/>
      <c r="G142" s="1732"/>
      <c r="H142" s="1732"/>
      <c r="I142" s="1732"/>
      <c r="J142" s="1732"/>
      <c r="K142" s="1732"/>
      <c r="L142" s="1732"/>
      <c r="M142" s="1732"/>
      <c r="N142" s="1732"/>
      <c r="O142" s="1732"/>
      <c r="P142" s="1732"/>
      <c r="Q142" s="1732"/>
      <c r="R142" s="1732"/>
      <c r="S142" s="1732"/>
      <c r="T142" s="1732"/>
      <c r="U142" s="1732"/>
      <c r="V142" s="1732"/>
      <c r="W142" s="1732"/>
      <c r="X142" s="1732"/>
      <c r="Y142" s="1732"/>
      <c r="Z142" s="1732"/>
    </row>
    <row r="143" spans="1:26" ht="18" customHeight="1">
      <c r="A143" s="1732"/>
      <c r="B143" s="1732"/>
      <c r="C143" s="1776"/>
      <c r="D143" s="1732"/>
      <c r="E143" s="1732"/>
      <c r="F143" s="1732"/>
      <c r="G143" s="1732"/>
      <c r="H143" s="1732"/>
      <c r="I143" s="1732"/>
      <c r="J143" s="1732"/>
      <c r="K143" s="1732"/>
      <c r="L143" s="1732"/>
      <c r="M143" s="1732"/>
      <c r="N143" s="1732"/>
      <c r="O143" s="1732"/>
      <c r="P143" s="1732"/>
      <c r="Q143" s="1732"/>
      <c r="R143" s="1732"/>
      <c r="S143" s="1732"/>
      <c r="T143" s="1732"/>
      <c r="U143" s="1732"/>
      <c r="V143" s="1732"/>
      <c r="W143" s="1732"/>
      <c r="X143" s="1732"/>
      <c r="Y143" s="1732"/>
      <c r="Z143" s="1732"/>
    </row>
    <row r="144" spans="1:26" ht="18" customHeight="1">
      <c r="A144" s="1732"/>
      <c r="B144" s="1732"/>
      <c r="C144" s="1776"/>
      <c r="D144" s="1732"/>
      <c r="E144" s="1732"/>
      <c r="F144" s="1732"/>
      <c r="G144" s="1732"/>
      <c r="H144" s="1732"/>
      <c r="I144" s="1732"/>
      <c r="J144" s="1732"/>
      <c r="K144" s="1732"/>
      <c r="L144" s="1732"/>
      <c r="M144" s="1732"/>
      <c r="N144" s="1732"/>
      <c r="O144" s="1732"/>
      <c r="P144" s="1732"/>
      <c r="Q144" s="1732"/>
      <c r="R144" s="1732"/>
      <c r="S144" s="1732"/>
      <c r="T144" s="1732"/>
      <c r="U144" s="1732"/>
      <c r="V144" s="1732"/>
      <c r="W144" s="1732"/>
      <c r="X144" s="1732"/>
      <c r="Y144" s="1732"/>
      <c r="Z144" s="1732"/>
    </row>
    <row r="145" spans="1:26" ht="18" customHeight="1">
      <c r="A145" s="1732"/>
      <c r="B145" s="1732"/>
      <c r="C145" s="1776"/>
      <c r="D145" s="1732"/>
      <c r="E145" s="1732"/>
      <c r="F145" s="1732"/>
      <c r="G145" s="1732"/>
      <c r="H145" s="1732"/>
      <c r="I145" s="1732"/>
      <c r="J145" s="1732"/>
      <c r="K145" s="1732"/>
      <c r="L145" s="1732"/>
      <c r="M145" s="1732"/>
      <c r="N145" s="1732"/>
      <c r="O145" s="1732"/>
      <c r="P145" s="1732"/>
      <c r="Q145" s="1732"/>
      <c r="R145" s="1732"/>
      <c r="S145" s="1732"/>
      <c r="T145" s="1732"/>
      <c r="U145" s="1732"/>
      <c r="V145" s="1732"/>
      <c r="W145" s="1732"/>
      <c r="X145" s="1732"/>
      <c r="Y145" s="1732"/>
      <c r="Z145" s="1732"/>
    </row>
    <row r="146" spans="1:26" ht="18" customHeight="1">
      <c r="A146" s="1732"/>
      <c r="B146" s="1732"/>
      <c r="C146" s="1776"/>
      <c r="D146" s="1732"/>
      <c r="E146" s="1732"/>
      <c r="F146" s="1732"/>
      <c r="G146" s="1732"/>
      <c r="H146" s="1732"/>
      <c r="I146" s="1732"/>
      <c r="J146" s="1732"/>
      <c r="K146" s="1732"/>
      <c r="L146" s="1732"/>
      <c r="M146" s="1732"/>
      <c r="N146" s="1732"/>
      <c r="O146" s="1732"/>
      <c r="P146" s="1732"/>
      <c r="Q146" s="1732"/>
      <c r="R146" s="1732"/>
      <c r="S146" s="1732"/>
      <c r="T146" s="1732"/>
      <c r="U146" s="1732"/>
      <c r="V146" s="1732"/>
      <c r="W146" s="1732"/>
      <c r="X146" s="1732"/>
      <c r="Y146" s="1732"/>
      <c r="Z146" s="1732"/>
    </row>
    <row r="147" spans="1:26" ht="18" customHeight="1">
      <c r="A147" s="1732"/>
      <c r="B147" s="1732"/>
      <c r="C147" s="1776"/>
      <c r="D147" s="1732"/>
      <c r="E147" s="1732"/>
      <c r="F147" s="1732"/>
      <c r="G147" s="1732"/>
      <c r="H147" s="1732"/>
      <c r="I147" s="1732"/>
      <c r="J147" s="1732"/>
      <c r="K147" s="1732"/>
      <c r="L147" s="1732"/>
      <c r="M147" s="1732"/>
      <c r="N147" s="1732"/>
      <c r="O147" s="1732"/>
      <c r="P147" s="1732"/>
      <c r="Q147" s="1732"/>
      <c r="R147" s="1732"/>
      <c r="S147" s="1732"/>
      <c r="T147" s="1732"/>
      <c r="U147" s="1732"/>
      <c r="V147" s="1732"/>
      <c r="W147" s="1732"/>
      <c r="X147" s="1732"/>
      <c r="Y147" s="1732"/>
      <c r="Z147" s="1732"/>
    </row>
    <row r="148" spans="1:26" ht="18" customHeight="1">
      <c r="A148" s="1732"/>
      <c r="B148" s="1732"/>
      <c r="C148" s="1776"/>
      <c r="D148" s="1732"/>
      <c r="E148" s="1732"/>
      <c r="F148" s="1732"/>
      <c r="G148" s="1732"/>
      <c r="H148" s="1732"/>
      <c r="I148" s="1732"/>
      <c r="J148" s="1732"/>
      <c r="K148" s="1732"/>
      <c r="L148" s="1732"/>
      <c r="M148" s="1732"/>
      <c r="N148" s="1732"/>
      <c r="O148" s="1732"/>
      <c r="P148" s="1732"/>
      <c r="Q148" s="1732"/>
      <c r="R148" s="1732"/>
      <c r="S148" s="1732"/>
      <c r="T148" s="1732"/>
      <c r="U148" s="1732"/>
      <c r="V148" s="1732"/>
      <c r="W148" s="1732"/>
      <c r="X148" s="1732"/>
      <c r="Y148" s="1732"/>
      <c r="Z148" s="1732"/>
    </row>
    <row r="149" spans="1:26" ht="18" customHeight="1">
      <c r="A149" s="1732"/>
      <c r="B149" s="1732"/>
      <c r="C149" s="1776"/>
      <c r="D149" s="1732"/>
      <c r="E149" s="1732"/>
      <c r="F149" s="1732"/>
      <c r="G149" s="1732"/>
      <c r="H149" s="1732"/>
      <c r="I149" s="1732"/>
      <c r="J149" s="1732"/>
      <c r="K149" s="1732"/>
      <c r="L149" s="1732"/>
      <c r="M149" s="1732"/>
      <c r="N149" s="1732"/>
      <c r="O149" s="1732"/>
      <c r="P149" s="1732"/>
      <c r="Q149" s="1732"/>
      <c r="R149" s="1732"/>
      <c r="S149" s="1732"/>
      <c r="T149" s="1732"/>
      <c r="U149" s="1732"/>
      <c r="V149" s="1732"/>
      <c r="W149" s="1732"/>
      <c r="X149" s="1732"/>
      <c r="Y149" s="1732"/>
      <c r="Z149" s="1732"/>
    </row>
    <row r="150" spans="1:26" ht="18" customHeight="1">
      <c r="A150" s="1732"/>
      <c r="B150" s="1732"/>
      <c r="C150" s="1776"/>
      <c r="D150" s="1732"/>
      <c r="E150" s="1732"/>
      <c r="F150" s="1732"/>
      <c r="G150" s="1732"/>
      <c r="H150" s="1732"/>
      <c r="I150" s="1732"/>
      <c r="J150" s="1732"/>
      <c r="K150" s="1732"/>
      <c r="L150" s="1732"/>
      <c r="M150" s="1732"/>
      <c r="N150" s="1732"/>
      <c r="O150" s="1732"/>
      <c r="P150" s="1732"/>
      <c r="Q150" s="1732"/>
      <c r="R150" s="1732"/>
      <c r="S150" s="1732"/>
      <c r="T150" s="1732"/>
      <c r="U150" s="1732"/>
      <c r="V150" s="1732"/>
      <c r="W150" s="1732"/>
      <c r="X150" s="1732"/>
      <c r="Y150" s="1732"/>
      <c r="Z150" s="1732"/>
    </row>
    <row r="151" spans="1:26" ht="18" customHeight="1">
      <c r="A151" s="1732"/>
      <c r="B151" s="1732"/>
      <c r="C151" s="1776"/>
      <c r="D151" s="1732"/>
      <c r="E151" s="1732"/>
      <c r="F151" s="1732"/>
      <c r="G151" s="1732"/>
      <c r="H151" s="1732"/>
      <c r="I151" s="1732"/>
      <c r="J151" s="1732"/>
      <c r="K151" s="1732"/>
      <c r="L151" s="1732"/>
      <c r="M151" s="1732"/>
      <c r="N151" s="1732"/>
      <c r="O151" s="1732"/>
      <c r="P151" s="1732"/>
      <c r="Q151" s="1732"/>
      <c r="R151" s="1732"/>
      <c r="S151" s="1732"/>
      <c r="T151" s="1732"/>
      <c r="U151" s="1732"/>
      <c r="V151" s="1732"/>
      <c r="W151" s="1732"/>
      <c r="X151" s="1732"/>
      <c r="Y151" s="1732"/>
      <c r="Z151" s="1732"/>
    </row>
    <row r="152" spans="1:26" ht="18" customHeight="1">
      <c r="A152" s="1732"/>
      <c r="B152" s="1732"/>
      <c r="C152" s="1776"/>
      <c r="D152" s="1732"/>
      <c r="E152" s="1732"/>
      <c r="F152" s="1732"/>
      <c r="G152" s="1732"/>
      <c r="H152" s="1732"/>
      <c r="I152" s="1732"/>
      <c r="J152" s="1732"/>
      <c r="K152" s="1732"/>
      <c r="L152" s="1732"/>
      <c r="M152" s="1732"/>
      <c r="N152" s="1732"/>
      <c r="O152" s="1732"/>
      <c r="P152" s="1732"/>
      <c r="Q152" s="1732"/>
      <c r="R152" s="1732"/>
      <c r="S152" s="1732"/>
      <c r="T152" s="1732"/>
      <c r="U152" s="1732"/>
      <c r="V152" s="1732"/>
      <c r="W152" s="1732"/>
      <c r="X152" s="1732"/>
      <c r="Y152" s="1732"/>
      <c r="Z152" s="1732"/>
    </row>
    <row r="153" spans="1:26" ht="18" customHeight="1">
      <c r="A153" s="1732"/>
      <c r="B153" s="1732"/>
      <c r="C153" s="1776"/>
      <c r="D153" s="1732"/>
      <c r="E153" s="1732"/>
      <c r="F153" s="1732"/>
      <c r="G153" s="1732"/>
      <c r="H153" s="1732"/>
      <c r="I153" s="1732"/>
      <c r="J153" s="1732"/>
      <c r="K153" s="1732"/>
      <c r="L153" s="1732"/>
      <c r="M153" s="1732"/>
      <c r="N153" s="1732"/>
      <c r="O153" s="1732"/>
      <c r="P153" s="1732"/>
      <c r="Q153" s="1732"/>
      <c r="R153" s="1732"/>
      <c r="S153" s="1732"/>
      <c r="T153" s="1732"/>
      <c r="U153" s="1732"/>
      <c r="V153" s="1732"/>
      <c r="W153" s="1732"/>
      <c r="X153" s="1732"/>
      <c r="Y153" s="1732"/>
      <c r="Z153" s="1732"/>
    </row>
    <row r="154" spans="1:26" ht="18" customHeight="1">
      <c r="A154" s="1732"/>
      <c r="B154" s="1732"/>
      <c r="C154" s="1776"/>
      <c r="D154" s="1732"/>
      <c r="E154" s="1732"/>
      <c r="F154" s="1732"/>
      <c r="G154" s="1732"/>
      <c r="H154" s="1732"/>
      <c r="I154" s="1732"/>
      <c r="J154" s="1732"/>
      <c r="K154" s="1732"/>
      <c r="L154" s="1732"/>
      <c r="M154" s="1732"/>
      <c r="N154" s="1732"/>
      <c r="O154" s="1732"/>
      <c r="P154" s="1732"/>
      <c r="Q154" s="1732"/>
      <c r="R154" s="1732"/>
      <c r="S154" s="1732"/>
      <c r="T154" s="1732"/>
      <c r="U154" s="1732"/>
      <c r="V154" s="1732"/>
      <c r="W154" s="1732"/>
      <c r="X154" s="1732"/>
      <c r="Y154" s="1732"/>
      <c r="Z154" s="1732"/>
    </row>
    <row r="155" spans="1:26" ht="18" customHeight="1">
      <c r="A155" s="1732"/>
      <c r="B155" s="1732"/>
      <c r="C155" s="1776"/>
      <c r="D155" s="1732"/>
      <c r="E155" s="1732"/>
      <c r="F155" s="1732"/>
      <c r="G155" s="1732"/>
      <c r="H155" s="1732"/>
      <c r="I155" s="1732"/>
      <c r="J155" s="1732"/>
      <c r="K155" s="1732"/>
      <c r="L155" s="1732"/>
      <c r="M155" s="1732"/>
      <c r="N155" s="1732"/>
      <c r="O155" s="1732"/>
      <c r="P155" s="1732"/>
      <c r="Q155" s="1732"/>
      <c r="R155" s="1732"/>
      <c r="S155" s="1732"/>
      <c r="T155" s="1732"/>
      <c r="U155" s="1732"/>
      <c r="V155" s="1732"/>
      <c r="W155" s="1732"/>
      <c r="X155" s="1732"/>
      <c r="Y155" s="1732"/>
      <c r="Z155" s="1732"/>
    </row>
    <row r="156" spans="1:26" ht="18" customHeight="1">
      <c r="A156" s="1732"/>
      <c r="B156" s="1732"/>
      <c r="C156" s="1776"/>
      <c r="D156" s="1732"/>
      <c r="E156" s="1732"/>
      <c r="F156" s="1732"/>
      <c r="G156" s="1732"/>
      <c r="H156" s="1732"/>
      <c r="I156" s="1732"/>
      <c r="J156" s="1732"/>
      <c r="K156" s="1732"/>
      <c r="L156" s="1732"/>
      <c r="M156" s="1732"/>
      <c r="N156" s="1732"/>
      <c r="O156" s="1732"/>
      <c r="P156" s="1732"/>
      <c r="Q156" s="1732"/>
      <c r="R156" s="1732"/>
      <c r="S156" s="1732"/>
      <c r="T156" s="1732"/>
      <c r="U156" s="1732"/>
      <c r="V156" s="1732"/>
      <c r="W156" s="1732"/>
      <c r="X156" s="1732"/>
      <c r="Y156" s="1732"/>
      <c r="Z156" s="1732"/>
    </row>
    <row r="157" spans="1:26" ht="18" customHeight="1">
      <c r="A157" s="1732"/>
      <c r="B157" s="1732"/>
      <c r="C157" s="1776"/>
      <c r="D157" s="1732"/>
      <c r="E157" s="1732"/>
      <c r="F157" s="1732"/>
      <c r="G157" s="1732"/>
      <c r="H157" s="1732"/>
      <c r="I157" s="1732"/>
      <c r="J157" s="1732"/>
      <c r="K157" s="1732"/>
      <c r="L157" s="1732"/>
      <c r="M157" s="1732"/>
      <c r="N157" s="1732"/>
      <c r="O157" s="1732"/>
      <c r="P157" s="1732"/>
      <c r="Q157" s="1732"/>
      <c r="R157" s="1732"/>
      <c r="S157" s="1732"/>
      <c r="T157" s="1732"/>
      <c r="U157" s="1732"/>
      <c r="V157" s="1732"/>
      <c r="W157" s="1732"/>
      <c r="X157" s="1732"/>
      <c r="Y157" s="1732"/>
      <c r="Z157" s="1732"/>
    </row>
    <row r="158" spans="1:26" ht="18" customHeight="1">
      <c r="A158" s="1732"/>
      <c r="B158" s="1732"/>
      <c r="C158" s="1776"/>
      <c r="D158" s="1732"/>
      <c r="E158" s="1732"/>
      <c r="F158" s="1732"/>
      <c r="G158" s="1732"/>
      <c r="H158" s="1732"/>
      <c r="I158" s="1732"/>
      <c r="J158" s="1732"/>
      <c r="K158" s="1732"/>
      <c r="L158" s="1732"/>
      <c r="M158" s="1732"/>
      <c r="N158" s="1732"/>
      <c r="O158" s="1732"/>
      <c r="P158" s="1732"/>
      <c r="Q158" s="1732"/>
      <c r="R158" s="1732"/>
      <c r="S158" s="1732"/>
      <c r="T158" s="1732"/>
      <c r="U158" s="1732"/>
      <c r="V158" s="1732"/>
      <c r="W158" s="1732"/>
      <c r="X158" s="1732"/>
      <c r="Y158" s="1732"/>
      <c r="Z158" s="1732"/>
    </row>
    <row r="159" spans="1:26" ht="18" customHeight="1">
      <c r="A159" s="1732"/>
      <c r="B159" s="1732"/>
      <c r="C159" s="1776"/>
      <c r="D159" s="1732"/>
      <c r="E159" s="1732"/>
      <c r="F159" s="1732"/>
      <c r="G159" s="1732"/>
      <c r="H159" s="1732"/>
      <c r="I159" s="1732"/>
      <c r="J159" s="1732"/>
      <c r="K159" s="1732"/>
      <c r="L159" s="1732"/>
      <c r="M159" s="1732"/>
      <c r="N159" s="1732"/>
      <c r="O159" s="1732"/>
      <c r="P159" s="1732"/>
      <c r="Q159" s="1732"/>
      <c r="R159" s="1732"/>
      <c r="S159" s="1732"/>
      <c r="T159" s="1732"/>
      <c r="U159" s="1732"/>
      <c r="V159" s="1732"/>
      <c r="W159" s="1732"/>
      <c r="X159" s="1732"/>
      <c r="Y159" s="1732"/>
      <c r="Z159" s="1732"/>
    </row>
    <row r="160" spans="1:26" ht="18" customHeight="1">
      <c r="A160" s="1732"/>
      <c r="B160" s="1732"/>
      <c r="C160" s="1776"/>
      <c r="D160" s="1732"/>
      <c r="E160" s="1732"/>
      <c r="F160" s="1732"/>
      <c r="G160" s="1732"/>
      <c r="H160" s="1732"/>
      <c r="I160" s="1732"/>
      <c r="J160" s="1732"/>
      <c r="K160" s="1732"/>
      <c r="L160" s="1732"/>
      <c r="M160" s="1732"/>
      <c r="N160" s="1732"/>
      <c r="O160" s="1732"/>
      <c r="P160" s="1732"/>
      <c r="Q160" s="1732"/>
      <c r="R160" s="1732"/>
      <c r="S160" s="1732"/>
      <c r="T160" s="1732"/>
      <c r="U160" s="1732"/>
      <c r="V160" s="1732"/>
      <c r="W160" s="1732"/>
      <c r="X160" s="1732"/>
      <c r="Y160" s="1732"/>
      <c r="Z160" s="1732"/>
    </row>
    <row r="161" spans="1:26" ht="18" customHeight="1">
      <c r="A161" s="1732"/>
      <c r="B161" s="1732"/>
      <c r="C161" s="1776"/>
      <c r="D161" s="1732"/>
      <c r="E161" s="1732"/>
      <c r="F161" s="1732"/>
      <c r="G161" s="1732"/>
      <c r="H161" s="1732"/>
      <c r="I161" s="1732"/>
      <c r="J161" s="1732"/>
      <c r="K161" s="1732"/>
      <c r="L161" s="1732"/>
      <c r="M161" s="1732"/>
      <c r="N161" s="1732"/>
      <c r="O161" s="1732"/>
      <c r="P161" s="1732"/>
      <c r="Q161" s="1732"/>
      <c r="R161" s="1732"/>
      <c r="S161" s="1732"/>
      <c r="T161" s="1732"/>
      <c r="U161" s="1732"/>
      <c r="V161" s="1732"/>
      <c r="W161" s="1732"/>
      <c r="X161" s="1732"/>
      <c r="Y161" s="1732"/>
      <c r="Z161" s="1732"/>
    </row>
    <row r="162" spans="1:26" ht="18" customHeight="1">
      <c r="A162" s="1732"/>
      <c r="B162" s="1732"/>
      <c r="C162" s="1776"/>
      <c r="D162" s="1732"/>
      <c r="E162" s="1732"/>
      <c r="F162" s="1732"/>
      <c r="G162" s="1732"/>
      <c r="H162" s="1732"/>
      <c r="I162" s="1732"/>
      <c r="J162" s="1732"/>
      <c r="K162" s="1732"/>
      <c r="L162" s="1732"/>
      <c r="M162" s="1732"/>
      <c r="N162" s="1732"/>
      <c r="O162" s="1732"/>
      <c r="P162" s="1732"/>
      <c r="Q162" s="1732"/>
      <c r="R162" s="1732"/>
      <c r="S162" s="1732"/>
      <c r="T162" s="1732"/>
      <c r="U162" s="1732"/>
      <c r="V162" s="1732"/>
      <c r="W162" s="1732"/>
      <c r="X162" s="1732"/>
      <c r="Y162" s="1732"/>
      <c r="Z162" s="1732"/>
    </row>
    <row r="163" spans="1:26" ht="18" customHeight="1">
      <c r="A163" s="1732"/>
      <c r="B163" s="1732"/>
      <c r="C163" s="1776"/>
      <c r="D163" s="1732"/>
      <c r="E163" s="1732"/>
      <c r="F163" s="1732"/>
      <c r="G163" s="1732"/>
      <c r="H163" s="1732"/>
      <c r="I163" s="1732"/>
      <c r="J163" s="1732"/>
      <c r="K163" s="1732"/>
      <c r="L163" s="1732"/>
      <c r="M163" s="1732"/>
      <c r="N163" s="1732"/>
      <c r="O163" s="1732"/>
      <c r="P163" s="1732"/>
      <c r="Q163" s="1732"/>
      <c r="R163" s="1732"/>
      <c r="S163" s="1732"/>
      <c r="T163" s="1732"/>
      <c r="U163" s="1732"/>
      <c r="V163" s="1732"/>
      <c r="W163" s="1732"/>
      <c r="X163" s="1732"/>
      <c r="Y163" s="1732"/>
      <c r="Z163" s="1732"/>
    </row>
    <row r="164" spans="1:26" ht="18" customHeight="1">
      <c r="A164" s="1732"/>
      <c r="B164" s="1732"/>
      <c r="C164" s="1776"/>
      <c r="D164" s="1732"/>
      <c r="E164" s="1732"/>
      <c r="F164" s="1732"/>
      <c r="G164" s="1732"/>
      <c r="H164" s="1732"/>
      <c r="I164" s="1732"/>
      <c r="J164" s="1732"/>
      <c r="K164" s="1732"/>
      <c r="L164" s="1732"/>
      <c r="M164" s="1732"/>
      <c r="N164" s="1732"/>
      <c r="O164" s="1732"/>
      <c r="P164" s="1732"/>
      <c r="Q164" s="1732"/>
      <c r="R164" s="1732"/>
      <c r="S164" s="1732"/>
      <c r="T164" s="1732"/>
      <c r="U164" s="1732"/>
      <c r="V164" s="1732"/>
      <c r="W164" s="1732"/>
      <c r="X164" s="1732"/>
      <c r="Y164" s="1732"/>
      <c r="Z164" s="1732"/>
    </row>
    <row r="165" spans="1:26" ht="18" customHeight="1">
      <c r="A165" s="1732"/>
      <c r="B165" s="1732"/>
      <c r="C165" s="1776"/>
      <c r="D165" s="1732"/>
      <c r="E165" s="1732"/>
      <c r="F165" s="1732"/>
      <c r="G165" s="1732"/>
      <c r="H165" s="1732"/>
      <c r="I165" s="1732"/>
      <c r="J165" s="1732"/>
      <c r="K165" s="1732"/>
      <c r="L165" s="1732"/>
      <c r="M165" s="1732"/>
      <c r="N165" s="1732"/>
      <c r="O165" s="1732"/>
      <c r="P165" s="1732"/>
      <c r="Q165" s="1732"/>
      <c r="R165" s="1732"/>
      <c r="S165" s="1732"/>
      <c r="T165" s="1732"/>
      <c r="U165" s="1732"/>
      <c r="V165" s="1732"/>
      <c r="W165" s="1732"/>
      <c r="X165" s="1732"/>
      <c r="Y165" s="1732"/>
      <c r="Z165" s="1732"/>
    </row>
    <row r="166" spans="1:26" ht="18" customHeight="1">
      <c r="A166" s="1732"/>
      <c r="B166" s="1732"/>
      <c r="C166" s="1776"/>
      <c r="D166" s="1732"/>
      <c r="E166" s="1732"/>
      <c r="F166" s="1732"/>
      <c r="G166" s="1732"/>
      <c r="H166" s="1732"/>
      <c r="I166" s="1732"/>
      <c r="J166" s="1732"/>
      <c r="K166" s="1732"/>
      <c r="L166" s="1732"/>
      <c r="M166" s="1732"/>
      <c r="N166" s="1732"/>
      <c r="O166" s="1732"/>
      <c r="P166" s="1732"/>
      <c r="Q166" s="1732"/>
      <c r="R166" s="1732"/>
      <c r="S166" s="1732"/>
      <c r="T166" s="1732"/>
      <c r="U166" s="1732"/>
      <c r="V166" s="1732"/>
      <c r="W166" s="1732"/>
      <c r="X166" s="1732"/>
      <c r="Y166" s="1732"/>
      <c r="Z166" s="1732"/>
    </row>
    <row r="167" spans="1:26" ht="18" customHeight="1">
      <c r="A167" s="1732"/>
      <c r="B167" s="1732"/>
      <c r="C167" s="1776"/>
      <c r="D167" s="1732"/>
      <c r="E167" s="1732"/>
      <c r="F167" s="1732"/>
      <c r="G167" s="1732"/>
      <c r="H167" s="1732"/>
      <c r="I167" s="1732"/>
      <c r="J167" s="1732"/>
      <c r="K167" s="1732"/>
      <c r="L167" s="1732"/>
      <c r="M167" s="1732"/>
      <c r="N167" s="1732"/>
      <c r="O167" s="1732"/>
      <c r="P167" s="1732"/>
      <c r="Q167" s="1732"/>
      <c r="R167" s="1732"/>
      <c r="S167" s="1732"/>
      <c r="T167" s="1732"/>
      <c r="U167" s="1732"/>
      <c r="V167" s="1732"/>
      <c r="W167" s="1732"/>
      <c r="X167" s="1732"/>
      <c r="Y167" s="1732"/>
      <c r="Z167" s="1732"/>
    </row>
    <row r="168" spans="1:26" ht="18" customHeight="1">
      <c r="A168" s="1732"/>
      <c r="B168" s="1732"/>
      <c r="C168" s="1776"/>
      <c r="D168" s="1732"/>
      <c r="E168" s="1732"/>
      <c r="F168" s="1732"/>
      <c r="G168" s="1732"/>
      <c r="H168" s="1732"/>
      <c r="I168" s="1732"/>
      <c r="J168" s="1732"/>
      <c r="K168" s="1732"/>
      <c r="L168" s="1732"/>
      <c r="M168" s="1732"/>
      <c r="N168" s="1732"/>
      <c r="O168" s="1732"/>
      <c r="P168" s="1732"/>
      <c r="Q168" s="1732"/>
      <c r="R168" s="1732"/>
      <c r="S168" s="1732"/>
      <c r="T168" s="1732"/>
      <c r="U168" s="1732"/>
      <c r="V168" s="1732"/>
      <c r="W168" s="1732"/>
      <c r="X168" s="1732"/>
      <c r="Y168" s="1732"/>
      <c r="Z168" s="1732"/>
    </row>
    <row r="169" spans="1:26" ht="18" customHeight="1">
      <c r="A169" s="1732"/>
      <c r="B169" s="1732"/>
      <c r="C169" s="1776"/>
      <c r="D169" s="1732"/>
      <c r="E169" s="1732"/>
      <c r="F169" s="1732"/>
      <c r="G169" s="1732"/>
      <c r="H169" s="1732"/>
      <c r="I169" s="1732"/>
      <c r="J169" s="1732"/>
      <c r="K169" s="1732"/>
      <c r="L169" s="1732"/>
      <c r="M169" s="1732"/>
      <c r="N169" s="1732"/>
      <c r="O169" s="1732"/>
      <c r="P169" s="1732"/>
      <c r="Q169" s="1732"/>
      <c r="R169" s="1732"/>
      <c r="S169" s="1732"/>
      <c r="T169" s="1732"/>
      <c r="U169" s="1732"/>
      <c r="V169" s="1732"/>
      <c r="W169" s="1732"/>
      <c r="X169" s="1732"/>
      <c r="Y169" s="1732"/>
      <c r="Z169" s="1732"/>
    </row>
    <row r="170" spans="1:26" ht="18" customHeight="1">
      <c r="A170" s="1732"/>
      <c r="B170" s="1732"/>
      <c r="C170" s="1776"/>
      <c r="D170" s="1732"/>
      <c r="E170" s="1732"/>
      <c r="F170" s="1732"/>
      <c r="G170" s="1732"/>
      <c r="H170" s="1732"/>
      <c r="I170" s="1732"/>
      <c r="J170" s="1732"/>
      <c r="K170" s="1732"/>
      <c r="L170" s="1732"/>
      <c r="M170" s="1732"/>
      <c r="N170" s="1732"/>
      <c r="O170" s="1732"/>
      <c r="P170" s="1732"/>
      <c r="Q170" s="1732"/>
      <c r="R170" s="1732"/>
      <c r="S170" s="1732"/>
      <c r="T170" s="1732"/>
      <c r="U170" s="1732"/>
      <c r="V170" s="1732"/>
      <c r="W170" s="1732"/>
      <c r="X170" s="1732"/>
      <c r="Y170" s="1732"/>
      <c r="Z170" s="1732"/>
    </row>
    <row r="171" spans="1:26" ht="18" customHeight="1">
      <c r="A171" s="1732"/>
      <c r="B171" s="1732"/>
      <c r="C171" s="1776"/>
      <c r="D171" s="1732"/>
      <c r="E171" s="1732"/>
      <c r="F171" s="1732"/>
      <c r="G171" s="1732"/>
      <c r="H171" s="1732"/>
      <c r="I171" s="1732"/>
      <c r="J171" s="1732"/>
      <c r="K171" s="1732"/>
      <c r="L171" s="1732"/>
      <c r="M171" s="1732"/>
      <c r="N171" s="1732"/>
      <c r="O171" s="1732"/>
      <c r="P171" s="1732"/>
      <c r="Q171" s="1732"/>
      <c r="R171" s="1732"/>
      <c r="S171" s="1732"/>
      <c r="T171" s="1732"/>
      <c r="U171" s="1732"/>
      <c r="V171" s="1732"/>
      <c r="W171" s="1732"/>
      <c r="X171" s="1732"/>
      <c r="Y171" s="1732"/>
      <c r="Z171" s="1732"/>
    </row>
    <row r="172" spans="1:26" ht="18" customHeight="1">
      <c r="A172" s="1732"/>
      <c r="B172" s="1732"/>
      <c r="C172" s="1776"/>
      <c r="D172" s="1732"/>
      <c r="E172" s="1732"/>
      <c r="F172" s="1732"/>
      <c r="G172" s="1732"/>
      <c r="H172" s="1732"/>
      <c r="I172" s="1732"/>
      <c r="J172" s="1732"/>
      <c r="K172" s="1732"/>
      <c r="L172" s="1732"/>
      <c r="M172" s="1732"/>
      <c r="N172" s="1732"/>
      <c r="O172" s="1732"/>
      <c r="P172" s="1732"/>
      <c r="Q172" s="1732"/>
      <c r="R172" s="1732"/>
      <c r="S172" s="1732"/>
      <c r="T172" s="1732"/>
      <c r="U172" s="1732"/>
      <c r="V172" s="1732"/>
      <c r="W172" s="1732"/>
      <c r="X172" s="1732"/>
      <c r="Y172" s="1732"/>
      <c r="Z172" s="1732"/>
    </row>
    <row r="173" spans="1:26" ht="18" customHeight="1">
      <c r="A173" s="1732"/>
      <c r="B173" s="1732"/>
      <c r="C173" s="1776"/>
      <c r="D173" s="1732"/>
      <c r="E173" s="1732"/>
      <c r="F173" s="1732"/>
      <c r="G173" s="1732"/>
      <c r="H173" s="1732"/>
      <c r="I173" s="1732"/>
      <c r="J173" s="1732"/>
      <c r="K173" s="1732"/>
      <c r="L173" s="1732"/>
      <c r="M173" s="1732"/>
      <c r="N173" s="1732"/>
      <c r="O173" s="1732"/>
      <c r="P173" s="1732"/>
      <c r="Q173" s="1732"/>
      <c r="R173" s="1732"/>
      <c r="S173" s="1732"/>
      <c r="T173" s="1732"/>
      <c r="U173" s="1732"/>
      <c r="V173" s="1732"/>
      <c r="W173" s="1732"/>
      <c r="X173" s="1732"/>
      <c r="Y173" s="1732"/>
      <c r="Z173" s="1732"/>
    </row>
    <row r="174" spans="1:26" ht="18" customHeight="1">
      <c r="A174" s="1732"/>
      <c r="B174" s="1732"/>
      <c r="C174" s="1776"/>
      <c r="D174" s="1732"/>
      <c r="E174" s="1732"/>
      <c r="F174" s="1732"/>
      <c r="G174" s="1732"/>
      <c r="H174" s="1732"/>
      <c r="I174" s="1732"/>
      <c r="J174" s="1732"/>
      <c r="K174" s="1732"/>
      <c r="L174" s="1732"/>
      <c r="M174" s="1732"/>
      <c r="N174" s="1732"/>
      <c r="O174" s="1732"/>
      <c r="P174" s="1732"/>
      <c r="Q174" s="1732"/>
      <c r="R174" s="1732"/>
      <c r="S174" s="1732"/>
      <c r="T174" s="1732"/>
      <c r="U174" s="1732"/>
      <c r="V174" s="1732"/>
      <c r="W174" s="1732"/>
      <c r="X174" s="1732"/>
      <c r="Y174" s="1732"/>
      <c r="Z174" s="1732"/>
    </row>
    <row r="175" spans="1:26" ht="18" customHeight="1">
      <c r="A175" s="1732"/>
      <c r="B175" s="1732"/>
      <c r="C175" s="1776"/>
      <c r="D175" s="1732"/>
      <c r="E175" s="1732"/>
      <c r="F175" s="1732"/>
      <c r="G175" s="1732"/>
      <c r="H175" s="1732"/>
      <c r="I175" s="1732"/>
      <c r="J175" s="1732"/>
      <c r="K175" s="1732"/>
      <c r="L175" s="1732"/>
      <c r="M175" s="1732"/>
      <c r="N175" s="1732"/>
      <c r="O175" s="1732"/>
      <c r="P175" s="1732"/>
      <c r="Q175" s="1732"/>
      <c r="R175" s="1732"/>
      <c r="S175" s="1732"/>
      <c r="T175" s="1732"/>
      <c r="U175" s="1732"/>
      <c r="V175" s="1732"/>
      <c r="W175" s="1732"/>
      <c r="X175" s="1732"/>
      <c r="Y175" s="1732"/>
      <c r="Z175" s="1732"/>
    </row>
    <row r="176" spans="1:26" ht="18" customHeight="1">
      <c r="A176" s="1732"/>
      <c r="B176" s="1732"/>
      <c r="C176" s="1776"/>
      <c r="D176" s="1732"/>
      <c r="E176" s="1732"/>
      <c r="F176" s="1732"/>
      <c r="G176" s="1732"/>
      <c r="H176" s="1732"/>
      <c r="I176" s="1732"/>
      <c r="J176" s="1732"/>
      <c r="K176" s="1732"/>
      <c r="L176" s="1732"/>
      <c r="M176" s="1732"/>
      <c r="N176" s="1732"/>
      <c r="O176" s="1732"/>
      <c r="P176" s="1732"/>
      <c r="Q176" s="1732"/>
      <c r="R176" s="1732"/>
      <c r="S176" s="1732"/>
      <c r="T176" s="1732"/>
      <c r="U176" s="1732"/>
      <c r="V176" s="1732"/>
      <c r="W176" s="1732"/>
      <c r="X176" s="1732"/>
      <c r="Y176" s="1732"/>
      <c r="Z176" s="1732"/>
    </row>
    <row r="177" spans="1:26" ht="18" customHeight="1">
      <c r="A177" s="1732"/>
      <c r="B177" s="1732"/>
      <c r="C177" s="1776"/>
      <c r="D177" s="1732"/>
      <c r="E177" s="1732"/>
      <c r="F177" s="1732"/>
      <c r="G177" s="1732"/>
      <c r="H177" s="1732"/>
      <c r="I177" s="1732"/>
      <c r="J177" s="1732"/>
      <c r="K177" s="1732"/>
      <c r="L177" s="1732"/>
      <c r="M177" s="1732"/>
      <c r="N177" s="1732"/>
      <c r="O177" s="1732"/>
      <c r="P177" s="1732"/>
      <c r="Q177" s="1732"/>
      <c r="R177" s="1732"/>
      <c r="S177" s="1732"/>
      <c r="T177" s="1732"/>
      <c r="U177" s="1732"/>
      <c r="V177" s="1732"/>
      <c r="W177" s="1732"/>
      <c r="X177" s="1732"/>
      <c r="Y177" s="1732"/>
      <c r="Z177" s="1732"/>
    </row>
    <row r="178" spans="1:26" ht="18" customHeight="1">
      <c r="A178" s="1732"/>
      <c r="B178" s="1732"/>
      <c r="C178" s="1776"/>
      <c r="D178" s="1732"/>
      <c r="E178" s="1732"/>
      <c r="F178" s="1732"/>
      <c r="G178" s="1732"/>
      <c r="H178" s="1732"/>
      <c r="I178" s="1732"/>
      <c r="J178" s="1732"/>
      <c r="K178" s="1732"/>
      <c r="L178" s="1732"/>
      <c r="M178" s="1732"/>
      <c r="N178" s="1732"/>
      <c r="O178" s="1732"/>
      <c r="P178" s="1732"/>
      <c r="Q178" s="1732"/>
      <c r="R178" s="1732"/>
      <c r="S178" s="1732"/>
      <c r="T178" s="1732"/>
      <c r="U178" s="1732"/>
      <c r="V178" s="1732"/>
      <c r="W178" s="1732"/>
      <c r="X178" s="1732"/>
      <c r="Y178" s="1732"/>
      <c r="Z178" s="1732"/>
    </row>
    <row r="179" spans="1:26" ht="18" customHeight="1">
      <c r="A179" s="1732"/>
      <c r="B179" s="1732"/>
      <c r="C179" s="1776"/>
      <c r="D179" s="1732"/>
      <c r="E179" s="1732"/>
      <c r="F179" s="1732"/>
      <c r="G179" s="1732"/>
      <c r="H179" s="1732"/>
      <c r="I179" s="1732"/>
      <c r="J179" s="1732"/>
      <c r="K179" s="1732"/>
      <c r="L179" s="1732"/>
      <c r="M179" s="1732"/>
      <c r="N179" s="1732"/>
      <c r="O179" s="1732"/>
      <c r="P179" s="1732"/>
      <c r="Q179" s="1732"/>
      <c r="R179" s="1732"/>
      <c r="S179" s="1732"/>
      <c r="T179" s="1732"/>
      <c r="U179" s="1732"/>
      <c r="V179" s="1732"/>
      <c r="W179" s="1732"/>
      <c r="X179" s="1732"/>
      <c r="Y179" s="1732"/>
      <c r="Z179" s="1732"/>
    </row>
    <row r="180" spans="1:26" ht="18" customHeight="1">
      <c r="A180" s="1732"/>
      <c r="B180" s="1732"/>
      <c r="C180" s="1776"/>
      <c r="D180" s="1732"/>
      <c r="E180" s="1732"/>
      <c r="F180" s="1732"/>
      <c r="G180" s="1732"/>
      <c r="H180" s="1732"/>
      <c r="I180" s="1732"/>
      <c r="J180" s="1732"/>
      <c r="K180" s="1732"/>
      <c r="L180" s="1732"/>
      <c r="M180" s="1732"/>
      <c r="N180" s="1732"/>
      <c r="O180" s="1732"/>
      <c r="P180" s="1732"/>
      <c r="Q180" s="1732"/>
      <c r="R180" s="1732"/>
      <c r="S180" s="1732"/>
      <c r="T180" s="1732"/>
      <c r="U180" s="1732"/>
      <c r="V180" s="1732"/>
      <c r="W180" s="1732"/>
      <c r="X180" s="1732"/>
      <c r="Y180" s="1732"/>
      <c r="Z180" s="1732"/>
    </row>
    <row r="181" spans="1:26" ht="18" customHeight="1">
      <c r="A181" s="1732"/>
      <c r="B181" s="1732"/>
      <c r="C181" s="1776"/>
      <c r="D181" s="1732"/>
      <c r="E181" s="1732"/>
      <c r="F181" s="1732"/>
      <c r="G181" s="1732"/>
      <c r="H181" s="1732"/>
      <c r="I181" s="1732"/>
      <c r="J181" s="1732"/>
      <c r="K181" s="1732"/>
      <c r="L181" s="1732"/>
      <c r="M181" s="1732"/>
      <c r="N181" s="1732"/>
      <c r="O181" s="1732"/>
      <c r="P181" s="1732"/>
      <c r="Q181" s="1732"/>
      <c r="R181" s="1732"/>
      <c r="S181" s="1732"/>
      <c r="T181" s="1732"/>
      <c r="U181" s="1732"/>
      <c r="V181" s="1732"/>
      <c r="W181" s="1732"/>
      <c r="X181" s="1732"/>
      <c r="Y181" s="1732"/>
      <c r="Z181" s="1732"/>
    </row>
    <row r="182" spans="1:26" ht="18" customHeight="1">
      <c r="A182" s="1732"/>
      <c r="B182" s="1732"/>
      <c r="C182" s="1776"/>
      <c r="D182" s="1732"/>
      <c r="E182" s="1732"/>
      <c r="F182" s="1732"/>
      <c r="G182" s="1732"/>
      <c r="H182" s="1732"/>
      <c r="I182" s="1732"/>
      <c r="J182" s="1732"/>
      <c r="K182" s="1732"/>
      <c r="L182" s="1732"/>
      <c r="M182" s="1732"/>
      <c r="N182" s="1732"/>
      <c r="O182" s="1732"/>
      <c r="P182" s="1732"/>
      <c r="Q182" s="1732"/>
      <c r="R182" s="1732"/>
      <c r="S182" s="1732"/>
      <c r="T182" s="1732"/>
      <c r="U182" s="1732"/>
      <c r="V182" s="1732"/>
      <c r="W182" s="1732"/>
      <c r="X182" s="1732"/>
      <c r="Y182" s="1732"/>
      <c r="Z182" s="1732"/>
    </row>
    <row r="183" spans="1:26" ht="18" customHeight="1">
      <c r="A183" s="1732"/>
      <c r="B183" s="1732"/>
      <c r="C183" s="1776"/>
      <c r="D183" s="1732"/>
      <c r="E183" s="1732"/>
      <c r="F183" s="1732"/>
      <c r="G183" s="1732"/>
      <c r="H183" s="1732"/>
      <c r="I183" s="1732"/>
      <c r="J183" s="1732"/>
      <c r="K183" s="1732"/>
      <c r="L183" s="1732"/>
      <c r="M183" s="1732"/>
      <c r="N183" s="1732"/>
      <c r="O183" s="1732"/>
      <c r="P183" s="1732"/>
      <c r="Q183" s="1732"/>
      <c r="R183" s="1732"/>
      <c r="S183" s="1732"/>
      <c r="T183" s="1732"/>
      <c r="U183" s="1732"/>
      <c r="V183" s="1732"/>
      <c r="W183" s="1732"/>
      <c r="X183" s="1732"/>
      <c r="Y183" s="1732"/>
      <c r="Z183" s="1732"/>
    </row>
    <row r="184" spans="1:26" ht="18" customHeight="1">
      <c r="A184" s="1732"/>
      <c r="B184" s="1732"/>
      <c r="C184" s="1776"/>
      <c r="D184" s="1732"/>
      <c r="E184" s="1732"/>
      <c r="F184" s="1732"/>
      <c r="G184" s="1732"/>
      <c r="H184" s="1732"/>
      <c r="I184" s="1732"/>
      <c r="J184" s="1732"/>
      <c r="K184" s="1732"/>
      <c r="L184" s="1732"/>
      <c r="M184" s="1732"/>
      <c r="N184" s="1732"/>
      <c r="O184" s="1732"/>
      <c r="P184" s="1732"/>
      <c r="Q184" s="1732"/>
      <c r="R184" s="1732"/>
      <c r="S184" s="1732"/>
      <c r="T184" s="1732"/>
      <c r="U184" s="1732"/>
      <c r="V184" s="1732"/>
      <c r="W184" s="1732"/>
      <c r="X184" s="1732"/>
      <c r="Y184" s="1732"/>
      <c r="Z184" s="1732"/>
    </row>
    <row r="185" spans="1:26" ht="18" customHeight="1">
      <c r="A185" s="1732"/>
      <c r="B185" s="1732"/>
      <c r="C185" s="1776"/>
      <c r="D185" s="1732"/>
      <c r="E185" s="1732"/>
      <c r="F185" s="1732"/>
      <c r="G185" s="1732"/>
      <c r="H185" s="1732"/>
      <c r="I185" s="1732"/>
      <c r="J185" s="1732"/>
      <c r="K185" s="1732"/>
      <c r="L185" s="1732"/>
      <c r="M185" s="1732"/>
      <c r="N185" s="1732"/>
      <c r="O185" s="1732"/>
      <c r="P185" s="1732"/>
      <c r="Q185" s="1732"/>
      <c r="R185" s="1732"/>
      <c r="S185" s="1732"/>
      <c r="T185" s="1732"/>
      <c r="U185" s="1732"/>
      <c r="V185" s="1732"/>
      <c r="W185" s="1732"/>
      <c r="X185" s="1732"/>
      <c r="Y185" s="1732"/>
      <c r="Z185" s="1732"/>
    </row>
    <row r="186" spans="1:26" ht="18" customHeight="1">
      <c r="A186" s="1732"/>
      <c r="B186" s="1732"/>
      <c r="C186" s="1776"/>
      <c r="D186" s="1732"/>
      <c r="E186" s="1732"/>
      <c r="F186" s="1732"/>
      <c r="G186" s="1732"/>
      <c r="H186" s="1732"/>
      <c r="I186" s="1732"/>
      <c r="J186" s="1732"/>
      <c r="K186" s="1732"/>
      <c r="L186" s="1732"/>
      <c r="M186" s="1732"/>
      <c r="N186" s="1732"/>
      <c r="O186" s="1732"/>
      <c r="P186" s="1732"/>
      <c r="Q186" s="1732"/>
      <c r="R186" s="1732"/>
      <c r="S186" s="1732"/>
      <c r="T186" s="1732"/>
      <c r="U186" s="1732"/>
      <c r="V186" s="1732"/>
      <c r="W186" s="1732"/>
      <c r="X186" s="1732"/>
      <c r="Y186" s="1732"/>
      <c r="Z186" s="1732"/>
    </row>
    <row r="187" spans="1:26" ht="18" customHeight="1">
      <c r="A187" s="1732"/>
      <c r="B187" s="1732"/>
      <c r="C187" s="1776"/>
      <c r="D187" s="1732"/>
      <c r="E187" s="1732"/>
      <c r="F187" s="1732"/>
      <c r="G187" s="1732"/>
      <c r="H187" s="1732"/>
      <c r="I187" s="1732"/>
      <c r="J187" s="1732"/>
      <c r="K187" s="1732"/>
      <c r="L187" s="1732"/>
      <c r="M187" s="1732"/>
      <c r="N187" s="1732"/>
      <c r="O187" s="1732"/>
      <c r="P187" s="1732"/>
      <c r="Q187" s="1732"/>
      <c r="R187" s="1732"/>
      <c r="S187" s="1732"/>
      <c r="T187" s="1732"/>
      <c r="U187" s="1732"/>
      <c r="V187" s="1732"/>
      <c r="W187" s="1732"/>
      <c r="X187" s="1732"/>
      <c r="Y187" s="1732"/>
      <c r="Z187" s="1732"/>
    </row>
    <row r="188" spans="1:26" ht="18" customHeight="1">
      <c r="A188" s="1732"/>
      <c r="B188" s="1732"/>
      <c r="C188" s="1776"/>
      <c r="D188" s="1732"/>
      <c r="E188" s="1732"/>
      <c r="F188" s="1732"/>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row>
    <row r="189" spans="1:26" ht="18" customHeight="1">
      <c r="A189" s="1732"/>
      <c r="B189" s="1732"/>
      <c r="C189" s="1776"/>
      <c r="D189" s="1732"/>
      <c r="E189" s="1732"/>
      <c r="F189" s="1732"/>
      <c r="G189" s="1732"/>
      <c r="H189" s="1732"/>
      <c r="I189" s="1732"/>
      <c r="J189" s="1732"/>
      <c r="K189" s="1732"/>
      <c r="L189" s="1732"/>
      <c r="M189" s="1732"/>
      <c r="N189" s="1732"/>
      <c r="O189" s="1732"/>
      <c r="P189" s="1732"/>
      <c r="Q189" s="1732"/>
      <c r="R189" s="1732"/>
      <c r="S189" s="1732"/>
      <c r="T189" s="1732"/>
      <c r="U189" s="1732"/>
      <c r="V189" s="1732"/>
      <c r="W189" s="1732"/>
      <c r="X189" s="1732"/>
      <c r="Y189" s="1732"/>
      <c r="Z189" s="1732"/>
    </row>
    <row r="190" spans="1:26" ht="18" customHeight="1">
      <c r="A190" s="1732"/>
      <c r="B190" s="1732"/>
      <c r="C190" s="1776"/>
      <c r="D190" s="1732"/>
      <c r="E190" s="1732"/>
      <c r="F190" s="1732"/>
      <c r="G190" s="1732"/>
      <c r="H190" s="1732"/>
      <c r="I190" s="1732"/>
      <c r="J190" s="1732"/>
      <c r="K190" s="1732"/>
      <c r="L190" s="1732"/>
      <c r="M190" s="1732"/>
      <c r="N190" s="1732"/>
      <c r="O190" s="1732"/>
      <c r="P190" s="1732"/>
      <c r="Q190" s="1732"/>
      <c r="R190" s="1732"/>
      <c r="S190" s="1732"/>
      <c r="T190" s="1732"/>
      <c r="U190" s="1732"/>
      <c r="V190" s="1732"/>
      <c r="W190" s="1732"/>
      <c r="X190" s="1732"/>
      <c r="Y190" s="1732"/>
      <c r="Z190" s="1732"/>
    </row>
    <row r="191" spans="1:26" ht="18" customHeight="1">
      <c r="A191" s="1732"/>
      <c r="B191" s="1732"/>
      <c r="C191" s="1776"/>
      <c r="D191" s="1732"/>
      <c r="E191" s="1732"/>
      <c r="F191" s="1732"/>
      <c r="G191" s="1732"/>
      <c r="H191" s="1732"/>
      <c r="I191" s="1732"/>
      <c r="J191" s="1732"/>
      <c r="K191" s="1732"/>
      <c r="L191" s="1732"/>
      <c r="M191" s="1732"/>
      <c r="N191" s="1732"/>
      <c r="O191" s="1732"/>
      <c r="P191" s="1732"/>
      <c r="Q191" s="1732"/>
      <c r="R191" s="1732"/>
      <c r="S191" s="1732"/>
      <c r="T191" s="1732"/>
      <c r="U191" s="1732"/>
      <c r="V191" s="1732"/>
      <c r="W191" s="1732"/>
      <c r="X191" s="1732"/>
      <c r="Y191" s="1732"/>
      <c r="Z191" s="1732"/>
    </row>
    <row r="192" spans="1:26" ht="18" customHeight="1">
      <c r="A192" s="1732"/>
      <c r="B192" s="1732"/>
      <c r="C192" s="1776"/>
      <c r="D192" s="1732"/>
      <c r="E192" s="1732"/>
      <c r="F192" s="1732"/>
      <c r="G192" s="1732"/>
      <c r="H192" s="1732"/>
      <c r="I192" s="1732"/>
      <c r="J192" s="1732"/>
      <c r="K192" s="1732"/>
      <c r="L192" s="1732"/>
      <c r="M192" s="1732"/>
      <c r="N192" s="1732"/>
      <c r="O192" s="1732"/>
      <c r="P192" s="1732"/>
      <c r="Q192" s="1732"/>
      <c r="R192" s="1732"/>
      <c r="S192" s="1732"/>
      <c r="T192" s="1732"/>
      <c r="U192" s="1732"/>
      <c r="V192" s="1732"/>
      <c r="W192" s="1732"/>
      <c r="X192" s="1732"/>
      <c r="Y192" s="1732"/>
      <c r="Z192" s="1732"/>
    </row>
    <row r="193" spans="1:26" ht="18" customHeight="1">
      <c r="A193" s="1732"/>
      <c r="B193" s="1732"/>
      <c r="C193" s="1776"/>
      <c r="D193" s="1732"/>
      <c r="E193" s="1732"/>
      <c r="F193" s="1732"/>
      <c r="G193" s="1732"/>
      <c r="H193" s="1732"/>
      <c r="I193" s="1732"/>
      <c r="J193" s="1732"/>
      <c r="K193" s="1732"/>
      <c r="L193" s="1732"/>
      <c r="M193" s="1732"/>
      <c r="N193" s="1732"/>
      <c r="O193" s="1732"/>
      <c r="P193" s="1732"/>
      <c r="Q193" s="1732"/>
      <c r="R193" s="1732"/>
      <c r="S193" s="1732"/>
      <c r="T193" s="1732"/>
      <c r="U193" s="1732"/>
      <c r="V193" s="1732"/>
      <c r="W193" s="1732"/>
      <c r="X193" s="1732"/>
      <c r="Y193" s="1732"/>
      <c r="Z193" s="1732"/>
    </row>
    <row r="194" spans="1:26" ht="18" customHeight="1">
      <c r="A194" s="1732"/>
      <c r="B194" s="1732"/>
      <c r="C194" s="1776"/>
      <c r="D194" s="1732"/>
      <c r="E194" s="1732"/>
      <c r="F194" s="1732"/>
      <c r="G194" s="1732"/>
      <c r="H194" s="1732"/>
      <c r="I194" s="1732"/>
      <c r="J194" s="1732"/>
      <c r="K194" s="1732"/>
      <c r="L194" s="1732"/>
      <c r="M194" s="1732"/>
      <c r="N194" s="1732"/>
      <c r="O194" s="1732"/>
      <c r="P194" s="1732"/>
      <c r="Q194" s="1732"/>
      <c r="R194" s="1732"/>
      <c r="S194" s="1732"/>
      <c r="T194" s="1732"/>
      <c r="U194" s="1732"/>
      <c r="V194" s="1732"/>
      <c r="W194" s="1732"/>
      <c r="X194" s="1732"/>
      <c r="Y194" s="1732"/>
      <c r="Z194" s="1732"/>
    </row>
    <row r="195" spans="1:26" ht="18" customHeight="1">
      <c r="A195" s="1732"/>
      <c r="B195" s="1732"/>
      <c r="C195" s="1776"/>
      <c r="D195" s="1732"/>
      <c r="E195" s="1732"/>
      <c r="F195" s="1732"/>
      <c r="G195" s="1732"/>
      <c r="H195" s="1732"/>
      <c r="I195" s="1732"/>
      <c r="J195" s="1732"/>
      <c r="K195" s="1732"/>
      <c r="L195" s="1732"/>
      <c r="M195" s="1732"/>
      <c r="N195" s="1732"/>
      <c r="O195" s="1732"/>
      <c r="P195" s="1732"/>
      <c r="Q195" s="1732"/>
      <c r="R195" s="1732"/>
      <c r="S195" s="1732"/>
      <c r="T195" s="1732"/>
      <c r="U195" s="1732"/>
      <c r="V195" s="1732"/>
      <c r="W195" s="1732"/>
      <c r="X195" s="1732"/>
      <c r="Y195" s="1732"/>
      <c r="Z195" s="1732"/>
    </row>
    <row r="196" spans="1:26" ht="18" customHeight="1">
      <c r="A196" s="1732"/>
      <c r="B196" s="1732"/>
      <c r="C196" s="1776"/>
      <c r="D196" s="1732"/>
      <c r="E196" s="1732"/>
      <c r="F196" s="1732"/>
      <c r="G196" s="1732"/>
      <c r="H196" s="1732"/>
      <c r="I196" s="1732"/>
      <c r="J196" s="1732"/>
      <c r="K196" s="1732"/>
      <c r="L196" s="1732"/>
      <c r="M196" s="1732"/>
      <c r="N196" s="1732"/>
      <c r="O196" s="1732"/>
      <c r="P196" s="1732"/>
      <c r="Q196" s="1732"/>
      <c r="R196" s="1732"/>
      <c r="S196" s="1732"/>
      <c r="T196" s="1732"/>
      <c r="U196" s="1732"/>
      <c r="V196" s="1732"/>
      <c r="W196" s="1732"/>
      <c r="X196" s="1732"/>
      <c r="Y196" s="1732"/>
      <c r="Z196" s="1732"/>
    </row>
    <row r="197" spans="1:26" ht="18" customHeight="1">
      <c r="A197" s="1732"/>
      <c r="B197" s="1732"/>
      <c r="C197" s="1776"/>
      <c r="D197" s="1732"/>
      <c r="E197" s="1732"/>
      <c r="F197" s="1732"/>
      <c r="G197" s="1732"/>
      <c r="H197" s="1732"/>
      <c r="I197" s="1732"/>
      <c r="J197" s="1732"/>
      <c r="K197" s="1732"/>
      <c r="L197" s="1732"/>
      <c r="M197" s="1732"/>
      <c r="N197" s="1732"/>
      <c r="O197" s="1732"/>
      <c r="P197" s="1732"/>
      <c r="Q197" s="1732"/>
      <c r="R197" s="1732"/>
      <c r="S197" s="1732"/>
      <c r="T197" s="1732"/>
      <c r="U197" s="1732"/>
      <c r="V197" s="1732"/>
      <c r="W197" s="1732"/>
      <c r="X197" s="1732"/>
      <c r="Y197" s="1732"/>
      <c r="Z197" s="1732"/>
    </row>
    <row r="198" spans="1:26" ht="18" customHeight="1">
      <c r="A198" s="1732"/>
      <c r="B198" s="1732"/>
      <c r="C198" s="1776"/>
      <c r="D198" s="1732"/>
      <c r="E198" s="1732"/>
      <c r="F198" s="1732"/>
      <c r="G198" s="1732"/>
      <c r="H198" s="1732"/>
      <c r="I198" s="1732"/>
      <c r="J198" s="1732"/>
      <c r="K198" s="1732"/>
      <c r="L198" s="1732"/>
      <c r="M198" s="1732"/>
      <c r="N198" s="1732"/>
      <c r="O198" s="1732"/>
      <c r="P198" s="1732"/>
      <c r="Q198" s="1732"/>
      <c r="R198" s="1732"/>
      <c r="S198" s="1732"/>
      <c r="T198" s="1732"/>
      <c r="U198" s="1732"/>
      <c r="V198" s="1732"/>
      <c r="W198" s="1732"/>
      <c r="X198" s="1732"/>
      <c r="Y198" s="1732"/>
      <c r="Z198" s="1732"/>
    </row>
    <row r="199" spans="1:26" ht="18" customHeight="1">
      <c r="A199" s="1732"/>
      <c r="B199" s="1732"/>
      <c r="C199" s="1776"/>
      <c r="D199" s="1732"/>
      <c r="E199" s="1732"/>
      <c r="F199" s="1732"/>
      <c r="G199" s="1732"/>
      <c r="H199" s="1732"/>
      <c r="I199" s="1732"/>
      <c r="J199" s="1732"/>
      <c r="K199" s="1732"/>
      <c r="L199" s="1732"/>
      <c r="M199" s="1732"/>
      <c r="N199" s="1732"/>
      <c r="O199" s="1732"/>
      <c r="P199" s="1732"/>
      <c r="Q199" s="1732"/>
      <c r="R199" s="1732"/>
      <c r="S199" s="1732"/>
      <c r="T199" s="1732"/>
      <c r="U199" s="1732"/>
      <c r="V199" s="1732"/>
      <c r="W199" s="1732"/>
      <c r="X199" s="1732"/>
      <c r="Y199" s="1732"/>
      <c r="Z199" s="1732"/>
    </row>
    <row r="200" spans="1:26" ht="18" customHeight="1">
      <c r="A200" s="1732"/>
      <c r="B200" s="1732"/>
      <c r="C200" s="1776"/>
      <c r="D200" s="1732"/>
      <c r="E200" s="1732"/>
      <c r="F200" s="1732"/>
      <c r="G200" s="1732"/>
      <c r="H200" s="1732"/>
      <c r="I200" s="1732"/>
      <c r="J200" s="1732"/>
      <c r="K200" s="1732"/>
      <c r="L200" s="1732"/>
      <c r="M200" s="1732"/>
      <c r="N200" s="1732"/>
      <c r="O200" s="1732"/>
      <c r="P200" s="1732"/>
      <c r="Q200" s="1732"/>
      <c r="R200" s="1732"/>
      <c r="S200" s="1732"/>
      <c r="T200" s="1732"/>
      <c r="U200" s="1732"/>
      <c r="V200" s="1732"/>
      <c r="W200" s="1732"/>
      <c r="X200" s="1732"/>
      <c r="Y200" s="1732"/>
      <c r="Z200" s="1732"/>
    </row>
    <row r="201" spans="1:26" ht="18" customHeight="1">
      <c r="A201" s="1732"/>
      <c r="B201" s="1732"/>
      <c r="C201" s="1776"/>
      <c r="D201" s="1732"/>
      <c r="E201" s="1732"/>
      <c r="F201" s="1732"/>
      <c r="G201" s="1732"/>
      <c r="H201" s="1732"/>
      <c r="I201" s="1732"/>
      <c r="J201" s="1732"/>
      <c r="K201" s="1732"/>
      <c r="L201" s="1732"/>
      <c r="M201" s="1732"/>
      <c r="N201" s="1732"/>
      <c r="O201" s="1732"/>
      <c r="P201" s="1732"/>
      <c r="Q201" s="1732"/>
      <c r="R201" s="1732"/>
      <c r="S201" s="1732"/>
      <c r="T201" s="1732"/>
      <c r="U201" s="1732"/>
      <c r="V201" s="1732"/>
      <c r="W201" s="1732"/>
      <c r="X201" s="1732"/>
      <c r="Y201" s="1732"/>
      <c r="Z201" s="1732"/>
    </row>
    <row r="202" spans="1:26" ht="18" customHeight="1">
      <c r="A202" s="1732"/>
      <c r="B202" s="1732"/>
      <c r="C202" s="1776"/>
      <c r="D202" s="1732"/>
      <c r="E202" s="1732"/>
      <c r="F202" s="1732"/>
      <c r="G202" s="1732"/>
      <c r="H202" s="1732"/>
      <c r="I202" s="1732"/>
      <c r="J202" s="1732"/>
      <c r="K202" s="1732"/>
      <c r="L202" s="1732"/>
      <c r="M202" s="1732"/>
      <c r="N202" s="1732"/>
      <c r="O202" s="1732"/>
      <c r="P202" s="1732"/>
      <c r="Q202" s="1732"/>
      <c r="R202" s="1732"/>
      <c r="S202" s="1732"/>
      <c r="T202" s="1732"/>
      <c r="U202" s="1732"/>
      <c r="V202" s="1732"/>
      <c r="W202" s="1732"/>
      <c r="X202" s="1732"/>
      <c r="Y202" s="1732"/>
      <c r="Z202" s="1732"/>
    </row>
    <row r="203" spans="1:26" ht="18" customHeight="1">
      <c r="A203" s="1732"/>
      <c r="B203" s="1732"/>
      <c r="C203" s="1776"/>
      <c r="D203" s="1732"/>
      <c r="E203" s="1732"/>
      <c r="F203" s="1732"/>
      <c r="G203" s="1732"/>
      <c r="H203" s="1732"/>
      <c r="I203" s="1732"/>
      <c r="J203" s="1732"/>
      <c r="K203" s="1732"/>
      <c r="L203" s="1732"/>
      <c r="M203" s="1732"/>
      <c r="N203" s="1732"/>
      <c r="O203" s="1732"/>
      <c r="P203" s="1732"/>
      <c r="Q203" s="1732"/>
      <c r="R203" s="1732"/>
      <c r="S203" s="1732"/>
      <c r="T203" s="1732"/>
      <c r="U203" s="1732"/>
      <c r="V203" s="1732"/>
      <c r="W203" s="1732"/>
      <c r="X203" s="1732"/>
      <c r="Y203" s="1732"/>
      <c r="Z203" s="1732"/>
    </row>
    <row r="204" spans="1:26" ht="18" customHeight="1">
      <c r="A204" s="1732"/>
      <c r="B204" s="1732"/>
      <c r="C204" s="1776"/>
      <c r="D204" s="1732"/>
      <c r="E204" s="1732"/>
      <c r="F204" s="1732"/>
      <c r="G204" s="1732"/>
      <c r="H204" s="1732"/>
      <c r="I204" s="1732"/>
      <c r="J204" s="1732"/>
      <c r="K204" s="1732"/>
      <c r="L204" s="1732"/>
      <c r="M204" s="1732"/>
      <c r="N204" s="1732"/>
      <c r="O204" s="1732"/>
      <c r="P204" s="1732"/>
      <c r="Q204" s="1732"/>
      <c r="R204" s="1732"/>
      <c r="S204" s="1732"/>
      <c r="T204" s="1732"/>
      <c r="U204" s="1732"/>
      <c r="V204" s="1732"/>
      <c r="W204" s="1732"/>
      <c r="X204" s="1732"/>
      <c r="Y204" s="1732"/>
      <c r="Z204" s="1732"/>
    </row>
    <row r="205" spans="1:26" ht="18" customHeight="1">
      <c r="A205" s="1732"/>
      <c r="B205" s="1732"/>
      <c r="C205" s="1776"/>
      <c r="D205" s="1732"/>
      <c r="E205" s="1732"/>
      <c r="F205" s="1732"/>
      <c r="G205" s="1732"/>
      <c r="H205" s="1732"/>
      <c r="I205" s="1732"/>
      <c r="J205" s="1732"/>
      <c r="K205" s="1732"/>
      <c r="L205" s="1732"/>
      <c r="M205" s="1732"/>
      <c r="N205" s="1732"/>
      <c r="O205" s="1732"/>
      <c r="P205" s="1732"/>
      <c r="Q205" s="1732"/>
      <c r="R205" s="1732"/>
      <c r="S205" s="1732"/>
      <c r="T205" s="1732"/>
      <c r="U205" s="1732"/>
      <c r="V205" s="1732"/>
      <c r="W205" s="1732"/>
      <c r="X205" s="1732"/>
      <c r="Y205" s="1732"/>
      <c r="Z205" s="1732"/>
    </row>
    <row r="206" spans="1:26" ht="18" customHeight="1">
      <c r="A206" s="1732"/>
      <c r="B206" s="1732"/>
      <c r="C206" s="1776"/>
      <c r="D206" s="1732"/>
      <c r="E206" s="1732"/>
      <c r="F206" s="1732"/>
      <c r="G206" s="1732"/>
      <c r="H206" s="1732"/>
      <c r="I206" s="1732"/>
      <c r="J206" s="1732"/>
      <c r="K206" s="1732"/>
      <c r="L206" s="1732"/>
      <c r="M206" s="1732"/>
      <c r="N206" s="1732"/>
      <c r="O206" s="1732"/>
      <c r="P206" s="1732"/>
      <c r="Q206" s="1732"/>
      <c r="R206" s="1732"/>
      <c r="S206" s="1732"/>
      <c r="T206" s="1732"/>
      <c r="U206" s="1732"/>
      <c r="V206" s="1732"/>
      <c r="W206" s="1732"/>
      <c r="X206" s="1732"/>
      <c r="Y206" s="1732"/>
      <c r="Z206" s="1732"/>
    </row>
    <row r="207" spans="1:26" ht="18" customHeight="1">
      <c r="A207" s="1732"/>
      <c r="B207" s="1732"/>
      <c r="C207" s="1776"/>
      <c r="D207" s="1732"/>
      <c r="E207" s="1732"/>
      <c r="F207" s="1732"/>
      <c r="G207" s="1732"/>
      <c r="H207" s="1732"/>
      <c r="I207" s="1732"/>
      <c r="J207" s="1732"/>
      <c r="K207" s="1732"/>
      <c r="L207" s="1732"/>
      <c r="M207" s="1732"/>
      <c r="N207" s="1732"/>
      <c r="O207" s="1732"/>
      <c r="P207" s="1732"/>
      <c r="Q207" s="1732"/>
      <c r="R207" s="1732"/>
      <c r="S207" s="1732"/>
      <c r="T207" s="1732"/>
      <c r="U207" s="1732"/>
      <c r="V207" s="1732"/>
      <c r="W207" s="1732"/>
      <c r="X207" s="1732"/>
      <c r="Y207" s="1732"/>
      <c r="Z207" s="1732"/>
    </row>
    <row r="208" spans="1:26" ht="18" customHeight="1">
      <c r="A208" s="1732"/>
      <c r="B208" s="1732"/>
      <c r="C208" s="1776"/>
      <c r="D208" s="1732"/>
      <c r="E208" s="1732"/>
      <c r="F208" s="1732"/>
      <c r="G208" s="1732"/>
      <c r="H208" s="1732"/>
      <c r="I208" s="1732"/>
      <c r="J208" s="1732"/>
      <c r="K208" s="1732"/>
      <c r="L208" s="1732"/>
      <c r="M208" s="1732"/>
      <c r="N208" s="1732"/>
      <c r="O208" s="1732"/>
      <c r="P208" s="1732"/>
      <c r="Q208" s="1732"/>
      <c r="R208" s="1732"/>
      <c r="S208" s="1732"/>
      <c r="T208" s="1732"/>
      <c r="U208" s="1732"/>
      <c r="V208" s="1732"/>
      <c r="W208" s="1732"/>
      <c r="X208" s="1732"/>
      <c r="Y208" s="1732"/>
      <c r="Z208" s="1732"/>
    </row>
    <row r="209" spans="1:26" ht="18" customHeight="1">
      <c r="A209" s="1732"/>
      <c r="B209" s="1732"/>
      <c r="C209" s="1776"/>
      <c r="D209" s="1732"/>
      <c r="E209" s="1732"/>
      <c r="F209" s="1732"/>
      <c r="G209" s="1732"/>
      <c r="H209" s="1732"/>
      <c r="I209" s="1732"/>
      <c r="J209" s="1732"/>
      <c r="K209" s="1732"/>
      <c r="L209" s="1732"/>
      <c r="M209" s="1732"/>
      <c r="N209" s="1732"/>
      <c r="O209" s="1732"/>
      <c r="P209" s="1732"/>
      <c r="Q209" s="1732"/>
      <c r="R209" s="1732"/>
      <c r="S209" s="1732"/>
      <c r="T209" s="1732"/>
      <c r="U209" s="1732"/>
      <c r="V209" s="1732"/>
      <c r="W209" s="1732"/>
      <c r="X209" s="1732"/>
      <c r="Y209" s="1732"/>
      <c r="Z209" s="1732"/>
    </row>
    <row r="210" spans="1:26" ht="18" customHeight="1">
      <c r="A210" s="1732"/>
      <c r="B210" s="1732"/>
      <c r="C210" s="1776"/>
      <c r="D210" s="1732"/>
      <c r="E210" s="1732"/>
      <c r="F210" s="1732"/>
      <c r="G210" s="1732"/>
      <c r="H210" s="1732"/>
      <c r="I210" s="1732"/>
      <c r="J210" s="1732"/>
      <c r="K210" s="1732"/>
      <c r="L210" s="1732"/>
      <c r="M210" s="1732"/>
      <c r="N210" s="1732"/>
      <c r="O210" s="1732"/>
      <c r="P210" s="1732"/>
      <c r="Q210" s="1732"/>
      <c r="R210" s="1732"/>
      <c r="S210" s="1732"/>
      <c r="T210" s="1732"/>
      <c r="U210" s="1732"/>
      <c r="V210" s="1732"/>
      <c r="W210" s="1732"/>
      <c r="X210" s="1732"/>
      <c r="Y210" s="1732"/>
      <c r="Z210" s="1732"/>
    </row>
    <row r="211" spans="1:26" ht="18" customHeight="1">
      <c r="A211" s="1732"/>
      <c r="B211" s="1732"/>
      <c r="C211" s="1776"/>
      <c r="D211" s="1732"/>
      <c r="E211" s="1732"/>
      <c r="F211" s="1732"/>
      <c r="G211" s="1732"/>
      <c r="H211" s="1732"/>
      <c r="I211" s="1732"/>
      <c r="J211" s="1732"/>
      <c r="K211" s="1732"/>
      <c r="L211" s="1732"/>
      <c r="M211" s="1732"/>
      <c r="N211" s="1732"/>
      <c r="O211" s="1732"/>
      <c r="P211" s="1732"/>
      <c r="Q211" s="1732"/>
      <c r="R211" s="1732"/>
      <c r="S211" s="1732"/>
      <c r="T211" s="1732"/>
      <c r="U211" s="1732"/>
      <c r="V211" s="1732"/>
      <c r="W211" s="1732"/>
      <c r="X211" s="1732"/>
      <c r="Y211" s="1732"/>
      <c r="Z211" s="1732"/>
    </row>
    <row r="212" spans="1:26" ht="18" customHeight="1">
      <c r="A212" s="1732"/>
      <c r="B212" s="1732"/>
      <c r="C212" s="1776"/>
      <c r="D212" s="1732"/>
      <c r="E212" s="1732"/>
      <c r="F212" s="1732"/>
      <c r="G212" s="1732"/>
      <c r="H212" s="1732"/>
      <c r="I212" s="1732"/>
      <c r="J212" s="1732"/>
      <c r="K212" s="1732"/>
      <c r="L212" s="1732"/>
      <c r="M212" s="1732"/>
      <c r="N212" s="1732"/>
      <c r="O212" s="1732"/>
      <c r="P212" s="1732"/>
      <c r="Q212" s="1732"/>
      <c r="R212" s="1732"/>
      <c r="S212" s="1732"/>
      <c r="T212" s="1732"/>
      <c r="U212" s="1732"/>
      <c r="V212" s="1732"/>
      <c r="W212" s="1732"/>
      <c r="X212" s="1732"/>
      <c r="Y212" s="1732"/>
      <c r="Z212" s="1732"/>
    </row>
    <row r="213" spans="1:26" ht="18" customHeight="1">
      <c r="A213" s="1732"/>
      <c r="B213" s="1732"/>
      <c r="C213" s="1776"/>
      <c r="D213" s="1732"/>
      <c r="E213" s="1732"/>
      <c r="F213" s="1732"/>
      <c r="G213" s="1732"/>
      <c r="H213" s="1732"/>
      <c r="I213" s="1732"/>
      <c r="J213" s="1732"/>
      <c r="K213" s="1732"/>
      <c r="L213" s="1732"/>
      <c r="M213" s="1732"/>
      <c r="N213" s="1732"/>
      <c r="O213" s="1732"/>
      <c r="P213" s="1732"/>
      <c r="Q213" s="1732"/>
      <c r="R213" s="1732"/>
      <c r="S213" s="1732"/>
      <c r="T213" s="1732"/>
      <c r="U213" s="1732"/>
      <c r="V213" s="1732"/>
      <c r="W213" s="1732"/>
      <c r="X213" s="1732"/>
      <c r="Y213" s="1732"/>
      <c r="Z213" s="1732"/>
    </row>
    <row r="214" spans="1:26" ht="18" customHeight="1">
      <c r="A214" s="1732"/>
      <c r="B214" s="1732"/>
      <c r="C214" s="1776"/>
      <c r="D214" s="1732"/>
      <c r="E214" s="1732"/>
      <c r="F214" s="1732"/>
      <c r="G214" s="1732"/>
      <c r="H214" s="1732"/>
      <c r="I214" s="1732"/>
      <c r="J214" s="1732"/>
      <c r="K214" s="1732"/>
      <c r="L214" s="1732"/>
      <c r="M214" s="1732"/>
      <c r="N214" s="1732"/>
      <c r="O214" s="1732"/>
      <c r="P214" s="1732"/>
      <c r="Q214" s="1732"/>
      <c r="R214" s="1732"/>
      <c r="S214" s="1732"/>
      <c r="T214" s="1732"/>
      <c r="U214" s="1732"/>
      <c r="V214" s="1732"/>
      <c r="W214" s="1732"/>
      <c r="X214" s="1732"/>
      <c r="Y214" s="1732"/>
      <c r="Z214" s="1732"/>
    </row>
    <row r="215" spans="1:26" ht="18" customHeight="1">
      <c r="A215" s="1732"/>
      <c r="B215" s="1732"/>
      <c r="C215" s="1776"/>
      <c r="D215" s="1732"/>
      <c r="E215" s="1732"/>
      <c r="F215" s="1732"/>
      <c r="G215" s="1732"/>
      <c r="H215" s="1732"/>
      <c r="I215" s="1732"/>
      <c r="J215" s="1732"/>
      <c r="K215" s="1732"/>
      <c r="L215" s="1732"/>
      <c r="M215" s="1732"/>
      <c r="N215" s="1732"/>
      <c r="O215" s="1732"/>
      <c r="P215" s="1732"/>
      <c r="Q215" s="1732"/>
      <c r="R215" s="1732"/>
      <c r="S215" s="1732"/>
      <c r="T215" s="1732"/>
      <c r="U215" s="1732"/>
      <c r="V215" s="1732"/>
      <c r="W215" s="1732"/>
      <c r="X215" s="1732"/>
      <c r="Y215" s="1732"/>
      <c r="Z215" s="1732"/>
    </row>
    <row r="216" spans="1:26" ht="18" customHeight="1">
      <c r="A216" s="1732"/>
      <c r="B216" s="1732"/>
      <c r="C216" s="1776"/>
      <c r="D216" s="1732"/>
      <c r="E216" s="1732"/>
      <c r="F216" s="1732"/>
      <c r="G216" s="1732"/>
      <c r="H216" s="1732"/>
      <c r="I216" s="1732"/>
      <c r="J216" s="1732"/>
      <c r="K216" s="1732"/>
      <c r="L216" s="1732"/>
      <c r="M216" s="1732"/>
      <c r="N216" s="1732"/>
      <c r="O216" s="1732"/>
      <c r="P216" s="1732"/>
      <c r="Q216" s="1732"/>
      <c r="R216" s="1732"/>
      <c r="S216" s="1732"/>
      <c r="T216" s="1732"/>
      <c r="U216" s="1732"/>
      <c r="V216" s="1732"/>
      <c r="W216" s="1732"/>
      <c r="X216" s="1732"/>
      <c r="Y216" s="1732"/>
      <c r="Z216" s="1732"/>
    </row>
    <row r="217" spans="1:26" ht="18" customHeight="1">
      <c r="A217" s="1732"/>
      <c r="B217" s="1732"/>
      <c r="C217" s="1776"/>
      <c r="D217" s="1732"/>
      <c r="E217" s="1732"/>
      <c r="F217" s="1732"/>
      <c r="G217" s="1732"/>
      <c r="H217" s="1732"/>
      <c r="I217" s="1732"/>
      <c r="J217" s="1732"/>
      <c r="K217" s="1732"/>
      <c r="L217" s="1732"/>
      <c r="M217" s="1732"/>
      <c r="N217" s="1732"/>
      <c r="O217" s="1732"/>
      <c r="P217" s="1732"/>
      <c r="Q217" s="1732"/>
      <c r="R217" s="1732"/>
      <c r="S217" s="1732"/>
      <c r="T217" s="1732"/>
      <c r="U217" s="1732"/>
      <c r="V217" s="1732"/>
      <c r="W217" s="1732"/>
      <c r="X217" s="1732"/>
      <c r="Y217" s="1732"/>
      <c r="Z217" s="1732"/>
    </row>
    <row r="218" spans="1:26" ht="18" customHeight="1">
      <c r="A218" s="1732"/>
      <c r="B218" s="1732"/>
      <c r="C218" s="1776"/>
      <c r="D218" s="1732"/>
      <c r="E218" s="1732"/>
      <c r="F218" s="1732"/>
      <c r="G218" s="1732"/>
      <c r="H218" s="1732"/>
      <c r="I218" s="1732"/>
      <c r="J218" s="1732"/>
      <c r="K218" s="1732"/>
      <c r="L218" s="1732"/>
      <c r="M218" s="1732"/>
      <c r="N218" s="1732"/>
      <c r="O218" s="1732"/>
      <c r="P218" s="1732"/>
      <c r="Q218" s="1732"/>
      <c r="R218" s="1732"/>
      <c r="S218" s="1732"/>
      <c r="T218" s="1732"/>
      <c r="U218" s="1732"/>
      <c r="V218" s="1732"/>
      <c r="W218" s="1732"/>
      <c r="X218" s="1732"/>
      <c r="Y218" s="1732"/>
      <c r="Z218" s="1732"/>
    </row>
    <row r="219" spans="1:26" ht="18" customHeight="1">
      <c r="A219" s="1732"/>
      <c r="B219" s="1732"/>
      <c r="C219" s="1776"/>
      <c r="D219" s="1732"/>
      <c r="E219" s="1732"/>
      <c r="F219" s="1732"/>
      <c r="G219" s="1732"/>
      <c r="H219" s="1732"/>
      <c r="I219" s="1732"/>
      <c r="J219" s="1732"/>
      <c r="K219" s="1732"/>
      <c r="L219" s="1732"/>
      <c r="M219" s="1732"/>
      <c r="N219" s="1732"/>
      <c r="O219" s="1732"/>
      <c r="P219" s="1732"/>
      <c r="Q219" s="1732"/>
      <c r="R219" s="1732"/>
      <c r="S219" s="1732"/>
      <c r="T219" s="1732"/>
      <c r="U219" s="1732"/>
      <c r="V219" s="1732"/>
      <c r="W219" s="1732"/>
      <c r="X219" s="1732"/>
      <c r="Y219" s="1732"/>
      <c r="Z219" s="1732"/>
    </row>
    <row r="220" spans="1:26" ht="18" customHeight="1">
      <c r="A220" s="1732"/>
      <c r="B220" s="1732"/>
      <c r="C220" s="1776"/>
      <c r="D220" s="1732"/>
      <c r="E220" s="1732"/>
      <c r="F220" s="1732"/>
      <c r="G220" s="1732"/>
      <c r="H220" s="1732"/>
      <c r="I220" s="1732"/>
      <c r="J220" s="1732"/>
      <c r="K220" s="1732"/>
      <c r="L220" s="1732"/>
      <c r="M220" s="1732"/>
      <c r="N220" s="1732"/>
      <c r="O220" s="1732"/>
      <c r="P220" s="1732"/>
      <c r="Q220" s="1732"/>
      <c r="R220" s="1732"/>
      <c r="S220" s="1732"/>
      <c r="T220" s="1732"/>
      <c r="U220" s="1732"/>
      <c r="V220" s="1732"/>
      <c r="W220" s="1732"/>
      <c r="X220" s="1732"/>
      <c r="Y220" s="1732"/>
      <c r="Z220" s="1732"/>
    </row>
    <row r="221" spans="1:26" ht="18" customHeight="1">
      <c r="A221" s="1732"/>
      <c r="B221" s="1732"/>
      <c r="C221" s="1776"/>
      <c r="D221" s="1732"/>
      <c r="E221" s="1732"/>
      <c r="F221" s="1732"/>
      <c r="G221" s="1732"/>
      <c r="H221" s="1732"/>
      <c r="I221" s="1732"/>
      <c r="J221" s="1732"/>
      <c r="K221" s="1732"/>
      <c r="L221" s="1732"/>
      <c r="M221" s="1732"/>
      <c r="N221" s="1732"/>
      <c r="O221" s="1732"/>
      <c r="P221" s="1732"/>
      <c r="Q221" s="1732"/>
      <c r="R221" s="1732"/>
      <c r="S221" s="1732"/>
      <c r="T221" s="1732"/>
      <c r="U221" s="1732"/>
      <c r="V221" s="1732"/>
      <c r="W221" s="1732"/>
      <c r="X221" s="1732"/>
      <c r="Y221" s="1732"/>
      <c r="Z221" s="1732"/>
    </row>
    <row r="222" spans="1:26" ht="18" customHeight="1">
      <c r="A222" s="1732"/>
      <c r="B222" s="1732"/>
      <c r="C222" s="1776"/>
      <c r="D222" s="1732"/>
      <c r="E222" s="1732"/>
      <c r="F222" s="1732"/>
      <c r="G222" s="1732"/>
      <c r="H222" s="1732"/>
      <c r="I222" s="1732"/>
      <c r="J222" s="1732"/>
      <c r="K222" s="1732"/>
      <c r="L222" s="1732"/>
      <c r="M222" s="1732"/>
      <c r="N222" s="1732"/>
      <c r="O222" s="1732"/>
      <c r="P222" s="1732"/>
      <c r="Q222" s="1732"/>
      <c r="R222" s="1732"/>
      <c r="S222" s="1732"/>
      <c r="T222" s="1732"/>
      <c r="U222" s="1732"/>
      <c r="V222" s="1732"/>
      <c r="W222" s="1732"/>
      <c r="X222" s="1732"/>
      <c r="Y222" s="1732"/>
      <c r="Z222" s="1732"/>
    </row>
    <row r="223" spans="1:26" ht="18" customHeight="1">
      <c r="A223" s="1732"/>
      <c r="B223" s="1732"/>
      <c r="C223" s="1776"/>
      <c r="D223" s="1732"/>
      <c r="E223" s="1732"/>
      <c r="F223" s="1732"/>
      <c r="G223" s="1732"/>
      <c r="H223" s="1732"/>
      <c r="I223" s="1732"/>
      <c r="J223" s="1732"/>
      <c r="K223" s="1732"/>
      <c r="L223" s="1732"/>
      <c r="M223" s="1732"/>
      <c r="N223" s="1732"/>
      <c r="O223" s="1732"/>
      <c r="P223" s="1732"/>
      <c r="Q223" s="1732"/>
      <c r="R223" s="1732"/>
      <c r="S223" s="1732"/>
      <c r="T223" s="1732"/>
      <c r="U223" s="1732"/>
      <c r="V223" s="1732"/>
      <c r="W223" s="1732"/>
      <c r="X223" s="1732"/>
      <c r="Y223" s="1732"/>
      <c r="Z223" s="1732"/>
    </row>
    <row r="224" spans="1:26" ht="18" customHeight="1">
      <c r="A224" s="1732"/>
      <c r="B224" s="1732"/>
      <c r="C224" s="1776"/>
      <c r="D224" s="1732"/>
      <c r="E224" s="1732"/>
      <c r="F224" s="1732"/>
      <c r="G224" s="1732"/>
      <c r="H224" s="1732"/>
      <c r="I224" s="1732"/>
      <c r="J224" s="1732"/>
      <c r="K224" s="1732"/>
      <c r="L224" s="1732"/>
      <c r="M224" s="1732"/>
      <c r="N224" s="1732"/>
      <c r="O224" s="1732"/>
      <c r="P224" s="1732"/>
      <c r="Q224" s="1732"/>
      <c r="R224" s="1732"/>
      <c r="S224" s="1732"/>
      <c r="T224" s="1732"/>
      <c r="U224" s="1732"/>
      <c r="V224" s="1732"/>
      <c r="W224" s="1732"/>
      <c r="X224" s="1732"/>
      <c r="Y224" s="1732"/>
      <c r="Z224" s="1732"/>
    </row>
    <row r="225" spans="1:26" ht="18" customHeight="1">
      <c r="A225" s="1732"/>
      <c r="B225" s="1732"/>
      <c r="C225" s="1776"/>
      <c r="D225" s="1732"/>
      <c r="E225" s="1732"/>
      <c r="F225" s="1732"/>
      <c r="G225" s="1732"/>
      <c r="H225" s="1732"/>
      <c r="I225" s="1732"/>
      <c r="J225" s="1732"/>
      <c r="K225" s="1732"/>
      <c r="L225" s="1732"/>
      <c r="M225" s="1732"/>
      <c r="N225" s="1732"/>
      <c r="O225" s="1732"/>
      <c r="P225" s="1732"/>
      <c r="Q225" s="1732"/>
      <c r="R225" s="1732"/>
      <c r="S225" s="1732"/>
      <c r="T225" s="1732"/>
      <c r="U225" s="1732"/>
      <c r="V225" s="1732"/>
      <c r="W225" s="1732"/>
      <c r="X225" s="1732"/>
      <c r="Y225" s="1732"/>
      <c r="Z225" s="1732"/>
    </row>
    <row r="226" spans="1:26" ht="18" customHeight="1">
      <c r="A226" s="1732"/>
      <c r="B226" s="1732"/>
      <c r="C226" s="1776"/>
      <c r="D226" s="1732"/>
      <c r="E226" s="1732"/>
      <c r="F226" s="1732"/>
      <c r="G226" s="1732"/>
      <c r="H226" s="1732"/>
      <c r="I226" s="1732"/>
      <c r="J226" s="1732"/>
      <c r="K226" s="1732"/>
      <c r="L226" s="1732"/>
      <c r="M226" s="1732"/>
      <c r="N226" s="1732"/>
      <c r="O226" s="1732"/>
      <c r="P226" s="1732"/>
      <c r="Q226" s="1732"/>
      <c r="R226" s="1732"/>
      <c r="S226" s="1732"/>
      <c r="T226" s="1732"/>
      <c r="U226" s="1732"/>
      <c r="V226" s="1732"/>
      <c r="W226" s="1732"/>
      <c r="X226" s="1732"/>
      <c r="Y226" s="1732"/>
      <c r="Z226" s="1732"/>
    </row>
    <row r="227" spans="1:26" ht="18" customHeight="1">
      <c r="A227" s="1732"/>
      <c r="B227" s="1732"/>
      <c r="C227" s="1776"/>
      <c r="D227" s="1732"/>
      <c r="E227" s="1732"/>
      <c r="F227" s="1732"/>
      <c r="G227" s="1732"/>
      <c r="H227" s="1732"/>
      <c r="I227" s="1732"/>
      <c r="J227" s="1732"/>
      <c r="K227" s="1732"/>
      <c r="L227" s="1732"/>
      <c r="M227" s="1732"/>
      <c r="N227" s="1732"/>
      <c r="O227" s="1732"/>
      <c r="P227" s="1732"/>
      <c r="Q227" s="1732"/>
      <c r="R227" s="1732"/>
      <c r="S227" s="1732"/>
      <c r="T227" s="1732"/>
      <c r="U227" s="1732"/>
      <c r="V227" s="1732"/>
      <c r="W227" s="1732"/>
      <c r="X227" s="1732"/>
      <c r="Y227" s="1732"/>
      <c r="Z227" s="1732"/>
    </row>
    <row r="228" spans="1:26" ht="18" customHeight="1">
      <c r="A228" s="1732"/>
      <c r="B228" s="1732"/>
      <c r="C228" s="1776"/>
      <c r="D228" s="1732"/>
      <c r="E228" s="1732"/>
      <c r="F228" s="1732"/>
      <c r="G228" s="1732"/>
      <c r="H228" s="1732"/>
      <c r="I228" s="1732"/>
      <c r="J228" s="1732"/>
      <c r="K228" s="1732"/>
      <c r="L228" s="1732"/>
      <c r="M228" s="1732"/>
      <c r="N228" s="1732"/>
      <c r="O228" s="1732"/>
      <c r="P228" s="1732"/>
      <c r="Q228" s="1732"/>
      <c r="R228" s="1732"/>
      <c r="S228" s="1732"/>
      <c r="T228" s="1732"/>
      <c r="U228" s="1732"/>
      <c r="V228" s="1732"/>
      <c r="W228" s="1732"/>
      <c r="X228" s="1732"/>
      <c r="Y228" s="1732"/>
      <c r="Z228" s="1732"/>
    </row>
    <row r="229" spans="1:26" ht="18" customHeight="1">
      <c r="A229" s="1732"/>
      <c r="B229" s="1732"/>
      <c r="C229" s="1776"/>
      <c r="D229" s="1732"/>
      <c r="E229" s="1732"/>
      <c r="F229" s="1732"/>
      <c r="G229" s="1732"/>
      <c r="H229" s="1732"/>
      <c r="I229" s="1732"/>
      <c r="J229" s="1732"/>
      <c r="K229" s="1732"/>
      <c r="L229" s="1732"/>
      <c r="M229" s="1732"/>
      <c r="N229" s="1732"/>
      <c r="O229" s="1732"/>
      <c r="P229" s="1732"/>
      <c r="Q229" s="1732"/>
      <c r="R229" s="1732"/>
      <c r="S229" s="1732"/>
      <c r="T229" s="1732"/>
      <c r="U229" s="1732"/>
      <c r="V229" s="1732"/>
      <c r="W229" s="1732"/>
      <c r="X229" s="1732"/>
      <c r="Y229" s="1732"/>
      <c r="Z229" s="1732"/>
    </row>
    <row r="230" spans="1:26" ht="18" customHeight="1">
      <c r="A230" s="1732"/>
      <c r="B230" s="1732"/>
      <c r="C230" s="1776"/>
      <c r="D230" s="1732"/>
      <c r="E230" s="1732"/>
      <c r="F230" s="1732"/>
      <c r="G230" s="1732"/>
      <c r="H230" s="1732"/>
      <c r="I230" s="1732"/>
      <c r="J230" s="1732"/>
      <c r="K230" s="1732"/>
      <c r="L230" s="1732"/>
      <c r="M230" s="1732"/>
      <c r="N230" s="1732"/>
      <c r="O230" s="1732"/>
      <c r="P230" s="1732"/>
      <c r="Q230" s="1732"/>
      <c r="R230" s="1732"/>
      <c r="S230" s="1732"/>
      <c r="T230" s="1732"/>
      <c r="U230" s="1732"/>
      <c r="V230" s="1732"/>
      <c r="W230" s="1732"/>
      <c r="X230" s="1732"/>
      <c r="Y230" s="1732"/>
      <c r="Z230" s="1732"/>
    </row>
    <row r="231" spans="1:26" ht="18" customHeight="1">
      <c r="A231" s="1732"/>
      <c r="B231" s="1732"/>
      <c r="C231" s="1776"/>
      <c r="D231" s="1732"/>
      <c r="E231" s="1732"/>
      <c r="F231" s="1732"/>
      <c r="G231" s="1732"/>
      <c r="H231" s="1732"/>
      <c r="I231" s="1732"/>
      <c r="J231" s="1732"/>
      <c r="K231" s="1732"/>
      <c r="L231" s="1732"/>
      <c r="M231" s="1732"/>
      <c r="N231" s="1732"/>
      <c r="O231" s="1732"/>
      <c r="P231" s="1732"/>
      <c r="Q231" s="1732"/>
      <c r="R231" s="1732"/>
      <c r="S231" s="1732"/>
      <c r="T231" s="1732"/>
      <c r="U231" s="1732"/>
      <c r="V231" s="1732"/>
      <c r="W231" s="1732"/>
      <c r="X231" s="1732"/>
      <c r="Y231" s="1732"/>
      <c r="Z231" s="1732"/>
    </row>
    <row r="232" spans="1:26" ht="18" customHeight="1">
      <c r="A232" s="1732"/>
      <c r="B232" s="1732"/>
      <c r="C232" s="1776"/>
      <c r="D232" s="1732"/>
      <c r="E232" s="1732"/>
      <c r="F232" s="1732"/>
      <c r="G232" s="1732"/>
      <c r="H232" s="1732"/>
      <c r="I232" s="1732"/>
      <c r="J232" s="1732"/>
      <c r="K232" s="1732"/>
      <c r="L232" s="1732"/>
      <c r="M232" s="1732"/>
      <c r="N232" s="1732"/>
      <c r="O232" s="1732"/>
      <c r="P232" s="1732"/>
      <c r="Q232" s="1732"/>
      <c r="R232" s="1732"/>
      <c r="S232" s="1732"/>
      <c r="T232" s="1732"/>
      <c r="U232" s="1732"/>
      <c r="V232" s="1732"/>
      <c r="W232" s="1732"/>
      <c r="X232" s="1732"/>
      <c r="Y232" s="1732"/>
      <c r="Z232" s="1732"/>
    </row>
    <row r="233" spans="1:26" ht="18" customHeight="1">
      <c r="A233" s="1732"/>
      <c r="B233" s="1732"/>
      <c r="C233" s="1776"/>
      <c r="D233" s="1732"/>
      <c r="E233" s="1732"/>
      <c r="F233" s="1732"/>
      <c r="G233" s="1732"/>
      <c r="H233" s="1732"/>
      <c r="I233" s="1732"/>
      <c r="J233" s="1732"/>
      <c r="K233" s="1732"/>
      <c r="L233" s="1732"/>
      <c r="M233" s="1732"/>
      <c r="N233" s="1732"/>
      <c r="O233" s="1732"/>
      <c r="P233" s="1732"/>
      <c r="Q233" s="1732"/>
      <c r="R233" s="1732"/>
      <c r="S233" s="1732"/>
      <c r="T233" s="1732"/>
      <c r="U233" s="1732"/>
      <c r="V233" s="1732"/>
      <c r="W233" s="1732"/>
      <c r="X233" s="1732"/>
      <c r="Y233" s="1732"/>
      <c r="Z233" s="1732"/>
    </row>
    <row r="234" spans="1:26" ht="18" customHeight="1">
      <c r="A234" s="1732"/>
      <c r="B234" s="1732"/>
      <c r="C234" s="1776"/>
      <c r="D234" s="1732"/>
      <c r="E234" s="1732"/>
      <c r="F234" s="1732"/>
      <c r="G234" s="1732"/>
      <c r="H234" s="1732"/>
      <c r="I234" s="1732"/>
      <c r="J234" s="1732"/>
      <c r="K234" s="1732"/>
      <c r="L234" s="1732"/>
      <c r="M234" s="1732"/>
      <c r="N234" s="1732"/>
      <c r="O234" s="1732"/>
      <c r="P234" s="1732"/>
      <c r="Q234" s="1732"/>
      <c r="R234" s="1732"/>
      <c r="S234" s="1732"/>
      <c r="T234" s="1732"/>
      <c r="U234" s="1732"/>
      <c r="V234" s="1732"/>
      <c r="W234" s="1732"/>
      <c r="X234" s="1732"/>
      <c r="Y234" s="1732"/>
      <c r="Z234" s="1732"/>
    </row>
    <row r="235" spans="1:26" ht="18" customHeight="1">
      <c r="A235" s="1732"/>
      <c r="B235" s="1732"/>
      <c r="C235" s="1776"/>
      <c r="D235" s="1732"/>
      <c r="E235" s="1732"/>
      <c r="F235" s="1732"/>
      <c r="G235" s="1732"/>
      <c r="H235" s="1732"/>
      <c r="I235" s="1732"/>
      <c r="J235" s="1732"/>
      <c r="K235" s="1732"/>
      <c r="L235" s="1732"/>
      <c r="M235" s="1732"/>
      <c r="N235" s="1732"/>
      <c r="O235" s="1732"/>
      <c r="P235" s="1732"/>
      <c r="Q235" s="1732"/>
      <c r="R235" s="1732"/>
      <c r="S235" s="1732"/>
      <c r="T235" s="1732"/>
      <c r="U235" s="1732"/>
      <c r="V235" s="1732"/>
      <c r="W235" s="1732"/>
      <c r="X235" s="1732"/>
      <c r="Y235" s="1732"/>
      <c r="Z235" s="1732"/>
    </row>
    <row r="236" spans="1:26" ht="18" customHeight="1">
      <c r="A236" s="1732"/>
      <c r="B236" s="1732"/>
      <c r="C236" s="1776"/>
      <c r="D236" s="1732"/>
      <c r="E236" s="1732"/>
      <c r="F236" s="1732"/>
      <c r="G236" s="1732"/>
      <c r="H236" s="1732"/>
      <c r="I236" s="1732"/>
      <c r="J236" s="1732"/>
      <c r="K236" s="1732"/>
      <c r="L236" s="1732"/>
      <c r="M236" s="1732"/>
      <c r="N236" s="1732"/>
      <c r="O236" s="1732"/>
      <c r="P236" s="1732"/>
      <c r="Q236" s="1732"/>
      <c r="R236" s="1732"/>
      <c r="S236" s="1732"/>
      <c r="T236" s="1732"/>
      <c r="U236" s="1732"/>
      <c r="V236" s="1732"/>
      <c r="W236" s="1732"/>
      <c r="X236" s="1732"/>
      <c r="Y236" s="1732"/>
      <c r="Z236" s="1732"/>
    </row>
    <row r="237" spans="1:26" ht="18" customHeight="1">
      <c r="A237" s="1732"/>
      <c r="B237" s="1732"/>
      <c r="C237" s="1776"/>
      <c r="D237" s="1732"/>
      <c r="E237" s="1732"/>
      <c r="F237" s="1732"/>
      <c r="G237" s="1732"/>
      <c r="H237" s="1732"/>
      <c r="I237" s="1732"/>
      <c r="J237" s="1732"/>
      <c r="K237" s="1732"/>
      <c r="L237" s="1732"/>
      <c r="M237" s="1732"/>
      <c r="N237" s="1732"/>
      <c r="O237" s="1732"/>
      <c r="P237" s="1732"/>
      <c r="Q237" s="1732"/>
      <c r="R237" s="1732"/>
      <c r="S237" s="1732"/>
      <c r="T237" s="1732"/>
      <c r="U237" s="1732"/>
      <c r="V237" s="1732"/>
      <c r="W237" s="1732"/>
      <c r="X237" s="1732"/>
      <c r="Y237" s="1732"/>
      <c r="Z237" s="1732"/>
    </row>
    <row r="238" spans="1:26" ht="18" customHeight="1">
      <c r="A238" s="1732"/>
      <c r="B238" s="1732"/>
      <c r="C238" s="1776"/>
      <c r="D238" s="1732"/>
      <c r="E238" s="1732"/>
      <c r="F238" s="1732"/>
      <c r="G238" s="1732"/>
      <c r="H238" s="1732"/>
      <c r="I238" s="1732"/>
      <c r="J238" s="1732"/>
      <c r="K238" s="1732"/>
      <c r="L238" s="1732"/>
      <c r="M238" s="1732"/>
      <c r="N238" s="1732"/>
      <c r="O238" s="1732"/>
      <c r="P238" s="1732"/>
      <c r="Q238" s="1732"/>
      <c r="R238" s="1732"/>
      <c r="S238" s="1732"/>
      <c r="T238" s="1732"/>
      <c r="U238" s="1732"/>
      <c r="V238" s="1732"/>
      <c r="W238" s="1732"/>
      <c r="X238" s="1732"/>
      <c r="Y238" s="1732"/>
      <c r="Z238" s="1732"/>
    </row>
    <row r="239" spans="1:26" ht="18" customHeight="1">
      <c r="A239" s="1732"/>
      <c r="B239" s="1732"/>
      <c r="C239" s="1776"/>
      <c r="D239" s="1732"/>
      <c r="E239" s="1732"/>
      <c r="F239" s="1732"/>
      <c r="G239" s="1732"/>
      <c r="H239" s="1732"/>
      <c r="I239" s="1732"/>
      <c r="J239" s="1732"/>
      <c r="K239" s="1732"/>
      <c r="L239" s="1732"/>
      <c r="M239" s="1732"/>
      <c r="N239" s="1732"/>
      <c r="O239" s="1732"/>
      <c r="P239" s="1732"/>
      <c r="Q239" s="1732"/>
      <c r="R239" s="1732"/>
      <c r="S239" s="1732"/>
      <c r="T239" s="1732"/>
      <c r="U239" s="1732"/>
      <c r="V239" s="1732"/>
      <c r="W239" s="1732"/>
      <c r="X239" s="1732"/>
      <c r="Y239" s="1732"/>
      <c r="Z239" s="1732"/>
    </row>
    <row r="240" spans="1:26" ht="18" customHeight="1">
      <c r="A240" s="1732"/>
      <c r="B240" s="1732"/>
      <c r="C240" s="1776"/>
      <c r="D240" s="1732"/>
      <c r="E240" s="1732"/>
      <c r="F240" s="1732"/>
      <c r="G240" s="1732"/>
      <c r="H240" s="1732"/>
      <c r="I240" s="1732"/>
      <c r="J240" s="1732"/>
      <c r="K240" s="1732"/>
      <c r="L240" s="1732"/>
      <c r="M240" s="1732"/>
      <c r="N240" s="1732"/>
      <c r="O240" s="1732"/>
      <c r="P240" s="1732"/>
      <c r="Q240" s="1732"/>
      <c r="R240" s="1732"/>
      <c r="S240" s="1732"/>
      <c r="T240" s="1732"/>
      <c r="U240" s="1732"/>
      <c r="V240" s="1732"/>
      <c r="W240" s="1732"/>
      <c r="X240" s="1732"/>
      <c r="Y240" s="1732"/>
      <c r="Z240" s="1732"/>
    </row>
    <row r="241" spans="1:26" ht="18" customHeight="1">
      <c r="A241" s="1732"/>
      <c r="B241" s="1732"/>
      <c r="C241" s="1776"/>
      <c r="D241" s="1732"/>
      <c r="E241" s="1732"/>
      <c r="F241" s="1732"/>
      <c r="G241" s="1732"/>
      <c r="H241" s="1732"/>
      <c r="I241" s="1732"/>
      <c r="J241" s="1732"/>
      <c r="K241" s="1732"/>
      <c r="L241" s="1732"/>
      <c r="M241" s="1732"/>
      <c r="N241" s="1732"/>
      <c r="O241" s="1732"/>
      <c r="P241" s="1732"/>
      <c r="Q241" s="1732"/>
      <c r="R241" s="1732"/>
      <c r="S241" s="1732"/>
      <c r="T241" s="1732"/>
      <c r="U241" s="1732"/>
      <c r="V241" s="1732"/>
      <c r="W241" s="1732"/>
      <c r="X241" s="1732"/>
      <c r="Y241" s="1732"/>
      <c r="Z241" s="1732"/>
    </row>
    <row r="242" spans="1:26" ht="18" customHeight="1">
      <c r="A242" s="1732"/>
      <c r="B242" s="1732"/>
      <c r="C242" s="1776"/>
      <c r="D242" s="1732"/>
      <c r="E242" s="1732"/>
      <c r="F242" s="1732"/>
      <c r="G242" s="1732"/>
      <c r="H242" s="1732"/>
      <c r="I242" s="1732"/>
      <c r="J242" s="1732"/>
      <c r="K242" s="1732"/>
      <c r="L242" s="1732"/>
      <c r="M242" s="1732"/>
      <c r="N242" s="1732"/>
      <c r="O242" s="1732"/>
      <c r="P242" s="1732"/>
      <c r="Q242" s="1732"/>
      <c r="R242" s="1732"/>
      <c r="S242" s="1732"/>
      <c r="T242" s="1732"/>
      <c r="U242" s="1732"/>
      <c r="V242" s="1732"/>
      <c r="W242" s="1732"/>
      <c r="X242" s="1732"/>
      <c r="Y242" s="1732"/>
      <c r="Z242" s="1732"/>
    </row>
    <row r="243" spans="1:26" ht="18" customHeight="1">
      <c r="A243" s="1732"/>
      <c r="B243" s="1732"/>
      <c r="C243" s="1776"/>
      <c r="D243" s="1732"/>
      <c r="E243" s="1732"/>
      <c r="F243" s="1732"/>
      <c r="G243" s="1732"/>
      <c r="H243" s="1732"/>
      <c r="I243" s="1732"/>
      <c r="J243" s="1732"/>
      <c r="K243" s="1732"/>
      <c r="L243" s="1732"/>
      <c r="M243" s="1732"/>
      <c r="N243" s="1732"/>
      <c r="O243" s="1732"/>
      <c r="P243" s="1732"/>
      <c r="Q243" s="1732"/>
      <c r="R243" s="1732"/>
      <c r="S243" s="1732"/>
      <c r="T243" s="1732"/>
      <c r="U243" s="1732"/>
      <c r="V243" s="1732"/>
      <c r="W243" s="1732"/>
      <c r="X243" s="1732"/>
      <c r="Y243" s="1732"/>
      <c r="Z243" s="1732"/>
    </row>
    <row r="244" spans="1:26" ht="18" customHeight="1">
      <c r="A244" s="1732"/>
      <c r="B244" s="1732"/>
      <c r="C244" s="1776"/>
      <c r="D244" s="1732"/>
      <c r="E244" s="1732"/>
      <c r="F244" s="1732"/>
      <c r="G244" s="1732"/>
      <c r="H244" s="1732"/>
      <c r="I244" s="1732"/>
      <c r="J244" s="1732"/>
      <c r="K244" s="1732"/>
      <c r="L244" s="1732"/>
      <c r="M244" s="1732"/>
      <c r="N244" s="1732"/>
      <c r="O244" s="1732"/>
      <c r="P244" s="1732"/>
      <c r="Q244" s="1732"/>
      <c r="R244" s="1732"/>
      <c r="S244" s="1732"/>
      <c r="T244" s="1732"/>
      <c r="U244" s="1732"/>
      <c r="V244" s="1732"/>
      <c r="W244" s="1732"/>
      <c r="X244" s="1732"/>
      <c r="Y244" s="1732"/>
      <c r="Z244" s="1732"/>
    </row>
    <row r="245" spans="1:26" ht="18" customHeight="1">
      <c r="A245" s="1732"/>
      <c r="B245" s="1732"/>
      <c r="C245" s="1776"/>
      <c r="D245" s="1732"/>
      <c r="E245" s="1732"/>
      <c r="F245" s="1732"/>
      <c r="G245" s="1732"/>
      <c r="H245" s="1732"/>
      <c r="I245" s="1732"/>
      <c r="J245" s="1732"/>
      <c r="K245" s="1732"/>
      <c r="L245" s="1732"/>
      <c r="M245" s="1732"/>
      <c r="N245" s="1732"/>
      <c r="O245" s="1732"/>
      <c r="P245" s="1732"/>
      <c r="Q245" s="1732"/>
      <c r="R245" s="1732"/>
      <c r="S245" s="1732"/>
      <c r="T245" s="1732"/>
      <c r="U245" s="1732"/>
      <c r="V245" s="1732"/>
      <c r="W245" s="1732"/>
      <c r="X245" s="1732"/>
      <c r="Y245" s="1732"/>
      <c r="Z245" s="1732"/>
    </row>
    <row r="246" spans="1:26" ht="18" customHeight="1">
      <c r="A246" s="1732"/>
      <c r="B246" s="1732"/>
      <c r="C246" s="1776"/>
      <c r="D246" s="1732"/>
      <c r="E246" s="1732"/>
      <c r="F246" s="1732"/>
      <c r="G246" s="1732"/>
      <c r="H246" s="1732"/>
      <c r="I246" s="1732"/>
      <c r="J246" s="1732"/>
      <c r="K246" s="1732"/>
      <c r="L246" s="1732"/>
      <c r="M246" s="1732"/>
      <c r="N246" s="1732"/>
      <c r="O246" s="1732"/>
      <c r="P246" s="1732"/>
      <c r="Q246" s="1732"/>
      <c r="R246" s="1732"/>
      <c r="S246" s="1732"/>
      <c r="T246" s="1732"/>
      <c r="U246" s="1732"/>
      <c r="V246" s="1732"/>
      <c r="W246" s="1732"/>
      <c r="X246" s="1732"/>
      <c r="Y246" s="1732"/>
      <c r="Z246" s="1732"/>
    </row>
    <row r="247" spans="1:26" ht="18" customHeight="1">
      <c r="A247" s="1732"/>
      <c r="B247" s="1732"/>
      <c r="C247" s="1776"/>
      <c r="D247" s="1732"/>
      <c r="E247" s="1732"/>
      <c r="F247" s="1732"/>
      <c r="G247" s="1732"/>
      <c r="H247" s="1732"/>
      <c r="I247" s="1732"/>
      <c r="J247" s="1732"/>
      <c r="K247" s="1732"/>
      <c r="L247" s="1732"/>
      <c r="M247" s="1732"/>
      <c r="N247" s="1732"/>
      <c r="O247" s="1732"/>
      <c r="P247" s="1732"/>
      <c r="Q247" s="1732"/>
      <c r="R247" s="1732"/>
      <c r="S247" s="1732"/>
      <c r="T247" s="1732"/>
      <c r="U247" s="1732"/>
      <c r="V247" s="1732"/>
      <c r="W247" s="1732"/>
      <c r="X247" s="1732"/>
      <c r="Y247" s="1732"/>
      <c r="Z247" s="1732"/>
    </row>
    <row r="248" spans="1:26" ht="18" customHeight="1">
      <c r="A248" s="1732"/>
      <c r="B248" s="1732"/>
      <c r="C248" s="1776"/>
      <c r="D248" s="1732"/>
      <c r="E248" s="1732"/>
      <c r="F248" s="1732"/>
      <c r="G248" s="1732"/>
      <c r="H248" s="1732"/>
      <c r="I248" s="1732"/>
      <c r="J248" s="1732"/>
      <c r="K248" s="1732"/>
      <c r="L248" s="1732"/>
      <c r="M248" s="1732"/>
      <c r="N248" s="1732"/>
      <c r="O248" s="1732"/>
      <c r="P248" s="1732"/>
      <c r="Q248" s="1732"/>
      <c r="R248" s="1732"/>
      <c r="S248" s="1732"/>
      <c r="T248" s="1732"/>
      <c r="U248" s="1732"/>
      <c r="V248" s="1732"/>
      <c r="W248" s="1732"/>
      <c r="X248" s="1732"/>
      <c r="Y248" s="1732"/>
      <c r="Z248" s="1732"/>
    </row>
    <row r="249" spans="1:26" ht="18" customHeight="1">
      <c r="A249" s="1732"/>
      <c r="B249" s="1732"/>
      <c r="C249" s="1776"/>
      <c r="D249" s="1732"/>
      <c r="E249" s="1732"/>
      <c r="F249" s="1732"/>
      <c r="G249" s="1732"/>
      <c r="H249" s="1732"/>
      <c r="I249" s="1732"/>
      <c r="J249" s="1732"/>
      <c r="K249" s="1732"/>
      <c r="L249" s="1732"/>
      <c r="M249" s="1732"/>
      <c r="N249" s="1732"/>
      <c r="O249" s="1732"/>
      <c r="P249" s="1732"/>
      <c r="Q249" s="1732"/>
      <c r="R249" s="1732"/>
      <c r="S249" s="1732"/>
      <c r="T249" s="1732"/>
      <c r="U249" s="1732"/>
      <c r="V249" s="1732"/>
      <c r="W249" s="1732"/>
      <c r="X249" s="1732"/>
      <c r="Y249" s="1732"/>
      <c r="Z249" s="1732"/>
    </row>
    <row r="250" spans="1:26" ht="18" customHeight="1">
      <c r="A250" s="1732"/>
      <c r="B250" s="1732"/>
      <c r="C250" s="1776"/>
      <c r="D250" s="1732"/>
      <c r="E250" s="1732"/>
      <c r="F250" s="1732"/>
      <c r="G250" s="1732"/>
      <c r="H250" s="1732"/>
      <c r="I250" s="1732"/>
      <c r="J250" s="1732"/>
      <c r="K250" s="1732"/>
      <c r="L250" s="1732"/>
      <c r="M250" s="1732"/>
      <c r="N250" s="1732"/>
      <c r="O250" s="1732"/>
      <c r="P250" s="1732"/>
      <c r="Q250" s="1732"/>
      <c r="R250" s="1732"/>
      <c r="S250" s="1732"/>
      <c r="T250" s="1732"/>
      <c r="U250" s="1732"/>
      <c r="V250" s="1732"/>
      <c r="W250" s="1732"/>
      <c r="X250" s="1732"/>
      <c r="Y250" s="1732"/>
      <c r="Z250" s="1732"/>
    </row>
    <row r="251" spans="1:26" ht="18" customHeight="1">
      <c r="A251" s="1732"/>
      <c r="B251" s="1732"/>
      <c r="C251" s="1776"/>
      <c r="D251" s="1732"/>
      <c r="E251" s="1732"/>
      <c r="F251" s="1732"/>
      <c r="G251" s="1732"/>
      <c r="H251" s="1732"/>
      <c r="I251" s="1732"/>
      <c r="J251" s="1732"/>
      <c r="K251" s="1732"/>
      <c r="L251" s="1732"/>
      <c r="M251" s="1732"/>
      <c r="N251" s="1732"/>
      <c r="O251" s="1732"/>
      <c r="P251" s="1732"/>
      <c r="Q251" s="1732"/>
      <c r="R251" s="1732"/>
      <c r="S251" s="1732"/>
      <c r="T251" s="1732"/>
      <c r="U251" s="1732"/>
      <c r="V251" s="1732"/>
      <c r="W251" s="1732"/>
      <c r="X251" s="1732"/>
      <c r="Y251" s="1732"/>
      <c r="Z251" s="1732"/>
    </row>
    <row r="252" spans="1:26" ht="18" customHeight="1">
      <c r="A252" s="1732"/>
      <c r="B252" s="1732"/>
      <c r="C252" s="1776"/>
      <c r="D252" s="1732"/>
      <c r="E252" s="1732"/>
      <c r="F252" s="1732"/>
      <c r="G252" s="1732"/>
      <c r="H252" s="1732"/>
      <c r="I252" s="1732"/>
      <c r="J252" s="1732"/>
      <c r="K252" s="1732"/>
      <c r="L252" s="1732"/>
      <c r="M252" s="1732"/>
      <c r="N252" s="1732"/>
      <c r="O252" s="1732"/>
      <c r="P252" s="1732"/>
      <c r="Q252" s="1732"/>
      <c r="R252" s="1732"/>
      <c r="S252" s="1732"/>
      <c r="T252" s="1732"/>
      <c r="U252" s="1732"/>
      <c r="V252" s="1732"/>
      <c r="W252" s="1732"/>
      <c r="X252" s="1732"/>
      <c r="Y252" s="1732"/>
      <c r="Z252" s="1732"/>
    </row>
    <row r="253" spans="1:26" ht="18" customHeight="1">
      <c r="A253" s="1732"/>
      <c r="B253" s="1732"/>
      <c r="C253" s="1776"/>
      <c r="D253" s="1732"/>
      <c r="E253" s="1732"/>
      <c r="F253" s="1732"/>
      <c r="G253" s="1732"/>
      <c r="H253" s="1732"/>
      <c r="I253" s="1732"/>
      <c r="J253" s="1732"/>
      <c r="K253" s="1732"/>
      <c r="L253" s="1732"/>
      <c r="M253" s="1732"/>
      <c r="N253" s="1732"/>
      <c r="O253" s="1732"/>
      <c r="P253" s="1732"/>
      <c r="Q253" s="1732"/>
      <c r="R253" s="1732"/>
      <c r="S253" s="1732"/>
      <c r="T253" s="1732"/>
      <c r="U253" s="1732"/>
      <c r="V253" s="1732"/>
      <c r="W253" s="1732"/>
      <c r="X253" s="1732"/>
      <c r="Y253" s="1732"/>
      <c r="Z253" s="1732"/>
    </row>
    <row r="254" spans="1:26" ht="18" customHeight="1">
      <c r="A254" s="1732"/>
      <c r="B254" s="1732"/>
      <c r="C254" s="1776"/>
      <c r="D254" s="1732"/>
      <c r="E254" s="1732"/>
      <c r="F254" s="1732"/>
      <c r="G254" s="1732"/>
      <c r="H254" s="1732"/>
      <c r="I254" s="1732"/>
      <c r="J254" s="1732"/>
      <c r="K254" s="1732"/>
      <c r="L254" s="1732"/>
      <c r="M254" s="1732"/>
      <c r="N254" s="1732"/>
      <c r="O254" s="1732"/>
      <c r="P254" s="1732"/>
      <c r="Q254" s="1732"/>
      <c r="R254" s="1732"/>
      <c r="S254" s="1732"/>
      <c r="T254" s="1732"/>
      <c r="U254" s="1732"/>
      <c r="V254" s="1732"/>
      <c r="W254" s="1732"/>
      <c r="X254" s="1732"/>
      <c r="Y254" s="1732"/>
      <c r="Z254" s="1732"/>
    </row>
    <row r="255" spans="1:26" ht="18" customHeight="1">
      <c r="A255" s="1732"/>
      <c r="B255" s="1732"/>
      <c r="C255" s="1776"/>
      <c r="D255" s="1732"/>
      <c r="E255" s="1732"/>
      <c r="F255" s="1732"/>
      <c r="G255" s="1732"/>
      <c r="H255" s="1732"/>
      <c r="I255" s="1732"/>
      <c r="J255" s="1732"/>
      <c r="K255" s="1732"/>
      <c r="L255" s="1732"/>
      <c r="M255" s="1732"/>
      <c r="N255" s="1732"/>
      <c r="O255" s="1732"/>
      <c r="P255" s="1732"/>
      <c r="Q255" s="1732"/>
      <c r="R255" s="1732"/>
      <c r="S255" s="1732"/>
      <c r="T255" s="1732"/>
      <c r="U255" s="1732"/>
      <c r="V255" s="1732"/>
      <c r="W255" s="1732"/>
      <c r="X255" s="1732"/>
      <c r="Y255" s="1732"/>
      <c r="Z255" s="1732"/>
    </row>
    <row r="256" spans="1:26" ht="18" customHeight="1">
      <c r="A256" s="1732"/>
      <c r="B256" s="1732"/>
      <c r="C256" s="1776"/>
      <c r="D256" s="1732"/>
      <c r="E256" s="1732"/>
      <c r="F256" s="1732"/>
      <c r="G256" s="1732"/>
      <c r="H256" s="1732"/>
      <c r="I256" s="1732"/>
      <c r="J256" s="1732"/>
      <c r="K256" s="1732"/>
      <c r="L256" s="1732"/>
      <c r="M256" s="1732"/>
      <c r="N256" s="1732"/>
      <c r="O256" s="1732"/>
      <c r="P256" s="1732"/>
      <c r="Q256" s="1732"/>
      <c r="R256" s="1732"/>
      <c r="S256" s="1732"/>
      <c r="T256" s="1732"/>
      <c r="U256" s="1732"/>
      <c r="V256" s="1732"/>
      <c r="W256" s="1732"/>
      <c r="X256" s="1732"/>
      <c r="Y256" s="1732"/>
      <c r="Z256" s="1732"/>
    </row>
    <row r="257" spans="1:26" ht="18" customHeight="1">
      <c r="A257" s="1732"/>
      <c r="B257" s="1732"/>
      <c r="C257" s="1776"/>
      <c r="D257" s="1732"/>
      <c r="E257" s="1732"/>
      <c r="F257" s="1732"/>
      <c r="G257" s="1732"/>
      <c r="H257" s="1732"/>
      <c r="I257" s="1732"/>
      <c r="J257" s="1732"/>
      <c r="K257" s="1732"/>
      <c r="L257" s="1732"/>
      <c r="M257" s="1732"/>
      <c r="N257" s="1732"/>
      <c r="O257" s="1732"/>
      <c r="P257" s="1732"/>
      <c r="Q257" s="1732"/>
      <c r="R257" s="1732"/>
      <c r="S257" s="1732"/>
      <c r="T257" s="1732"/>
      <c r="U257" s="1732"/>
      <c r="V257" s="1732"/>
      <c r="W257" s="1732"/>
      <c r="X257" s="1732"/>
      <c r="Y257" s="1732"/>
      <c r="Z257" s="1732"/>
    </row>
    <row r="258" spans="1:26" ht="18" customHeight="1">
      <c r="A258" s="1732"/>
      <c r="B258" s="1732"/>
      <c r="C258" s="1776"/>
      <c r="D258" s="1732"/>
      <c r="E258" s="1732"/>
      <c r="F258" s="1732"/>
      <c r="G258" s="1732"/>
      <c r="H258" s="1732"/>
      <c r="I258" s="1732"/>
      <c r="J258" s="1732"/>
      <c r="K258" s="1732"/>
      <c r="L258" s="1732"/>
      <c r="M258" s="1732"/>
      <c r="N258" s="1732"/>
      <c r="O258" s="1732"/>
      <c r="P258" s="1732"/>
      <c r="Q258" s="1732"/>
      <c r="R258" s="1732"/>
      <c r="S258" s="1732"/>
      <c r="T258" s="1732"/>
      <c r="U258" s="1732"/>
      <c r="V258" s="1732"/>
      <c r="W258" s="1732"/>
      <c r="X258" s="1732"/>
      <c r="Y258" s="1732"/>
      <c r="Z258" s="1732"/>
    </row>
    <row r="259" spans="1:26" ht="18" customHeight="1">
      <c r="A259" s="1732"/>
      <c r="B259" s="1732"/>
      <c r="C259" s="1776"/>
      <c r="D259" s="1732"/>
      <c r="E259" s="1732"/>
      <c r="F259" s="1732"/>
      <c r="G259" s="1732"/>
      <c r="H259" s="1732"/>
      <c r="I259" s="1732"/>
      <c r="J259" s="1732"/>
      <c r="K259" s="1732"/>
      <c r="L259" s="1732"/>
      <c r="M259" s="1732"/>
      <c r="N259" s="1732"/>
      <c r="O259" s="1732"/>
      <c r="P259" s="1732"/>
      <c r="Q259" s="1732"/>
      <c r="R259" s="1732"/>
      <c r="S259" s="1732"/>
      <c r="T259" s="1732"/>
      <c r="U259" s="1732"/>
      <c r="V259" s="1732"/>
      <c r="W259" s="1732"/>
      <c r="X259" s="1732"/>
      <c r="Y259" s="1732"/>
      <c r="Z259" s="1732"/>
    </row>
    <row r="260" spans="1:26" ht="18" customHeight="1">
      <c r="A260" s="1732"/>
      <c r="B260" s="1732"/>
      <c r="C260" s="1776"/>
      <c r="D260" s="1732"/>
      <c r="E260" s="1732"/>
      <c r="F260" s="1732"/>
      <c r="G260" s="1732"/>
      <c r="H260" s="1732"/>
      <c r="I260" s="1732"/>
      <c r="J260" s="1732"/>
      <c r="K260" s="1732"/>
      <c r="L260" s="1732"/>
      <c r="M260" s="1732"/>
      <c r="N260" s="1732"/>
      <c r="O260" s="1732"/>
      <c r="P260" s="1732"/>
      <c r="Q260" s="1732"/>
      <c r="R260" s="1732"/>
      <c r="S260" s="1732"/>
      <c r="T260" s="1732"/>
      <c r="U260" s="1732"/>
      <c r="V260" s="1732"/>
      <c r="W260" s="1732"/>
      <c r="X260" s="1732"/>
      <c r="Y260" s="1732"/>
      <c r="Z260" s="1732"/>
    </row>
    <row r="261" spans="1:26" ht="18" customHeight="1">
      <c r="A261" s="1732"/>
      <c r="B261" s="1732"/>
      <c r="C261" s="1776"/>
      <c r="D261" s="1732"/>
      <c r="E261" s="1732"/>
      <c r="F261" s="1732"/>
      <c r="G261" s="1732"/>
      <c r="H261" s="1732"/>
      <c r="I261" s="1732"/>
      <c r="J261" s="1732"/>
      <c r="K261" s="1732"/>
      <c r="L261" s="1732"/>
      <c r="M261" s="1732"/>
      <c r="N261" s="1732"/>
      <c r="O261" s="1732"/>
      <c r="P261" s="1732"/>
      <c r="Q261" s="1732"/>
      <c r="R261" s="1732"/>
      <c r="S261" s="1732"/>
      <c r="T261" s="1732"/>
      <c r="U261" s="1732"/>
      <c r="V261" s="1732"/>
      <c r="W261" s="1732"/>
      <c r="X261" s="1732"/>
      <c r="Y261" s="1732"/>
      <c r="Z261" s="1732"/>
    </row>
    <row r="262" spans="1:26" ht="18" customHeight="1">
      <c r="A262" s="1732"/>
      <c r="B262" s="1732"/>
      <c r="C262" s="1776"/>
      <c r="D262" s="1732"/>
      <c r="E262" s="1732"/>
      <c r="F262" s="1732"/>
      <c r="G262" s="1732"/>
      <c r="H262" s="1732"/>
      <c r="I262" s="1732"/>
      <c r="J262" s="1732"/>
      <c r="K262" s="1732"/>
      <c r="L262" s="1732"/>
      <c r="M262" s="1732"/>
      <c r="N262" s="1732"/>
      <c r="O262" s="1732"/>
      <c r="P262" s="1732"/>
      <c r="Q262" s="1732"/>
      <c r="R262" s="1732"/>
      <c r="S262" s="1732"/>
      <c r="T262" s="1732"/>
      <c r="U262" s="1732"/>
      <c r="V262" s="1732"/>
      <c r="W262" s="1732"/>
      <c r="X262" s="1732"/>
      <c r="Y262" s="1732"/>
      <c r="Z262" s="1732"/>
    </row>
    <row r="263" spans="1:26" ht="18" customHeight="1">
      <c r="A263" s="1732"/>
      <c r="B263" s="1732"/>
      <c r="C263" s="1776"/>
      <c r="D263" s="1732"/>
      <c r="E263" s="1732"/>
      <c r="F263" s="1732"/>
      <c r="G263" s="1732"/>
      <c r="H263" s="1732"/>
      <c r="I263" s="1732"/>
      <c r="J263" s="1732"/>
      <c r="K263" s="1732"/>
      <c r="L263" s="1732"/>
      <c r="M263" s="1732"/>
      <c r="N263" s="1732"/>
      <c r="O263" s="1732"/>
      <c r="P263" s="1732"/>
      <c r="Q263" s="1732"/>
      <c r="R263" s="1732"/>
      <c r="S263" s="1732"/>
      <c r="T263" s="1732"/>
      <c r="U263" s="1732"/>
      <c r="V263" s="1732"/>
      <c r="W263" s="1732"/>
      <c r="X263" s="1732"/>
      <c r="Y263" s="1732"/>
      <c r="Z263" s="1732"/>
    </row>
    <row r="264" spans="1:26" ht="18" customHeight="1">
      <c r="A264" s="1732"/>
      <c r="B264" s="1732"/>
      <c r="C264" s="1776"/>
      <c r="D264" s="1732"/>
      <c r="E264" s="1732"/>
      <c r="F264" s="1732"/>
      <c r="G264" s="1732"/>
      <c r="H264" s="1732"/>
      <c r="I264" s="1732"/>
      <c r="J264" s="1732"/>
      <c r="K264" s="1732"/>
      <c r="L264" s="1732"/>
      <c r="M264" s="1732"/>
      <c r="N264" s="1732"/>
      <c r="O264" s="1732"/>
      <c r="P264" s="1732"/>
      <c r="Q264" s="1732"/>
      <c r="R264" s="1732"/>
      <c r="S264" s="1732"/>
      <c r="T264" s="1732"/>
      <c r="U264" s="1732"/>
      <c r="V264" s="1732"/>
      <c r="W264" s="1732"/>
      <c r="X264" s="1732"/>
      <c r="Y264" s="1732"/>
      <c r="Z264" s="1732"/>
    </row>
    <row r="265" spans="1:26" ht="18" customHeight="1">
      <c r="A265" s="1732"/>
      <c r="B265" s="1732"/>
      <c r="C265" s="1776"/>
      <c r="D265" s="1732"/>
      <c r="E265" s="1732"/>
      <c r="F265" s="1732"/>
      <c r="G265" s="1732"/>
      <c r="H265" s="1732"/>
      <c r="I265" s="1732"/>
      <c r="J265" s="1732"/>
      <c r="K265" s="1732"/>
      <c r="L265" s="1732"/>
      <c r="M265" s="1732"/>
      <c r="N265" s="1732"/>
      <c r="O265" s="1732"/>
      <c r="P265" s="1732"/>
      <c r="Q265" s="1732"/>
      <c r="R265" s="1732"/>
      <c r="S265" s="1732"/>
      <c r="T265" s="1732"/>
      <c r="U265" s="1732"/>
      <c r="V265" s="1732"/>
      <c r="W265" s="1732"/>
      <c r="X265" s="1732"/>
      <c r="Y265" s="1732"/>
      <c r="Z265" s="1732"/>
    </row>
    <row r="266" spans="1:26" ht="18" customHeight="1">
      <c r="A266" s="1732"/>
      <c r="B266" s="1732"/>
      <c r="C266" s="1776"/>
      <c r="D266" s="1732"/>
      <c r="E266" s="1732"/>
      <c r="F266" s="1732"/>
      <c r="G266" s="1732"/>
      <c r="H266" s="1732"/>
      <c r="I266" s="1732"/>
      <c r="J266" s="1732"/>
      <c r="K266" s="1732"/>
      <c r="L266" s="1732"/>
      <c r="M266" s="1732"/>
      <c r="N266" s="1732"/>
      <c r="O266" s="1732"/>
      <c r="P266" s="1732"/>
      <c r="Q266" s="1732"/>
      <c r="R266" s="1732"/>
      <c r="S266" s="1732"/>
      <c r="T266" s="1732"/>
      <c r="U266" s="1732"/>
      <c r="V266" s="1732"/>
      <c r="W266" s="1732"/>
      <c r="X266" s="1732"/>
      <c r="Y266" s="1732"/>
      <c r="Z266" s="1732"/>
    </row>
    <row r="267" spans="1:26" ht="18" customHeight="1">
      <c r="A267" s="1732"/>
      <c r="B267" s="1732"/>
      <c r="C267" s="1776"/>
      <c r="D267" s="1732"/>
      <c r="E267" s="1732"/>
      <c r="F267" s="1732"/>
      <c r="G267" s="1732"/>
      <c r="H267" s="1732"/>
      <c r="I267" s="1732"/>
      <c r="J267" s="1732"/>
      <c r="K267" s="1732"/>
      <c r="L267" s="1732"/>
      <c r="M267" s="1732"/>
      <c r="N267" s="1732"/>
      <c r="O267" s="1732"/>
      <c r="P267" s="1732"/>
      <c r="Q267" s="1732"/>
      <c r="R267" s="1732"/>
      <c r="S267" s="1732"/>
      <c r="T267" s="1732"/>
      <c r="U267" s="1732"/>
      <c r="V267" s="1732"/>
      <c r="W267" s="1732"/>
      <c r="X267" s="1732"/>
      <c r="Y267" s="1732"/>
      <c r="Z267" s="1732"/>
    </row>
    <row r="268" spans="1:26" ht="18" customHeight="1">
      <c r="A268" s="1732"/>
      <c r="B268" s="1732"/>
      <c r="C268" s="1776"/>
      <c r="D268" s="1732"/>
      <c r="E268" s="1732"/>
      <c r="F268" s="1732"/>
      <c r="G268" s="1732"/>
      <c r="H268" s="1732"/>
      <c r="I268" s="1732"/>
      <c r="J268" s="1732"/>
      <c r="K268" s="1732"/>
      <c r="L268" s="1732"/>
      <c r="M268" s="1732"/>
      <c r="N268" s="1732"/>
      <c r="O268" s="1732"/>
      <c r="P268" s="1732"/>
      <c r="Q268" s="1732"/>
      <c r="R268" s="1732"/>
      <c r="S268" s="1732"/>
      <c r="T268" s="1732"/>
      <c r="U268" s="1732"/>
      <c r="V268" s="1732"/>
      <c r="W268" s="1732"/>
      <c r="X268" s="1732"/>
      <c r="Y268" s="1732"/>
      <c r="Z268" s="1732"/>
    </row>
    <row r="269" spans="1:26" ht="18" customHeight="1">
      <c r="A269" s="1732"/>
      <c r="B269" s="1732"/>
      <c r="C269" s="1776"/>
      <c r="D269" s="1732"/>
      <c r="E269" s="1732"/>
      <c r="F269" s="1732"/>
      <c r="G269" s="1732"/>
      <c r="H269" s="1732"/>
      <c r="I269" s="1732"/>
      <c r="J269" s="1732"/>
      <c r="K269" s="1732"/>
      <c r="L269" s="1732"/>
      <c r="M269" s="1732"/>
      <c r="N269" s="1732"/>
      <c r="O269" s="1732"/>
      <c r="P269" s="1732"/>
      <c r="Q269" s="1732"/>
      <c r="R269" s="1732"/>
      <c r="S269" s="1732"/>
      <c r="T269" s="1732"/>
      <c r="U269" s="1732"/>
      <c r="V269" s="1732"/>
      <c r="W269" s="1732"/>
      <c r="X269" s="1732"/>
      <c r="Y269" s="1732"/>
      <c r="Z269" s="1732"/>
    </row>
    <row r="270" spans="1:26" ht="18" customHeight="1">
      <c r="A270" s="1732"/>
      <c r="B270" s="1732"/>
      <c r="C270" s="1776"/>
      <c r="D270" s="1732"/>
      <c r="E270" s="1732"/>
      <c r="F270" s="1732"/>
      <c r="G270" s="1732"/>
      <c r="H270" s="1732"/>
      <c r="I270" s="1732"/>
      <c r="J270" s="1732"/>
      <c r="K270" s="1732"/>
      <c r="L270" s="1732"/>
      <c r="M270" s="1732"/>
      <c r="N270" s="1732"/>
      <c r="O270" s="1732"/>
      <c r="P270" s="1732"/>
      <c r="Q270" s="1732"/>
      <c r="R270" s="1732"/>
      <c r="S270" s="1732"/>
      <c r="T270" s="1732"/>
      <c r="U270" s="1732"/>
      <c r="V270" s="1732"/>
      <c r="W270" s="1732"/>
      <c r="X270" s="1732"/>
      <c r="Y270" s="1732"/>
      <c r="Z270" s="1732"/>
    </row>
    <row r="271" spans="1:26" ht="18" customHeight="1">
      <c r="A271" s="1732"/>
      <c r="B271" s="1732"/>
      <c r="C271" s="1776"/>
      <c r="D271" s="1732"/>
      <c r="E271" s="1732"/>
      <c r="F271" s="1732"/>
      <c r="G271" s="1732"/>
      <c r="H271" s="1732"/>
      <c r="I271" s="1732"/>
      <c r="J271" s="1732"/>
      <c r="K271" s="1732"/>
      <c r="L271" s="1732"/>
      <c r="M271" s="1732"/>
      <c r="N271" s="1732"/>
      <c r="O271" s="1732"/>
      <c r="P271" s="1732"/>
      <c r="Q271" s="1732"/>
      <c r="R271" s="1732"/>
      <c r="S271" s="1732"/>
      <c r="T271" s="1732"/>
      <c r="U271" s="1732"/>
      <c r="V271" s="1732"/>
      <c r="W271" s="1732"/>
      <c r="X271" s="1732"/>
      <c r="Y271" s="1732"/>
      <c r="Z271" s="1732"/>
    </row>
    <row r="272" spans="1:26" ht="18" customHeight="1">
      <c r="A272" s="1732"/>
      <c r="B272" s="1732"/>
      <c r="C272" s="1776"/>
      <c r="D272" s="1732"/>
      <c r="E272" s="1732"/>
      <c r="F272" s="1732"/>
      <c r="G272" s="1732"/>
      <c r="H272" s="1732"/>
      <c r="I272" s="1732"/>
      <c r="J272" s="1732"/>
      <c r="K272" s="1732"/>
      <c r="L272" s="1732"/>
      <c r="M272" s="1732"/>
      <c r="N272" s="1732"/>
      <c r="O272" s="1732"/>
      <c r="P272" s="1732"/>
      <c r="Q272" s="1732"/>
      <c r="R272" s="1732"/>
      <c r="S272" s="1732"/>
      <c r="T272" s="1732"/>
      <c r="U272" s="1732"/>
      <c r="V272" s="1732"/>
      <c r="W272" s="1732"/>
      <c r="X272" s="1732"/>
      <c r="Y272" s="1732"/>
      <c r="Z272" s="1732"/>
    </row>
    <row r="273" spans="1:26" ht="18" customHeight="1">
      <c r="A273" s="1732"/>
      <c r="B273" s="1732"/>
      <c r="C273" s="1776"/>
      <c r="D273" s="1732"/>
      <c r="E273" s="1732"/>
      <c r="F273" s="1732"/>
      <c r="G273" s="1732"/>
      <c r="H273" s="1732"/>
      <c r="I273" s="1732"/>
      <c r="J273" s="1732"/>
      <c r="K273" s="1732"/>
      <c r="L273" s="1732"/>
      <c r="M273" s="1732"/>
      <c r="N273" s="1732"/>
      <c r="O273" s="1732"/>
      <c r="P273" s="1732"/>
      <c r="Q273" s="1732"/>
      <c r="R273" s="1732"/>
      <c r="S273" s="1732"/>
      <c r="T273" s="1732"/>
      <c r="U273" s="1732"/>
      <c r="V273" s="1732"/>
      <c r="W273" s="1732"/>
      <c r="X273" s="1732"/>
      <c r="Y273" s="1732"/>
      <c r="Z273" s="1732"/>
    </row>
    <row r="274" spans="1:26" ht="18" customHeight="1">
      <c r="A274" s="1732"/>
      <c r="B274" s="1732"/>
      <c r="C274" s="1776"/>
      <c r="D274" s="1732"/>
      <c r="E274" s="1732"/>
      <c r="F274" s="1732"/>
      <c r="G274" s="1732"/>
      <c r="H274" s="1732"/>
      <c r="I274" s="1732"/>
      <c r="J274" s="1732"/>
      <c r="K274" s="1732"/>
      <c r="L274" s="1732"/>
      <c r="M274" s="1732"/>
      <c r="N274" s="1732"/>
      <c r="O274" s="1732"/>
      <c r="P274" s="1732"/>
      <c r="Q274" s="1732"/>
      <c r="R274" s="1732"/>
      <c r="S274" s="1732"/>
      <c r="T274" s="1732"/>
      <c r="U274" s="1732"/>
      <c r="V274" s="1732"/>
      <c r="W274" s="1732"/>
      <c r="X274" s="1732"/>
      <c r="Y274" s="1732"/>
      <c r="Z274" s="1732"/>
    </row>
    <row r="275" spans="1:26" ht="18" customHeight="1">
      <c r="A275" s="1732"/>
      <c r="B275" s="1732"/>
      <c r="C275" s="1776"/>
      <c r="D275" s="1732"/>
      <c r="E275" s="1732"/>
      <c r="F275" s="1732"/>
      <c r="G275" s="1732"/>
      <c r="H275" s="1732"/>
      <c r="I275" s="1732"/>
      <c r="J275" s="1732"/>
      <c r="K275" s="1732"/>
      <c r="L275" s="1732"/>
      <c r="M275" s="1732"/>
      <c r="N275" s="1732"/>
      <c r="O275" s="1732"/>
      <c r="P275" s="1732"/>
      <c r="Q275" s="1732"/>
      <c r="R275" s="1732"/>
      <c r="S275" s="1732"/>
      <c r="T275" s="1732"/>
      <c r="U275" s="1732"/>
      <c r="V275" s="1732"/>
      <c r="W275" s="1732"/>
      <c r="X275" s="1732"/>
      <c r="Y275" s="1732"/>
      <c r="Z275" s="1732"/>
    </row>
    <row r="276" spans="1:26" ht="18" customHeight="1">
      <c r="A276" s="1732"/>
      <c r="B276" s="1732"/>
      <c r="C276" s="1776"/>
      <c r="D276" s="1732"/>
      <c r="E276" s="1732"/>
      <c r="F276" s="1732"/>
      <c r="G276" s="1732"/>
      <c r="H276" s="1732"/>
      <c r="I276" s="1732"/>
      <c r="J276" s="1732"/>
      <c r="K276" s="1732"/>
      <c r="L276" s="1732"/>
      <c r="M276" s="1732"/>
      <c r="N276" s="1732"/>
      <c r="O276" s="1732"/>
      <c r="P276" s="1732"/>
      <c r="Q276" s="1732"/>
      <c r="R276" s="1732"/>
      <c r="S276" s="1732"/>
      <c r="T276" s="1732"/>
      <c r="U276" s="1732"/>
      <c r="V276" s="1732"/>
      <c r="W276" s="1732"/>
      <c r="X276" s="1732"/>
      <c r="Y276" s="1732"/>
      <c r="Z276" s="1732"/>
    </row>
    <row r="277" spans="1:26" ht="18" customHeight="1">
      <c r="A277" s="1732"/>
      <c r="B277" s="1732"/>
      <c r="C277" s="1776"/>
      <c r="D277" s="1732"/>
      <c r="E277" s="1732"/>
      <c r="F277" s="1732"/>
      <c r="G277" s="1732"/>
      <c r="H277" s="1732"/>
      <c r="I277" s="1732"/>
      <c r="J277" s="1732"/>
      <c r="K277" s="1732"/>
      <c r="L277" s="1732"/>
      <c r="M277" s="1732"/>
      <c r="N277" s="1732"/>
      <c r="O277" s="1732"/>
      <c r="P277" s="1732"/>
      <c r="Q277" s="1732"/>
      <c r="R277" s="1732"/>
      <c r="S277" s="1732"/>
      <c r="T277" s="1732"/>
      <c r="U277" s="1732"/>
      <c r="V277" s="1732"/>
      <c r="W277" s="1732"/>
      <c r="X277" s="1732"/>
      <c r="Y277" s="1732"/>
      <c r="Z277" s="1732"/>
    </row>
    <row r="278" spans="1:26" ht="18" customHeight="1">
      <c r="A278" s="1732"/>
      <c r="B278" s="1732"/>
      <c r="C278" s="1776"/>
      <c r="D278" s="1732"/>
      <c r="E278" s="1732"/>
      <c r="F278" s="1732"/>
      <c r="G278" s="1732"/>
      <c r="H278" s="1732"/>
      <c r="I278" s="1732"/>
      <c r="J278" s="1732"/>
      <c r="K278" s="1732"/>
      <c r="L278" s="1732"/>
      <c r="M278" s="1732"/>
      <c r="N278" s="1732"/>
      <c r="O278" s="1732"/>
      <c r="P278" s="1732"/>
      <c r="Q278" s="1732"/>
      <c r="R278" s="1732"/>
      <c r="S278" s="1732"/>
      <c r="T278" s="1732"/>
      <c r="U278" s="1732"/>
      <c r="V278" s="1732"/>
      <c r="W278" s="1732"/>
      <c r="X278" s="1732"/>
      <c r="Y278" s="1732"/>
      <c r="Z278" s="1732"/>
    </row>
    <row r="279" spans="1:26" ht="18" customHeight="1">
      <c r="A279" s="1732"/>
      <c r="B279" s="1732"/>
      <c r="C279" s="1776"/>
      <c r="D279" s="1732"/>
      <c r="E279" s="1732"/>
      <c r="F279" s="1732"/>
      <c r="G279" s="1732"/>
      <c r="H279" s="1732"/>
      <c r="I279" s="1732"/>
      <c r="J279" s="1732"/>
      <c r="K279" s="1732"/>
      <c r="L279" s="1732"/>
      <c r="M279" s="1732"/>
      <c r="N279" s="1732"/>
      <c r="O279" s="1732"/>
      <c r="P279" s="1732"/>
      <c r="Q279" s="1732"/>
      <c r="R279" s="1732"/>
      <c r="S279" s="1732"/>
      <c r="T279" s="1732"/>
      <c r="U279" s="1732"/>
      <c r="V279" s="1732"/>
      <c r="W279" s="1732"/>
      <c r="X279" s="1732"/>
      <c r="Y279" s="1732"/>
      <c r="Z279" s="1732"/>
    </row>
    <row r="280" spans="1:26" ht="18" customHeight="1">
      <c r="A280" s="1732"/>
      <c r="B280" s="1732"/>
      <c r="C280" s="1776"/>
      <c r="D280" s="1732"/>
      <c r="E280" s="1732"/>
      <c r="F280" s="1732"/>
      <c r="G280" s="1732"/>
      <c r="H280" s="1732"/>
      <c r="I280" s="1732"/>
      <c r="J280" s="1732"/>
      <c r="K280" s="1732"/>
      <c r="L280" s="1732"/>
      <c r="M280" s="1732"/>
      <c r="N280" s="1732"/>
      <c r="O280" s="1732"/>
      <c r="P280" s="1732"/>
      <c r="Q280" s="1732"/>
      <c r="R280" s="1732"/>
      <c r="S280" s="1732"/>
      <c r="T280" s="1732"/>
      <c r="U280" s="1732"/>
      <c r="V280" s="1732"/>
      <c r="W280" s="1732"/>
      <c r="X280" s="1732"/>
      <c r="Y280" s="1732"/>
      <c r="Z280" s="1732"/>
    </row>
    <row r="281" spans="1:26" ht="18" customHeight="1">
      <c r="A281" s="1732"/>
      <c r="B281" s="1732"/>
      <c r="C281" s="1776"/>
      <c r="D281" s="1732"/>
      <c r="E281" s="1732"/>
      <c r="F281" s="1732"/>
      <c r="G281" s="1732"/>
      <c r="H281" s="1732"/>
      <c r="I281" s="1732"/>
      <c r="J281" s="1732"/>
      <c r="K281" s="1732"/>
      <c r="L281" s="1732"/>
      <c r="M281" s="1732"/>
      <c r="N281" s="1732"/>
      <c r="O281" s="1732"/>
      <c r="P281" s="1732"/>
      <c r="Q281" s="1732"/>
      <c r="R281" s="1732"/>
      <c r="S281" s="1732"/>
      <c r="T281" s="1732"/>
      <c r="U281" s="1732"/>
      <c r="V281" s="1732"/>
      <c r="W281" s="1732"/>
      <c r="X281" s="1732"/>
      <c r="Y281" s="1732"/>
      <c r="Z281" s="1732"/>
    </row>
    <row r="282" spans="1:26" ht="18" customHeight="1">
      <c r="A282" s="1732"/>
      <c r="B282" s="1732"/>
      <c r="C282" s="1776"/>
      <c r="D282" s="1732"/>
      <c r="E282" s="1732"/>
      <c r="F282" s="1732"/>
      <c r="G282" s="1732"/>
      <c r="H282" s="1732"/>
      <c r="I282" s="1732"/>
      <c r="J282" s="1732"/>
      <c r="K282" s="1732"/>
      <c r="L282" s="1732"/>
      <c r="M282" s="1732"/>
      <c r="N282" s="1732"/>
      <c r="O282" s="1732"/>
      <c r="P282" s="1732"/>
      <c r="Q282" s="1732"/>
      <c r="R282" s="1732"/>
      <c r="S282" s="1732"/>
      <c r="T282" s="1732"/>
      <c r="U282" s="1732"/>
      <c r="V282" s="1732"/>
      <c r="W282" s="1732"/>
      <c r="X282" s="1732"/>
      <c r="Y282" s="1732"/>
      <c r="Z282" s="1732"/>
    </row>
    <row r="283" spans="1:26" ht="18" customHeight="1">
      <c r="A283" s="1732"/>
      <c r="B283" s="1732"/>
      <c r="C283" s="1776"/>
      <c r="D283" s="1732"/>
      <c r="E283" s="1732"/>
      <c r="F283" s="1732"/>
      <c r="G283" s="1732"/>
      <c r="H283" s="1732"/>
      <c r="I283" s="1732"/>
      <c r="J283" s="1732"/>
      <c r="K283" s="1732"/>
      <c r="L283" s="1732"/>
      <c r="M283" s="1732"/>
      <c r="N283" s="1732"/>
      <c r="O283" s="1732"/>
      <c r="P283" s="1732"/>
      <c r="Q283" s="1732"/>
      <c r="R283" s="1732"/>
      <c r="S283" s="1732"/>
      <c r="T283" s="1732"/>
      <c r="U283" s="1732"/>
      <c r="V283" s="1732"/>
      <c r="W283" s="1732"/>
      <c r="X283" s="1732"/>
      <c r="Y283" s="1732"/>
      <c r="Z283" s="1732"/>
    </row>
    <row r="284" spans="1:26" ht="18" customHeight="1">
      <c r="A284" s="1732"/>
      <c r="B284" s="1732"/>
      <c r="C284" s="1776"/>
      <c r="D284" s="1732"/>
      <c r="E284" s="1732"/>
      <c r="F284" s="1732"/>
      <c r="G284" s="1732"/>
      <c r="H284" s="1732"/>
      <c r="I284" s="1732"/>
      <c r="J284" s="1732"/>
      <c r="K284" s="1732"/>
      <c r="L284" s="1732"/>
      <c r="M284" s="1732"/>
      <c r="N284" s="1732"/>
      <c r="O284" s="1732"/>
      <c r="P284" s="1732"/>
      <c r="Q284" s="1732"/>
      <c r="R284" s="1732"/>
      <c r="S284" s="1732"/>
      <c r="T284" s="1732"/>
      <c r="U284" s="1732"/>
      <c r="V284" s="1732"/>
      <c r="W284" s="1732"/>
      <c r="X284" s="1732"/>
      <c r="Y284" s="1732"/>
      <c r="Z284" s="1732"/>
    </row>
    <row r="285" spans="1:26" ht="18" customHeight="1">
      <c r="A285" s="1732"/>
      <c r="B285" s="1732"/>
      <c r="C285" s="1776"/>
      <c r="D285" s="1732"/>
      <c r="E285" s="1732"/>
      <c r="F285" s="1732"/>
      <c r="G285" s="1732"/>
      <c r="H285" s="1732"/>
      <c r="I285" s="1732"/>
      <c r="J285" s="1732"/>
      <c r="K285" s="1732"/>
      <c r="L285" s="1732"/>
      <c r="M285" s="1732"/>
      <c r="N285" s="1732"/>
      <c r="O285" s="1732"/>
      <c r="P285" s="1732"/>
      <c r="Q285" s="1732"/>
      <c r="R285" s="1732"/>
      <c r="S285" s="1732"/>
      <c r="T285" s="1732"/>
      <c r="U285" s="1732"/>
      <c r="V285" s="1732"/>
      <c r="W285" s="1732"/>
      <c r="X285" s="1732"/>
      <c r="Y285" s="1732"/>
      <c r="Z285" s="1732"/>
    </row>
    <row r="286" spans="1:26" ht="18" customHeight="1">
      <c r="A286" s="1732"/>
      <c r="B286" s="1732"/>
      <c r="C286" s="1776"/>
      <c r="D286" s="1732"/>
      <c r="E286" s="1732"/>
      <c r="F286" s="1732"/>
      <c r="G286" s="1732"/>
      <c r="H286" s="1732"/>
      <c r="I286" s="1732"/>
      <c r="J286" s="1732"/>
      <c r="K286" s="1732"/>
      <c r="L286" s="1732"/>
      <c r="M286" s="1732"/>
      <c r="N286" s="1732"/>
      <c r="O286" s="1732"/>
      <c r="P286" s="1732"/>
      <c r="Q286" s="1732"/>
      <c r="R286" s="1732"/>
      <c r="S286" s="1732"/>
      <c r="T286" s="1732"/>
      <c r="U286" s="1732"/>
      <c r="V286" s="1732"/>
      <c r="W286" s="1732"/>
      <c r="X286" s="1732"/>
      <c r="Y286" s="1732"/>
      <c r="Z286" s="1732"/>
    </row>
    <row r="287" spans="1:26" ht="18" customHeight="1">
      <c r="A287" s="1732"/>
      <c r="B287" s="1732"/>
      <c r="C287" s="1776"/>
      <c r="D287" s="1732"/>
      <c r="E287" s="1732"/>
      <c r="F287" s="1732"/>
      <c r="G287" s="1732"/>
      <c r="H287" s="1732"/>
      <c r="I287" s="1732"/>
      <c r="J287" s="1732"/>
      <c r="K287" s="1732"/>
      <c r="L287" s="1732"/>
      <c r="M287" s="1732"/>
      <c r="N287" s="1732"/>
      <c r="O287" s="1732"/>
      <c r="P287" s="1732"/>
      <c r="Q287" s="1732"/>
      <c r="R287" s="1732"/>
      <c r="S287" s="1732"/>
      <c r="T287" s="1732"/>
      <c r="U287" s="1732"/>
      <c r="V287" s="1732"/>
      <c r="W287" s="1732"/>
      <c r="X287" s="1732"/>
      <c r="Y287" s="1732"/>
      <c r="Z287" s="1732"/>
    </row>
    <row r="288" spans="1:26" ht="18" customHeight="1">
      <c r="A288" s="1732"/>
      <c r="B288" s="1732"/>
      <c r="C288" s="1776"/>
      <c r="D288" s="1732"/>
      <c r="E288" s="1732"/>
      <c r="F288" s="1732"/>
      <c r="G288" s="1732"/>
      <c r="H288" s="1732"/>
      <c r="I288" s="1732"/>
      <c r="J288" s="1732"/>
      <c r="K288" s="1732"/>
      <c r="L288" s="1732"/>
      <c r="M288" s="1732"/>
      <c r="N288" s="1732"/>
      <c r="O288" s="1732"/>
      <c r="P288" s="1732"/>
      <c r="Q288" s="1732"/>
      <c r="R288" s="1732"/>
      <c r="S288" s="1732"/>
      <c r="T288" s="1732"/>
      <c r="U288" s="1732"/>
      <c r="V288" s="1732"/>
      <c r="W288" s="1732"/>
      <c r="X288" s="1732"/>
      <c r="Y288" s="1732"/>
      <c r="Z288" s="1732"/>
    </row>
    <row r="289" spans="1:26" ht="18" customHeight="1">
      <c r="A289" s="1732"/>
      <c r="B289" s="1732"/>
      <c r="C289" s="1776"/>
      <c r="D289" s="1732"/>
      <c r="E289" s="1732"/>
      <c r="F289" s="1732"/>
      <c r="G289" s="1732"/>
      <c r="H289" s="1732"/>
      <c r="I289" s="1732"/>
      <c r="J289" s="1732"/>
      <c r="K289" s="1732"/>
      <c r="L289" s="1732"/>
      <c r="M289" s="1732"/>
      <c r="N289" s="1732"/>
      <c r="O289" s="1732"/>
      <c r="P289" s="1732"/>
      <c r="Q289" s="1732"/>
      <c r="R289" s="1732"/>
      <c r="S289" s="1732"/>
      <c r="T289" s="1732"/>
      <c r="U289" s="1732"/>
      <c r="V289" s="1732"/>
      <c r="W289" s="1732"/>
      <c r="X289" s="1732"/>
      <c r="Y289" s="1732"/>
      <c r="Z289" s="1732"/>
    </row>
    <row r="290" spans="1:26" ht="18" customHeight="1">
      <c r="A290" s="1732"/>
      <c r="B290" s="1732"/>
      <c r="C290" s="1776"/>
      <c r="D290" s="1732"/>
      <c r="E290" s="1732"/>
      <c r="F290" s="1732"/>
      <c r="G290" s="1732"/>
      <c r="H290" s="1732"/>
      <c r="I290" s="1732"/>
      <c r="J290" s="1732"/>
      <c r="K290" s="1732"/>
      <c r="L290" s="1732"/>
      <c r="M290" s="1732"/>
      <c r="N290" s="1732"/>
      <c r="O290" s="1732"/>
      <c r="P290" s="1732"/>
      <c r="Q290" s="1732"/>
      <c r="R290" s="1732"/>
      <c r="S290" s="1732"/>
      <c r="T290" s="1732"/>
      <c r="U290" s="1732"/>
      <c r="V290" s="1732"/>
      <c r="W290" s="1732"/>
      <c r="X290" s="1732"/>
      <c r="Y290" s="1732"/>
      <c r="Z290" s="1732"/>
    </row>
    <row r="291" spans="1:26" ht="18" customHeight="1">
      <c r="A291" s="1732"/>
      <c r="B291" s="1732"/>
      <c r="C291" s="1776"/>
      <c r="D291" s="1732"/>
      <c r="E291" s="1732"/>
      <c r="F291" s="1732"/>
      <c r="G291" s="1732"/>
      <c r="H291" s="1732"/>
      <c r="I291" s="1732"/>
      <c r="J291" s="1732"/>
      <c r="K291" s="1732"/>
      <c r="L291" s="1732"/>
      <c r="M291" s="1732"/>
      <c r="N291" s="1732"/>
      <c r="O291" s="1732"/>
      <c r="P291" s="1732"/>
      <c r="Q291" s="1732"/>
      <c r="R291" s="1732"/>
      <c r="S291" s="1732"/>
      <c r="T291" s="1732"/>
      <c r="U291" s="1732"/>
      <c r="V291" s="1732"/>
      <c r="W291" s="1732"/>
      <c r="X291" s="1732"/>
      <c r="Y291" s="1732"/>
      <c r="Z291" s="1732"/>
    </row>
    <row r="292" spans="1:26" ht="18" customHeight="1">
      <c r="A292" s="1732"/>
      <c r="B292" s="1732"/>
      <c r="C292" s="1776"/>
      <c r="D292" s="1732"/>
      <c r="E292" s="1732"/>
      <c r="F292" s="1732"/>
      <c r="G292" s="1732"/>
      <c r="H292" s="1732"/>
      <c r="I292" s="1732"/>
      <c r="J292" s="1732"/>
      <c r="K292" s="1732"/>
      <c r="L292" s="1732"/>
      <c r="M292" s="1732"/>
      <c r="N292" s="1732"/>
      <c r="O292" s="1732"/>
      <c r="P292" s="1732"/>
      <c r="Q292" s="1732"/>
      <c r="R292" s="1732"/>
      <c r="S292" s="1732"/>
      <c r="T292" s="1732"/>
      <c r="U292" s="1732"/>
      <c r="V292" s="1732"/>
      <c r="W292" s="1732"/>
      <c r="X292" s="1732"/>
      <c r="Y292" s="1732"/>
      <c r="Z292" s="1732"/>
    </row>
    <row r="293" spans="1:26" ht="18" customHeight="1">
      <c r="A293" s="1732"/>
      <c r="B293" s="1732"/>
      <c r="C293" s="1776"/>
      <c r="D293" s="1732"/>
      <c r="E293" s="1732"/>
      <c r="F293" s="1732"/>
      <c r="G293" s="1732"/>
      <c r="H293" s="1732"/>
      <c r="I293" s="1732"/>
      <c r="J293" s="1732"/>
      <c r="K293" s="1732"/>
      <c r="L293" s="1732"/>
      <c r="M293" s="1732"/>
      <c r="N293" s="1732"/>
      <c r="O293" s="1732"/>
      <c r="P293" s="1732"/>
      <c r="Q293" s="1732"/>
      <c r="R293" s="1732"/>
      <c r="S293" s="1732"/>
      <c r="T293" s="1732"/>
      <c r="U293" s="1732"/>
      <c r="V293" s="1732"/>
      <c r="W293" s="1732"/>
      <c r="X293" s="1732"/>
      <c r="Y293" s="1732"/>
      <c r="Z293" s="1732"/>
    </row>
    <row r="294" spans="1:26" ht="18" customHeight="1">
      <c r="A294" s="1732"/>
      <c r="B294" s="1732"/>
      <c r="C294" s="1776"/>
      <c r="D294" s="1732"/>
      <c r="E294" s="1732"/>
      <c r="F294" s="1732"/>
      <c r="G294" s="1732"/>
      <c r="H294" s="1732"/>
      <c r="I294" s="1732"/>
      <c r="J294" s="1732"/>
      <c r="K294" s="1732"/>
      <c r="L294" s="1732"/>
      <c r="M294" s="1732"/>
      <c r="N294" s="1732"/>
      <c r="O294" s="1732"/>
      <c r="P294" s="1732"/>
      <c r="Q294" s="1732"/>
      <c r="R294" s="1732"/>
      <c r="S294" s="1732"/>
      <c r="T294" s="1732"/>
      <c r="U294" s="1732"/>
      <c r="V294" s="1732"/>
      <c r="W294" s="1732"/>
      <c r="X294" s="1732"/>
      <c r="Y294" s="1732"/>
      <c r="Z294" s="1732"/>
    </row>
    <row r="295" spans="1:26" ht="18" customHeight="1">
      <c r="A295" s="1732"/>
      <c r="B295" s="1732"/>
      <c r="C295" s="1776"/>
      <c r="D295" s="1732"/>
      <c r="E295" s="1732"/>
      <c r="F295" s="1732"/>
      <c r="G295" s="1732"/>
      <c r="H295" s="1732"/>
      <c r="I295" s="1732"/>
      <c r="J295" s="1732"/>
      <c r="K295" s="1732"/>
      <c r="L295" s="1732"/>
      <c r="M295" s="1732"/>
      <c r="N295" s="1732"/>
      <c r="O295" s="1732"/>
      <c r="P295" s="1732"/>
      <c r="Q295" s="1732"/>
      <c r="R295" s="1732"/>
      <c r="S295" s="1732"/>
      <c r="T295" s="1732"/>
      <c r="U295" s="1732"/>
      <c r="V295" s="1732"/>
      <c r="W295" s="1732"/>
      <c r="X295" s="1732"/>
      <c r="Y295" s="1732"/>
      <c r="Z295" s="1732"/>
    </row>
    <row r="296" spans="1:26" ht="18" customHeight="1">
      <c r="A296" s="1732"/>
      <c r="B296" s="1732"/>
      <c r="C296" s="1776"/>
      <c r="D296" s="1732"/>
      <c r="E296" s="1732"/>
      <c r="F296" s="1732"/>
      <c r="G296" s="1732"/>
      <c r="H296" s="1732"/>
      <c r="I296" s="1732"/>
      <c r="J296" s="1732"/>
      <c r="K296" s="1732"/>
      <c r="L296" s="1732"/>
      <c r="M296" s="1732"/>
      <c r="N296" s="1732"/>
      <c r="O296" s="1732"/>
      <c r="P296" s="1732"/>
      <c r="Q296" s="1732"/>
      <c r="R296" s="1732"/>
      <c r="S296" s="1732"/>
      <c r="T296" s="1732"/>
      <c r="U296" s="1732"/>
      <c r="V296" s="1732"/>
      <c r="W296" s="1732"/>
      <c r="X296" s="1732"/>
      <c r="Y296" s="1732"/>
      <c r="Z296" s="1732"/>
    </row>
    <row r="297" spans="1:26" ht="18" customHeight="1">
      <c r="A297" s="1732"/>
      <c r="B297" s="1732"/>
      <c r="C297" s="1776"/>
      <c r="D297" s="1732"/>
      <c r="E297" s="1732"/>
      <c r="F297" s="1732"/>
      <c r="G297" s="1732"/>
      <c r="H297" s="1732"/>
      <c r="I297" s="1732"/>
      <c r="J297" s="1732"/>
      <c r="K297" s="1732"/>
      <c r="L297" s="1732"/>
      <c r="M297" s="1732"/>
      <c r="N297" s="1732"/>
      <c r="O297" s="1732"/>
      <c r="P297" s="1732"/>
      <c r="Q297" s="1732"/>
      <c r="R297" s="1732"/>
      <c r="S297" s="1732"/>
      <c r="T297" s="1732"/>
      <c r="U297" s="1732"/>
      <c r="V297" s="1732"/>
      <c r="W297" s="1732"/>
      <c r="X297" s="1732"/>
      <c r="Y297" s="1732"/>
      <c r="Z297" s="1732"/>
    </row>
    <row r="298" spans="1:26" ht="18" customHeight="1">
      <c r="A298" s="1732"/>
      <c r="B298" s="1732"/>
      <c r="C298" s="1776"/>
      <c r="D298" s="1732"/>
      <c r="E298" s="1732"/>
      <c r="F298" s="1732"/>
      <c r="G298" s="1732"/>
      <c r="H298" s="1732"/>
      <c r="I298" s="1732"/>
      <c r="J298" s="1732"/>
      <c r="K298" s="1732"/>
      <c r="L298" s="1732"/>
      <c r="M298" s="1732"/>
      <c r="N298" s="1732"/>
      <c r="O298" s="1732"/>
      <c r="P298" s="1732"/>
      <c r="Q298" s="1732"/>
      <c r="R298" s="1732"/>
      <c r="S298" s="1732"/>
      <c r="T298" s="1732"/>
      <c r="U298" s="1732"/>
      <c r="V298" s="1732"/>
      <c r="W298" s="1732"/>
      <c r="X298" s="1732"/>
      <c r="Y298" s="1732"/>
      <c r="Z298" s="1732"/>
    </row>
    <row r="299" spans="1:26" ht="18" customHeight="1">
      <c r="A299" s="1732"/>
      <c r="B299" s="1732"/>
      <c r="C299" s="1776"/>
      <c r="D299" s="1732"/>
      <c r="E299" s="1732"/>
      <c r="F299" s="1732"/>
      <c r="G299" s="1732"/>
      <c r="H299" s="1732"/>
      <c r="I299" s="1732"/>
      <c r="J299" s="1732"/>
      <c r="K299" s="1732"/>
      <c r="L299" s="1732"/>
      <c r="M299" s="1732"/>
      <c r="N299" s="1732"/>
      <c r="O299" s="1732"/>
      <c r="P299" s="1732"/>
      <c r="Q299" s="1732"/>
      <c r="R299" s="1732"/>
      <c r="S299" s="1732"/>
      <c r="T299" s="1732"/>
      <c r="U299" s="1732"/>
      <c r="V299" s="1732"/>
      <c r="W299" s="1732"/>
      <c r="X299" s="1732"/>
      <c r="Y299" s="1732"/>
      <c r="Z299" s="1732"/>
    </row>
    <row r="300" spans="1:26" ht="18" customHeight="1">
      <c r="A300" s="1732"/>
      <c r="B300" s="1732"/>
      <c r="C300" s="1776"/>
      <c r="D300" s="1732"/>
      <c r="E300" s="1732"/>
      <c r="F300" s="1732"/>
      <c r="G300" s="1732"/>
      <c r="H300" s="1732"/>
      <c r="I300" s="1732"/>
      <c r="J300" s="1732"/>
      <c r="K300" s="1732"/>
      <c r="L300" s="1732"/>
      <c r="M300" s="1732"/>
      <c r="N300" s="1732"/>
      <c r="O300" s="1732"/>
      <c r="P300" s="1732"/>
      <c r="Q300" s="1732"/>
      <c r="R300" s="1732"/>
      <c r="S300" s="1732"/>
      <c r="T300" s="1732"/>
      <c r="U300" s="1732"/>
      <c r="V300" s="1732"/>
      <c r="W300" s="1732"/>
      <c r="X300" s="1732"/>
      <c r="Y300" s="1732"/>
      <c r="Z300" s="1732"/>
    </row>
    <row r="301" spans="1:26" ht="18" customHeight="1">
      <c r="A301" s="1732"/>
      <c r="B301" s="1732"/>
      <c r="C301" s="1776"/>
      <c r="D301" s="1732"/>
      <c r="E301" s="1732"/>
      <c r="F301" s="1732"/>
      <c r="G301" s="1732"/>
      <c r="H301" s="1732"/>
      <c r="I301" s="1732"/>
      <c r="J301" s="1732"/>
      <c r="K301" s="1732"/>
      <c r="L301" s="1732"/>
      <c r="M301" s="1732"/>
      <c r="N301" s="1732"/>
      <c r="O301" s="1732"/>
      <c r="P301" s="1732"/>
      <c r="Q301" s="1732"/>
      <c r="R301" s="1732"/>
      <c r="S301" s="1732"/>
      <c r="T301" s="1732"/>
      <c r="U301" s="1732"/>
      <c r="V301" s="1732"/>
      <c r="W301" s="1732"/>
      <c r="X301" s="1732"/>
      <c r="Y301" s="1732"/>
      <c r="Z301" s="1732"/>
    </row>
    <row r="302" spans="1:26" ht="18" customHeight="1">
      <c r="A302" s="1732"/>
      <c r="B302" s="1732"/>
      <c r="C302" s="1776"/>
      <c r="D302" s="1732"/>
      <c r="E302" s="1732"/>
      <c r="F302" s="1732"/>
      <c r="G302" s="1732"/>
      <c r="H302" s="1732"/>
      <c r="I302" s="1732"/>
      <c r="J302" s="1732"/>
      <c r="K302" s="1732"/>
      <c r="L302" s="1732"/>
      <c r="M302" s="1732"/>
      <c r="N302" s="1732"/>
      <c r="O302" s="1732"/>
      <c r="P302" s="1732"/>
      <c r="Q302" s="1732"/>
      <c r="R302" s="1732"/>
      <c r="S302" s="1732"/>
      <c r="T302" s="1732"/>
      <c r="U302" s="1732"/>
      <c r="V302" s="1732"/>
      <c r="W302" s="1732"/>
      <c r="X302" s="1732"/>
      <c r="Y302" s="1732"/>
      <c r="Z302" s="1732"/>
    </row>
    <row r="303" spans="1:26" ht="18" customHeight="1">
      <c r="A303" s="1732"/>
      <c r="B303" s="1732"/>
      <c r="C303" s="1776"/>
      <c r="D303" s="1732"/>
      <c r="E303" s="1732"/>
      <c r="F303" s="1732"/>
      <c r="G303" s="1732"/>
      <c r="H303" s="1732"/>
      <c r="I303" s="1732"/>
      <c r="J303" s="1732"/>
      <c r="K303" s="1732"/>
      <c r="L303" s="1732"/>
      <c r="M303" s="1732"/>
      <c r="N303" s="1732"/>
      <c r="O303" s="1732"/>
      <c r="P303" s="1732"/>
      <c r="Q303" s="1732"/>
      <c r="R303" s="1732"/>
      <c r="S303" s="1732"/>
      <c r="T303" s="1732"/>
      <c r="U303" s="1732"/>
      <c r="V303" s="1732"/>
      <c r="W303" s="1732"/>
      <c r="X303" s="1732"/>
      <c r="Y303" s="1732"/>
      <c r="Z303" s="1732"/>
    </row>
    <row r="304" spans="1:26" ht="18" customHeight="1">
      <c r="A304" s="1732"/>
      <c r="B304" s="1732"/>
      <c r="C304" s="1776"/>
      <c r="D304" s="1732"/>
      <c r="E304" s="1732"/>
      <c r="F304" s="1732"/>
      <c r="G304" s="1732"/>
      <c r="H304" s="1732"/>
      <c r="I304" s="1732"/>
      <c r="J304" s="1732"/>
      <c r="K304" s="1732"/>
      <c r="L304" s="1732"/>
      <c r="M304" s="1732"/>
      <c r="N304" s="1732"/>
      <c r="O304" s="1732"/>
      <c r="P304" s="1732"/>
      <c r="Q304" s="1732"/>
      <c r="R304" s="1732"/>
      <c r="S304" s="1732"/>
      <c r="T304" s="1732"/>
      <c r="U304" s="1732"/>
      <c r="V304" s="1732"/>
      <c r="W304" s="1732"/>
      <c r="X304" s="1732"/>
      <c r="Y304" s="1732"/>
      <c r="Z304" s="1732"/>
    </row>
    <row r="305" spans="1:26" ht="18" customHeight="1">
      <c r="A305" s="1732"/>
      <c r="B305" s="1732"/>
      <c r="C305" s="1776"/>
      <c r="D305" s="1732"/>
      <c r="E305" s="1732"/>
      <c r="F305" s="1732"/>
      <c r="G305" s="1732"/>
      <c r="H305" s="1732"/>
      <c r="I305" s="1732"/>
      <c r="J305" s="1732"/>
      <c r="K305" s="1732"/>
      <c r="L305" s="1732"/>
      <c r="M305" s="1732"/>
      <c r="N305" s="1732"/>
      <c r="O305" s="1732"/>
      <c r="P305" s="1732"/>
      <c r="Q305" s="1732"/>
      <c r="R305" s="1732"/>
      <c r="S305" s="1732"/>
      <c r="T305" s="1732"/>
      <c r="U305" s="1732"/>
      <c r="V305" s="1732"/>
      <c r="W305" s="1732"/>
      <c r="X305" s="1732"/>
      <c r="Y305" s="1732"/>
      <c r="Z305" s="1732"/>
    </row>
    <row r="306" spans="1:26" ht="18" customHeight="1">
      <c r="A306" s="1732"/>
      <c r="B306" s="1732"/>
      <c r="C306" s="1776"/>
      <c r="D306" s="1732"/>
      <c r="E306" s="1732"/>
      <c r="F306" s="1732"/>
      <c r="G306" s="1732"/>
      <c r="H306" s="1732"/>
      <c r="I306" s="1732"/>
      <c r="J306" s="1732"/>
      <c r="K306" s="1732"/>
      <c r="L306" s="1732"/>
      <c r="M306" s="1732"/>
      <c r="N306" s="1732"/>
      <c r="O306" s="1732"/>
      <c r="P306" s="1732"/>
      <c r="Q306" s="1732"/>
      <c r="R306" s="1732"/>
      <c r="S306" s="1732"/>
      <c r="T306" s="1732"/>
      <c r="U306" s="1732"/>
      <c r="V306" s="1732"/>
      <c r="W306" s="1732"/>
      <c r="X306" s="1732"/>
      <c r="Y306" s="1732"/>
      <c r="Z306" s="1732"/>
    </row>
    <row r="307" spans="1:26" ht="18" customHeight="1">
      <c r="A307" s="1732"/>
      <c r="B307" s="1732"/>
      <c r="C307" s="1776"/>
      <c r="D307" s="1732"/>
      <c r="E307" s="1732"/>
      <c r="F307" s="1732"/>
      <c r="G307" s="1732"/>
      <c r="H307" s="1732"/>
      <c r="I307" s="1732"/>
      <c r="J307" s="1732"/>
      <c r="K307" s="1732"/>
      <c r="L307" s="1732"/>
      <c r="M307" s="1732"/>
      <c r="N307" s="1732"/>
      <c r="O307" s="1732"/>
      <c r="P307" s="1732"/>
      <c r="Q307" s="1732"/>
      <c r="R307" s="1732"/>
      <c r="S307" s="1732"/>
      <c r="T307" s="1732"/>
      <c r="U307" s="1732"/>
      <c r="V307" s="1732"/>
      <c r="W307" s="1732"/>
      <c r="X307" s="1732"/>
      <c r="Y307" s="1732"/>
      <c r="Z307" s="1732"/>
    </row>
    <row r="308" spans="1:26" ht="18" customHeight="1">
      <c r="A308" s="1732"/>
      <c r="B308" s="1732"/>
      <c r="C308" s="1776"/>
      <c r="D308" s="1732"/>
      <c r="E308" s="1732"/>
      <c r="F308" s="1732"/>
      <c r="G308" s="1732"/>
      <c r="H308" s="1732"/>
      <c r="I308" s="1732"/>
      <c r="J308" s="1732"/>
      <c r="K308" s="1732"/>
      <c r="L308" s="1732"/>
      <c r="M308" s="1732"/>
      <c r="N308" s="1732"/>
      <c r="O308" s="1732"/>
      <c r="P308" s="1732"/>
      <c r="Q308" s="1732"/>
      <c r="R308" s="1732"/>
      <c r="S308" s="1732"/>
      <c r="T308" s="1732"/>
      <c r="U308" s="1732"/>
      <c r="V308" s="1732"/>
      <c r="W308" s="1732"/>
      <c r="X308" s="1732"/>
      <c r="Y308" s="1732"/>
      <c r="Z308" s="1732"/>
    </row>
    <row r="309" spans="1:26" ht="18" customHeight="1">
      <c r="A309" s="1732"/>
      <c r="B309" s="1732"/>
      <c r="C309" s="1776"/>
      <c r="D309" s="1732"/>
      <c r="E309" s="1732"/>
      <c r="F309" s="1732"/>
      <c r="G309" s="1732"/>
      <c r="H309" s="1732"/>
      <c r="I309" s="1732"/>
      <c r="J309" s="1732"/>
      <c r="K309" s="1732"/>
      <c r="L309" s="1732"/>
      <c r="M309" s="1732"/>
      <c r="N309" s="1732"/>
      <c r="O309" s="1732"/>
      <c r="P309" s="1732"/>
      <c r="Q309" s="1732"/>
      <c r="R309" s="1732"/>
      <c r="S309" s="1732"/>
      <c r="T309" s="1732"/>
      <c r="U309" s="1732"/>
      <c r="V309" s="1732"/>
      <c r="W309" s="1732"/>
      <c r="X309" s="1732"/>
      <c r="Y309" s="1732"/>
      <c r="Z309" s="1732"/>
    </row>
    <row r="310" spans="1:26" ht="18" customHeight="1">
      <c r="A310" s="1732"/>
      <c r="B310" s="1732"/>
      <c r="C310" s="1776"/>
      <c r="D310" s="1732"/>
      <c r="E310" s="1732"/>
      <c r="F310" s="1732"/>
      <c r="G310" s="1732"/>
      <c r="H310" s="1732"/>
      <c r="I310" s="1732"/>
      <c r="J310" s="1732"/>
      <c r="K310" s="1732"/>
      <c r="L310" s="1732"/>
      <c r="M310" s="1732"/>
      <c r="N310" s="1732"/>
      <c r="O310" s="1732"/>
      <c r="P310" s="1732"/>
      <c r="Q310" s="1732"/>
      <c r="R310" s="1732"/>
      <c r="S310" s="1732"/>
      <c r="T310" s="1732"/>
      <c r="U310" s="1732"/>
      <c r="V310" s="1732"/>
      <c r="W310" s="1732"/>
      <c r="X310" s="1732"/>
      <c r="Y310" s="1732"/>
      <c r="Z310" s="1732"/>
    </row>
    <row r="311" spans="1:26" ht="18" customHeight="1">
      <c r="A311" s="1732"/>
      <c r="B311" s="1732"/>
      <c r="C311" s="1776"/>
      <c r="D311" s="1732"/>
      <c r="E311" s="1732"/>
      <c r="F311" s="1732"/>
      <c r="G311" s="1732"/>
      <c r="H311" s="1732"/>
      <c r="I311" s="1732"/>
      <c r="J311" s="1732"/>
      <c r="K311" s="1732"/>
      <c r="L311" s="1732"/>
      <c r="M311" s="1732"/>
      <c r="N311" s="1732"/>
      <c r="O311" s="1732"/>
      <c r="P311" s="1732"/>
      <c r="Q311" s="1732"/>
      <c r="R311" s="1732"/>
      <c r="S311" s="1732"/>
      <c r="T311" s="1732"/>
      <c r="U311" s="1732"/>
      <c r="V311" s="1732"/>
      <c r="W311" s="1732"/>
      <c r="X311" s="1732"/>
      <c r="Y311" s="1732"/>
      <c r="Z311" s="1732"/>
    </row>
    <row r="312" spans="1:26" ht="18" customHeight="1">
      <c r="A312" s="1732"/>
      <c r="B312" s="1732"/>
      <c r="C312" s="1776"/>
      <c r="D312" s="1732"/>
      <c r="E312" s="1732"/>
      <c r="F312" s="1732"/>
      <c r="G312" s="1732"/>
      <c r="H312" s="1732"/>
      <c r="I312" s="1732"/>
      <c r="J312" s="1732"/>
      <c r="K312" s="1732"/>
      <c r="L312" s="1732"/>
      <c r="M312" s="1732"/>
      <c r="N312" s="1732"/>
      <c r="O312" s="1732"/>
      <c r="P312" s="1732"/>
      <c r="Q312" s="1732"/>
      <c r="R312" s="1732"/>
      <c r="S312" s="1732"/>
      <c r="T312" s="1732"/>
      <c r="U312" s="1732"/>
      <c r="V312" s="1732"/>
      <c r="W312" s="1732"/>
      <c r="X312" s="1732"/>
      <c r="Y312" s="1732"/>
      <c r="Z312" s="1732"/>
    </row>
    <row r="313" spans="1:26" ht="18" customHeight="1">
      <c r="A313" s="1732"/>
      <c r="B313" s="1732"/>
      <c r="C313" s="1776"/>
      <c r="D313" s="1732"/>
      <c r="E313" s="1732"/>
      <c r="F313" s="1732"/>
      <c r="G313" s="1732"/>
      <c r="H313" s="1732"/>
      <c r="I313" s="1732"/>
      <c r="J313" s="1732"/>
      <c r="K313" s="1732"/>
      <c r="L313" s="1732"/>
      <c r="M313" s="1732"/>
      <c r="N313" s="1732"/>
      <c r="O313" s="1732"/>
      <c r="P313" s="1732"/>
      <c r="Q313" s="1732"/>
      <c r="R313" s="1732"/>
      <c r="S313" s="1732"/>
      <c r="T313" s="1732"/>
      <c r="U313" s="1732"/>
      <c r="V313" s="1732"/>
      <c r="W313" s="1732"/>
      <c r="X313" s="1732"/>
      <c r="Y313" s="1732"/>
      <c r="Z313" s="1732"/>
    </row>
    <row r="314" spans="1:26" ht="18" customHeight="1">
      <c r="A314" s="1732"/>
      <c r="B314" s="1732"/>
      <c r="C314" s="1776"/>
      <c r="D314" s="1732"/>
      <c r="E314" s="1732"/>
      <c r="F314" s="1732"/>
      <c r="G314" s="1732"/>
      <c r="H314" s="1732"/>
      <c r="I314" s="1732"/>
      <c r="J314" s="1732"/>
      <c r="K314" s="1732"/>
      <c r="L314" s="1732"/>
      <c r="M314" s="1732"/>
      <c r="N314" s="1732"/>
      <c r="O314" s="1732"/>
      <c r="P314" s="1732"/>
      <c r="Q314" s="1732"/>
      <c r="R314" s="1732"/>
      <c r="S314" s="1732"/>
      <c r="T314" s="1732"/>
      <c r="U314" s="1732"/>
      <c r="V314" s="1732"/>
      <c r="W314" s="1732"/>
      <c r="X314" s="1732"/>
      <c r="Y314" s="1732"/>
      <c r="Z314" s="1732"/>
    </row>
    <row r="315" spans="1:26" ht="18" customHeight="1">
      <c r="A315" s="1732"/>
      <c r="B315" s="1732"/>
      <c r="C315" s="1776"/>
      <c r="D315" s="1732"/>
      <c r="E315" s="1732"/>
      <c r="F315" s="1732"/>
      <c r="G315" s="1732"/>
      <c r="H315" s="1732"/>
      <c r="I315" s="1732"/>
      <c r="J315" s="1732"/>
      <c r="K315" s="1732"/>
      <c r="L315" s="1732"/>
      <c r="M315" s="1732"/>
      <c r="N315" s="1732"/>
      <c r="O315" s="1732"/>
      <c r="P315" s="1732"/>
      <c r="Q315" s="1732"/>
      <c r="R315" s="1732"/>
      <c r="S315" s="1732"/>
      <c r="T315" s="1732"/>
      <c r="U315" s="1732"/>
      <c r="V315" s="1732"/>
      <c r="W315" s="1732"/>
      <c r="X315" s="1732"/>
      <c r="Y315" s="1732"/>
      <c r="Z315" s="1732"/>
    </row>
    <row r="316" spans="1:26" ht="18" customHeight="1">
      <c r="A316" s="1732"/>
      <c r="B316" s="1732"/>
      <c r="C316" s="1776"/>
      <c r="D316" s="1732"/>
      <c r="E316" s="1732"/>
      <c r="F316" s="1732"/>
      <c r="G316" s="1732"/>
      <c r="H316" s="1732"/>
      <c r="I316" s="1732"/>
      <c r="J316" s="1732"/>
      <c r="K316" s="1732"/>
      <c r="L316" s="1732"/>
      <c r="M316" s="1732"/>
      <c r="N316" s="1732"/>
      <c r="O316" s="1732"/>
      <c r="P316" s="1732"/>
      <c r="Q316" s="1732"/>
      <c r="R316" s="1732"/>
      <c r="S316" s="1732"/>
      <c r="T316" s="1732"/>
      <c r="U316" s="1732"/>
      <c r="V316" s="1732"/>
      <c r="W316" s="1732"/>
      <c r="X316" s="1732"/>
      <c r="Y316" s="1732"/>
      <c r="Z316" s="1732"/>
    </row>
    <row r="317" spans="1:26" ht="18" customHeight="1">
      <c r="A317" s="1732"/>
      <c r="B317" s="1732"/>
      <c r="C317" s="1776"/>
      <c r="D317" s="1732"/>
      <c r="E317" s="1732"/>
      <c r="F317" s="1732"/>
      <c r="G317" s="1732"/>
      <c r="H317" s="1732"/>
      <c r="I317" s="1732"/>
      <c r="J317" s="1732"/>
      <c r="K317" s="1732"/>
      <c r="L317" s="1732"/>
      <c r="M317" s="1732"/>
      <c r="N317" s="1732"/>
      <c r="O317" s="1732"/>
      <c r="P317" s="1732"/>
      <c r="Q317" s="1732"/>
      <c r="R317" s="1732"/>
      <c r="S317" s="1732"/>
      <c r="T317" s="1732"/>
      <c r="U317" s="1732"/>
      <c r="V317" s="1732"/>
      <c r="W317" s="1732"/>
      <c r="X317" s="1732"/>
      <c r="Y317" s="1732"/>
      <c r="Z317" s="1732"/>
    </row>
    <row r="318" spans="1:26" ht="18" customHeight="1">
      <c r="A318" s="1732"/>
      <c r="B318" s="1732"/>
      <c r="C318" s="1776"/>
      <c r="D318" s="1732"/>
      <c r="E318" s="1732"/>
      <c r="F318" s="1732"/>
      <c r="G318" s="1732"/>
      <c r="H318" s="1732"/>
      <c r="I318" s="1732"/>
      <c r="J318" s="1732"/>
      <c r="K318" s="1732"/>
      <c r="L318" s="1732"/>
      <c r="M318" s="1732"/>
      <c r="N318" s="1732"/>
      <c r="O318" s="1732"/>
      <c r="P318" s="1732"/>
      <c r="Q318" s="1732"/>
      <c r="R318" s="1732"/>
      <c r="S318" s="1732"/>
      <c r="T318" s="1732"/>
      <c r="U318" s="1732"/>
      <c r="V318" s="1732"/>
      <c r="W318" s="1732"/>
      <c r="X318" s="1732"/>
      <c r="Y318" s="1732"/>
      <c r="Z318" s="1732"/>
    </row>
    <row r="319" spans="1:26" ht="18" customHeight="1">
      <c r="A319" s="1732"/>
      <c r="B319" s="1732"/>
      <c r="C319" s="1776"/>
      <c r="D319" s="1732"/>
      <c r="E319" s="1732"/>
      <c r="F319" s="1732"/>
      <c r="G319" s="1732"/>
      <c r="H319" s="1732"/>
      <c r="I319" s="1732"/>
      <c r="J319" s="1732"/>
      <c r="K319" s="1732"/>
      <c r="L319" s="1732"/>
      <c r="M319" s="1732"/>
      <c r="N319" s="1732"/>
      <c r="O319" s="1732"/>
      <c r="P319" s="1732"/>
      <c r="Q319" s="1732"/>
      <c r="R319" s="1732"/>
      <c r="S319" s="1732"/>
      <c r="T319" s="1732"/>
      <c r="U319" s="1732"/>
      <c r="V319" s="1732"/>
      <c r="W319" s="1732"/>
      <c r="X319" s="1732"/>
      <c r="Y319" s="1732"/>
      <c r="Z319" s="1732"/>
    </row>
    <row r="320" spans="1:26" ht="18" customHeight="1">
      <c r="A320" s="1732"/>
      <c r="B320" s="1732"/>
      <c r="C320" s="1776"/>
      <c r="D320" s="1732"/>
      <c r="E320" s="1732"/>
      <c r="F320" s="1732"/>
      <c r="G320" s="1732"/>
      <c r="H320" s="1732"/>
      <c r="I320" s="1732"/>
      <c r="J320" s="1732"/>
      <c r="K320" s="1732"/>
      <c r="L320" s="1732"/>
      <c r="M320" s="1732"/>
      <c r="N320" s="1732"/>
      <c r="O320" s="1732"/>
      <c r="P320" s="1732"/>
      <c r="Q320" s="1732"/>
      <c r="R320" s="1732"/>
      <c r="S320" s="1732"/>
      <c r="T320" s="1732"/>
      <c r="U320" s="1732"/>
      <c r="V320" s="1732"/>
      <c r="W320" s="1732"/>
      <c r="X320" s="1732"/>
      <c r="Y320" s="1732"/>
      <c r="Z320" s="1732"/>
    </row>
    <row r="321" spans="1:26" ht="18" customHeight="1">
      <c r="A321" s="1732"/>
      <c r="B321" s="1732"/>
      <c r="C321" s="1776"/>
      <c r="D321" s="1732"/>
      <c r="E321" s="1732"/>
      <c r="F321" s="1732"/>
      <c r="G321" s="1732"/>
      <c r="H321" s="1732"/>
      <c r="I321" s="1732"/>
      <c r="J321" s="1732"/>
      <c r="K321" s="1732"/>
      <c r="L321" s="1732"/>
      <c r="M321" s="1732"/>
      <c r="N321" s="1732"/>
      <c r="O321" s="1732"/>
      <c r="P321" s="1732"/>
      <c r="Q321" s="1732"/>
      <c r="R321" s="1732"/>
      <c r="S321" s="1732"/>
      <c r="T321" s="1732"/>
      <c r="U321" s="1732"/>
      <c r="V321" s="1732"/>
      <c r="W321" s="1732"/>
      <c r="X321" s="1732"/>
      <c r="Y321" s="1732"/>
      <c r="Z321" s="1732"/>
    </row>
    <row r="322" spans="1:26" ht="18" customHeight="1">
      <c r="A322" s="1732"/>
      <c r="B322" s="1732"/>
      <c r="C322" s="1776"/>
      <c r="D322" s="1732"/>
      <c r="E322" s="1732"/>
      <c r="F322" s="1732"/>
      <c r="G322" s="1732"/>
      <c r="H322" s="1732"/>
      <c r="I322" s="1732"/>
      <c r="J322" s="1732"/>
      <c r="K322" s="1732"/>
      <c r="L322" s="1732"/>
      <c r="M322" s="1732"/>
      <c r="N322" s="1732"/>
      <c r="O322" s="1732"/>
      <c r="P322" s="1732"/>
      <c r="Q322" s="1732"/>
      <c r="R322" s="1732"/>
      <c r="S322" s="1732"/>
      <c r="T322" s="1732"/>
      <c r="U322" s="1732"/>
      <c r="V322" s="1732"/>
      <c r="W322" s="1732"/>
      <c r="X322" s="1732"/>
      <c r="Y322" s="1732"/>
      <c r="Z322" s="1732"/>
    </row>
    <row r="323" spans="1:26" ht="18" customHeight="1">
      <c r="A323" s="1732"/>
      <c r="B323" s="1732"/>
      <c r="C323" s="1776"/>
      <c r="D323" s="1732"/>
      <c r="E323" s="1732"/>
      <c r="F323" s="1732"/>
      <c r="G323" s="1732"/>
      <c r="H323" s="1732"/>
      <c r="I323" s="1732"/>
      <c r="J323" s="1732"/>
      <c r="K323" s="1732"/>
      <c r="L323" s="1732"/>
      <c r="M323" s="1732"/>
      <c r="N323" s="1732"/>
      <c r="O323" s="1732"/>
      <c r="P323" s="1732"/>
      <c r="Q323" s="1732"/>
      <c r="R323" s="1732"/>
      <c r="S323" s="1732"/>
      <c r="T323" s="1732"/>
      <c r="U323" s="1732"/>
      <c r="V323" s="1732"/>
      <c r="W323" s="1732"/>
      <c r="X323" s="1732"/>
      <c r="Y323" s="1732"/>
      <c r="Z323" s="1732"/>
    </row>
    <row r="324" spans="1:26" ht="18" customHeight="1">
      <c r="A324" s="1732"/>
      <c r="B324" s="1732"/>
      <c r="C324" s="1776"/>
      <c r="D324" s="1732"/>
      <c r="E324" s="1732"/>
      <c r="F324" s="1732"/>
      <c r="G324" s="1732"/>
      <c r="H324" s="1732"/>
      <c r="I324" s="1732"/>
      <c r="J324" s="1732"/>
      <c r="K324" s="1732"/>
      <c r="L324" s="1732"/>
      <c r="M324" s="1732"/>
      <c r="N324" s="1732"/>
      <c r="O324" s="1732"/>
      <c r="P324" s="1732"/>
      <c r="Q324" s="1732"/>
      <c r="R324" s="1732"/>
      <c r="S324" s="1732"/>
      <c r="T324" s="1732"/>
      <c r="U324" s="1732"/>
      <c r="V324" s="1732"/>
      <c r="W324" s="1732"/>
      <c r="X324" s="1732"/>
      <c r="Y324" s="1732"/>
      <c r="Z324" s="1732"/>
    </row>
    <row r="325" spans="1:26" ht="18" customHeight="1">
      <c r="A325" s="1732"/>
      <c r="B325" s="1732"/>
      <c r="C325" s="1776"/>
      <c r="D325" s="1732"/>
      <c r="E325" s="1732"/>
      <c r="F325" s="1732"/>
      <c r="G325" s="1732"/>
      <c r="H325" s="1732"/>
      <c r="I325" s="1732"/>
      <c r="J325" s="1732"/>
      <c r="K325" s="1732"/>
      <c r="L325" s="1732"/>
      <c r="M325" s="1732"/>
      <c r="N325" s="1732"/>
      <c r="O325" s="1732"/>
      <c r="P325" s="1732"/>
      <c r="Q325" s="1732"/>
      <c r="R325" s="1732"/>
      <c r="S325" s="1732"/>
      <c r="T325" s="1732"/>
      <c r="U325" s="1732"/>
      <c r="V325" s="1732"/>
      <c r="W325" s="1732"/>
      <c r="X325" s="1732"/>
      <c r="Y325" s="1732"/>
      <c r="Z325" s="1732"/>
    </row>
    <row r="326" spans="1:26" ht="18" customHeight="1">
      <c r="A326" s="1732"/>
      <c r="B326" s="1732"/>
      <c r="C326" s="1776"/>
      <c r="D326" s="1732"/>
      <c r="E326" s="1732"/>
      <c r="F326" s="1732"/>
      <c r="G326" s="1732"/>
      <c r="H326" s="1732"/>
      <c r="I326" s="1732"/>
      <c r="J326" s="1732"/>
      <c r="K326" s="1732"/>
      <c r="L326" s="1732"/>
      <c r="M326" s="1732"/>
      <c r="N326" s="1732"/>
      <c r="O326" s="1732"/>
      <c r="P326" s="1732"/>
      <c r="Q326" s="1732"/>
      <c r="R326" s="1732"/>
      <c r="S326" s="1732"/>
      <c r="T326" s="1732"/>
      <c r="U326" s="1732"/>
      <c r="V326" s="1732"/>
      <c r="W326" s="1732"/>
      <c r="X326" s="1732"/>
      <c r="Y326" s="1732"/>
      <c r="Z326" s="1732"/>
    </row>
    <row r="327" spans="1:26" ht="18" customHeight="1">
      <c r="A327" s="1732"/>
      <c r="B327" s="1732"/>
      <c r="C327" s="1776"/>
      <c r="D327" s="1732"/>
      <c r="E327" s="1732"/>
      <c r="F327" s="1732"/>
      <c r="G327" s="1732"/>
      <c r="H327" s="1732"/>
      <c r="I327" s="1732"/>
      <c r="J327" s="1732"/>
      <c r="K327" s="1732"/>
      <c r="L327" s="1732"/>
      <c r="M327" s="1732"/>
      <c r="N327" s="1732"/>
      <c r="O327" s="1732"/>
      <c r="P327" s="1732"/>
      <c r="Q327" s="1732"/>
      <c r="R327" s="1732"/>
      <c r="S327" s="1732"/>
      <c r="T327" s="1732"/>
      <c r="U327" s="1732"/>
      <c r="V327" s="1732"/>
      <c r="W327" s="1732"/>
      <c r="X327" s="1732"/>
      <c r="Y327" s="1732"/>
      <c r="Z327" s="1732"/>
    </row>
    <row r="328" spans="1:26" ht="18" customHeight="1">
      <c r="A328" s="1732"/>
      <c r="B328" s="1732"/>
      <c r="C328" s="1776"/>
      <c r="D328" s="1732"/>
      <c r="E328" s="1732"/>
      <c r="F328" s="1732"/>
      <c r="G328" s="1732"/>
      <c r="H328" s="1732"/>
      <c r="I328" s="1732"/>
      <c r="J328" s="1732"/>
      <c r="K328" s="1732"/>
      <c r="L328" s="1732"/>
      <c r="M328" s="1732"/>
      <c r="N328" s="1732"/>
      <c r="O328" s="1732"/>
      <c r="P328" s="1732"/>
      <c r="Q328" s="1732"/>
      <c r="R328" s="1732"/>
      <c r="S328" s="1732"/>
      <c r="T328" s="1732"/>
      <c r="U328" s="1732"/>
      <c r="V328" s="1732"/>
      <c r="W328" s="1732"/>
      <c r="X328" s="1732"/>
      <c r="Y328" s="1732"/>
      <c r="Z328" s="1732"/>
    </row>
    <row r="329" spans="1:26" ht="18" customHeight="1">
      <c r="A329" s="1732"/>
      <c r="B329" s="1732"/>
      <c r="C329" s="1776"/>
      <c r="D329" s="1732"/>
      <c r="E329" s="1732"/>
      <c r="F329" s="1732"/>
      <c r="G329" s="1732"/>
      <c r="H329" s="1732"/>
      <c r="I329" s="1732"/>
      <c r="J329" s="1732"/>
      <c r="K329" s="1732"/>
      <c r="L329" s="1732"/>
      <c r="M329" s="1732"/>
      <c r="N329" s="1732"/>
      <c r="O329" s="1732"/>
      <c r="P329" s="1732"/>
      <c r="Q329" s="1732"/>
      <c r="R329" s="1732"/>
      <c r="S329" s="1732"/>
      <c r="T329" s="1732"/>
      <c r="U329" s="1732"/>
      <c r="V329" s="1732"/>
      <c r="W329" s="1732"/>
      <c r="X329" s="1732"/>
      <c r="Y329" s="1732"/>
      <c r="Z329" s="1732"/>
    </row>
    <row r="330" spans="1:26" ht="18" customHeight="1">
      <c r="A330" s="1732"/>
      <c r="B330" s="1732"/>
      <c r="C330" s="1776"/>
      <c r="D330" s="1732"/>
      <c r="E330" s="1732"/>
      <c r="F330" s="1732"/>
      <c r="G330" s="1732"/>
      <c r="H330" s="1732"/>
      <c r="I330" s="1732"/>
      <c r="J330" s="1732"/>
      <c r="K330" s="1732"/>
      <c r="L330" s="1732"/>
      <c r="M330" s="1732"/>
      <c r="N330" s="1732"/>
      <c r="O330" s="1732"/>
      <c r="P330" s="1732"/>
      <c r="Q330" s="1732"/>
      <c r="R330" s="1732"/>
      <c r="S330" s="1732"/>
      <c r="T330" s="1732"/>
      <c r="U330" s="1732"/>
      <c r="V330" s="1732"/>
      <c r="W330" s="1732"/>
      <c r="X330" s="1732"/>
      <c r="Y330" s="1732"/>
      <c r="Z330" s="1732"/>
    </row>
    <row r="331" spans="1:26" ht="18" customHeight="1">
      <c r="A331" s="1732"/>
      <c r="B331" s="1732"/>
      <c r="C331" s="1776"/>
      <c r="D331" s="1732"/>
      <c r="E331" s="1732"/>
      <c r="F331" s="1732"/>
      <c r="G331" s="1732"/>
      <c r="H331" s="1732"/>
      <c r="I331" s="1732"/>
      <c r="J331" s="1732"/>
      <c r="K331" s="1732"/>
      <c r="L331" s="1732"/>
      <c r="M331" s="1732"/>
      <c r="N331" s="1732"/>
      <c r="O331" s="1732"/>
      <c r="P331" s="1732"/>
      <c r="Q331" s="1732"/>
      <c r="R331" s="1732"/>
      <c r="S331" s="1732"/>
      <c r="T331" s="1732"/>
      <c r="U331" s="1732"/>
      <c r="V331" s="1732"/>
      <c r="W331" s="1732"/>
      <c r="X331" s="1732"/>
      <c r="Y331" s="1732"/>
      <c r="Z331" s="1732"/>
    </row>
    <row r="332" spans="1:26" ht="18" customHeight="1">
      <c r="A332" s="1732"/>
      <c r="B332" s="1732"/>
      <c r="C332" s="1776"/>
      <c r="D332" s="1732"/>
      <c r="E332" s="1732"/>
      <c r="F332" s="1732"/>
      <c r="G332" s="1732"/>
      <c r="H332" s="1732"/>
      <c r="I332" s="1732"/>
      <c r="J332" s="1732"/>
      <c r="K332" s="1732"/>
      <c r="L332" s="1732"/>
      <c r="M332" s="1732"/>
      <c r="N332" s="1732"/>
      <c r="O332" s="1732"/>
      <c r="P332" s="1732"/>
      <c r="Q332" s="1732"/>
      <c r="R332" s="1732"/>
      <c r="S332" s="1732"/>
      <c r="T332" s="1732"/>
      <c r="U332" s="1732"/>
      <c r="V332" s="1732"/>
      <c r="W332" s="1732"/>
      <c r="X332" s="1732"/>
      <c r="Y332" s="1732"/>
      <c r="Z332" s="1732"/>
    </row>
    <row r="333" spans="1:26" ht="18" customHeight="1">
      <c r="A333" s="1732"/>
      <c r="B333" s="1732"/>
      <c r="C333" s="1776"/>
      <c r="D333" s="1732"/>
      <c r="E333" s="1732"/>
      <c r="F333" s="1732"/>
      <c r="G333" s="1732"/>
      <c r="H333" s="1732"/>
      <c r="I333" s="1732"/>
      <c r="J333" s="1732"/>
      <c r="K333" s="1732"/>
      <c r="L333" s="1732"/>
      <c r="M333" s="1732"/>
      <c r="N333" s="1732"/>
      <c r="O333" s="1732"/>
      <c r="P333" s="1732"/>
      <c r="Q333" s="1732"/>
      <c r="R333" s="1732"/>
      <c r="S333" s="1732"/>
      <c r="T333" s="1732"/>
      <c r="U333" s="1732"/>
      <c r="V333" s="1732"/>
      <c r="W333" s="1732"/>
      <c r="X333" s="1732"/>
      <c r="Y333" s="1732"/>
      <c r="Z333" s="1732"/>
    </row>
    <row r="334" spans="1:26" ht="18" customHeight="1">
      <c r="A334" s="1732"/>
      <c r="B334" s="1732"/>
      <c r="C334" s="1776"/>
      <c r="D334" s="1732"/>
      <c r="E334" s="1732"/>
      <c r="F334" s="1732"/>
      <c r="G334" s="1732"/>
      <c r="H334" s="1732"/>
      <c r="I334" s="1732"/>
      <c r="J334" s="1732"/>
      <c r="K334" s="1732"/>
      <c r="L334" s="1732"/>
      <c r="M334" s="1732"/>
      <c r="N334" s="1732"/>
      <c r="O334" s="1732"/>
      <c r="P334" s="1732"/>
      <c r="Q334" s="1732"/>
      <c r="R334" s="1732"/>
      <c r="S334" s="1732"/>
      <c r="T334" s="1732"/>
      <c r="U334" s="1732"/>
      <c r="V334" s="1732"/>
      <c r="W334" s="1732"/>
      <c r="X334" s="1732"/>
      <c r="Y334" s="1732"/>
      <c r="Z334" s="1732"/>
    </row>
    <row r="335" spans="1:26" ht="18" customHeight="1">
      <c r="A335" s="1732"/>
      <c r="B335" s="1732"/>
      <c r="C335" s="1776"/>
      <c r="D335" s="1732"/>
      <c r="E335" s="1732"/>
      <c r="F335" s="1732"/>
      <c r="G335" s="1732"/>
      <c r="H335" s="1732"/>
      <c r="I335" s="1732"/>
      <c r="J335" s="1732"/>
      <c r="K335" s="1732"/>
      <c r="L335" s="1732"/>
      <c r="M335" s="1732"/>
      <c r="N335" s="1732"/>
      <c r="O335" s="1732"/>
      <c r="P335" s="1732"/>
      <c r="Q335" s="1732"/>
      <c r="R335" s="1732"/>
      <c r="S335" s="1732"/>
      <c r="T335" s="1732"/>
      <c r="U335" s="1732"/>
      <c r="V335" s="1732"/>
      <c r="W335" s="1732"/>
      <c r="X335" s="1732"/>
      <c r="Y335" s="1732"/>
      <c r="Z335" s="1732"/>
    </row>
    <row r="336" spans="1:26" ht="18" customHeight="1">
      <c r="A336" s="1732"/>
      <c r="B336" s="1732"/>
      <c r="C336" s="1776"/>
      <c r="D336" s="1732"/>
      <c r="E336" s="1732"/>
      <c r="F336" s="1732"/>
      <c r="G336" s="1732"/>
      <c r="H336" s="1732"/>
      <c r="I336" s="1732"/>
      <c r="J336" s="1732"/>
      <c r="K336" s="1732"/>
      <c r="L336" s="1732"/>
      <c r="M336" s="1732"/>
      <c r="N336" s="1732"/>
      <c r="O336" s="1732"/>
      <c r="P336" s="1732"/>
      <c r="Q336" s="1732"/>
      <c r="R336" s="1732"/>
      <c r="S336" s="1732"/>
      <c r="T336" s="1732"/>
      <c r="U336" s="1732"/>
      <c r="V336" s="1732"/>
      <c r="W336" s="1732"/>
      <c r="X336" s="1732"/>
      <c r="Y336" s="1732"/>
      <c r="Z336" s="1732"/>
    </row>
    <row r="337" spans="1:26" ht="18" customHeight="1">
      <c r="A337" s="1732"/>
      <c r="B337" s="1732"/>
      <c r="C337" s="1776"/>
      <c r="D337" s="1732"/>
      <c r="E337" s="1732"/>
      <c r="F337" s="1732"/>
      <c r="G337" s="1732"/>
      <c r="H337" s="1732"/>
      <c r="I337" s="1732"/>
      <c r="J337" s="1732"/>
      <c r="K337" s="1732"/>
      <c r="L337" s="1732"/>
      <c r="M337" s="1732"/>
      <c r="N337" s="1732"/>
      <c r="O337" s="1732"/>
      <c r="P337" s="1732"/>
      <c r="Q337" s="1732"/>
      <c r="R337" s="1732"/>
      <c r="S337" s="1732"/>
      <c r="T337" s="1732"/>
      <c r="U337" s="1732"/>
      <c r="V337" s="1732"/>
      <c r="W337" s="1732"/>
      <c r="X337" s="1732"/>
      <c r="Y337" s="1732"/>
      <c r="Z337" s="1732"/>
    </row>
    <row r="338" spans="1:26" ht="18" customHeight="1">
      <c r="A338" s="1732"/>
      <c r="B338" s="1732"/>
      <c r="C338" s="1776"/>
      <c r="D338" s="1732"/>
      <c r="E338" s="1732"/>
      <c r="F338" s="1732"/>
      <c r="G338" s="1732"/>
      <c r="H338" s="1732"/>
      <c r="I338" s="1732"/>
      <c r="J338" s="1732"/>
      <c r="K338" s="1732"/>
      <c r="L338" s="1732"/>
      <c r="M338" s="1732"/>
      <c r="N338" s="1732"/>
      <c r="O338" s="1732"/>
      <c r="P338" s="1732"/>
      <c r="Q338" s="1732"/>
      <c r="R338" s="1732"/>
      <c r="S338" s="1732"/>
      <c r="T338" s="1732"/>
      <c r="U338" s="1732"/>
      <c r="V338" s="1732"/>
      <c r="W338" s="1732"/>
      <c r="X338" s="1732"/>
      <c r="Y338" s="1732"/>
      <c r="Z338" s="1732"/>
    </row>
    <row r="339" spans="1:26" ht="18" customHeight="1">
      <c r="A339" s="1732"/>
      <c r="B339" s="1732"/>
      <c r="C339" s="1776"/>
      <c r="D339" s="1732"/>
      <c r="E339" s="1732"/>
      <c r="F339" s="1732"/>
      <c r="G339" s="1732"/>
      <c r="H339" s="1732"/>
      <c r="I339" s="1732"/>
      <c r="J339" s="1732"/>
      <c r="K339" s="1732"/>
      <c r="L339" s="1732"/>
      <c r="M339" s="1732"/>
      <c r="N339" s="1732"/>
      <c r="O339" s="1732"/>
      <c r="P339" s="1732"/>
      <c r="Q339" s="1732"/>
      <c r="R339" s="1732"/>
      <c r="S339" s="1732"/>
      <c r="T339" s="1732"/>
      <c r="U339" s="1732"/>
      <c r="V339" s="1732"/>
      <c r="W339" s="1732"/>
      <c r="X339" s="1732"/>
      <c r="Y339" s="1732"/>
      <c r="Z339" s="1732"/>
    </row>
    <row r="340" spans="1:26" ht="18" customHeight="1">
      <c r="A340" s="1732"/>
      <c r="B340" s="1732"/>
      <c r="C340" s="1776"/>
      <c r="D340" s="1732"/>
      <c r="E340" s="1732"/>
      <c r="F340" s="1732"/>
      <c r="G340" s="1732"/>
      <c r="H340" s="1732"/>
      <c r="I340" s="1732"/>
      <c r="J340" s="1732"/>
      <c r="K340" s="1732"/>
      <c r="L340" s="1732"/>
      <c r="M340" s="1732"/>
      <c r="N340" s="1732"/>
      <c r="O340" s="1732"/>
      <c r="P340" s="1732"/>
      <c r="Q340" s="1732"/>
      <c r="R340" s="1732"/>
      <c r="S340" s="1732"/>
      <c r="T340" s="1732"/>
      <c r="U340" s="1732"/>
      <c r="V340" s="1732"/>
      <c r="W340" s="1732"/>
      <c r="X340" s="1732"/>
      <c r="Y340" s="1732"/>
      <c r="Z340" s="1732"/>
    </row>
    <row r="341" spans="1:26" ht="18" customHeight="1">
      <c r="A341" s="1732"/>
      <c r="B341" s="1732"/>
      <c r="C341" s="1776"/>
      <c r="D341" s="1732"/>
      <c r="E341" s="1732"/>
      <c r="F341" s="1732"/>
      <c r="G341" s="1732"/>
      <c r="H341" s="1732"/>
      <c r="I341" s="1732"/>
      <c r="J341" s="1732"/>
      <c r="K341" s="1732"/>
      <c r="L341" s="1732"/>
      <c r="M341" s="1732"/>
      <c r="N341" s="1732"/>
      <c r="O341" s="1732"/>
      <c r="P341" s="1732"/>
      <c r="Q341" s="1732"/>
      <c r="R341" s="1732"/>
      <c r="S341" s="1732"/>
      <c r="T341" s="1732"/>
      <c r="U341" s="1732"/>
      <c r="V341" s="1732"/>
      <c r="W341" s="1732"/>
      <c r="X341" s="1732"/>
      <c r="Y341" s="1732"/>
      <c r="Z341" s="1732"/>
    </row>
    <row r="342" spans="1:26" ht="18" customHeight="1">
      <c r="A342" s="1732"/>
      <c r="B342" s="1732"/>
      <c r="C342" s="1776"/>
      <c r="D342" s="1732"/>
      <c r="E342" s="1732"/>
      <c r="F342" s="1732"/>
      <c r="G342" s="1732"/>
      <c r="H342" s="1732"/>
      <c r="I342" s="1732"/>
      <c r="J342" s="1732"/>
      <c r="K342" s="1732"/>
      <c r="L342" s="1732"/>
      <c r="M342" s="1732"/>
      <c r="N342" s="1732"/>
      <c r="O342" s="1732"/>
      <c r="P342" s="1732"/>
      <c r="Q342" s="1732"/>
      <c r="R342" s="1732"/>
      <c r="S342" s="1732"/>
      <c r="T342" s="1732"/>
      <c r="U342" s="1732"/>
      <c r="V342" s="1732"/>
      <c r="W342" s="1732"/>
      <c r="X342" s="1732"/>
      <c r="Y342" s="1732"/>
      <c r="Z342" s="1732"/>
    </row>
    <row r="343" spans="1:26" ht="18" customHeight="1">
      <c r="A343" s="1732"/>
      <c r="B343" s="1732"/>
      <c r="C343" s="1776"/>
      <c r="D343" s="1732"/>
      <c r="E343" s="1732"/>
      <c r="F343" s="1732"/>
      <c r="G343" s="1732"/>
      <c r="H343" s="1732"/>
      <c r="I343" s="1732"/>
      <c r="J343" s="1732"/>
      <c r="K343" s="1732"/>
      <c r="L343" s="1732"/>
      <c r="M343" s="1732"/>
      <c r="N343" s="1732"/>
      <c r="O343" s="1732"/>
      <c r="P343" s="1732"/>
      <c r="Q343" s="1732"/>
      <c r="R343" s="1732"/>
      <c r="S343" s="1732"/>
      <c r="T343" s="1732"/>
      <c r="U343" s="1732"/>
      <c r="V343" s="1732"/>
      <c r="W343" s="1732"/>
      <c r="X343" s="1732"/>
      <c r="Y343" s="1732"/>
      <c r="Z343" s="1732"/>
    </row>
    <row r="344" spans="1:26" ht="18" customHeight="1">
      <c r="A344" s="1732"/>
      <c r="B344" s="1732"/>
      <c r="C344" s="1776"/>
      <c r="D344" s="1732"/>
      <c r="E344" s="1732"/>
      <c r="F344" s="1732"/>
      <c r="G344" s="1732"/>
      <c r="H344" s="1732"/>
      <c r="I344" s="1732"/>
      <c r="J344" s="1732"/>
      <c r="K344" s="1732"/>
      <c r="L344" s="1732"/>
      <c r="M344" s="1732"/>
      <c r="N344" s="1732"/>
      <c r="O344" s="1732"/>
      <c r="P344" s="1732"/>
      <c r="Q344" s="1732"/>
      <c r="R344" s="1732"/>
      <c r="S344" s="1732"/>
      <c r="T344" s="1732"/>
      <c r="U344" s="1732"/>
      <c r="V344" s="1732"/>
      <c r="W344" s="1732"/>
      <c r="X344" s="1732"/>
      <c r="Y344" s="1732"/>
      <c r="Z344" s="1732"/>
    </row>
    <row r="345" spans="1:26" ht="18" customHeight="1">
      <c r="A345" s="1732"/>
      <c r="B345" s="1732"/>
      <c r="C345" s="1776"/>
      <c r="D345" s="1732"/>
      <c r="E345" s="1732"/>
      <c r="F345" s="1732"/>
      <c r="G345" s="1732"/>
      <c r="H345" s="1732"/>
      <c r="I345" s="1732"/>
      <c r="J345" s="1732"/>
      <c r="K345" s="1732"/>
      <c r="L345" s="1732"/>
      <c r="M345" s="1732"/>
      <c r="N345" s="1732"/>
      <c r="O345" s="1732"/>
      <c r="P345" s="1732"/>
      <c r="Q345" s="1732"/>
      <c r="R345" s="1732"/>
      <c r="S345" s="1732"/>
      <c r="T345" s="1732"/>
      <c r="U345" s="1732"/>
      <c r="V345" s="1732"/>
      <c r="W345" s="1732"/>
      <c r="X345" s="1732"/>
      <c r="Y345" s="1732"/>
      <c r="Z345" s="1732"/>
    </row>
    <row r="346" spans="1:26" ht="18" customHeight="1">
      <c r="A346" s="1732"/>
      <c r="B346" s="1732"/>
      <c r="C346" s="1776"/>
      <c r="D346" s="1732"/>
      <c r="E346" s="1732"/>
      <c r="F346" s="1732"/>
      <c r="G346" s="1732"/>
      <c r="H346" s="1732"/>
      <c r="I346" s="1732"/>
      <c r="J346" s="1732"/>
      <c r="K346" s="1732"/>
      <c r="L346" s="1732"/>
      <c r="M346" s="1732"/>
      <c r="N346" s="1732"/>
      <c r="O346" s="1732"/>
      <c r="P346" s="1732"/>
      <c r="Q346" s="1732"/>
      <c r="R346" s="1732"/>
      <c r="S346" s="1732"/>
      <c r="T346" s="1732"/>
      <c r="U346" s="1732"/>
      <c r="V346" s="1732"/>
      <c r="W346" s="1732"/>
      <c r="X346" s="1732"/>
      <c r="Y346" s="1732"/>
      <c r="Z346" s="1732"/>
    </row>
    <row r="347" spans="1:26" ht="18" customHeight="1">
      <c r="A347" s="1732"/>
      <c r="B347" s="1732"/>
      <c r="C347" s="1776"/>
      <c r="D347" s="1732"/>
      <c r="E347" s="1732"/>
      <c r="F347" s="1732"/>
      <c r="G347" s="1732"/>
      <c r="H347" s="1732"/>
      <c r="I347" s="1732"/>
      <c r="J347" s="1732"/>
      <c r="K347" s="1732"/>
      <c r="L347" s="1732"/>
      <c r="M347" s="1732"/>
      <c r="N347" s="1732"/>
      <c r="O347" s="1732"/>
      <c r="P347" s="1732"/>
      <c r="Q347" s="1732"/>
      <c r="R347" s="1732"/>
      <c r="S347" s="1732"/>
      <c r="T347" s="1732"/>
      <c r="U347" s="1732"/>
      <c r="V347" s="1732"/>
      <c r="W347" s="1732"/>
      <c r="X347" s="1732"/>
      <c r="Y347" s="1732"/>
      <c r="Z347" s="1732"/>
    </row>
    <row r="348" spans="1:26" ht="18" customHeight="1">
      <c r="A348" s="1732"/>
      <c r="B348" s="1732"/>
      <c r="C348" s="1776"/>
      <c r="D348" s="1732"/>
      <c r="E348" s="1732"/>
      <c r="F348" s="1732"/>
      <c r="G348" s="1732"/>
      <c r="H348" s="1732"/>
      <c r="I348" s="1732"/>
      <c r="J348" s="1732"/>
      <c r="K348" s="1732"/>
      <c r="L348" s="1732"/>
      <c r="M348" s="1732"/>
      <c r="N348" s="1732"/>
      <c r="O348" s="1732"/>
      <c r="P348" s="1732"/>
      <c r="Q348" s="1732"/>
      <c r="R348" s="1732"/>
      <c r="S348" s="1732"/>
      <c r="T348" s="1732"/>
      <c r="U348" s="1732"/>
      <c r="V348" s="1732"/>
      <c r="W348" s="1732"/>
      <c r="X348" s="1732"/>
      <c r="Y348" s="1732"/>
      <c r="Z348" s="1732"/>
    </row>
    <row r="349" spans="1:26" ht="18" customHeight="1">
      <c r="A349" s="1732"/>
      <c r="B349" s="1732"/>
      <c r="C349" s="1776"/>
      <c r="D349" s="1732"/>
      <c r="E349" s="1732"/>
      <c r="F349" s="1732"/>
      <c r="G349" s="1732"/>
      <c r="H349" s="1732"/>
      <c r="I349" s="1732"/>
      <c r="J349" s="1732"/>
      <c r="K349" s="1732"/>
      <c r="L349" s="1732"/>
      <c r="M349" s="1732"/>
      <c r="N349" s="1732"/>
      <c r="O349" s="1732"/>
      <c r="P349" s="1732"/>
      <c r="Q349" s="1732"/>
      <c r="R349" s="1732"/>
      <c r="S349" s="1732"/>
      <c r="T349" s="1732"/>
      <c r="U349" s="1732"/>
      <c r="V349" s="1732"/>
      <c r="W349" s="1732"/>
      <c r="X349" s="1732"/>
      <c r="Y349" s="1732"/>
      <c r="Z349" s="1732"/>
    </row>
    <row r="350" spans="1:26" ht="18" customHeight="1">
      <c r="A350" s="1732"/>
      <c r="B350" s="1732"/>
      <c r="C350" s="1776"/>
      <c r="D350" s="1732"/>
      <c r="E350" s="1732"/>
      <c r="F350" s="1732"/>
      <c r="G350" s="1732"/>
      <c r="H350" s="1732"/>
      <c r="I350" s="1732"/>
      <c r="J350" s="1732"/>
      <c r="K350" s="1732"/>
      <c r="L350" s="1732"/>
      <c r="M350" s="1732"/>
      <c r="N350" s="1732"/>
      <c r="O350" s="1732"/>
      <c r="P350" s="1732"/>
      <c r="Q350" s="1732"/>
      <c r="R350" s="1732"/>
      <c r="S350" s="1732"/>
      <c r="T350" s="1732"/>
      <c r="U350" s="1732"/>
      <c r="V350" s="1732"/>
      <c r="W350" s="1732"/>
      <c r="X350" s="1732"/>
      <c r="Y350" s="1732"/>
      <c r="Z350" s="1732"/>
    </row>
    <row r="351" spans="1:26" ht="18" customHeight="1">
      <c r="A351" s="1732"/>
      <c r="B351" s="1732"/>
      <c r="C351" s="1776"/>
      <c r="D351" s="1732"/>
      <c r="E351" s="1732"/>
      <c r="F351" s="1732"/>
      <c r="G351" s="1732"/>
      <c r="H351" s="1732"/>
      <c r="I351" s="1732"/>
      <c r="J351" s="1732"/>
      <c r="K351" s="1732"/>
      <c r="L351" s="1732"/>
      <c r="M351" s="1732"/>
      <c r="N351" s="1732"/>
      <c r="O351" s="1732"/>
      <c r="P351" s="1732"/>
      <c r="Q351" s="1732"/>
      <c r="R351" s="1732"/>
      <c r="S351" s="1732"/>
      <c r="T351" s="1732"/>
      <c r="U351" s="1732"/>
      <c r="V351" s="1732"/>
      <c r="W351" s="1732"/>
      <c r="X351" s="1732"/>
      <c r="Y351" s="1732"/>
      <c r="Z351" s="1732"/>
    </row>
    <row r="352" spans="1:26" ht="18" customHeight="1">
      <c r="A352" s="1732"/>
      <c r="B352" s="1732"/>
      <c r="C352" s="1776"/>
      <c r="D352" s="1732"/>
      <c r="E352" s="1732"/>
      <c r="F352" s="1732"/>
      <c r="G352" s="1732"/>
      <c r="H352" s="1732"/>
      <c r="I352" s="1732"/>
      <c r="J352" s="1732"/>
      <c r="K352" s="1732"/>
      <c r="L352" s="1732"/>
      <c r="M352" s="1732"/>
      <c r="N352" s="1732"/>
      <c r="O352" s="1732"/>
      <c r="P352" s="1732"/>
      <c r="Q352" s="1732"/>
      <c r="R352" s="1732"/>
      <c r="S352" s="1732"/>
      <c r="T352" s="1732"/>
      <c r="U352" s="1732"/>
      <c r="V352" s="1732"/>
      <c r="W352" s="1732"/>
      <c r="X352" s="1732"/>
      <c r="Y352" s="1732"/>
      <c r="Z352" s="1732"/>
    </row>
    <row r="353" spans="1:26" ht="18" customHeight="1">
      <c r="A353" s="1732"/>
      <c r="B353" s="1732"/>
      <c r="C353" s="1776"/>
      <c r="D353" s="1732"/>
      <c r="E353" s="1732"/>
      <c r="F353" s="1732"/>
      <c r="G353" s="1732"/>
      <c r="H353" s="1732"/>
      <c r="I353" s="1732"/>
      <c r="J353" s="1732"/>
      <c r="K353" s="1732"/>
      <c r="L353" s="1732"/>
      <c r="M353" s="1732"/>
      <c r="N353" s="1732"/>
      <c r="O353" s="1732"/>
      <c r="P353" s="1732"/>
      <c r="Q353" s="1732"/>
      <c r="R353" s="1732"/>
      <c r="S353" s="1732"/>
      <c r="T353" s="1732"/>
      <c r="U353" s="1732"/>
      <c r="V353" s="1732"/>
      <c r="W353" s="1732"/>
      <c r="X353" s="1732"/>
      <c r="Y353" s="1732"/>
      <c r="Z353" s="1732"/>
    </row>
    <row r="354" spans="1:26" ht="18" customHeight="1">
      <c r="A354" s="1732"/>
      <c r="B354" s="1732"/>
      <c r="C354" s="1776"/>
      <c r="D354" s="1732"/>
      <c r="E354" s="1732"/>
      <c r="F354" s="1732"/>
      <c r="G354" s="1732"/>
      <c r="H354" s="1732"/>
      <c r="I354" s="1732"/>
      <c r="J354" s="1732"/>
      <c r="K354" s="1732"/>
      <c r="L354" s="1732"/>
      <c r="M354" s="1732"/>
      <c r="N354" s="1732"/>
      <c r="O354" s="1732"/>
      <c r="P354" s="1732"/>
      <c r="Q354" s="1732"/>
      <c r="R354" s="1732"/>
      <c r="S354" s="1732"/>
      <c r="T354" s="1732"/>
      <c r="U354" s="1732"/>
      <c r="V354" s="1732"/>
      <c r="W354" s="1732"/>
      <c r="X354" s="1732"/>
      <c r="Y354" s="1732"/>
      <c r="Z354" s="1732"/>
    </row>
    <row r="355" spans="1:26" ht="18" customHeight="1">
      <c r="A355" s="1732"/>
      <c r="B355" s="1732"/>
      <c r="C355" s="1776"/>
      <c r="D355" s="1732"/>
      <c r="E355" s="1732"/>
      <c r="F355" s="1732"/>
      <c r="G355" s="1732"/>
      <c r="H355" s="1732"/>
      <c r="I355" s="1732"/>
      <c r="J355" s="1732"/>
      <c r="K355" s="1732"/>
      <c r="L355" s="1732"/>
      <c r="M355" s="1732"/>
      <c r="N355" s="1732"/>
      <c r="O355" s="1732"/>
      <c r="P355" s="1732"/>
      <c r="Q355" s="1732"/>
      <c r="R355" s="1732"/>
      <c r="S355" s="1732"/>
      <c r="T355" s="1732"/>
      <c r="U355" s="1732"/>
      <c r="V355" s="1732"/>
      <c r="W355" s="1732"/>
      <c r="X355" s="1732"/>
      <c r="Y355" s="1732"/>
      <c r="Z355" s="1732"/>
    </row>
    <row r="356" spans="1:26" ht="18" customHeight="1">
      <c r="A356" s="1732"/>
      <c r="B356" s="1732"/>
      <c r="C356" s="1776"/>
      <c r="D356" s="1732"/>
      <c r="E356" s="1732"/>
      <c r="F356" s="1732"/>
      <c r="G356" s="1732"/>
      <c r="H356" s="1732"/>
      <c r="I356" s="1732"/>
      <c r="J356" s="1732"/>
      <c r="K356" s="1732"/>
      <c r="L356" s="1732"/>
      <c r="M356" s="1732"/>
      <c r="N356" s="1732"/>
      <c r="O356" s="1732"/>
      <c r="P356" s="1732"/>
      <c r="Q356" s="1732"/>
      <c r="R356" s="1732"/>
      <c r="S356" s="1732"/>
      <c r="T356" s="1732"/>
      <c r="U356" s="1732"/>
      <c r="V356" s="1732"/>
      <c r="W356" s="1732"/>
      <c r="X356" s="1732"/>
      <c r="Y356" s="1732"/>
      <c r="Z356" s="1732"/>
    </row>
    <row r="357" spans="1:26" ht="18" customHeight="1">
      <c r="A357" s="1732"/>
      <c r="B357" s="1732"/>
      <c r="C357" s="1776"/>
      <c r="D357" s="1732"/>
      <c r="E357" s="1732"/>
      <c r="F357" s="1732"/>
      <c r="G357" s="1732"/>
      <c r="H357" s="1732"/>
      <c r="I357" s="1732"/>
      <c r="J357" s="1732"/>
      <c r="K357" s="1732"/>
      <c r="L357" s="1732"/>
      <c r="M357" s="1732"/>
      <c r="N357" s="1732"/>
      <c r="O357" s="1732"/>
      <c r="P357" s="1732"/>
      <c r="Q357" s="1732"/>
      <c r="R357" s="1732"/>
      <c r="S357" s="1732"/>
      <c r="T357" s="1732"/>
      <c r="U357" s="1732"/>
      <c r="V357" s="1732"/>
      <c r="W357" s="1732"/>
      <c r="X357" s="1732"/>
      <c r="Y357" s="1732"/>
      <c r="Z357" s="1732"/>
    </row>
    <row r="358" spans="1:26" ht="18" customHeight="1">
      <c r="A358" s="1732"/>
      <c r="B358" s="1732"/>
      <c r="C358" s="1776"/>
      <c r="D358" s="1732"/>
      <c r="E358" s="1732"/>
      <c r="F358" s="1732"/>
      <c r="G358" s="1732"/>
      <c r="H358" s="1732"/>
      <c r="I358" s="1732"/>
      <c r="J358" s="1732"/>
      <c r="K358" s="1732"/>
      <c r="L358" s="1732"/>
      <c r="M358" s="1732"/>
      <c r="N358" s="1732"/>
      <c r="O358" s="1732"/>
      <c r="P358" s="1732"/>
      <c r="Q358" s="1732"/>
      <c r="R358" s="1732"/>
      <c r="S358" s="1732"/>
      <c r="T358" s="1732"/>
      <c r="U358" s="1732"/>
      <c r="V358" s="1732"/>
      <c r="W358" s="1732"/>
      <c r="X358" s="1732"/>
      <c r="Y358" s="1732"/>
      <c r="Z358" s="1732"/>
    </row>
    <row r="359" spans="1:26" ht="18" customHeight="1">
      <c r="A359" s="1732"/>
      <c r="B359" s="1732"/>
      <c r="C359" s="1776"/>
      <c r="D359" s="1732"/>
      <c r="E359" s="1732"/>
      <c r="F359" s="1732"/>
      <c r="G359" s="1732"/>
      <c r="H359" s="1732"/>
      <c r="I359" s="1732"/>
      <c r="J359" s="1732"/>
      <c r="K359" s="1732"/>
      <c r="L359" s="1732"/>
      <c r="M359" s="1732"/>
      <c r="N359" s="1732"/>
      <c r="O359" s="1732"/>
      <c r="P359" s="1732"/>
      <c r="Q359" s="1732"/>
      <c r="R359" s="1732"/>
      <c r="S359" s="1732"/>
      <c r="T359" s="1732"/>
      <c r="U359" s="1732"/>
      <c r="V359" s="1732"/>
      <c r="W359" s="1732"/>
      <c r="X359" s="1732"/>
      <c r="Y359" s="1732"/>
      <c r="Z359" s="1732"/>
    </row>
    <row r="360" spans="1:26" ht="18" customHeight="1">
      <c r="A360" s="1732"/>
      <c r="B360" s="1732"/>
      <c r="C360" s="1776"/>
      <c r="D360" s="1732"/>
      <c r="E360" s="1732"/>
      <c r="F360" s="1732"/>
      <c r="G360" s="1732"/>
      <c r="H360" s="1732"/>
      <c r="I360" s="1732"/>
      <c r="J360" s="1732"/>
      <c r="K360" s="1732"/>
      <c r="L360" s="1732"/>
      <c r="M360" s="1732"/>
      <c r="N360" s="1732"/>
      <c r="O360" s="1732"/>
      <c r="P360" s="1732"/>
      <c r="Q360" s="1732"/>
      <c r="R360" s="1732"/>
      <c r="S360" s="1732"/>
      <c r="T360" s="1732"/>
      <c r="U360" s="1732"/>
      <c r="V360" s="1732"/>
      <c r="W360" s="1732"/>
      <c r="X360" s="1732"/>
      <c r="Y360" s="1732"/>
      <c r="Z360" s="1732"/>
    </row>
    <row r="361" spans="1:26" ht="18" customHeight="1">
      <c r="A361" s="1732"/>
      <c r="B361" s="1732"/>
      <c r="C361" s="1776"/>
      <c r="D361" s="1732"/>
      <c r="E361" s="1732"/>
      <c r="F361" s="1732"/>
      <c r="G361" s="1732"/>
      <c r="H361" s="1732"/>
      <c r="I361" s="1732"/>
      <c r="J361" s="1732"/>
      <c r="K361" s="1732"/>
      <c r="L361" s="1732"/>
      <c r="M361" s="1732"/>
      <c r="N361" s="1732"/>
      <c r="O361" s="1732"/>
      <c r="P361" s="1732"/>
      <c r="Q361" s="1732"/>
      <c r="R361" s="1732"/>
      <c r="S361" s="1732"/>
      <c r="T361" s="1732"/>
      <c r="U361" s="1732"/>
      <c r="V361" s="1732"/>
      <c r="W361" s="1732"/>
      <c r="X361" s="1732"/>
      <c r="Y361" s="1732"/>
      <c r="Z361" s="1732"/>
    </row>
    <row r="362" spans="1:26" ht="18" customHeight="1">
      <c r="A362" s="1732"/>
      <c r="B362" s="1732"/>
      <c r="C362" s="1776"/>
      <c r="D362" s="1732"/>
      <c r="E362" s="1732"/>
      <c r="F362" s="1732"/>
      <c r="G362" s="1732"/>
      <c r="H362" s="1732"/>
      <c r="I362" s="1732"/>
      <c r="J362" s="1732"/>
      <c r="K362" s="1732"/>
      <c r="L362" s="1732"/>
      <c r="M362" s="1732"/>
      <c r="N362" s="1732"/>
      <c r="O362" s="1732"/>
      <c r="P362" s="1732"/>
      <c r="Q362" s="1732"/>
      <c r="R362" s="1732"/>
      <c r="S362" s="1732"/>
      <c r="T362" s="1732"/>
      <c r="U362" s="1732"/>
      <c r="V362" s="1732"/>
      <c r="W362" s="1732"/>
      <c r="X362" s="1732"/>
      <c r="Y362" s="1732"/>
      <c r="Z362" s="1732"/>
    </row>
    <row r="363" spans="1:26" ht="18" customHeight="1">
      <c r="A363" s="1732"/>
      <c r="B363" s="1732"/>
      <c r="C363" s="1776"/>
      <c r="D363" s="1732"/>
      <c r="E363" s="1732"/>
      <c r="F363" s="1732"/>
      <c r="G363" s="1732"/>
      <c r="H363" s="1732"/>
      <c r="I363" s="1732"/>
      <c r="J363" s="1732"/>
      <c r="K363" s="1732"/>
      <c r="L363" s="1732"/>
      <c r="M363" s="1732"/>
      <c r="N363" s="1732"/>
      <c r="O363" s="1732"/>
      <c r="P363" s="1732"/>
      <c r="Q363" s="1732"/>
      <c r="R363" s="1732"/>
      <c r="S363" s="1732"/>
      <c r="T363" s="1732"/>
      <c r="U363" s="1732"/>
      <c r="V363" s="1732"/>
      <c r="W363" s="1732"/>
      <c r="X363" s="1732"/>
      <c r="Y363" s="1732"/>
      <c r="Z363" s="1732"/>
    </row>
    <row r="364" spans="1:26" ht="18" customHeight="1">
      <c r="A364" s="1732"/>
      <c r="B364" s="1732"/>
      <c r="C364" s="1776"/>
      <c r="D364" s="1732"/>
      <c r="E364" s="1732"/>
      <c r="F364" s="1732"/>
      <c r="G364" s="1732"/>
      <c r="H364" s="1732"/>
      <c r="I364" s="1732"/>
      <c r="J364" s="1732"/>
      <c r="K364" s="1732"/>
      <c r="L364" s="1732"/>
      <c r="M364" s="1732"/>
      <c r="N364" s="1732"/>
      <c r="O364" s="1732"/>
      <c r="P364" s="1732"/>
      <c r="Q364" s="1732"/>
      <c r="R364" s="1732"/>
      <c r="S364" s="1732"/>
      <c r="T364" s="1732"/>
      <c r="U364" s="1732"/>
      <c r="V364" s="1732"/>
      <c r="W364" s="1732"/>
      <c r="X364" s="1732"/>
      <c r="Y364" s="1732"/>
      <c r="Z364" s="1732"/>
    </row>
    <row r="365" spans="1:26" ht="18" customHeight="1">
      <c r="A365" s="1732"/>
      <c r="B365" s="1732"/>
      <c r="C365" s="1776"/>
      <c r="D365" s="1732"/>
      <c r="E365" s="1732"/>
      <c r="F365" s="1732"/>
      <c r="G365" s="1732"/>
      <c r="H365" s="1732"/>
      <c r="I365" s="1732"/>
      <c r="J365" s="1732"/>
      <c r="K365" s="1732"/>
      <c r="L365" s="1732"/>
      <c r="M365" s="1732"/>
      <c r="N365" s="1732"/>
      <c r="O365" s="1732"/>
      <c r="P365" s="1732"/>
      <c r="Q365" s="1732"/>
      <c r="R365" s="1732"/>
      <c r="S365" s="1732"/>
      <c r="T365" s="1732"/>
      <c r="U365" s="1732"/>
      <c r="V365" s="1732"/>
      <c r="W365" s="1732"/>
      <c r="X365" s="1732"/>
      <c r="Y365" s="1732"/>
      <c r="Z365" s="1732"/>
    </row>
    <row r="366" spans="1:26" ht="18" customHeight="1">
      <c r="A366" s="1732"/>
      <c r="B366" s="1732"/>
      <c r="C366" s="1776"/>
      <c r="D366" s="1732"/>
      <c r="E366" s="1732"/>
      <c r="F366" s="1732"/>
      <c r="G366" s="1732"/>
      <c r="H366" s="1732"/>
      <c r="I366" s="1732"/>
      <c r="J366" s="1732"/>
      <c r="K366" s="1732"/>
      <c r="L366" s="1732"/>
      <c r="M366" s="1732"/>
      <c r="N366" s="1732"/>
      <c r="O366" s="1732"/>
      <c r="P366" s="1732"/>
      <c r="Q366" s="1732"/>
      <c r="R366" s="1732"/>
      <c r="S366" s="1732"/>
      <c r="T366" s="1732"/>
      <c r="U366" s="1732"/>
      <c r="V366" s="1732"/>
      <c r="W366" s="1732"/>
      <c r="X366" s="1732"/>
      <c r="Y366" s="1732"/>
      <c r="Z366" s="1732"/>
    </row>
    <row r="367" spans="1:26" ht="18" customHeight="1">
      <c r="A367" s="1732"/>
      <c r="B367" s="1732"/>
      <c r="C367" s="1776"/>
      <c r="D367" s="1732"/>
      <c r="E367" s="1732"/>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row>
    <row r="368" spans="1:26" ht="18" customHeight="1">
      <c r="A368" s="1732"/>
      <c r="B368" s="1732"/>
      <c r="C368" s="1776"/>
      <c r="D368" s="1732"/>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row>
    <row r="369" spans="1:26" ht="18" customHeight="1">
      <c r="A369" s="1732"/>
      <c r="B369" s="1732"/>
      <c r="C369" s="1776"/>
      <c r="D369" s="1732"/>
      <c r="E369" s="1732"/>
      <c r="F369" s="1732"/>
      <c r="G369" s="1732"/>
      <c r="H369" s="1732"/>
      <c r="I369" s="1732"/>
      <c r="J369" s="1732"/>
      <c r="K369" s="1732"/>
      <c r="L369" s="1732"/>
      <c r="M369" s="1732"/>
      <c r="N369" s="1732"/>
      <c r="O369" s="1732"/>
      <c r="P369" s="1732"/>
      <c r="Q369" s="1732"/>
      <c r="R369" s="1732"/>
      <c r="S369" s="1732"/>
      <c r="T369" s="1732"/>
      <c r="U369" s="1732"/>
      <c r="V369" s="1732"/>
      <c r="W369" s="1732"/>
      <c r="X369" s="1732"/>
      <c r="Y369" s="1732"/>
      <c r="Z369" s="1732"/>
    </row>
    <row r="370" spans="1:26" ht="18" customHeight="1">
      <c r="A370" s="1732"/>
      <c r="B370" s="1732"/>
      <c r="C370" s="1776"/>
      <c r="D370" s="1732"/>
      <c r="E370" s="1732"/>
      <c r="F370" s="1732"/>
      <c r="G370" s="1732"/>
      <c r="H370" s="1732"/>
      <c r="I370" s="1732"/>
      <c r="J370" s="1732"/>
      <c r="K370" s="1732"/>
      <c r="L370" s="1732"/>
      <c r="M370" s="1732"/>
      <c r="N370" s="1732"/>
      <c r="O370" s="1732"/>
      <c r="P370" s="1732"/>
      <c r="Q370" s="1732"/>
      <c r="R370" s="1732"/>
      <c r="S370" s="1732"/>
      <c r="T370" s="1732"/>
      <c r="U370" s="1732"/>
      <c r="V370" s="1732"/>
      <c r="W370" s="1732"/>
      <c r="X370" s="1732"/>
      <c r="Y370" s="1732"/>
      <c r="Z370" s="1732"/>
    </row>
    <row r="371" spans="1:26" ht="18" customHeight="1">
      <c r="A371" s="1732"/>
      <c r="B371" s="1732"/>
      <c r="C371" s="1776"/>
      <c r="D371" s="1732"/>
      <c r="E371" s="1732"/>
      <c r="F371" s="1732"/>
      <c r="G371" s="1732"/>
      <c r="H371" s="1732"/>
      <c r="I371" s="1732"/>
      <c r="J371" s="1732"/>
      <c r="K371" s="1732"/>
      <c r="L371" s="1732"/>
      <c r="M371" s="1732"/>
      <c r="N371" s="1732"/>
      <c r="O371" s="1732"/>
      <c r="P371" s="1732"/>
      <c r="Q371" s="1732"/>
      <c r="R371" s="1732"/>
      <c r="S371" s="1732"/>
      <c r="T371" s="1732"/>
      <c r="U371" s="1732"/>
      <c r="V371" s="1732"/>
      <c r="W371" s="1732"/>
      <c r="X371" s="1732"/>
      <c r="Y371" s="1732"/>
      <c r="Z371" s="1732"/>
    </row>
    <row r="372" spans="1:26" ht="18" customHeight="1">
      <c r="A372" s="1732"/>
      <c r="B372" s="1732"/>
      <c r="C372" s="1776"/>
      <c r="D372" s="1732"/>
      <c r="E372" s="1732"/>
      <c r="F372" s="1732"/>
      <c r="G372" s="1732"/>
      <c r="H372" s="1732"/>
      <c r="I372" s="1732"/>
      <c r="J372" s="1732"/>
      <c r="K372" s="1732"/>
      <c r="L372" s="1732"/>
      <c r="M372" s="1732"/>
      <c r="N372" s="1732"/>
      <c r="O372" s="1732"/>
      <c r="P372" s="1732"/>
      <c r="Q372" s="1732"/>
      <c r="R372" s="1732"/>
      <c r="S372" s="1732"/>
      <c r="T372" s="1732"/>
      <c r="U372" s="1732"/>
      <c r="V372" s="1732"/>
      <c r="W372" s="1732"/>
      <c r="X372" s="1732"/>
      <c r="Y372" s="1732"/>
      <c r="Z372" s="1732"/>
    </row>
    <row r="373" spans="1:26" ht="18" customHeight="1">
      <c r="A373" s="1732"/>
      <c r="B373" s="1732"/>
      <c r="C373" s="1776"/>
      <c r="D373" s="1732"/>
      <c r="E373" s="1732"/>
      <c r="F373" s="1732"/>
      <c r="G373" s="1732"/>
      <c r="H373" s="1732"/>
      <c r="I373" s="1732"/>
      <c r="J373" s="1732"/>
      <c r="K373" s="1732"/>
      <c r="L373" s="1732"/>
      <c r="M373" s="1732"/>
      <c r="N373" s="1732"/>
      <c r="O373" s="1732"/>
      <c r="P373" s="1732"/>
      <c r="Q373" s="1732"/>
      <c r="R373" s="1732"/>
      <c r="S373" s="1732"/>
      <c r="T373" s="1732"/>
      <c r="U373" s="1732"/>
      <c r="V373" s="1732"/>
      <c r="W373" s="1732"/>
      <c r="X373" s="1732"/>
      <c r="Y373" s="1732"/>
      <c r="Z373" s="1732"/>
    </row>
    <row r="374" spans="1:26" ht="18" customHeight="1">
      <c r="A374" s="1732"/>
      <c r="B374" s="1732"/>
      <c r="C374" s="1776"/>
      <c r="D374" s="1732"/>
      <c r="E374" s="1732"/>
      <c r="F374" s="1732"/>
      <c r="G374" s="1732"/>
      <c r="H374" s="1732"/>
      <c r="I374" s="1732"/>
      <c r="J374" s="1732"/>
      <c r="K374" s="1732"/>
      <c r="L374" s="1732"/>
      <c r="M374" s="1732"/>
      <c r="N374" s="1732"/>
      <c r="O374" s="1732"/>
      <c r="P374" s="1732"/>
      <c r="Q374" s="1732"/>
      <c r="R374" s="1732"/>
      <c r="S374" s="1732"/>
      <c r="T374" s="1732"/>
      <c r="U374" s="1732"/>
      <c r="V374" s="1732"/>
      <c r="W374" s="1732"/>
      <c r="X374" s="1732"/>
      <c r="Y374" s="1732"/>
      <c r="Z374" s="1732"/>
    </row>
    <row r="375" spans="1:26" ht="18" customHeight="1">
      <c r="A375" s="1732"/>
      <c r="B375" s="1732"/>
      <c r="C375" s="1776"/>
      <c r="D375" s="1732"/>
      <c r="E375" s="1732"/>
      <c r="F375" s="1732"/>
      <c r="G375" s="1732"/>
      <c r="H375" s="1732"/>
      <c r="I375" s="1732"/>
      <c r="J375" s="1732"/>
      <c r="K375" s="1732"/>
      <c r="L375" s="1732"/>
      <c r="M375" s="1732"/>
      <c r="N375" s="1732"/>
      <c r="O375" s="1732"/>
      <c r="P375" s="1732"/>
      <c r="Q375" s="1732"/>
      <c r="R375" s="1732"/>
      <c r="S375" s="1732"/>
      <c r="T375" s="1732"/>
      <c r="U375" s="1732"/>
      <c r="V375" s="1732"/>
      <c r="W375" s="1732"/>
      <c r="X375" s="1732"/>
      <c r="Y375" s="1732"/>
      <c r="Z375" s="1732"/>
    </row>
    <row r="376" spans="1:26" ht="18" customHeight="1">
      <c r="A376" s="1732"/>
      <c r="B376" s="1732"/>
      <c r="C376" s="1776"/>
      <c r="D376" s="1732"/>
      <c r="E376" s="1732"/>
      <c r="F376" s="1732"/>
      <c r="G376" s="1732"/>
      <c r="H376" s="1732"/>
      <c r="I376" s="1732"/>
      <c r="J376" s="1732"/>
      <c r="K376" s="1732"/>
      <c r="L376" s="1732"/>
      <c r="M376" s="1732"/>
      <c r="N376" s="1732"/>
      <c r="O376" s="1732"/>
      <c r="P376" s="1732"/>
      <c r="Q376" s="1732"/>
      <c r="R376" s="1732"/>
      <c r="S376" s="1732"/>
      <c r="T376" s="1732"/>
      <c r="U376" s="1732"/>
      <c r="V376" s="1732"/>
      <c r="W376" s="1732"/>
      <c r="X376" s="1732"/>
      <c r="Y376" s="1732"/>
      <c r="Z376" s="1732"/>
    </row>
    <row r="377" spans="1:26" ht="18" customHeight="1">
      <c r="A377" s="1732"/>
      <c r="B377" s="1732"/>
      <c r="C377" s="1776"/>
      <c r="D377" s="1732"/>
      <c r="E377" s="1732"/>
      <c r="F377" s="1732"/>
      <c r="G377" s="1732"/>
      <c r="H377" s="1732"/>
      <c r="I377" s="1732"/>
      <c r="J377" s="1732"/>
      <c r="K377" s="1732"/>
      <c r="L377" s="1732"/>
      <c r="M377" s="1732"/>
      <c r="N377" s="1732"/>
      <c r="O377" s="1732"/>
      <c r="P377" s="1732"/>
      <c r="Q377" s="1732"/>
      <c r="R377" s="1732"/>
      <c r="S377" s="1732"/>
      <c r="T377" s="1732"/>
      <c r="U377" s="1732"/>
      <c r="V377" s="1732"/>
      <c r="W377" s="1732"/>
      <c r="X377" s="1732"/>
      <c r="Y377" s="1732"/>
      <c r="Z377" s="1732"/>
    </row>
    <row r="378" spans="1:26" ht="18" customHeight="1">
      <c r="A378" s="1732"/>
      <c r="B378" s="1732"/>
      <c r="C378" s="1776"/>
      <c r="D378" s="1732"/>
      <c r="E378" s="1732"/>
      <c r="F378" s="1732"/>
      <c r="G378" s="1732"/>
      <c r="H378" s="1732"/>
      <c r="I378" s="1732"/>
      <c r="J378" s="1732"/>
      <c r="K378" s="1732"/>
      <c r="L378" s="1732"/>
      <c r="M378" s="1732"/>
      <c r="N378" s="1732"/>
      <c r="O378" s="1732"/>
      <c r="P378" s="1732"/>
      <c r="Q378" s="1732"/>
      <c r="R378" s="1732"/>
      <c r="S378" s="1732"/>
      <c r="T378" s="1732"/>
      <c r="U378" s="1732"/>
      <c r="V378" s="1732"/>
      <c r="W378" s="1732"/>
      <c r="X378" s="1732"/>
      <c r="Y378" s="1732"/>
      <c r="Z378" s="1732"/>
    </row>
    <row r="379" spans="1:26" ht="18" customHeight="1">
      <c r="A379" s="1732"/>
      <c r="B379" s="1732"/>
      <c r="C379" s="1776"/>
      <c r="D379" s="1732"/>
      <c r="E379" s="1732"/>
      <c r="F379" s="1732"/>
      <c r="G379" s="1732"/>
      <c r="H379" s="1732"/>
      <c r="I379" s="1732"/>
      <c r="J379" s="1732"/>
      <c r="K379" s="1732"/>
      <c r="L379" s="1732"/>
      <c r="M379" s="1732"/>
      <c r="N379" s="1732"/>
      <c r="O379" s="1732"/>
      <c r="P379" s="1732"/>
      <c r="Q379" s="1732"/>
      <c r="R379" s="1732"/>
      <c r="S379" s="1732"/>
      <c r="T379" s="1732"/>
      <c r="U379" s="1732"/>
      <c r="V379" s="1732"/>
      <c r="W379" s="1732"/>
      <c r="X379" s="1732"/>
      <c r="Y379" s="1732"/>
      <c r="Z379" s="1732"/>
    </row>
    <row r="380" spans="1:26" ht="18" customHeight="1">
      <c r="A380" s="1732"/>
      <c r="B380" s="1732"/>
      <c r="C380" s="1776"/>
      <c r="D380" s="1732"/>
      <c r="E380" s="1732"/>
      <c r="F380" s="1732"/>
      <c r="G380" s="1732"/>
      <c r="H380" s="1732"/>
      <c r="I380" s="1732"/>
      <c r="J380" s="1732"/>
      <c r="K380" s="1732"/>
      <c r="L380" s="1732"/>
      <c r="M380" s="1732"/>
      <c r="N380" s="1732"/>
      <c r="O380" s="1732"/>
      <c r="P380" s="1732"/>
      <c r="Q380" s="1732"/>
      <c r="R380" s="1732"/>
      <c r="S380" s="1732"/>
      <c r="T380" s="1732"/>
      <c r="U380" s="1732"/>
      <c r="V380" s="1732"/>
      <c r="W380" s="1732"/>
      <c r="X380" s="1732"/>
      <c r="Y380" s="1732"/>
      <c r="Z380" s="1732"/>
    </row>
    <row r="381" spans="1:26" ht="18" customHeight="1">
      <c r="A381" s="1732"/>
      <c r="B381" s="1732"/>
      <c r="C381" s="1776"/>
      <c r="D381" s="1732"/>
      <c r="E381" s="1732"/>
      <c r="F381" s="1732"/>
      <c r="G381" s="1732"/>
      <c r="H381" s="1732"/>
      <c r="I381" s="1732"/>
      <c r="J381" s="1732"/>
      <c r="K381" s="1732"/>
      <c r="L381" s="1732"/>
      <c r="M381" s="1732"/>
      <c r="N381" s="1732"/>
      <c r="O381" s="1732"/>
      <c r="P381" s="1732"/>
      <c r="Q381" s="1732"/>
      <c r="R381" s="1732"/>
      <c r="S381" s="1732"/>
      <c r="T381" s="1732"/>
      <c r="U381" s="1732"/>
      <c r="V381" s="1732"/>
      <c r="W381" s="1732"/>
      <c r="X381" s="1732"/>
      <c r="Y381" s="1732"/>
      <c r="Z381" s="1732"/>
    </row>
    <row r="382" spans="1:26" ht="18" customHeight="1">
      <c r="A382" s="1732"/>
      <c r="B382" s="1732"/>
      <c r="C382" s="1776"/>
      <c r="D382" s="1732"/>
      <c r="E382" s="1732"/>
      <c r="F382" s="1732"/>
      <c r="G382" s="1732"/>
      <c r="H382" s="1732"/>
      <c r="I382" s="1732"/>
      <c r="J382" s="1732"/>
      <c r="K382" s="1732"/>
      <c r="L382" s="1732"/>
      <c r="M382" s="1732"/>
      <c r="N382" s="1732"/>
      <c r="O382" s="1732"/>
      <c r="P382" s="1732"/>
      <c r="Q382" s="1732"/>
      <c r="R382" s="1732"/>
      <c r="S382" s="1732"/>
      <c r="T382" s="1732"/>
      <c r="U382" s="1732"/>
      <c r="V382" s="1732"/>
      <c r="W382" s="1732"/>
      <c r="X382" s="1732"/>
      <c r="Y382" s="1732"/>
      <c r="Z382" s="1732"/>
    </row>
    <row r="383" spans="1:26" ht="18" customHeight="1">
      <c r="A383" s="1732"/>
      <c r="B383" s="1732"/>
      <c r="C383" s="1776"/>
      <c r="D383" s="1732"/>
      <c r="E383" s="1732"/>
      <c r="F383" s="1732"/>
      <c r="G383" s="1732"/>
      <c r="H383" s="1732"/>
      <c r="I383" s="1732"/>
      <c r="J383" s="1732"/>
      <c r="K383" s="1732"/>
      <c r="L383" s="1732"/>
      <c r="M383" s="1732"/>
      <c r="N383" s="1732"/>
      <c r="O383" s="1732"/>
      <c r="P383" s="1732"/>
      <c r="Q383" s="1732"/>
      <c r="R383" s="1732"/>
      <c r="S383" s="1732"/>
      <c r="T383" s="1732"/>
      <c r="U383" s="1732"/>
      <c r="V383" s="1732"/>
      <c r="W383" s="1732"/>
      <c r="X383" s="1732"/>
      <c r="Y383" s="1732"/>
      <c r="Z383" s="1732"/>
    </row>
    <row r="384" spans="1:26" ht="18" customHeight="1">
      <c r="A384" s="1732"/>
      <c r="B384" s="1732"/>
      <c r="C384" s="1776"/>
      <c r="D384" s="1732"/>
      <c r="E384" s="1732"/>
      <c r="F384" s="1732"/>
      <c r="G384" s="1732"/>
      <c r="H384" s="1732"/>
      <c r="I384" s="1732"/>
      <c r="J384" s="1732"/>
      <c r="K384" s="1732"/>
      <c r="L384" s="1732"/>
      <c r="M384" s="1732"/>
      <c r="N384" s="1732"/>
      <c r="O384" s="1732"/>
      <c r="P384" s="1732"/>
      <c r="Q384" s="1732"/>
      <c r="R384" s="1732"/>
      <c r="S384" s="1732"/>
      <c r="T384" s="1732"/>
      <c r="U384" s="1732"/>
      <c r="V384" s="1732"/>
      <c r="W384" s="1732"/>
      <c r="X384" s="1732"/>
      <c r="Y384" s="1732"/>
      <c r="Z384" s="1732"/>
    </row>
    <row r="385" spans="1:26" ht="18" customHeight="1">
      <c r="A385" s="1732"/>
      <c r="B385" s="1732"/>
      <c r="C385" s="1776"/>
      <c r="D385" s="1732"/>
      <c r="E385" s="1732"/>
      <c r="F385" s="1732"/>
      <c r="G385" s="1732"/>
      <c r="H385" s="1732"/>
      <c r="I385" s="1732"/>
      <c r="J385" s="1732"/>
      <c r="K385" s="1732"/>
      <c r="L385" s="1732"/>
      <c r="M385" s="1732"/>
      <c r="N385" s="1732"/>
      <c r="O385" s="1732"/>
      <c r="P385" s="1732"/>
      <c r="Q385" s="1732"/>
      <c r="R385" s="1732"/>
      <c r="S385" s="1732"/>
      <c r="T385" s="1732"/>
      <c r="U385" s="1732"/>
      <c r="V385" s="1732"/>
      <c r="W385" s="1732"/>
      <c r="X385" s="1732"/>
      <c r="Y385" s="1732"/>
      <c r="Z385" s="1732"/>
    </row>
    <row r="386" spans="1:26" ht="18" customHeight="1">
      <c r="A386" s="1732"/>
      <c r="B386" s="1732"/>
      <c r="C386" s="1776"/>
      <c r="D386" s="1732"/>
      <c r="E386" s="1732"/>
      <c r="F386" s="1732"/>
      <c r="G386" s="1732"/>
      <c r="H386" s="1732"/>
      <c r="I386" s="1732"/>
      <c r="J386" s="1732"/>
      <c r="K386" s="1732"/>
      <c r="L386" s="1732"/>
      <c r="M386" s="1732"/>
      <c r="N386" s="1732"/>
      <c r="O386" s="1732"/>
      <c r="P386" s="1732"/>
      <c r="Q386" s="1732"/>
      <c r="R386" s="1732"/>
      <c r="S386" s="1732"/>
      <c r="T386" s="1732"/>
      <c r="U386" s="1732"/>
      <c r="V386" s="1732"/>
      <c r="W386" s="1732"/>
      <c r="X386" s="1732"/>
      <c r="Y386" s="1732"/>
      <c r="Z386" s="1732"/>
    </row>
    <row r="387" spans="1:26" ht="18" customHeight="1">
      <c r="A387" s="1732"/>
      <c r="B387" s="1732"/>
      <c r="C387" s="1776"/>
      <c r="D387" s="1732"/>
      <c r="E387" s="1732"/>
      <c r="F387" s="1732"/>
      <c r="G387" s="1732"/>
      <c r="H387" s="1732"/>
      <c r="I387" s="1732"/>
      <c r="J387" s="1732"/>
      <c r="K387" s="1732"/>
      <c r="L387" s="1732"/>
      <c r="M387" s="1732"/>
      <c r="N387" s="1732"/>
      <c r="O387" s="1732"/>
      <c r="P387" s="1732"/>
      <c r="Q387" s="1732"/>
      <c r="R387" s="1732"/>
      <c r="S387" s="1732"/>
      <c r="T387" s="1732"/>
      <c r="U387" s="1732"/>
      <c r="V387" s="1732"/>
      <c r="W387" s="1732"/>
      <c r="X387" s="1732"/>
      <c r="Y387" s="1732"/>
      <c r="Z387" s="1732"/>
    </row>
    <row r="388" spans="1:26" ht="18" customHeight="1">
      <c r="A388" s="1732"/>
      <c r="B388" s="1732"/>
      <c r="C388" s="1776"/>
      <c r="D388" s="1732"/>
      <c r="E388" s="1732"/>
      <c r="F388" s="1732"/>
      <c r="G388" s="1732"/>
      <c r="H388" s="1732"/>
      <c r="I388" s="1732"/>
      <c r="J388" s="1732"/>
      <c r="K388" s="1732"/>
      <c r="L388" s="1732"/>
      <c r="M388" s="1732"/>
      <c r="N388" s="1732"/>
      <c r="O388" s="1732"/>
      <c r="P388" s="1732"/>
      <c r="Q388" s="1732"/>
      <c r="R388" s="1732"/>
      <c r="S388" s="1732"/>
      <c r="T388" s="1732"/>
      <c r="U388" s="1732"/>
      <c r="V388" s="1732"/>
      <c r="W388" s="1732"/>
      <c r="X388" s="1732"/>
      <c r="Y388" s="1732"/>
      <c r="Z388" s="1732"/>
    </row>
    <row r="389" spans="1:26" ht="18" customHeight="1">
      <c r="A389" s="1732"/>
      <c r="B389" s="1732"/>
      <c r="C389" s="1776"/>
      <c r="D389" s="1732"/>
      <c r="E389" s="1732"/>
      <c r="F389" s="1732"/>
      <c r="G389" s="1732"/>
      <c r="H389" s="1732"/>
      <c r="I389" s="1732"/>
      <c r="J389" s="1732"/>
      <c r="K389" s="1732"/>
      <c r="L389" s="1732"/>
      <c r="M389" s="1732"/>
      <c r="N389" s="1732"/>
      <c r="O389" s="1732"/>
      <c r="P389" s="1732"/>
      <c r="Q389" s="1732"/>
      <c r="R389" s="1732"/>
      <c r="S389" s="1732"/>
      <c r="T389" s="1732"/>
      <c r="U389" s="1732"/>
      <c r="V389" s="1732"/>
      <c r="W389" s="1732"/>
      <c r="X389" s="1732"/>
      <c r="Y389" s="1732"/>
      <c r="Z389" s="1732"/>
    </row>
    <row r="390" spans="1:26" ht="18" customHeight="1">
      <c r="A390" s="1732"/>
      <c r="B390" s="1732"/>
      <c r="C390" s="1776"/>
      <c r="D390" s="1732"/>
      <c r="E390" s="1732"/>
      <c r="F390" s="1732"/>
      <c r="G390" s="1732"/>
      <c r="H390" s="1732"/>
      <c r="I390" s="1732"/>
      <c r="J390" s="1732"/>
      <c r="K390" s="1732"/>
      <c r="L390" s="1732"/>
      <c r="M390" s="1732"/>
      <c r="N390" s="1732"/>
      <c r="O390" s="1732"/>
      <c r="P390" s="1732"/>
      <c r="Q390" s="1732"/>
      <c r="R390" s="1732"/>
      <c r="S390" s="1732"/>
      <c r="T390" s="1732"/>
      <c r="U390" s="1732"/>
      <c r="V390" s="1732"/>
      <c r="W390" s="1732"/>
      <c r="X390" s="1732"/>
      <c r="Y390" s="1732"/>
      <c r="Z390" s="1732"/>
    </row>
    <row r="391" spans="1:26" ht="18" customHeight="1">
      <c r="A391" s="1732"/>
      <c r="B391" s="1732"/>
      <c r="C391" s="1776"/>
      <c r="D391" s="1732"/>
      <c r="E391" s="1732"/>
      <c r="F391" s="1732"/>
      <c r="G391" s="1732"/>
      <c r="H391" s="1732"/>
      <c r="I391" s="1732"/>
      <c r="J391" s="1732"/>
      <c r="K391" s="1732"/>
      <c r="L391" s="1732"/>
      <c r="M391" s="1732"/>
      <c r="N391" s="1732"/>
      <c r="O391" s="1732"/>
      <c r="P391" s="1732"/>
      <c r="Q391" s="1732"/>
      <c r="R391" s="1732"/>
      <c r="S391" s="1732"/>
      <c r="T391" s="1732"/>
      <c r="U391" s="1732"/>
      <c r="V391" s="1732"/>
      <c r="W391" s="1732"/>
      <c r="X391" s="1732"/>
      <c r="Y391" s="1732"/>
      <c r="Z391" s="1732"/>
    </row>
    <row r="392" spans="1:26" ht="18" customHeight="1">
      <c r="A392" s="1732"/>
      <c r="B392" s="1732"/>
      <c r="C392" s="1776"/>
      <c r="D392" s="1732"/>
      <c r="E392" s="1732"/>
      <c r="F392" s="1732"/>
      <c r="G392" s="1732"/>
      <c r="H392" s="1732"/>
      <c r="I392" s="1732"/>
      <c r="J392" s="1732"/>
      <c r="K392" s="1732"/>
      <c r="L392" s="1732"/>
      <c r="M392" s="1732"/>
      <c r="N392" s="1732"/>
      <c r="O392" s="1732"/>
      <c r="P392" s="1732"/>
      <c r="Q392" s="1732"/>
      <c r="R392" s="1732"/>
      <c r="S392" s="1732"/>
      <c r="T392" s="1732"/>
      <c r="U392" s="1732"/>
      <c r="V392" s="1732"/>
      <c r="W392" s="1732"/>
      <c r="X392" s="1732"/>
      <c r="Y392" s="1732"/>
      <c r="Z392" s="1732"/>
    </row>
    <row r="393" spans="1:26" ht="18" customHeight="1">
      <c r="A393" s="1732"/>
      <c r="B393" s="1732"/>
      <c r="C393" s="1776"/>
      <c r="D393" s="1732"/>
      <c r="E393" s="1732"/>
      <c r="F393" s="1732"/>
      <c r="G393" s="1732"/>
      <c r="H393" s="1732"/>
      <c r="I393" s="1732"/>
      <c r="J393" s="1732"/>
      <c r="K393" s="1732"/>
      <c r="L393" s="1732"/>
      <c r="M393" s="1732"/>
      <c r="N393" s="1732"/>
      <c r="O393" s="1732"/>
      <c r="P393" s="1732"/>
      <c r="Q393" s="1732"/>
      <c r="R393" s="1732"/>
      <c r="S393" s="1732"/>
      <c r="T393" s="1732"/>
      <c r="U393" s="1732"/>
      <c r="V393" s="1732"/>
      <c r="W393" s="1732"/>
      <c r="X393" s="1732"/>
      <c r="Y393" s="1732"/>
      <c r="Z393" s="1732"/>
    </row>
    <row r="394" spans="1:26" ht="18" customHeight="1">
      <c r="A394" s="1732"/>
      <c r="B394" s="1732"/>
      <c r="C394" s="1776"/>
      <c r="D394" s="1732"/>
      <c r="E394" s="1732"/>
      <c r="F394" s="1732"/>
      <c r="G394" s="1732"/>
      <c r="H394" s="1732"/>
      <c r="I394" s="1732"/>
      <c r="J394" s="1732"/>
      <c r="K394" s="1732"/>
      <c r="L394" s="1732"/>
      <c r="M394" s="1732"/>
      <c r="N394" s="1732"/>
      <c r="O394" s="1732"/>
      <c r="P394" s="1732"/>
      <c r="Q394" s="1732"/>
      <c r="R394" s="1732"/>
      <c r="S394" s="1732"/>
      <c r="T394" s="1732"/>
      <c r="U394" s="1732"/>
      <c r="V394" s="1732"/>
      <c r="W394" s="1732"/>
      <c r="X394" s="1732"/>
      <c r="Y394" s="1732"/>
      <c r="Z394" s="1732"/>
    </row>
    <row r="395" spans="1:26" ht="18" customHeight="1">
      <c r="A395" s="1732"/>
      <c r="B395" s="1732"/>
      <c r="C395" s="1776"/>
      <c r="D395" s="1732"/>
      <c r="E395" s="1732"/>
      <c r="F395" s="1732"/>
      <c r="G395" s="1732"/>
      <c r="H395" s="1732"/>
      <c r="I395" s="1732"/>
      <c r="J395" s="1732"/>
      <c r="K395" s="1732"/>
      <c r="L395" s="1732"/>
      <c r="M395" s="1732"/>
      <c r="N395" s="1732"/>
      <c r="O395" s="1732"/>
      <c r="P395" s="1732"/>
      <c r="Q395" s="1732"/>
      <c r="R395" s="1732"/>
      <c r="S395" s="1732"/>
      <c r="T395" s="1732"/>
      <c r="U395" s="1732"/>
      <c r="V395" s="1732"/>
      <c r="W395" s="1732"/>
      <c r="X395" s="1732"/>
      <c r="Y395" s="1732"/>
      <c r="Z395" s="1732"/>
    </row>
    <row r="396" spans="1:26" ht="18" customHeight="1">
      <c r="A396" s="1732"/>
      <c r="B396" s="1732"/>
      <c r="C396" s="1776"/>
      <c r="D396" s="1732"/>
      <c r="E396" s="1732"/>
      <c r="F396" s="1732"/>
      <c r="G396" s="1732"/>
      <c r="H396" s="1732"/>
      <c r="I396" s="1732"/>
      <c r="J396" s="1732"/>
      <c r="K396" s="1732"/>
      <c r="L396" s="1732"/>
      <c r="M396" s="1732"/>
      <c r="N396" s="1732"/>
      <c r="O396" s="1732"/>
      <c r="P396" s="1732"/>
      <c r="Q396" s="1732"/>
      <c r="R396" s="1732"/>
      <c r="S396" s="1732"/>
      <c r="T396" s="1732"/>
      <c r="U396" s="1732"/>
      <c r="V396" s="1732"/>
      <c r="W396" s="1732"/>
      <c r="X396" s="1732"/>
      <c r="Y396" s="1732"/>
      <c r="Z396" s="1732"/>
    </row>
    <row r="397" spans="1:26" ht="18" customHeight="1">
      <c r="A397" s="1732"/>
      <c r="B397" s="1732"/>
      <c r="C397" s="1776"/>
      <c r="D397" s="1732"/>
      <c r="E397" s="1732"/>
      <c r="F397" s="1732"/>
      <c r="G397" s="1732"/>
      <c r="H397" s="1732"/>
      <c r="I397" s="1732"/>
      <c r="J397" s="1732"/>
      <c r="K397" s="1732"/>
      <c r="L397" s="1732"/>
      <c r="M397" s="1732"/>
      <c r="N397" s="1732"/>
      <c r="O397" s="1732"/>
      <c r="P397" s="1732"/>
      <c r="Q397" s="1732"/>
      <c r="R397" s="1732"/>
      <c r="S397" s="1732"/>
      <c r="T397" s="1732"/>
      <c r="U397" s="1732"/>
      <c r="V397" s="1732"/>
      <c r="W397" s="1732"/>
      <c r="X397" s="1732"/>
      <c r="Y397" s="1732"/>
      <c r="Z397" s="1732"/>
    </row>
    <row r="398" spans="1:26" ht="18" customHeight="1">
      <c r="A398" s="1732"/>
      <c r="B398" s="1732"/>
      <c r="C398" s="1776"/>
      <c r="D398" s="1732"/>
      <c r="E398" s="1732"/>
      <c r="F398" s="1732"/>
      <c r="G398" s="1732"/>
      <c r="H398" s="1732"/>
      <c r="I398" s="1732"/>
      <c r="J398" s="1732"/>
      <c r="K398" s="1732"/>
      <c r="L398" s="1732"/>
      <c r="M398" s="1732"/>
      <c r="N398" s="1732"/>
      <c r="O398" s="1732"/>
      <c r="P398" s="1732"/>
      <c r="Q398" s="1732"/>
      <c r="R398" s="1732"/>
      <c r="S398" s="1732"/>
      <c r="T398" s="1732"/>
      <c r="U398" s="1732"/>
      <c r="V398" s="1732"/>
      <c r="W398" s="1732"/>
      <c r="X398" s="1732"/>
      <c r="Y398" s="1732"/>
      <c r="Z398" s="1732"/>
    </row>
    <row r="399" spans="1:26" ht="18" customHeight="1">
      <c r="A399" s="1732"/>
      <c r="B399" s="1732"/>
      <c r="C399" s="1776"/>
      <c r="D399" s="1732"/>
      <c r="E399" s="1732"/>
      <c r="F399" s="1732"/>
      <c r="G399" s="1732"/>
      <c r="H399" s="1732"/>
      <c r="I399" s="1732"/>
      <c r="J399" s="1732"/>
      <c r="K399" s="1732"/>
      <c r="L399" s="1732"/>
      <c r="M399" s="1732"/>
      <c r="N399" s="1732"/>
      <c r="O399" s="1732"/>
      <c r="P399" s="1732"/>
      <c r="Q399" s="1732"/>
      <c r="R399" s="1732"/>
      <c r="S399" s="1732"/>
      <c r="T399" s="1732"/>
      <c r="U399" s="1732"/>
      <c r="V399" s="1732"/>
      <c r="W399" s="1732"/>
      <c r="X399" s="1732"/>
      <c r="Y399" s="1732"/>
      <c r="Z399" s="1732"/>
    </row>
    <row r="400" spans="1:26" ht="18" customHeight="1">
      <c r="A400" s="1732"/>
      <c r="B400" s="1732"/>
      <c r="C400" s="1776"/>
      <c r="D400" s="1732"/>
      <c r="E400" s="1732"/>
      <c r="F400" s="1732"/>
      <c r="G400" s="1732"/>
      <c r="H400" s="1732"/>
      <c r="I400" s="1732"/>
      <c r="J400" s="1732"/>
      <c r="K400" s="1732"/>
      <c r="L400" s="1732"/>
      <c r="M400" s="1732"/>
      <c r="N400" s="1732"/>
      <c r="O400" s="1732"/>
      <c r="P400" s="1732"/>
      <c r="Q400" s="1732"/>
      <c r="R400" s="1732"/>
      <c r="S400" s="1732"/>
      <c r="T400" s="1732"/>
      <c r="U400" s="1732"/>
      <c r="V400" s="1732"/>
      <c r="W400" s="1732"/>
      <c r="X400" s="1732"/>
      <c r="Y400" s="1732"/>
      <c r="Z400" s="1732"/>
    </row>
    <row r="401" spans="1:26" ht="18" customHeight="1">
      <c r="A401" s="1732"/>
      <c r="B401" s="1732"/>
      <c r="C401" s="1776"/>
      <c r="D401" s="1732"/>
      <c r="E401" s="1732"/>
      <c r="F401" s="1732"/>
      <c r="G401" s="1732"/>
      <c r="H401" s="1732"/>
      <c r="I401" s="1732"/>
      <c r="J401" s="1732"/>
      <c r="K401" s="1732"/>
      <c r="L401" s="1732"/>
      <c r="M401" s="1732"/>
      <c r="N401" s="1732"/>
      <c r="O401" s="1732"/>
      <c r="P401" s="1732"/>
      <c r="Q401" s="1732"/>
      <c r="R401" s="1732"/>
      <c r="S401" s="1732"/>
      <c r="T401" s="1732"/>
      <c r="U401" s="1732"/>
      <c r="V401" s="1732"/>
      <c r="W401" s="1732"/>
      <c r="X401" s="1732"/>
      <c r="Y401" s="1732"/>
      <c r="Z401" s="1732"/>
    </row>
    <row r="402" spans="1:26" ht="18" customHeight="1">
      <c r="A402" s="1732"/>
      <c r="B402" s="1732"/>
      <c r="C402" s="1776"/>
      <c r="D402" s="1732"/>
      <c r="E402" s="1732"/>
      <c r="F402" s="1732"/>
      <c r="G402" s="1732"/>
      <c r="H402" s="1732"/>
      <c r="I402" s="1732"/>
      <c r="J402" s="1732"/>
      <c r="K402" s="1732"/>
      <c r="L402" s="1732"/>
      <c r="M402" s="1732"/>
      <c r="N402" s="1732"/>
      <c r="O402" s="1732"/>
      <c r="P402" s="1732"/>
      <c r="Q402" s="1732"/>
      <c r="R402" s="1732"/>
      <c r="S402" s="1732"/>
      <c r="T402" s="1732"/>
      <c r="U402" s="1732"/>
      <c r="V402" s="1732"/>
      <c r="W402" s="1732"/>
      <c r="X402" s="1732"/>
      <c r="Y402" s="1732"/>
      <c r="Z402" s="1732"/>
    </row>
    <row r="403" spans="1:26" ht="18" customHeight="1">
      <c r="A403" s="1732"/>
      <c r="B403" s="1732"/>
      <c r="C403" s="1776"/>
      <c r="D403" s="1732"/>
      <c r="E403" s="1732"/>
      <c r="F403" s="1732"/>
      <c r="G403" s="1732"/>
      <c r="H403" s="1732"/>
      <c r="I403" s="1732"/>
      <c r="J403" s="1732"/>
      <c r="K403" s="1732"/>
      <c r="L403" s="1732"/>
      <c r="M403" s="1732"/>
      <c r="N403" s="1732"/>
      <c r="O403" s="1732"/>
      <c r="P403" s="1732"/>
      <c r="Q403" s="1732"/>
      <c r="R403" s="1732"/>
      <c r="S403" s="1732"/>
      <c r="T403" s="1732"/>
      <c r="U403" s="1732"/>
      <c r="V403" s="1732"/>
      <c r="W403" s="1732"/>
      <c r="X403" s="1732"/>
      <c r="Y403" s="1732"/>
      <c r="Z403" s="1732"/>
    </row>
    <row r="404" spans="1:26" ht="18" customHeight="1">
      <c r="A404" s="1732"/>
      <c r="B404" s="1732"/>
      <c r="C404" s="1776"/>
      <c r="D404" s="1732"/>
      <c r="E404" s="1732"/>
      <c r="F404" s="1732"/>
      <c r="G404" s="1732"/>
      <c r="H404" s="1732"/>
      <c r="I404" s="1732"/>
      <c r="J404" s="1732"/>
      <c r="K404" s="1732"/>
      <c r="L404" s="1732"/>
      <c r="M404" s="1732"/>
      <c r="N404" s="1732"/>
      <c r="O404" s="1732"/>
      <c r="P404" s="1732"/>
      <c r="Q404" s="1732"/>
      <c r="R404" s="1732"/>
      <c r="S404" s="1732"/>
      <c r="T404" s="1732"/>
      <c r="U404" s="1732"/>
      <c r="V404" s="1732"/>
      <c r="W404" s="1732"/>
      <c r="X404" s="1732"/>
      <c r="Y404" s="1732"/>
      <c r="Z404" s="1732"/>
    </row>
    <row r="405" spans="1:26" ht="18" customHeight="1">
      <c r="A405" s="1732"/>
      <c r="B405" s="1732"/>
      <c r="C405" s="1776"/>
      <c r="D405" s="1732"/>
      <c r="E405" s="1732"/>
      <c r="F405" s="1732"/>
      <c r="G405" s="1732"/>
      <c r="H405" s="1732"/>
      <c r="I405" s="1732"/>
      <c r="J405" s="1732"/>
      <c r="K405" s="1732"/>
      <c r="L405" s="1732"/>
      <c r="M405" s="1732"/>
      <c r="N405" s="1732"/>
      <c r="O405" s="1732"/>
      <c r="P405" s="1732"/>
      <c r="Q405" s="1732"/>
      <c r="R405" s="1732"/>
      <c r="S405" s="1732"/>
      <c r="T405" s="1732"/>
      <c r="U405" s="1732"/>
      <c r="V405" s="1732"/>
      <c r="W405" s="1732"/>
      <c r="X405" s="1732"/>
      <c r="Y405" s="1732"/>
      <c r="Z405" s="1732"/>
    </row>
    <row r="406" spans="1:26" ht="18" customHeight="1">
      <c r="A406" s="1732"/>
      <c r="B406" s="1732"/>
      <c r="C406" s="1776"/>
      <c r="D406" s="1732"/>
      <c r="E406" s="1732"/>
      <c r="F406" s="1732"/>
      <c r="G406" s="1732"/>
      <c r="H406" s="1732"/>
      <c r="I406" s="1732"/>
      <c r="J406" s="1732"/>
      <c r="K406" s="1732"/>
      <c r="L406" s="1732"/>
      <c r="M406" s="1732"/>
      <c r="N406" s="1732"/>
      <c r="O406" s="1732"/>
      <c r="P406" s="1732"/>
      <c r="Q406" s="1732"/>
      <c r="R406" s="1732"/>
      <c r="S406" s="1732"/>
      <c r="T406" s="1732"/>
      <c r="U406" s="1732"/>
      <c r="V406" s="1732"/>
      <c r="W406" s="1732"/>
      <c r="X406" s="1732"/>
      <c r="Y406" s="1732"/>
      <c r="Z406" s="1732"/>
    </row>
    <row r="407" spans="1:26" ht="18" customHeight="1">
      <c r="A407" s="1732"/>
      <c r="B407" s="1732"/>
      <c r="C407" s="1776"/>
      <c r="D407" s="1732"/>
      <c r="E407" s="1732"/>
      <c r="F407" s="1732"/>
      <c r="G407" s="1732"/>
      <c r="H407" s="1732"/>
      <c r="I407" s="1732"/>
      <c r="J407" s="1732"/>
      <c r="K407" s="1732"/>
      <c r="L407" s="1732"/>
      <c r="M407" s="1732"/>
      <c r="N407" s="1732"/>
      <c r="O407" s="1732"/>
      <c r="P407" s="1732"/>
      <c r="Q407" s="1732"/>
      <c r="R407" s="1732"/>
      <c r="S407" s="1732"/>
      <c r="T407" s="1732"/>
      <c r="U407" s="1732"/>
      <c r="V407" s="1732"/>
      <c r="W407" s="1732"/>
      <c r="X407" s="1732"/>
      <c r="Y407" s="1732"/>
      <c r="Z407" s="1732"/>
    </row>
    <row r="408" spans="1:26" ht="18" customHeight="1">
      <c r="A408" s="1732"/>
      <c r="B408" s="1732"/>
      <c r="C408" s="1776"/>
      <c r="D408" s="1732"/>
      <c r="E408" s="1732"/>
      <c r="F408" s="1732"/>
      <c r="G408" s="1732"/>
      <c r="H408" s="1732"/>
      <c r="I408" s="1732"/>
      <c r="J408" s="1732"/>
      <c r="K408" s="1732"/>
      <c r="L408" s="1732"/>
      <c r="M408" s="1732"/>
      <c r="N408" s="1732"/>
      <c r="O408" s="1732"/>
      <c r="P408" s="1732"/>
      <c r="Q408" s="1732"/>
      <c r="R408" s="1732"/>
      <c r="S408" s="1732"/>
      <c r="T408" s="1732"/>
      <c r="U408" s="1732"/>
      <c r="V408" s="1732"/>
      <c r="W408" s="1732"/>
      <c r="X408" s="1732"/>
      <c r="Y408" s="1732"/>
      <c r="Z408" s="1732"/>
    </row>
    <row r="409" spans="1:26" ht="18" customHeight="1">
      <c r="A409" s="1732"/>
      <c r="B409" s="1732"/>
      <c r="C409" s="1776"/>
      <c r="D409" s="1732"/>
      <c r="E409" s="1732"/>
      <c r="F409" s="1732"/>
      <c r="G409" s="1732"/>
      <c r="H409" s="1732"/>
      <c r="I409" s="1732"/>
      <c r="J409" s="1732"/>
      <c r="K409" s="1732"/>
      <c r="L409" s="1732"/>
      <c r="M409" s="1732"/>
      <c r="N409" s="1732"/>
      <c r="O409" s="1732"/>
      <c r="P409" s="1732"/>
      <c r="Q409" s="1732"/>
      <c r="R409" s="1732"/>
      <c r="S409" s="1732"/>
      <c r="T409" s="1732"/>
      <c r="U409" s="1732"/>
      <c r="V409" s="1732"/>
      <c r="W409" s="1732"/>
      <c r="X409" s="1732"/>
      <c r="Y409" s="1732"/>
      <c r="Z409" s="1732"/>
    </row>
    <row r="410" spans="1:26" ht="18" customHeight="1">
      <c r="A410" s="1732"/>
      <c r="B410" s="1732"/>
      <c r="C410" s="1776"/>
      <c r="D410" s="1732"/>
      <c r="E410" s="1732"/>
      <c r="F410" s="1732"/>
      <c r="G410" s="1732"/>
      <c r="H410" s="1732"/>
      <c r="I410" s="1732"/>
      <c r="J410" s="1732"/>
      <c r="K410" s="1732"/>
      <c r="L410" s="1732"/>
      <c r="M410" s="1732"/>
      <c r="N410" s="1732"/>
      <c r="O410" s="1732"/>
      <c r="P410" s="1732"/>
      <c r="Q410" s="1732"/>
      <c r="R410" s="1732"/>
      <c r="S410" s="1732"/>
      <c r="T410" s="1732"/>
      <c r="U410" s="1732"/>
      <c r="V410" s="1732"/>
      <c r="W410" s="1732"/>
      <c r="X410" s="1732"/>
      <c r="Y410" s="1732"/>
      <c r="Z410" s="1732"/>
    </row>
    <row r="411" spans="1:26" ht="18" customHeight="1">
      <c r="A411" s="1732"/>
      <c r="B411" s="1732"/>
      <c r="C411" s="1776"/>
      <c r="D411" s="1732"/>
      <c r="E411" s="1732"/>
      <c r="F411" s="1732"/>
      <c r="G411" s="1732"/>
      <c r="H411" s="1732"/>
      <c r="I411" s="1732"/>
      <c r="J411" s="1732"/>
      <c r="K411" s="1732"/>
      <c r="L411" s="1732"/>
      <c r="M411" s="1732"/>
      <c r="N411" s="1732"/>
      <c r="O411" s="1732"/>
      <c r="P411" s="1732"/>
      <c r="Q411" s="1732"/>
      <c r="R411" s="1732"/>
      <c r="S411" s="1732"/>
      <c r="T411" s="1732"/>
      <c r="U411" s="1732"/>
      <c r="V411" s="1732"/>
      <c r="W411" s="1732"/>
      <c r="X411" s="1732"/>
      <c r="Y411" s="1732"/>
      <c r="Z411" s="1732"/>
    </row>
    <row r="412" spans="1:26" ht="18" customHeight="1">
      <c r="A412" s="1732"/>
      <c r="B412" s="1732"/>
      <c r="C412" s="1776"/>
      <c r="D412" s="1732"/>
      <c r="E412" s="1732"/>
      <c r="F412" s="1732"/>
      <c r="G412" s="1732"/>
      <c r="H412" s="1732"/>
      <c r="I412" s="1732"/>
      <c r="J412" s="1732"/>
      <c r="K412" s="1732"/>
      <c r="L412" s="1732"/>
      <c r="M412" s="1732"/>
      <c r="N412" s="1732"/>
      <c r="O412" s="1732"/>
      <c r="P412" s="1732"/>
      <c r="Q412" s="1732"/>
      <c r="R412" s="1732"/>
      <c r="S412" s="1732"/>
      <c r="T412" s="1732"/>
      <c r="U412" s="1732"/>
      <c r="V412" s="1732"/>
      <c r="W412" s="1732"/>
      <c r="X412" s="1732"/>
      <c r="Y412" s="1732"/>
      <c r="Z412" s="1732"/>
    </row>
    <row r="413" spans="1:26" ht="18" customHeight="1">
      <c r="A413" s="1732"/>
      <c r="B413" s="1732"/>
      <c r="C413" s="1776"/>
      <c r="D413" s="1732"/>
      <c r="E413" s="1732"/>
      <c r="F413" s="1732"/>
      <c r="G413" s="1732"/>
      <c r="H413" s="1732"/>
      <c r="I413" s="1732"/>
      <c r="J413" s="1732"/>
      <c r="K413" s="1732"/>
      <c r="L413" s="1732"/>
      <c r="M413" s="1732"/>
      <c r="N413" s="1732"/>
      <c r="O413" s="1732"/>
      <c r="P413" s="1732"/>
      <c r="Q413" s="1732"/>
      <c r="R413" s="1732"/>
      <c r="S413" s="1732"/>
      <c r="T413" s="1732"/>
      <c r="U413" s="1732"/>
      <c r="V413" s="1732"/>
      <c r="W413" s="1732"/>
      <c r="X413" s="1732"/>
      <c r="Y413" s="1732"/>
      <c r="Z413" s="1732"/>
    </row>
    <row r="414" spans="1:26" ht="18" customHeight="1">
      <c r="A414" s="1732"/>
      <c r="B414" s="1732"/>
      <c r="C414" s="1776"/>
      <c r="D414" s="1732"/>
      <c r="E414" s="1732"/>
      <c r="F414" s="1732"/>
      <c r="G414" s="1732"/>
      <c r="H414" s="1732"/>
      <c r="I414" s="1732"/>
      <c r="J414" s="1732"/>
      <c r="K414" s="1732"/>
      <c r="L414" s="1732"/>
      <c r="M414" s="1732"/>
      <c r="N414" s="1732"/>
      <c r="O414" s="1732"/>
      <c r="P414" s="1732"/>
      <c r="Q414" s="1732"/>
      <c r="R414" s="1732"/>
      <c r="S414" s="1732"/>
      <c r="T414" s="1732"/>
      <c r="U414" s="1732"/>
      <c r="V414" s="1732"/>
      <c r="W414" s="1732"/>
      <c r="X414" s="1732"/>
      <c r="Y414" s="1732"/>
      <c r="Z414" s="1732"/>
    </row>
    <row r="415" spans="1:26" ht="18" customHeight="1">
      <c r="A415" s="1732"/>
      <c r="B415" s="1732"/>
      <c r="C415" s="1776"/>
      <c r="D415" s="1732"/>
      <c r="E415" s="1732"/>
      <c r="F415" s="1732"/>
      <c r="G415" s="1732"/>
      <c r="H415" s="1732"/>
      <c r="I415" s="1732"/>
      <c r="J415" s="1732"/>
      <c r="K415" s="1732"/>
      <c r="L415" s="1732"/>
      <c r="M415" s="1732"/>
      <c r="N415" s="1732"/>
      <c r="O415" s="1732"/>
      <c r="P415" s="1732"/>
      <c r="Q415" s="1732"/>
      <c r="R415" s="1732"/>
      <c r="S415" s="1732"/>
      <c r="T415" s="1732"/>
      <c r="U415" s="1732"/>
      <c r="V415" s="1732"/>
      <c r="W415" s="1732"/>
      <c r="X415" s="1732"/>
      <c r="Y415" s="1732"/>
      <c r="Z415" s="1732"/>
    </row>
    <row r="416" spans="1:26" ht="18" customHeight="1">
      <c r="A416" s="1732"/>
      <c r="B416" s="1732"/>
      <c r="C416" s="1776"/>
      <c r="D416" s="1732"/>
      <c r="E416" s="1732"/>
      <c r="F416" s="1732"/>
      <c r="G416" s="1732"/>
      <c r="H416" s="1732"/>
      <c r="I416" s="1732"/>
      <c r="J416" s="1732"/>
      <c r="K416" s="1732"/>
      <c r="L416" s="1732"/>
      <c r="M416" s="1732"/>
      <c r="N416" s="1732"/>
      <c r="O416" s="1732"/>
      <c r="P416" s="1732"/>
      <c r="Q416" s="1732"/>
      <c r="R416" s="1732"/>
      <c r="S416" s="1732"/>
      <c r="T416" s="1732"/>
      <c r="U416" s="1732"/>
      <c r="V416" s="1732"/>
      <c r="W416" s="1732"/>
      <c r="X416" s="1732"/>
      <c r="Y416" s="1732"/>
      <c r="Z416" s="1732"/>
    </row>
    <row r="417" spans="1:26" ht="18" customHeight="1">
      <c r="A417" s="1732"/>
      <c r="B417" s="1732"/>
      <c r="C417" s="1776"/>
      <c r="D417" s="1732"/>
      <c r="E417" s="1732"/>
      <c r="F417" s="1732"/>
      <c r="G417" s="1732"/>
      <c r="H417" s="1732"/>
      <c r="I417" s="1732"/>
      <c r="J417" s="1732"/>
      <c r="K417" s="1732"/>
      <c r="L417" s="1732"/>
      <c r="M417" s="1732"/>
      <c r="N417" s="1732"/>
      <c r="O417" s="1732"/>
      <c r="P417" s="1732"/>
      <c r="Q417" s="1732"/>
      <c r="R417" s="1732"/>
      <c r="S417" s="1732"/>
      <c r="T417" s="1732"/>
      <c r="U417" s="1732"/>
      <c r="V417" s="1732"/>
      <c r="W417" s="1732"/>
      <c r="X417" s="1732"/>
      <c r="Y417" s="1732"/>
      <c r="Z417" s="1732"/>
    </row>
    <row r="418" spans="1:26" ht="18" customHeight="1">
      <c r="A418" s="1732"/>
      <c r="B418" s="1732"/>
      <c r="C418" s="1776"/>
      <c r="D418" s="1732"/>
      <c r="E418" s="1732"/>
      <c r="F418" s="1732"/>
      <c r="G418" s="1732"/>
      <c r="H418" s="1732"/>
      <c r="I418" s="1732"/>
      <c r="J418" s="1732"/>
      <c r="K418" s="1732"/>
      <c r="L418" s="1732"/>
      <c r="M418" s="1732"/>
      <c r="N418" s="1732"/>
      <c r="O418" s="1732"/>
      <c r="P418" s="1732"/>
      <c r="Q418" s="1732"/>
      <c r="R418" s="1732"/>
      <c r="S418" s="1732"/>
      <c r="T418" s="1732"/>
      <c r="U418" s="1732"/>
      <c r="V418" s="1732"/>
      <c r="W418" s="1732"/>
      <c r="X418" s="1732"/>
      <c r="Y418" s="1732"/>
      <c r="Z418" s="1732"/>
    </row>
    <row r="419" spans="1:26" ht="18" customHeight="1">
      <c r="A419" s="1732"/>
      <c r="B419" s="1732"/>
      <c r="C419" s="1776"/>
      <c r="D419" s="1732"/>
      <c r="E419" s="1732"/>
      <c r="F419" s="1732"/>
      <c r="G419" s="1732"/>
      <c r="H419" s="1732"/>
      <c r="I419" s="1732"/>
      <c r="J419" s="1732"/>
      <c r="K419" s="1732"/>
      <c r="L419" s="1732"/>
      <c r="M419" s="1732"/>
      <c r="N419" s="1732"/>
      <c r="O419" s="1732"/>
      <c r="P419" s="1732"/>
      <c r="Q419" s="1732"/>
      <c r="R419" s="1732"/>
      <c r="S419" s="1732"/>
      <c r="T419" s="1732"/>
      <c r="U419" s="1732"/>
      <c r="V419" s="1732"/>
      <c r="W419" s="1732"/>
      <c r="X419" s="1732"/>
      <c r="Y419" s="1732"/>
      <c r="Z419" s="1732"/>
    </row>
    <row r="420" spans="1:26" ht="18" customHeight="1">
      <c r="A420" s="1732"/>
      <c r="B420" s="1732"/>
      <c r="C420" s="1776"/>
      <c r="D420" s="1732"/>
      <c r="E420" s="1732"/>
      <c r="F420" s="1732"/>
      <c r="G420" s="1732"/>
      <c r="H420" s="1732"/>
      <c r="I420" s="1732"/>
      <c r="J420" s="1732"/>
      <c r="K420" s="1732"/>
      <c r="L420" s="1732"/>
      <c r="M420" s="1732"/>
      <c r="N420" s="1732"/>
      <c r="O420" s="1732"/>
      <c r="P420" s="1732"/>
      <c r="Q420" s="1732"/>
      <c r="R420" s="1732"/>
      <c r="S420" s="1732"/>
      <c r="T420" s="1732"/>
      <c r="U420" s="1732"/>
      <c r="V420" s="1732"/>
      <c r="W420" s="1732"/>
      <c r="X420" s="1732"/>
      <c r="Y420" s="1732"/>
      <c r="Z420" s="1732"/>
    </row>
    <row r="421" spans="1:26" ht="18" customHeight="1">
      <c r="A421" s="1732"/>
      <c r="B421" s="1732"/>
      <c r="C421" s="1776"/>
      <c r="D421" s="1732"/>
      <c r="E421" s="1732"/>
      <c r="F421" s="1732"/>
      <c r="G421" s="1732"/>
      <c r="H421" s="1732"/>
      <c r="I421" s="1732"/>
      <c r="J421" s="1732"/>
      <c r="K421" s="1732"/>
      <c r="L421" s="1732"/>
      <c r="M421" s="1732"/>
      <c r="N421" s="1732"/>
      <c r="O421" s="1732"/>
      <c r="P421" s="1732"/>
      <c r="Q421" s="1732"/>
      <c r="R421" s="1732"/>
      <c r="S421" s="1732"/>
      <c r="T421" s="1732"/>
      <c r="U421" s="1732"/>
      <c r="V421" s="1732"/>
      <c r="W421" s="1732"/>
      <c r="X421" s="1732"/>
      <c r="Y421" s="1732"/>
      <c r="Z421" s="1732"/>
    </row>
    <row r="422" spans="1:26" ht="18" customHeight="1">
      <c r="A422" s="1732"/>
      <c r="B422" s="1732"/>
      <c r="C422" s="1776"/>
      <c r="D422" s="1732"/>
      <c r="E422" s="1732"/>
      <c r="F422" s="1732"/>
      <c r="G422" s="1732"/>
      <c r="H422" s="1732"/>
      <c r="I422" s="1732"/>
      <c r="J422" s="1732"/>
      <c r="K422" s="1732"/>
      <c r="L422" s="1732"/>
      <c r="M422" s="1732"/>
      <c r="N422" s="1732"/>
      <c r="O422" s="1732"/>
      <c r="P422" s="1732"/>
      <c r="Q422" s="1732"/>
      <c r="R422" s="1732"/>
      <c r="S422" s="1732"/>
      <c r="T422" s="1732"/>
      <c r="U422" s="1732"/>
      <c r="V422" s="1732"/>
      <c r="W422" s="1732"/>
      <c r="X422" s="1732"/>
      <c r="Y422" s="1732"/>
      <c r="Z422" s="1732"/>
    </row>
    <row r="423" spans="1:26" ht="18" customHeight="1">
      <c r="A423" s="1732"/>
      <c r="B423" s="1732"/>
      <c r="C423" s="1776"/>
      <c r="D423" s="1732"/>
      <c r="E423" s="1732"/>
      <c r="F423" s="1732"/>
      <c r="G423" s="1732"/>
      <c r="H423" s="1732"/>
      <c r="I423" s="1732"/>
      <c r="J423" s="1732"/>
      <c r="K423" s="1732"/>
      <c r="L423" s="1732"/>
      <c r="M423" s="1732"/>
      <c r="N423" s="1732"/>
      <c r="O423" s="1732"/>
      <c r="P423" s="1732"/>
      <c r="Q423" s="1732"/>
      <c r="R423" s="1732"/>
      <c r="S423" s="1732"/>
      <c r="T423" s="1732"/>
      <c r="U423" s="1732"/>
      <c r="V423" s="1732"/>
      <c r="W423" s="1732"/>
      <c r="X423" s="1732"/>
      <c r="Y423" s="1732"/>
      <c r="Z423" s="1732"/>
    </row>
    <row r="424" spans="1:26" ht="18" customHeight="1">
      <c r="A424" s="1732"/>
      <c r="B424" s="1732"/>
      <c r="C424" s="1776"/>
      <c r="D424" s="1732"/>
      <c r="E424" s="1732"/>
      <c r="F424" s="1732"/>
      <c r="G424" s="1732"/>
      <c r="H424" s="1732"/>
      <c r="I424" s="1732"/>
      <c r="J424" s="1732"/>
      <c r="K424" s="1732"/>
      <c r="L424" s="1732"/>
      <c r="M424" s="1732"/>
      <c r="N424" s="1732"/>
      <c r="O424" s="1732"/>
      <c r="P424" s="1732"/>
      <c r="Q424" s="1732"/>
      <c r="R424" s="1732"/>
      <c r="S424" s="1732"/>
      <c r="T424" s="1732"/>
      <c r="U424" s="1732"/>
      <c r="V424" s="1732"/>
      <c r="W424" s="1732"/>
      <c r="X424" s="1732"/>
      <c r="Y424" s="1732"/>
      <c r="Z424" s="1732"/>
    </row>
    <row r="425" spans="1:26" ht="18" customHeight="1">
      <c r="A425" s="1732"/>
      <c r="B425" s="1732"/>
      <c r="C425" s="1776"/>
      <c r="D425" s="1732"/>
      <c r="E425" s="1732"/>
      <c r="F425" s="1732"/>
      <c r="G425" s="1732"/>
      <c r="H425" s="1732"/>
      <c r="I425" s="1732"/>
      <c r="J425" s="1732"/>
      <c r="K425" s="1732"/>
      <c r="L425" s="1732"/>
      <c r="M425" s="1732"/>
      <c r="N425" s="1732"/>
      <c r="O425" s="1732"/>
      <c r="P425" s="1732"/>
      <c r="Q425" s="1732"/>
      <c r="R425" s="1732"/>
      <c r="S425" s="1732"/>
      <c r="T425" s="1732"/>
      <c r="U425" s="1732"/>
      <c r="V425" s="1732"/>
      <c r="W425" s="1732"/>
      <c r="X425" s="1732"/>
      <c r="Y425" s="1732"/>
      <c r="Z425" s="1732"/>
    </row>
    <row r="426" spans="1:26" ht="18" customHeight="1">
      <c r="A426" s="1732"/>
      <c r="B426" s="1732"/>
      <c r="C426" s="1776"/>
      <c r="D426" s="1732"/>
      <c r="E426" s="1732"/>
      <c r="F426" s="1732"/>
      <c r="G426" s="1732"/>
      <c r="H426" s="1732"/>
      <c r="I426" s="1732"/>
      <c r="J426" s="1732"/>
      <c r="K426" s="1732"/>
      <c r="L426" s="1732"/>
      <c r="M426" s="1732"/>
      <c r="N426" s="1732"/>
      <c r="O426" s="1732"/>
      <c r="P426" s="1732"/>
      <c r="Q426" s="1732"/>
      <c r="R426" s="1732"/>
      <c r="S426" s="1732"/>
      <c r="T426" s="1732"/>
      <c r="U426" s="1732"/>
      <c r="V426" s="1732"/>
      <c r="W426" s="1732"/>
      <c r="X426" s="1732"/>
      <c r="Y426" s="1732"/>
      <c r="Z426" s="1732"/>
    </row>
    <row r="427" spans="1:26" ht="18" customHeight="1">
      <c r="A427" s="1732"/>
      <c r="B427" s="1732"/>
      <c r="C427" s="1776"/>
      <c r="D427" s="1732"/>
      <c r="E427" s="1732"/>
      <c r="F427" s="1732"/>
      <c r="G427" s="1732"/>
      <c r="H427" s="1732"/>
      <c r="I427" s="1732"/>
      <c r="J427" s="1732"/>
      <c r="K427" s="1732"/>
      <c r="L427" s="1732"/>
      <c r="M427" s="1732"/>
      <c r="N427" s="1732"/>
      <c r="O427" s="1732"/>
      <c r="P427" s="1732"/>
      <c r="Q427" s="1732"/>
      <c r="R427" s="1732"/>
      <c r="S427" s="1732"/>
      <c r="T427" s="1732"/>
      <c r="U427" s="1732"/>
      <c r="V427" s="1732"/>
      <c r="W427" s="1732"/>
      <c r="X427" s="1732"/>
      <c r="Y427" s="1732"/>
      <c r="Z427" s="1732"/>
    </row>
    <row r="428" spans="1:26" ht="18" customHeight="1">
      <c r="A428" s="1732"/>
      <c r="B428" s="1732"/>
      <c r="C428" s="1776"/>
      <c r="D428" s="1732"/>
      <c r="E428" s="1732"/>
      <c r="F428" s="1732"/>
      <c r="G428" s="1732"/>
      <c r="H428" s="1732"/>
      <c r="I428" s="1732"/>
      <c r="J428" s="1732"/>
      <c r="K428" s="1732"/>
      <c r="L428" s="1732"/>
      <c r="M428" s="1732"/>
      <c r="N428" s="1732"/>
      <c r="O428" s="1732"/>
      <c r="P428" s="1732"/>
      <c r="Q428" s="1732"/>
      <c r="R428" s="1732"/>
      <c r="S428" s="1732"/>
      <c r="T428" s="1732"/>
      <c r="U428" s="1732"/>
      <c r="V428" s="1732"/>
      <c r="W428" s="1732"/>
      <c r="X428" s="1732"/>
      <c r="Y428" s="1732"/>
      <c r="Z428" s="1732"/>
    </row>
    <row r="429" spans="1:26" ht="18" customHeight="1">
      <c r="A429" s="1732"/>
      <c r="B429" s="1732"/>
      <c r="C429" s="1776"/>
      <c r="D429" s="1732"/>
      <c r="E429" s="1732"/>
      <c r="F429" s="1732"/>
      <c r="G429" s="1732"/>
      <c r="H429" s="1732"/>
      <c r="I429" s="1732"/>
      <c r="J429" s="1732"/>
      <c r="K429" s="1732"/>
      <c r="L429" s="1732"/>
      <c r="M429" s="1732"/>
      <c r="N429" s="1732"/>
      <c r="O429" s="1732"/>
      <c r="P429" s="1732"/>
      <c r="Q429" s="1732"/>
      <c r="R429" s="1732"/>
      <c r="S429" s="1732"/>
      <c r="T429" s="1732"/>
      <c r="U429" s="1732"/>
      <c r="V429" s="1732"/>
      <c r="W429" s="1732"/>
      <c r="X429" s="1732"/>
      <c r="Y429" s="1732"/>
      <c r="Z429" s="1732"/>
    </row>
    <row r="430" spans="1:26" ht="18" customHeight="1">
      <c r="A430" s="1732"/>
      <c r="B430" s="1732"/>
      <c r="C430" s="1776"/>
      <c r="D430" s="1732"/>
      <c r="E430" s="1732"/>
      <c r="F430" s="1732"/>
      <c r="G430" s="1732"/>
      <c r="H430" s="1732"/>
      <c r="I430" s="1732"/>
      <c r="J430" s="1732"/>
      <c r="K430" s="1732"/>
      <c r="L430" s="1732"/>
      <c r="M430" s="1732"/>
      <c r="N430" s="1732"/>
      <c r="O430" s="1732"/>
      <c r="P430" s="1732"/>
      <c r="Q430" s="1732"/>
      <c r="R430" s="1732"/>
      <c r="S430" s="1732"/>
      <c r="T430" s="1732"/>
      <c r="U430" s="1732"/>
      <c r="V430" s="1732"/>
      <c r="W430" s="1732"/>
      <c r="X430" s="1732"/>
      <c r="Y430" s="1732"/>
      <c r="Z430" s="1732"/>
    </row>
    <row r="431" spans="1:26" ht="18" customHeight="1">
      <c r="A431" s="1732"/>
      <c r="B431" s="1732"/>
      <c r="C431" s="1776"/>
      <c r="D431" s="1732"/>
      <c r="E431" s="1732"/>
      <c r="F431" s="1732"/>
      <c r="G431" s="1732"/>
      <c r="H431" s="1732"/>
      <c r="I431" s="1732"/>
      <c r="J431" s="1732"/>
      <c r="K431" s="1732"/>
      <c r="L431" s="1732"/>
      <c r="M431" s="1732"/>
      <c r="N431" s="1732"/>
      <c r="O431" s="1732"/>
      <c r="P431" s="1732"/>
      <c r="Q431" s="1732"/>
      <c r="R431" s="1732"/>
      <c r="S431" s="1732"/>
      <c r="T431" s="1732"/>
      <c r="U431" s="1732"/>
      <c r="V431" s="1732"/>
      <c r="W431" s="1732"/>
      <c r="X431" s="1732"/>
      <c r="Y431" s="1732"/>
      <c r="Z431" s="1732"/>
    </row>
    <row r="432" spans="1:26" ht="18" customHeight="1">
      <c r="A432" s="1732"/>
      <c r="B432" s="1732"/>
      <c r="C432" s="1776"/>
      <c r="D432" s="1732"/>
      <c r="E432" s="1732"/>
      <c r="F432" s="1732"/>
      <c r="G432" s="1732"/>
      <c r="H432" s="1732"/>
      <c r="I432" s="1732"/>
      <c r="J432" s="1732"/>
      <c r="K432" s="1732"/>
      <c r="L432" s="1732"/>
      <c r="M432" s="1732"/>
      <c r="N432" s="1732"/>
      <c r="O432" s="1732"/>
      <c r="P432" s="1732"/>
      <c r="Q432" s="1732"/>
      <c r="R432" s="1732"/>
      <c r="S432" s="1732"/>
      <c r="T432" s="1732"/>
      <c r="U432" s="1732"/>
      <c r="V432" s="1732"/>
      <c r="W432" s="1732"/>
      <c r="X432" s="1732"/>
      <c r="Y432" s="1732"/>
      <c r="Z432" s="1732"/>
    </row>
    <row r="433" spans="1:26" ht="18" customHeight="1">
      <c r="A433" s="1732"/>
      <c r="B433" s="1732"/>
      <c r="C433" s="1776"/>
      <c r="D433" s="1732"/>
      <c r="E433" s="1732"/>
      <c r="F433" s="1732"/>
      <c r="G433" s="1732"/>
      <c r="H433" s="1732"/>
      <c r="I433" s="1732"/>
      <c r="J433" s="1732"/>
      <c r="K433" s="1732"/>
      <c r="L433" s="1732"/>
      <c r="M433" s="1732"/>
      <c r="N433" s="1732"/>
      <c r="O433" s="1732"/>
      <c r="P433" s="1732"/>
      <c r="Q433" s="1732"/>
      <c r="R433" s="1732"/>
      <c r="S433" s="1732"/>
      <c r="T433" s="1732"/>
      <c r="U433" s="1732"/>
      <c r="V433" s="1732"/>
      <c r="W433" s="1732"/>
      <c r="X433" s="1732"/>
      <c r="Y433" s="1732"/>
      <c r="Z433" s="1732"/>
    </row>
    <row r="434" spans="1:26" ht="18" customHeight="1">
      <c r="A434" s="1732"/>
      <c r="B434" s="1732"/>
      <c r="C434" s="1776"/>
      <c r="D434" s="1732"/>
      <c r="E434" s="1732"/>
      <c r="F434" s="1732"/>
      <c r="G434" s="1732"/>
      <c r="H434" s="1732"/>
      <c r="I434" s="1732"/>
      <c r="J434" s="1732"/>
      <c r="K434" s="1732"/>
      <c r="L434" s="1732"/>
      <c r="M434" s="1732"/>
      <c r="N434" s="1732"/>
      <c r="O434" s="1732"/>
      <c r="P434" s="1732"/>
      <c r="Q434" s="1732"/>
      <c r="R434" s="1732"/>
      <c r="S434" s="1732"/>
      <c r="T434" s="1732"/>
      <c r="U434" s="1732"/>
      <c r="V434" s="1732"/>
      <c r="W434" s="1732"/>
      <c r="X434" s="1732"/>
      <c r="Y434" s="1732"/>
      <c r="Z434" s="1732"/>
    </row>
    <row r="435" spans="1:26" ht="18" customHeight="1">
      <c r="A435" s="1732"/>
      <c r="B435" s="1732"/>
      <c r="C435" s="1776"/>
      <c r="D435" s="1732"/>
      <c r="E435" s="1732"/>
      <c r="F435" s="1732"/>
      <c r="G435" s="1732"/>
      <c r="H435" s="1732"/>
      <c r="I435" s="1732"/>
      <c r="J435" s="1732"/>
      <c r="K435" s="1732"/>
      <c r="L435" s="1732"/>
      <c r="M435" s="1732"/>
      <c r="N435" s="1732"/>
      <c r="O435" s="1732"/>
      <c r="P435" s="1732"/>
      <c r="Q435" s="1732"/>
      <c r="R435" s="1732"/>
      <c r="S435" s="1732"/>
      <c r="T435" s="1732"/>
      <c r="U435" s="1732"/>
      <c r="V435" s="1732"/>
      <c r="W435" s="1732"/>
      <c r="X435" s="1732"/>
      <c r="Y435" s="1732"/>
      <c r="Z435" s="1732"/>
    </row>
    <row r="436" spans="1:26" ht="18" customHeight="1">
      <c r="A436" s="1732"/>
      <c r="B436" s="1732"/>
      <c r="C436" s="1776"/>
      <c r="D436" s="1732"/>
      <c r="E436" s="1732"/>
      <c r="F436" s="1732"/>
      <c r="G436" s="1732"/>
      <c r="H436" s="1732"/>
      <c r="I436" s="1732"/>
      <c r="J436" s="1732"/>
      <c r="K436" s="1732"/>
      <c r="L436" s="1732"/>
      <c r="M436" s="1732"/>
      <c r="N436" s="1732"/>
      <c r="O436" s="1732"/>
      <c r="P436" s="1732"/>
      <c r="Q436" s="1732"/>
      <c r="R436" s="1732"/>
      <c r="S436" s="1732"/>
      <c r="T436" s="1732"/>
      <c r="U436" s="1732"/>
      <c r="V436" s="1732"/>
      <c r="W436" s="1732"/>
      <c r="X436" s="1732"/>
      <c r="Y436" s="1732"/>
      <c r="Z436" s="1732"/>
    </row>
    <row r="437" spans="1:26" ht="18" customHeight="1">
      <c r="A437" s="1732"/>
      <c r="B437" s="1732"/>
      <c r="C437" s="1776"/>
      <c r="D437" s="1732"/>
      <c r="E437" s="1732"/>
      <c r="F437" s="1732"/>
      <c r="G437" s="1732"/>
      <c r="H437" s="1732"/>
      <c r="I437" s="1732"/>
      <c r="J437" s="1732"/>
      <c r="K437" s="1732"/>
      <c r="L437" s="1732"/>
      <c r="M437" s="1732"/>
      <c r="N437" s="1732"/>
      <c r="O437" s="1732"/>
      <c r="P437" s="1732"/>
      <c r="Q437" s="1732"/>
      <c r="R437" s="1732"/>
      <c r="S437" s="1732"/>
      <c r="T437" s="1732"/>
      <c r="U437" s="1732"/>
      <c r="V437" s="1732"/>
      <c r="W437" s="1732"/>
      <c r="X437" s="1732"/>
      <c r="Y437" s="1732"/>
      <c r="Z437" s="1732"/>
    </row>
    <row r="438" spans="1:26" ht="18" customHeight="1">
      <c r="A438" s="1732"/>
      <c r="B438" s="1732"/>
      <c r="C438" s="1776"/>
      <c r="D438" s="1732"/>
      <c r="E438" s="1732"/>
      <c r="F438" s="1732"/>
      <c r="G438" s="1732"/>
      <c r="H438" s="1732"/>
      <c r="I438" s="1732"/>
      <c r="J438" s="1732"/>
      <c r="K438" s="1732"/>
      <c r="L438" s="1732"/>
      <c r="M438" s="1732"/>
      <c r="N438" s="1732"/>
      <c r="O438" s="1732"/>
      <c r="P438" s="1732"/>
      <c r="Q438" s="1732"/>
      <c r="R438" s="1732"/>
      <c r="S438" s="1732"/>
      <c r="T438" s="1732"/>
      <c r="U438" s="1732"/>
      <c r="V438" s="1732"/>
      <c r="W438" s="1732"/>
      <c r="X438" s="1732"/>
      <c r="Y438" s="1732"/>
      <c r="Z438" s="1732"/>
    </row>
    <row r="439" spans="1:26" ht="18" customHeight="1">
      <c r="A439" s="1732"/>
      <c r="B439" s="1732"/>
      <c r="C439" s="1776"/>
      <c r="D439" s="1732"/>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row>
    <row r="440" spans="1:26" ht="18" customHeight="1">
      <c r="A440" s="1732"/>
      <c r="B440" s="1732"/>
      <c r="C440" s="1776"/>
      <c r="D440" s="1732"/>
      <c r="E440" s="1732"/>
      <c r="F440" s="1732"/>
      <c r="G440" s="1732"/>
      <c r="H440" s="1732"/>
      <c r="I440" s="1732"/>
      <c r="J440" s="1732"/>
      <c r="K440" s="1732"/>
      <c r="L440" s="1732"/>
      <c r="M440" s="1732"/>
      <c r="N440" s="1732"/>
      <c r="O440" s="1732"/>
      <c r="P440" s="1732"/>
      <c r="Q440" s="1732"/>
      <c r="R440" s="1732"/>
      <c r="S440" s="1732"/>
      <c r="T440" s="1732"/>
      <c r="U440" s="1732"/>
      <c r="V440" s="1732"/>
      <c r="W440" s="1732"/>
      <c r="X440" s="1732"/>
      <c r="Y440" s="1732"/>
      <c r="Z440" s="1732"/>
    </row>
    <row r="441" spans="1:26" ht="18" customHeight="1">
      <c r="A441" s="1732"/>
      <c r="B441" s="1732"/>
      <c r="C441" s="1776"/>
      <c r="D441" s="1732"/>
      <c r="E441" s="1732"/>
      <c r="F441" s="1732"/>
      <c r="G441" s="1732"/>
      <c r="H441" s="1732"/>
      <c r="I441" s="1732"/>
      <c r="J441" s="1732"/>
      <c r="K441" s="1732"/>
      <c r="L441" s="1732"/>
      <c r="M441" s="1732"/>
      <c r="N441" s="1732"/>
      <c r="O441" s="1732"/>
      <c r="P441" s="1732"/>
      <c r="Q441" s="1732"/>
      <c r="R441" s="1732"/>
      <c r="S441" s="1732"/>
      <c r="T441" s="1732"/>
      <c r="U441" s="1732"/>
      <c r="V441" s="1732"/>
      <c r="W441" s="1732"/>
      <c r="X441" s="1732"/>
      <c r="Y441" s="1732"/>
      <c r="Z441" s="1732"/>
    </row>
    <row r="442" spans="1:26" ht="18" customHeight="1">
      <c r="A442" s="1732"/>
      <c r="B442" s="1732"/>
      <c r="C442" s="1776"/>
      <c r="D442" s="1732"/>
      <c r="E442" s="1732"/>
      <c r="F442" s="1732"/>
      <c r="G442" s="1732"/>
      <c r="H442" s="1732"/>
      <c r="I442" s="1732"/>
      <c r="J442" s="1732"/>
      <c r="K442" s="1732"/>
      <c r="L442" s="1732"/>
      <c r="M442" s="1732"/>
      <c r="N442" s="1732"/>
      <c r="O442" s="1732"/>
      <c r="P442" s="1732"/>
      <c r="Q442" s="1732"/>
      <c r="R442" s="1732"/>
      <c r="S442" s="1732"/>
      <c r="T442" s="1732"/>
      <c r="U442" s="1732"/>
      <c r="V442" s="1732"/>
      <c r="W442" s="1732"/>
      <c r="X442" s="1732"/>
      <c r="Y442" s="1732"/>
      <c r="Z442" s="1732"/>
    </row>
    <row r="443" spans="1:26" ht="18" customHeight="1">
      <c r="A443" s="1732"/>
      <c r="B443" s="1732"/>
      <c r="C443" s="1776"/>
      <c r="D443" s="1732"/>
      <c r="E443" s="1732"/>
      <c r="F443" s="1732"/>
      <c r="G443" s="1732"/>
      <c r="H443" s="1732"/>
      <c r="I443" s="1732"/>
      <c r="J443" s="1732"/>
      <c r="K443" s="1732"/>
      <c r="L443" s="1732"/>
      <c r="M443" s="1732"/>
      <c r="N443" s="1732"/>
      <c r="O443" s="1732"/>
      <c r="P443" s="1732"/>
      <c r="Q443" s="1732"/>
      <c r="R443" s="1732"/>
      <c r="S443" s="1732"/>
      <c r="T443" s="1732"/>
      <c r="U443" s="1732"/>
      <c r="V443" s="1732"/>
      <c r="W443" s="1732"/>
      <c r="X443" s="1732"/>
      <c r="Y443" s="1732"/>
      <c r="Z443" s="1732"/>
    </row>
    <row r="444" spans="1:26" ht="18" customHeight="1">
      <c r="A444" s="1732"/>
      <c r="B444" s="1732"/>
      <c r="C444" s="1776"/>
      <c r="D444" s="1732"/>
      <c r="E444" s="1732"/>
      <c r="F444" s="1732"/>
      <c r="G444" s="1732"/>
      <c r="H444" s="1732"/>
      <c r="I444" s="1732"/>
      <c r="J444" s="1732"/>
      <c r="K444" s="1732"/>
      <c r="L444" s="1732"/>
      <c r="M444" s="1732"/>
      <c r="N444" s="1732"/>
      <c r="O444" s="1732"/>
      <c r="P444" s="1732"/>
      <c r="Q444" s="1732"/>
      <c r="R444" s="1732"/>
      <c r="S444" s="1732"/>
      <c r="T444" s="1732"/>
      <c r="U444" s="1732"/>
      <c r="V444" s="1732"/>
      <c r="W444" s="1732"/>
      <c r="X444" s="1732"/>
      <c r="Y444" s="1732"/>
      <c r="Z444" s="1732"/>
    </row>
    <row r="445" spans="1:26" ht="18" customHeight="1">
      <c r="A445" s="1732"/>
      <c r="B445" s="1732"/>
      <c r="C445" s="1776"/>
      <c r="D445" s="1732"/>
      <c r="E445" s="1732"/>
      <c r="F445" s="1732"/>
      <c r="G445" s="1732"/>
      <c r="H445" s="1732"/>
      <c r="I445" s="1732"/>
      <c r="J445" s="1732"/>
      <c r="K445" s="1732"/>
      <c r="L445" s="1732"/>
      <c r="M445" s="1732"/>
      <c r="N445" s="1732"/>
      <c r="O445" s="1732"/>
      <c r="P445" s="1732"/>
      <c r="Q445" s="1732"/>
      <c r="R445" s="1732"/>
      <c r="S445" s="1732"/>
      <c r="T445" s="1732"/>
      <c r="U445" s="1732"/>
      <c r="V445" s="1732"/>
      <c r="W445" s="1732"/>
      <c r="X445" s="1732"/>
      <c r="Y445" s="1732"/>
      <c r="Z445" s="1732"/>
    </row>
    <row r="446" spans="1:26" ht="18" customHeight="1">
      <c r="A446" s="1732"/>
      <c r="B446" s="1732"/>
      <c r="C446" s="1776"/>
      <c r="D446" s="1732"/>
      <c r="E446" s="1732"/>
      <c r="F446" s="1732"/>
      <c r="G446" s="1732"/>
      <c r="H446" s="1732"/>
      <c r="I446" s="1732"/>
      <c r="J446" s="1732"/>
      <c r="K446" s="1732"/>
      <c r="L446" s="1732"/>
      <c r="M446" s="1732"/>
      <c r="N446" s="1732"/>
      <c r="O446" s="1732"/>
      <c r="P446" s="1732"/>
      <c r="Q446" s="1732"/>
      <c r="R446" s="1732"/>
      <c r="S446" s="1732"/>
      <c r="T446" s="1732"/>
      <c r="U446" s="1732"/>
      <c r="V446" s="1732"/>
      <c r="W446" s="1732"/>
      <c r="X446" s="1732"/>
      <c r="Y446" s="1732"/>
      <c r="Z446" s="1732"/>
    </row>
    <row r="447" spans="1:26" ht="18" customHeight="1">
      <c r="A447" s="1732"/>
      <c r="B447" s="1732"/>
      <c r="C447" s="1776"/>
      <c r="D447" s="1732"/>
      <c r="E447" s="1732"/>
      <c r="F447" s="1732"/>
      <c r="G447" s="1732"/>
      <c r="H447" s="1732"/>
      <c r="I447" s="1732"/>
      <c r="J447" s="1732"/>
      <c r="K447" s="1732"/>
      <c r="L447" s="1732"/>
      <c r="M447" s="1732"/>
      <c r="N447" s="1732"/>
      <c r="O447" s="1732"/>
      <c r="P447" s="1732"/>
      <c r="Q447" s="1732"/>
      <c r="R447" s="1732"/>
      <c r="S447" s="1732"/>
      <c r="T447" s="1732"/>
      <c r="U447" s="1732"/>
      <c r="V447" s="1732"/>
      <c r="W447" s="1732"/>
      <c r="X447" s="1732"/>
      <c r="Y447" s="1732"/>
      <c r="Z447" s="1732"/>
    </row>
    <row r="448" spans="1:26" ht="18" customHeight="1">
      <c r="A448" s="1732"/>
      <c r="B448" s="1732"/>
      <c r="C448" s="1776"/>
      <c r="D448" s="1732"/>
      <c r="E448" s="1732"/>
      <c r="F448" s="1732"/>
      <c r="G448" s="1732"/>
      <c r="H448" s="1732"/>
      <c r="I448" s="1732"/>
      <c r="J448" s="1732"/>
      <c r="K448" s="1732"/>
      <c r="L448" s="1732"/>
      <c r="M448" s="1732"/>
      <c r="N448" s="1732"/>
      <c r="O448" s="1732"/>
      <c r="P448" s="1732"/>
      <c r="Q448" s="1732"/>
      <c r="R448" s="1732"/>
      <c r="S448" s="1732"/>
      <c r="T448" s="1732"/>
      <c r="U448" s="1732"/>
      <c r="V448" s="1732"/>
      <c r="W448" s="1732"/>
      <c r="X448" s="1732"/>
      <c r="Y448" s="1732"/>
      <c r="Z448" s="1732"/>
    </row>
    <row r="449" spans="1:26" ht="18" customHeight="1">
      <c r="A449" s="1732"/>
      <c r="B449" s="1732"/>
      <c r="C449" s="1776"/>
      <c r="D449" s="1732"/>
      <c r="E449" s="1732"/>
      <c r="F449" s="1732"/>
      <c r="G449" s="1732"/>
      <c r="H449" s="1732"/>
      <c r="I449" s="1732"/>
      <c r="J449" s="1732"/>
      <c r="K449" s="1732"/>
      <c r="L449" s="1732"/>
      <c r="M449" s="1732"/>
      <c r="N449" s="1732"/>
      <c r="O449" s="1732"/>
      <c r="P449" s="1732"/>
      <c r="Q449" s="1732"/>
      <c r="R449" s="1732"/>
      <c r="S449" s="1732"/>
      <c r="T449" s="1732"/>
      <c r="U449" s="1732"/>
      <c r="V449" s="1732"/>
      <c r="W449" s="1732"/>
      <c r="X449" s="1732"/>
      <c r="Y449" s="1732"/>
      <c r="Z449" s="1732"/>
    </row>
    <row r="450" spans="1:26" ht="18" customHeight="1">
      <c r="A450" s="1732"/>
      <c r="B450" s="1732"/>
      <c r="C450" s="1776"/>
      <c r="D450" s="1732"/>
      <c r="E450" s="1732"/>
      <c r="F450" s="1732"/>
      <c r="G450" s="1732"/>
      <c r="H450" s="1732"/>
      <c r="I450" s="1732"/>
      <c r="J450" s="1732"/>
      <c r="K450" s="1732"/>
      <c r="L450" s="1732"/>
      <c r="M450" s="1732"/>
      <c r="N450" s="1732"/>
      <c r="O450" s="1732"/>
      <c r="P450" s="1732"/>
      <c r="Q450" s="1732"/>
      <c r="R450" s="1732"/>
      <c r="S450" s="1732"/>
      <c r="T450" s="1732"/>
      <c r="U450" s="1732"/>
      <c r="V450" s="1732"/>
      <c r="W450" s="1732"/>
      <c r="X450" s="1732"/>
      <c r="Y450" s="1732"/>
      <c r="Z450" s="1732"/>
    </row>
    <row r="451" spans="1:26" ht="18" customHeight="1">
      <c r="A451" s="1732"/>
      <c r="B451" s="1732"/>
      <c r="C451" s="1776"/>
      <c r="D451" s="1732"/>
      <c r="E451" s="1732"/>
      <c r="F451" s="1732"/>
      <c r="G451" s="1732"/>
      <c r="H451" s="1732"/>
      <c r="I451" s="1732"/>
      <c r="J451" s="1732"/>
      <c r="K451" s="1732"/>
      <c r="L451" s="1732"/>
      <c r="M451" s="1732"/>
      <c r="N451" s="1732"/>
      <c r="O451" s="1732"/>
      <c r="P451" s="1732"/>
      <c r="Q451" s="1732"/>
      <c r="R451" s="1732"/>
      <c r="S451" s="1732"/>
      <c r="T451" s="1732"/>
      <c r="U451" s="1732"/>
      <c r="V451" s="1732"/>
      <c r="W451" s="1732"/>
      <c r="X451" s="1732"/>
      <c r="Y451" s="1732"/>
      <c r="Z451" s="1732"/>
    </row>
    <row r="452" spans="1:26" ht="18" customHeight="1">
      <c r="A452" s="1732"/>
      <c r="B452" s="1732"/>
      <c r="C452" s="1776"/>
      <c r="D452" s="1732"/>
      <c r="E452" s="1732"/>
      <c r="F452" s="1732"/>
      <c r="G452" s="1732"/>
      <c r="H452" s="1732"/>
      <c r="I452" s="1732"/>
      <c r="J452" s="1732"/>
      <c r="K452" s="1732"/>
      <c r="L452" s="1732"/>
      <c r="M452" s="1732"/>
      <c r="N452" s="1732"/>
      <c r="O452" s="1732"/>
      <c r="P452" s="1732"/>
      <c r="Q452" s="1732"/>
      <c r="R452" s="1732"/>
      <c r="S452" s="1732"/>
      <c r="T452" s="1732"/>
      <c r="U452" s="1732"/>
      <c r="V452" s="1732"/>
      <c r="W452" s="1732"/>
      <c r="X452" s="1732"/>
      <c r="Y452" s="1732"/>
      <c r="Z452" s="1732"/>
    </row>
    <row r="453" spans="1:26" ht="18" customHeight="1">
      <c r="A453" s="1732"/>
      <c r="B453" s="1732"/>
      <c r="C453" s="1776"/>
      <c r="D453" s="1732"/>
      <c r="E453" s="1732"/>
      <c r="F453" s="1732"/>
      <c r="G453" s="1732"/>
      <c r="H453" s="1732"/>
      <c r="I453" s="1732"/>
      <c r="J453" s="1732"/>
      <c r="K453" s="1732"/>
      <c r="L453" s="1732"/>
      <c r="M453" s="1732"/>
      <c r="N453" s="1732"/>
      <c r="O453" s="1732"/>
      <c r="P453" s="1732"/>
      <c r="Q453" s="1732"/>
      <c r="R453" s="1732"/>
      <c r="S453" s="1732"/>
      <c r="T453" s="1732"/>
      <c r="U453" s="1732"/>
      <c r="V453" s="1732"/>
      <c r="W453" s="1732"/>
      <c r="X453" s="1732"/>
      <c r="Y453" s="1732"/>
      <c r="Z453" s="1732"/>
    </row>
    <row r="454" spans="1:26" ht="18" customHeight="1">
      <c r="A454" s="1732"/>
      <c r="B454" s="1732"/>
      <c r="C454" s="1776"/>
      <c r="D454" s="1732"/>
      <c r="E454" s="1732"/>
      <c r="F454" s="1732"/>
      <c r="G454" s="1732"/>
      <c r="H454" s="1732"/>
      <c r="I454" s="1732"/>
      <c r="J454" s="1732"/>
      <c r="K454" s="1732"/>
      <c r="L454" s="1732"/>
      <c r="M454" s="1732"/>
      <c r="N454" s="1732"/>
      <c r="O454" s="1732"/>
      <c r="P454" s="1732"/>
      <c r="Q454" s="1732"/>
      <c r="R454" s="1732"/>
      <c r="S454" s="1732"/>
      <c r="T454" s="1732"/>
      <c r="U454" s="1732"/>
      <c r="V454" s="1732"/>
      <c r="W454" s="1732"/>
      <c r="X454" s="1732"/>
      <c r="Y454" s="1732"/>
      <c r="Z454" s="1732"/>
    </row>
    <row r="455" spans="1:26" ht="18" customHeight="1">
      <c r="A455" s="1732"/>
      <c r="B455" s="1732"/>
      <c r="C455" s="1776"/>
      <c r="D455" s="1732"/>
      <c r="E455" s="1732"/>
      <c r="F455" s="1732"/>
      <c r="G455" s="1732"/>
      <c r="H455" s="1732"/>
      <c r="I455" s="1732"/>
      <c r="J455" s="1732"/>
      <c r="K455" s="1732"/>
      <c r="L455" s="1732"/>
      <c r="M455" s="1732"/>
      <c r="N455" s="1732"/>
      <c r="O455" s="1732"/>
      <c r="P455" s="1732"/>
      <c r="Q455" s="1732"/>
      <c r="R455" s="1732"/>
      <c r="S455" s="1732"/>
      <c r="T455" s="1732"/>
      <c r="U455" s="1732"/>
      <c r="V455" s="1732"/>
      <c r="W455" s="1732"/>
      <c r="X455" s="1732"/>
      <c r="Y455" s="1732"/>
      <c r="Z455" s="1732"/>
    </row>
    <row r="456" spans="1:26" ht="18" customHeight="1">
      <c r="A456" s="1732"/>
      <c r="B456" s="1732"/>
      <c r="C456" s="1776"/>
      <c r="D456" s="1732"/>
      <c r="E456" s="1732"/>
      <c r="F456" s="1732"/>
      <c r="G456" s="1732"/>
      <c r="H456" s="1732"/>
      <c r="I456" s="1732"/>
      <c r="J456" s="1732"/>
      <c r="K456" s="1732"/>
      <c r="L456" s="1732"/>
      <c r="M456" s="1732"/>
      <c r="N456" s="1732"/>
      <c r="O456" s="1732"/>
      <c r="P456" s="1732"/>
      <c r="Q456" s="1732"/>
      <c r="R456" s="1732"/>
      <c r="S456" s="1732"/>
      <c r="T456" s="1732"/>
      <c r="U456" s="1732"/>
      <c r="V456" s="1732"/>
      <c r="W456" s="1732"/>
      <c r="X456" s="1732"/>
      <c r="Y456" s="1732"/>
      <c r="Z456" s="1732"/>
    </row>
    <row r="457" spans="1:26" ht="18" customHeight="1">
      <c r="A457" s="1732"/>
      <c r="B457" s="1732"/>
      <c r="C457" s="1776"/>
      <c r="D457" s="1732"/>
      <c r="E457" s="1732"/>
      <c r="F457" s="1732"/>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row>
    <row r="458" spans="1:26" ht="18" customHeight="1">
      <c r="A458" s="1732"/>
      <c r="B458" s="1732"/>
      <c r="C458" s="1776"/>
      <c r="D458" s="1732"/>
      <c r="E458" s="1732"/>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row>
    <row r="459" spans="1:26" ht="18" customHeight="1">
      <c r="A459" s="1732"/>
      <c r="B459" s="1732"/>
      <c r="C459" s="1776"/>
      <c r="D459" s="1732"/>
      <c r="E459" s="1732"/>
      <c r="F459" s="1732"/>
      <c r="G459" s="1732"/>
      <c r="H459" s="1732"/>
      <c r="I459" s="1732"/>
      <c r="J459" s="1732"/>
      <c r="K459" s="1732"/>
      <c r="L459" s="1732"/>
      <c r="M459" s="1732"/>
      <c r="N459" s="1732"/>
      <c r="O459" s="1732"/>
      <c r="P459" s="1732"/>
      <c r="Q459" s="1732"/>
      <c r="R459" s="1732"/>
      <c r="S459" s="1732"/>
      <c r="T459" s="1732"/>
      <c r="U459" s="1732"/>
      <c r="V459" s="1732"/>
      <c r="W459" s="1732"/>
      <c r="X459" s="1732"/>
      <c r="Y459" s="1732"/>
      <c r="Z459" s="1732"/>
    </row>
    <row r="460" spans="1:26" ht="18" customHeight="1">
      <c r="A460" s="1732"/>
      <c r="B460" s="1732"/>
      <c r="C460" s="1776"/>
      <c r="D460" s="1732"/>
      <c r="E460" s="1732"/>
      <c r="F460" s="1732"/>
      <c r="G460" s="1732"/>
      <c r="H460" s="1732"/>
      <c r="I460" s="1732"/>
      <c r="J460" s="1732"/>
      <c r="K460" s="1732"/>
      <c r="L460" s="1732"/>
      <c r="M460" s="1732"/>
      <c r="N460" s="1732"/>
      <c r="O460" s="1732"/>
      <c r="P460" s="1732"/>
      <c r="Q460" s="1732"/>
      <c r="R460" s="1732"/>
      <c r="S460" s="1732"/>
      <c r="T460" s="1732"/>
      <c r="U460" s="1732"/>
      <c r="V460" s="1732"/>
      <c r="W460" s="1732"/>
      <c r="X460" s="1732"/>
      <c r="Y460" s="1732"/>
      <c r="Z460" s="1732"/>
    </row>
    <row r="461" spans="1:26" ht="18" customHeight="1">
      <c r="A461" s="1732"/>
      <c r="B461" s="1732"/>
      <c r="C461" s="1776"/>
      <c r="D461" s="1732"/>
      <c r="E461" s="1732"/>
      <c r="F461" s="1732"/>
      <c r="G461" s="1732"/>
      <c r="H461" s="1732"/>
      <c r="I461" s="1732"/>
      <c r="J461" s="1732"/>
      <c r="K461" s="1732"/>
      <c r="L461" s="1732"/>
      <c r="M461" s="1732"/>
      <c r="N461" s="1732"/>
      <c r="O461" s="1732"/>
      <c r="P461" s="1732"/>
      <c r="Q461" s="1732"/>
      <c r="R461" s="1732"/>
      <c r="S461" s="1732"/>
      <c r="T461" s="1732"/>
      <c r="U461" s="1732"/>
      <c r="V461" s="1732"/>
      <c r="W461" s="1732"/>
      <c r="X461" s="1732"/>
      <c r="Y461" s="1732"/>
      <c r="Z461" s="1732"/>
    </row>
    <row r="462" spans="1:26" ht="18" customHeight="1">
      <c r="A462" s="1732"/>
      <c r="B462" s="1732"/>
      <c r="C462" s="1776"/>
      <c r="D462" s="1732"/>
      <c r="E462" s="1732"/>
      <c r="F462" s="1732"/>
      <c r="G462" s="1732"/>
      <c r="H462" s="1732"/>
      <c r="I462" s="1732"/>
      <c r="J462" s="1732"/>
      <c r="K462" s="1732"/>
      <c r="L462" s="1732"/>
      <c r="M462" s="1732"/>
      <c r="N462" s="1732"/>
      <c r="O462" s="1732"/>
      <c r="P462" s="1732"/>
      <c r="Q462" s="1732"/>
      <c r="R462" s="1732"/>
      <c r="S462" s="1732"/>
      <c r="T462" s="1732"/>
      <c r="U462" s="1732"/>
      <c r="V462" s="1732"/>
      <c r="W462" s="1732"/>
      <c r="X462" s="1732"/>
      <c r="Y462" s="1732"/>
      <c r="Z462" s="1732"/>
    </row>
    <row r="463" spans="1:26" ht="18" customHeight="1">
      <c r="A463" s="1732"/>
      <c r="B463" s="1732"/>
      <c r="C463" s="1776"/>
      <c r="D463" s="1732"/>
      <c r="E463" s="1732"/>
      <c r="F463" s="1732"/>
      <c r="G463" s="1732"/>
      <c r="H463" s="1732"/>
      <c r="I463" s="1732"/>
      <c r="J463" s="1732"/>
      <c r="K463" s="1732"/>
      <c r="L463" s="1732"/>
      <c r="M463" s="1732"/>
      <c r="N463" s="1732"/>
      <c r="O463" s="1732"/>
      <c r="P463" s="1732"/>
      <c r="Q463" s="1732"/>
      <c r="R463" s="1732"/>
      <c r="S463" s="1732"/>
      <c r="T463" s="1732"/>
      <c r="U463" s="1732"/>
      <c r="V463" s="1732"/>
      <c r="W463" s="1732"/>
      <c r="X463" s="1732"/>
      <c r="Y463" s="1732"/>
      <c r="Z463" s="1732"/>
    </row>
    <row r="464" spans="1:26" ht="18" customHeight="1">
      <c r="A464" s="1732"/>
      <c r="B464" s="1732"/>
      <c r="C464" s="1776"/>
      <c r="D464" s="1732"/>
      <c r="E464" s="1732"/>
      <c r="F464" s="1732"/>
      <c r="G464" s="1732"/>
      <c r="H464" s="1732"/>
      <c r="I464" s="1732"/>
      <c r="J464" s="1732"/>
      <c r="K464" s="1732"/>
      <c r="L464" s="1732"/>
      <c r="M464" s="1732"/>
      <c r="N464" s="1732"/>
      <c r="O464" s="1732"/>
      <c r="P464" s="1732"/>
      <c r="Q464" s="1732"/>
      <c r="R464" s="1732"/>
      <c r="S464" s="1732"/>
      <c r="T464" s="1732"/>
      <c r="U464" s="1732"/>
      <c r="V464" s="1732"/>
      <c r="W464" s="1732"/>
      <c r="X464" s="1732"/>
      <c r="Y464" s="1732"/>
      <c r="Z464" s="1732"/>
    </row>
    <row r="465" spans="1:26" ht="18" customHeight="1">
      <c r="A465" s="1732"/>
      <c r="B465" s="1732"/>
      <c r="C465" s="1776"/>
      <c r="D465" s="1732"/>
      <c r="E465" s="1732"/>
      <c r="F465" s="1732"/>
      <c r="G465" s="1732"/>
      <c r="H465" s="1732"/>
      <c r="I465" s="1732"/>
      <c r="J465" s="1732"/>
      <c r="K465" s="1732"/>
      <c r="L465" s="1732"/>
      <c r="M465" s="1732"/>
      <c r="N465" s="1732"/>
      <c r="O465" s="1732"/>
      <c r="P465" s="1732"/>
      <c r="Q465" s="1732"/>
      <c r="R465" s="1732"/>
      <c r="S465" s="1732"/>
      <c r="T465" s="1732"/>
      <c r="U465" s="1732"/>
      <c r="V465" s="1732"/>
      <c r="W465" s="1732"/>
      <c r="X465" s="1732"/>
      <c r="Y465" s="1732"/>
      <c r="Z465" s="1732"/>
    </row>
    <row r="466" spans="1:26" ht="18" customHeight="1">
      <c r="A466" s="1732"/>
      <c r="B466" s="1732"/>
      <c r="C466" s="1776"/>
      <c r="D466" s="1732"/>
      <c r="E466" s="1732"/>
      <c r="F466" s="1732"/>
      <c r="G466" s="1732"/>
      <c r="H466" s="1732"/>
      <c r="I466" s="1732"/>
      <c r="J466" s="1732"/>
      <c r="K466" s="1732"/>
      <c r="L466" s="1732"/>
      <c r="M466" s="1732"/>
      <c r="N466" s="1732"/>
      <c r="O466" s="1732"/>
      <c r="P466" s="1732"/>
      <c r="Q466" s="1732"/>
      <c r="R466" s="1732"/>
      <c r="S466" s="1732"/>
      <c r="T466" s="1732"/>
      <c r="U466" s="1732"/>
      <c r="V466" s="1732"/>
      <c r="W466" s="1732"/>
      <c r="X466" s="1732"/>
      <c r="Y466" s="1732"/>
      <c r="Z466" s="1732"/>
    </row>
    <row r="467" spans="1:26" ht="18" customHeight="1">
      <c r="A467" s="1732"/>
      <c r="B467" s="1732"/>
      <c r="C467" s="1776"/>
      <c r="D467" s="1732"/>
      <c r="E467" s="1732"/>
      <c r="F467" s="1732"/>
      <c r="G467" s="1732"/>
      <c r="H467" s="1732"/>
      <c r="I467" s="1732"/>
      <c r="J467" s="1732"/>
      <c r="K467" s="1732"/>
      <c r="L467" s="1732"/>
      <c r="M467" s="1732"/>
      <c r="N467" s="1732"/>
      <c r="O467" s="1732"/>
      <c r="P467" s="1732"/>
      <c r="Q467" s="1732"/>
      <c r="R467" s="1732"/>
      <c r="S467" s="1732"/>
      <c r="T467" s="1732"/>
      <c r="U467" s="1732"/>
      <c r="V467" s="1732"/>
      <c r="W467" s="1732"/>
      <c r="X467" s="1732"/>
      <c r="Y467" s="1732"/>
      <c r="Z467" s="1732"/>
    </row>
    <row r="468" spans="1:26" ht="18" customHeight="1">
      <c r="A468" s="1732"/>
      <c r="B468" s="1732"/>
      <c r="C468" s="1776"/>
      <c r="D468" s="1732"/>
      <c r="E468" s="1732"/>
      <c r="F468" s="1732"/>
      <c r="G468" s="1732"/>
      <c r="H468" s="1732"/>
      <c r="I468" s="1732"/>
      <c r="J468" s="1732"/>
      <c r="K468" s="1732"/>
      <c r="L468" s="1732"/>
      <c r="M468" s="1732"/>
      <c r="N468" s="1732"/>
      <c r="O468" s="1732"/>
      <c r="P468" s="1732"/>
      <c r="Q468" s="1732"/>
      <c r="R468" s="1732"/>
      <c r="S468" s="1732"/>
      <c r="T468" s="1732"/>
      <c r="U468" s="1732"/>
      <c r="V468" s="1732"/>
      <c r="W468" s="1732"/>
      <c r="X468" s="1732"/>
      <c r="Y468" s="1732"/>
      <c r="Z468" s="1732"/>
    </row>
    <row r="469" spans="1:26" ht="18" customHeight="1">
      <c r="A469" s="1732"/>
      <c r="B469" s="1732"/>
      <c r="C469" s="1776"/>
      <c r="D469" s="1732"/>
      <c r="E469" s="1732"/>
      <c r="F469" s="1732"/>
      <c r="G469" s="1732"/>
      <c r="H469" s="1732"/>
      <c r="I469" s="1732"/>
      <c r="J469" s="1732"/>
      <c r="K469" s="1732"/>
      <c r="L469" s="1732"/>
      <c r="M469" s="1732"/>
      <c r="N469" s="1732"/>
      <c r="O469" s="1732"/>
      <c r="P469" s="1732"/>
      <c r="Q469" s="1732"/>
      <c r="R469" s="1732"/>
      <c r="S469" s="1732"/>
      <c r="T469" s="1732"/>
      <c r="U469" s="1732"/>
      <c r="V469" s="1732"/>
      <c r="W469" s="1732"/>
      <c r="X469" s="1732"/>
      <c r="Y469" s="1732"/>
      <c r="Z469" s="1732"/>
    </row>
    <row r="470" spans="1:26" ht="18" customHeight="1">
      <c r="A470" s="1732"/>
      <c r="B470" s="1732"/>
      <c r="C470" s="1776"/>
      <c r="D470" s="1732"/>
      <c r="E470" s="1732"/>
      <c r="F470" s="1732"/>
      <c r="G470" s="1732"/>
      <c r="H470" s="1732"/>
      <c r="I470" s="1732"/>
      <c r="J470" s="1732"/>
      <c r="K470" s="1732"/>
      <c r="L470" s="1732"/>
      <c r="M470" s="1732"/>
      <c r="N470" s="1732"/>
      <c r="O470" s="1732"/>
      <c r="P470" s="1732"/>
      <c r="Q470" s="1732"/>
      <c r="R470" s="1732"/>
      <c r="S470" s="1732"/>
      <c r="T470" s="1732"/>
      <c r="U470" s="1732"/>
      <c r="V470" s="1732"/>
      <c r="W470" s="1732"/>
      <c r="X470" s="1732"/>
      <c r="Y470" s="1732"/>
      <c r="Z470" s="1732"/>
    </row>
    <row r="471" spans="1:26" ht="18" customHeight="1">
      <c r="A471" s="1732"/>
      <c r="B471" s="1732"/>
      <c r="C471" s="1776"/>
      <c r="D471" s="1732"/>
      <c r="E471" s="1732"/>
      <c r="F471" s="1732"/>
      <c r="G471" s="1732"/>
      <c r="H471" s="1732"/>
      <c r="I471" s="1732"/>
      <c r="J471" s="1732"/>
      <c r="K471" s="1732"/>
      <c r="L471" s="1732"/>
      <c r="M471" s="1732"/>
      <c r="N471" s="1732"/>
      <c r="O471" s="1732"/>
      <c r="P471" s="1732"/>
      <c r="Q471" s="1732"/>
      <c r="R471" s="1732"/>
      <c r="S471" s="1732"/>
      <c r="T471" s="1732"/>
      <c r="U471" s="1732"/>
      <c r="V471" s="1732"/>
      <c r="W471" s="1732"/>
      <c r="X471" s="1732"/>
      <c r="Y471" s="1732"/>
      <c r="Z471" s="1732"/>
    </row>
    <row r="472" spans="1:26" ht="18" customHeight="1">
      <c r="A472" s="1732"/>
      <c r="B472" s="1732"/>
      <c r="C472" s="1776"/>
      <c r="D472" s="1732"/>
      <c r="E472" s="1732"/>
      <c r="F472" s="1732"/>
      <c r="G472" s="1732"/>
      <c r="H472" s="1732"/>
      <c r="I472" s="1732"/>
      <c r="J472" s="1732"/>
      <c r="K472" s="1732"/>
      <c r="L472" s="1732"/>
      <c r="M472" s="1732"/>
      <c r="N472" s="1732"/>
      <c r="O472" s="1732"/>
      <c r="P472" s="1732"/>
      <c r="Q472" s="1732"/>
      <c r="R472" s="1732"/>
      <c r="S472" s="1732"/>
      <c r="T472" s="1732"/>
      <c r="U472" s="1732"/>
      <c r="V472" s="1732"/>
      <c r="W472" s="1732"/>
      <c r="X472" s="1732"/>
      <c r="Y472" s="1732"/>
      <c r="Z472" s="1732"/>
    </row>
    <row r="473" spans="1:26" ht="18" customHeight="1">
      <c r="A473" s="1732"/>
      <c r="B473" s="1732"/>
      <c r="C473" s="1776"/>
      <c r="D473" s="1732"/>
      <c r="E473" s="1732"/>
      <c r="F473" s="1732"/>
      <c r="G473" s="1732"/>
      <c r="H473" s="1732"/>
      <c r="I473" s="1732"/>
      <c r="J473" s="1732"/>
      <c r="K473" s="1732"/>
      <c r="L473" s="1732"/>
      <c r="M473" s="1732"/>
      <c r="N473" s="1732"/>
      <c r="O473" s="1732"/>
      <c r="P473" s="1732"/>
      <c r="Q473" s="1732"/>
      <c r="R473" s="1732"/>
      <c r="S473" s="1732"/>
      <c r="T473" s="1732"/>
      <c r="U473" s="1732"/>
      <c r="V473" s="1732"/>
      <c r="W473" s="1732"/>
      <c r="X473" s="1732"/>
      <c r="Y473" s="1732"/>
      <c r="Z473" s="1732"/>
    </row>
    <row r="474" spans="1:26" ht="18" customHeight="1">
      <c r="A474" s="1732"/>
      <c r="B474" s="1732"/>
      <c r="C474" s="1776"/>
      <c r="D474" s="1732"/>
      <c r="E474" s="1732"/>
      <c r="F474" s="1732"/>
      <c r="G474" s="1732"/>
      <c r="H474" s="1732"/>
      <c r="I474" s="1732"/>
      <c r="J474" s="1732"/>
      <c r="K474" s="1732"/>
      <c r="L474" s="1732"/>
      <c r="M474" s="1732"/>
      <c r="N474" s="1732"/>
      <c r="O474" s="1732"/>
      <c r="P474" s="1732"/>
      <c r="Q474" s="1732"/>
      <c r="R474" s="1732"/>
      <c r="S474" s="1732"/>
      <c r="T474" s="1732"/>
      <c r="U474" s="1732"/>
      <c r="V474" s="1732"/>
      <c r="W474" s="1732"/>
      <c r="X474" s="1732"/>
      <c r="Y474" s="1732"/>
      <c r="Z474" s="1732"/>
    </row>
    <row r="475" spans="1:26" ht="18" customHeight="1">
      <c r="A475" s="1732"/>
      <c r="B475" s="1732"/>
      <c r="C475" s="1776"/>
      <c r="D475" s="1732"/>
      <c r="E475" s="1732"/>
      <c r="F475" s="1732"/>
      <c r="G475" s="1732"/>
      <c r="H475" s="1732"/>
      <c r="I475" s="1732"/>
      <c r="J475" s="1732"/>
      <c r="K475" s="1732"/>
      <c r="L475" s="1732"/>
      <c r="M475" s="1732"/>
      <c r="N475" s="1732"/>
      <c r="O475" s="1732"/>
      <c r="P475" s="1732"/>
      <c r="Q475" s="1732"/>
      <c r="R475" s="1732"/>
      <c r="S475" s="1732"/>
      <c r="T475" s="1732"/>
      <c r="U475" s="1732"/>
      <c r="V475" s="1732"/>
      <c r="W475" s="1732"/>
      <c r="X475" s="1732"/>
      <c r="Y475" s="1732"/>
      <c r="Z475" s="1732"/>
    </row>
    <row r="476" spans="1:26" ht="18" customHeight="1">
      <c r="A476" s="1732"/>
      <c r="B476" s="1732"/>
      <c r="C476" s="1776"/>
      <c r="D476" s="1732"/>
      <c r="E476" s="1732"/>
      <c r="F476" s="1732"/>
      <c r="G476" s="1732"/>
      <c r="H476" s="1732"/>
      <c r="I476" s="1732"/>
      <c r="J476" s="1732"/>
      <c r="K476" s="1732"/>
      <c r="L476" s="1732"/>
      <c r="M476" s="1732"/>
      <c r="N476" s="1732"/>
      <c r="O476" s="1732"/>
      <c r="P476" s="1732"/>
      <c r="Q476" s="1732"/>
      <c r="R476" s="1732"/>
      <c r="S476" s="1732"/>
      <c r="T476" s="1732"/>
      <c r="U476" s="1732"/>
      <c r="V476" s="1732"/>
      <c r="W476" s="1732"/>
      <c r="X476" s="1732"/>
      <c r="Y476" s="1732"/>
      <c r="Z476" s="1732"/>
    </row>
    <row r="477" spans="1:26" ht="18" customHeight="1">
      <c r="A477" s="1732"/>
      <c r="B477" s="1732"/>
      <c r="C477" s="1776"/>
      <c r="D477" s="1732"/>
      <c r="E477" s="1732"/>
      <c r="F477" s="1732"/>
      <c r="G477" s="1732"/>
      <c r="H477" s="1732"/>
      <c r="I477" s="1732"/>
      <c r="J477" s="1732"/>
      <c r="K477" s="1732"/>
      <c r="L477" s="1732"/>
      <c r="M477" s="1732"/>
      <c r="N477" s="1732"/>
      <c r="O477" s="1732"/>
      <c r="P477" s="1732"/>
      <c r="Q477" s="1732"/>
      <c r="R477" s="1732"/>
      <c r="S477" s="1732"/>
      <c r="T477" s="1732"/>
      <c r="U477" s="1732"/>
      <c r="V477" s="1732"/>
      <c r="W477" s="1732"/>
      <c r="X477" s="1732"/>
      <c r="Y477" s="1732"/>
      <c r="Z477" s="1732"/>
    </row>
    <row r="478" spans="1:26" ht="18" customHeight="1">
      <c r="A478" s="1732"/>
      <c r="B478" s="1732"/>
      <c r="C478" s="1776"/>
      <c r="D478" s="1732"/>
      <c r="E478" s="1732"/>
      <c r="F478" s="1732"/>
      <c r="G478" s="1732"/>
      <c r="H478" s="1732"/>
      <c r="I478" s="1732"/>
      <c r="J478" s="1732"/>
      <c r="K478" s="1732"/>
      <c r="L478" s="1732"/>
      <c r="M478" s="1732"/>
      <c r="N478" s="1732"/>
      <c r="O478" s="1732"/>
      <c r="P478" s="1732"/>
      <c r="Q478" s="1732"/>
      <c r="R478" s="1732"/>
      <c r="S478" s="1732"/>
      <c r="T478" s="1732"/>
      <c r="U478" s="1732"/>
      <c r="V478" s="1732"/>
      <c r="W478" s="1732"/>
      <c r="X478" s="1732"/>
      <c r="Y478" s="1732"/>
      <c r="Z478" s="1732"/>
    </row>
    <row r="479" spans="1:26" ht="18" customHeight="1">
      <c r="A479" s="1732"/>
      <c r="B479" s="1732"/>
      <c r="C479" s="1776"/>
      <c r="D479" s="1732"/>
      <c r="E479" s="1732"/>
      <c r="F479" s="1732"/>
      <c r="G479" s="1732"/>
      <c r="H479" s="1732"/>
      <c r="I479" s="1732"/>
      <c r="J479" s="1732"/>
      <c r="K479" s="1732"/>
      <c r="L479" s="1732"/>
      <c r="M479" s="1732"/>
      <c r="N479" s="1732"/>
      <c r="O479" s="1732"/>
      <c r="P479" s="1732"/>
      <c r="Q479" s="1732"/>
      <c r="R479" s="1732"/>
      <c r="S479" s="1732"/>
      <c r="T479" s="1732"/>
      <c r="U479" s="1732"/>
      <c r="V479" s="1732"/>
      <c r="W479" s="1732"/>
      <c r="X479" s="1732"/>
      <c r="Y479" s="1732"/>
      <c r="Z479" s="1732"/>
    </row>
    <row r="480" spans="1:26" ht="18" customHeight="1">
      <c r="A480" s="1732"/>
      <c r="B480" s="1732"/>
      <c r="C480" s="1776"/>
      <c r="D480" s="1732"/>
      <c r="E480" s="1732"/>
      <c r="F480" s="1732"/>
      <c r="G480" s="1732"/>
      <c r="H480" s="1732"/>
      <c r="I480" s="1732"/>
      <c r="J480" s="1732"/>
      <c r="K480" s="1732"/>
      <c r="L480" s="1732"/>
      <c r="M480" s="1732"/>
      <c r="N480" s="1732"/>
      <c r="O480" s="1732"/>
      <c r="P480" s="1732"/>
      <c r="Q480" s="1732"/>
      <c r="R480" s="1732"/>
      <c r="S480" s="1732"/>
      <c r="T480" s="1732"/>
      <c r="U480" s="1732"/>
      <c r="V480" s="1732"/>
      <c r="W480" s="1732"/>
      <c r="X480" s="1732"/>
      <c r="Y480" s="1732"/>
      <c r="Z480" s="1732"/>
    </row>
    <row r="481" spans="1:26" ht="18" customHeight="1">
      <c r="A481" s="1732"/>
      <c r="B481" s="1732"/>
      <c r="C481" s="1776"/>
      <c r="D481" s="1732"/>
      <c r="E481" s="1732"/>
      <c r="F481" s="1732"/>
      <c r="G481" s="1732"/>
      <c r="H481" s="1732"/>
      <c r="I481" s="1732"/>
      <c r="J481" s="1732"/>
      <c r="K481" s="1732"/>
      <c r="L481" s="1732"/>
      <c r="M481" s="1732"/>
      <c r="N481" s="1732"/>
      <c r="O481" s="1732"/>
      <c r="P481" s="1732"/>
      <c r="Q481" s="1732"/>
      <c r="R481" s="1732"/>
      <c r="S481" s="1732"/>
      <c r="T481" s="1732"/>
      <c r="U481" s="1732"/>
      <c r="V481" s="1732"/>
      <c r="W481" s="1732"/>
      <c r="X481" s="1732"/>
      <c r="Y481" s="1732"/>
      <c r="Z481" s="1732"/>
    </row>
    <row r="482" spans="1:26" ht="18" customHeight="1">
      <c r="A482" s="1732"/>
      <c r="B482" s="1732"/>
      <c r="C482" s="1776"/>
      <c r="D482" s="1732"/>
      <c r="E482" s="1732"/>
      <c r="F482" s="1732"/>
      <c r="G482" s="1732"/>
      <c r="H482" s="1732"/>
      <c r="I482" s="1732"/>
      <c r="J482" s="1732"/>
      <c r="K482" s="1732"/>
      <c r="L482" s="1732"/>
      <c r="M482" s="1732"/>
      <c r="N482" s="1732"/>
      <c r="O482" s="1732"/>
      <c r="P482" s="1732"/>
      <c r="Q482" s="1732"/>
      <c r="R482" s="1732"/>
      <c r="S482" s="1732"/>
      <c r="T482" s="1732"/>
      <c r="U482" s="1732"/>
      <c r="V482" s="1732"/>
      <c r="W482" s="1732"/>
      <c r="X482" s="1732"/>
      <c r="Y482" s="1732"/>
      <c r="Z482" s="1732"/>
    </row>
    <row r="483" spans="1:26" ht="18" customHeight="1">
      <c r="A483" s="1732"/>
      <c r="B483" s="1732"/>
      <c r="C483" s="1776"/>
      <c r="D483" s="1732"/>
      <c r="E483" s="1732"/>
      <c r="F483" s="1732"/>
      <c r="G483" s="1732"/>
      <c r="H483" s="1732"/>
      <c r="I483" s="1732"/>
      <c r="J483" s="1732"/>
      <c r="K483" s="1732"/>
      <c r="L483" s="1732"/>
      <c r="M483" s="1732"/>
      <c r="N483" s="1732"/>
      <c r="O483" s="1732"/>
      <c r="P483" s="1732"/>
      <c r="Q483" s="1732"/>
      <c r="R483" s="1732"/>
      <c r="S483" s="1732"/>
      <c r="T483" s="1732"/>
      <c r="U483" s="1732"/>
      <c r="V483" s="1732"/>
      <c r="W483" s="1732"/>
      <c r="X483" s="1732"/>
      <c r="Y483" s="1732"/>
      <c r="Z483" s="1732"/>
    </row>
    <row r="484" spans="1:26" ht="18" customHeight="1">
      <c r="A484" s="1732"/>
      <c r="B484" s="1732"/>
      <c r="C484" s="1776"/>
      <c r="D484" s="1732"/>
      <c r="E484" s="1732"/>
      <c r="F484" s="1732"/>
      <c r="G484" s="1732"/>
      <c r="H484" s="1732"/>
      <c r="I484" s="1732"/>
      <c r="J484" s="1732"/>
      <c r="K484" s="1732"/>
      <c r="L484" s="1732"/>
      <c r="M484" s="1732"/>
      <c r="N484" s="1732"/>
      <c r="O484" s="1732"/>
      <c r="P484" s="1732"/>
      <c r="Q484" s="1732"/>
      <c r="R484" s="1732"/>
      <c r="S484" s="1732"/>
      <c r="T484" s="1732"/>
      <c r="U484" s="1732"/>
      <c r="V484" s="1732"/>
      <c r="W484" s="1732"/>
      <c r="X484" s="1732"/>
      <c r="Y484" s="1732"/>
      <c r="Z484" s="1732"/>
    </row>
    <row r="485" spans="1:26" ht="18" customHeight="1">
      <c r="A485" s="1732"/>
      <c r="B485" s="1732"/>
      <c r="C485" s="1776"/>
      <c r="D485" s="1732"/>
      <c r="E485" s="1732"/>
      <c r="F485" s="1732"/>
      <c r="G485" s="1732"/>
      <c r="H485" s="1732"/>
      <c r="I485" s="1732"/>
      <c r="J485" s="1732"/>
      <c r="K485" s="1732"/>
      <c r="L485" s="1732"/>
      <c r="M485" s="1732"/>
      <c r="N485" s="1732"/>
      <c r="O485" s="1732"/>
      <c r="P485" s="1732"/>
      <c r="Q485" s="1732"/>
      <c r="R485" s="1732"/>
      <c r="S485" s="1732"/>
      <c r="T485" s="1732"/>
      <c r="U485" s="1732"/>
      <c r="V485" s="1732"/>
      <c r="W485" s="1732"/>
      <c r="X485" s="1732"/>
      <c r="Y485" s="1732"/>
      <c r="Z485" s="1732"/>
    </row>
    <row r="486" spans="1:26" ht="18" customHeight="1">
      <c r="A486" s="1732"/>
      <c r="B486" s="1732"/>
      <c r="C486" s="1776"/>
      <c r="D486" s="1732"/>
      <c r="E486" s="1732"/>
      <c r="F486" s="1732"/>
      <c r="G486" s="1732"/>
      <c r="H486" s="1732"/>
      <c r="I486" s="1732"/>
      <c r="J486" s="1732"/>
      <c r="K486" s="1732"/>
      <c r="L486" s="1732"/>
      <c r="M486" s="1732"/>
      <c r="N486" s="1732"/>
      <c r="O486" s="1732"/>
      <c r="P486" s="1732"/>
      <c r="Q486" s="1732"/>
      <c r="R486" s="1732"/>
      <c r="S486" s="1732"/>
      <c r="T486" s="1732"/>
      <c r="U486" s="1732"/>
      <c r="V486" s="1732"/>
      <c r="W486" s="1732"/>
      <c r="X486" s="1732"/>
      <c r="Y486" s="1732"/>
      <c r="Z486" s="1732"/>
    </row>
    <row r="487" spans="1:26" ht="18" customHeight="1">
      <c r="A487" s="1732"/>
      <c r="B487" s="1732"/>
      <c r="C487" s="1776"/>
      <c r="D487" s="1732"/>
      <c r="E487" s="1732"/>
      <c r="F487" s="1732"/>
      <c r="G487" s="1732"/>
      <c r="H487" s="1732"/>
      <c r="I487" s="1732"/>
      <c r="J487" s="1732"/>
      <c r="K487" s="1732"/>
      <c r="L487" s="1732"/>
      <c r="M487" s="1732"/>
      <c r="N487" s="1732"/>
      <c r="O487" s="1732"/>
      <c r="P487" s="1732"/>
      <c r="Q487" s="1732"/>
      <c r="R487" s="1732"/>
      <c r="S487" s="1732"/>
      <c r="T487" s="1732"/>
      <c r="U487" s="1732"/>
      <c r="V487" s="1732"/>
      <c r="W487" s="1732"/>
      <c r="X487" s="1732"/>
      <c r="Y487" s="1732"/>
      <c r="Z487" s="1732"/>
    </row>
    <row r="488" spans="1:26" ht="18" customHeight="1">
      <c r="A488" s="1732"/>
      <c r="B488" s="1732"/>
      <c r="C488" s="1776"/>
      <c r="D488" s="1732"/>
      <c r="E488" s="1732"/>
      <c r="F488" s="1732"/>
      <c r="G488" s="1732"/>
      <c r="H488" s="1732"/>
      <c r="I488" s="1732"/>
      <c r="J488" s="1732"/>
      <c r="K488" s="1732"/>
      <c r="L488" s="1732"/>
      <c r="M488" s="1732"/>
      <c r="N488" s="1732"/>
      <c r="O488" s="1732"/>
      <c r="P488" s="1732"/>
      <c r="Q488" s="1732"/>
      <c r="R488" s="1732"/>
      <c r="S488" s="1732"/>
      <c r="T488" s="1732"/>
      <c r="U488" s="1732"/>
      <c r="V488" s="1732"/>
      <c r="W488" s="1732"/>
      <c r="X488" s="1732"/>
      <c r="Y488" s="1732"/>
      <c r="Z488" s="1732"/>
    </row>
    <row r="489" spans="1:26" ht="18" customHeight="1">
      <c r="A489" s="1732"/>
      <c r="B489" s="1732"/>
      <c r="C489" s="1776"/>
      <c r="D489" s="1732"/>
      <c r="E489" s="1732"/>
      <c r="F489" s="1732"/>
      <c r="G489" s="1732"/>
      <c r="H489" s="1732"/>
      <c r="I489" s="1732"/>
      <c r="J489" s="1732"/>
      <c r="K489" s="1732"/>
      <c r="L489" s="1732"/>
      <c r="M489" s="1732"/>
      <c r="N489" s="1732"/>
      <c r="O489" s="1732"/>
      <c r="P489" s="1732"/>
      <c r="Q489" s="1732"/>
      <c r="R489" s="1732"/>
      <c r="S489" s="1732"/>
      <c r="T489" s="1732"/>
      <c r="U489" s="1732"/>
      <c r="V489" s="1732"/>
      <c r="W489" s="1732"/>
      <c r="X489" s="1732"/>
      <c r="Y489" s="1732"/>
      <c r="Z489" s="1732"/>
    </row>
    <row r="490" spans="1:26" ht="18" customHeight="1">
      <c r="A490" s="1732"/>
      <c r="B490" s="1732"/>
      <c r="C490" s="1776"/>
      <c r="D490" s="1732"/>
      <c r="E490" s="1732"/>
      <c r="F490" s="1732"/>
      <c r="G490" s="1732"/>
      <c r="H490" s="1732"/>
      <c r="I490" s="1732"/>
      <c r="J490" s="1732"/>
      <c r="K490" s="1732"/>
      <c r="L490" s="1732"/>
      <c r="M490" s="1732"/>
      <c r="N490" s="1732"/>
      <c r="O490" s="1732"/>
      <c r="P490" s="1732"/>
      <c r="Q490" s="1732"/>
      <c r="R490" s="1732"/>
      <c r="S490" s="1732"/>
      <c r="T490" s="1732"/>
      <c r="U490" s="1732"/>
      <c r="V490" s="1732"/>
      <c r="W490" s="1732"/>
      <c r="X490" s="1732"/>
      <c r="Y490" s="1732"/>
      <c r="Z490" s="1732"/>
    </row>
    <row r="491" spans="1:26" ht="18" customHeight="1">
      <c r="A491" s="1732"/>
      <c r="B491" s="1732"/>
      <c r="C491" s="1776"/>
      <c r="D491" s="1732"/>
      <c r="E491" s="1732"/>
      <c r="F491" s="1732"/>
      <c r="G491" s="1732"/>
      <c r="H491" s="1732"/>
      <c r="I491" s="1732"/>
      <c r="J491" s="1732"/>
      <c r="K491" s="1732"/>
      <c r="L491" s="1732"/>
      <c r="M491" s="1732"/>
      <c r="N491" s="1732"/>
      <c r="O491" s="1732"/>
      <c r="P491" s="1732"/>
      <c r="Q491" s="1732"/>
      <c r="R491" s="1732"/>
      <c r="S491" s="1732"/>
      <c r="T491" s="1732"/>
      <c r="U491" s="1732"/>
      <c r="V491" s="1732"/>
      <c r="W491" s="1732"/>
      <c r="X491" s="1732"/>
      <c r="Y491" s="1732"/>
      <c r="Z491" s="1732"/>
    </row>
    <row r="492" spans="1:26" ht="18" customHeight="1">
      <c r="A492" s="1732"/>
      <c r="B492" s="1732"/>
      <c r="C492" s="1776"/>
      <c r="D492" s="1732"/>
      <c r="E492" s="1732"/>
      <c r="F492" s="1732"/>
      <c r="G492" s="1732"/>
      <c r="H492" s="1732"/>
      <c r="I492" s="1732"/>
      <c r="J492" s="1732"/>
      <c r="K492" s="1732"/>
      <c r="L492" s="1732"/>
      <c r="M492" s="1732"/>
      <c r="N492" s="1732"/>
      <c r="O492" s="1732"/>
      <c r="P492" s="1732"/>
      <c r="Q492" s="1732"/>
      <c r="R492" s="1732"/>
      <c r="S492" s="1732"/>
      <c r="T492" s="1732"/>
      <c r="U492" s="1732"/>
      <c r="V492" s="1732"/>
      <c r="W492" s="1732"/>
      <c r="X492" s="1732"/>
      <c r="Y492" s="1732"/>
      <c r="Z492" s="1732"/>
    </row>
    <row r="493" spans="1:26" ht="18" customHeight="1">
      <c r="A493" s="1732"/>
      <c r="B493" s="1732"/>
      <c r="C493" s="1776"/>
      <c r="D493" s="1732"/>
      <c r="E493" s="1732"/>
      <c r="F493" s="1732"/>
      <c r="G493" s="1732"/>
      <c r="H493" s="1732"/>
      <c r="I493" s="1732"/>
      <c r="J493" s="1732"/>
      <c r="K493" s="1732"/>
      <c r="L493" s="1732"/>
      <c r="M493" s="1732"/>
      <c r="N493" s="1732"/>
      <c r="O493" s="1732"/>
      <c r="P493" s="1732"/>
      <c r="Q493" s="1732"/>
      <c r="R493" s="1732"/>
      <c r="S493" s="1732"/>
      <c r="T493" s="1732"/>
      <c r="U493" s="1732"/>
      <c r="V493" s="1732"/>
      <c r="W493" s="1732"/>
      <c r="X493" s="1732"/>
      <c r="Y493" s="1732"/>
      <c r="Z493" s="1732"/>
    </row>
    <row r="494" spans="1:26" ht="18" customHeight="1">
      <c r="A494" s="1732"/>
      <c r="B494" s="1732"/>
      <c r="C494" s="1776"/>
      <c r="D494" s="1732"/>
      <c r="E494" s="1732"/>
      <c r="F494" s="1732"/>
      <c r="G494" s="1732"/>
      <c r="H494" s="1732"/>
      <c r="I494" s="1732"/>
      <c r="J494" s="1732"/>
      <c r="K494" s="1732"/>
      <c r="L494" s="1732"/>
      <c r="M494" s="1732"/>
      <c r="N494" s="1732"/>
      <c r="O494" s="1732"/>
      <c r="P494" s="1732"/>
      <c r="Q494" s="1732"/>
      <c r="R494" s="1732"/>
      <c r="S494" s="1732"/>
      <c r="T494" s="1732"/>
      <c r="U494" s="1732"/>
      <c r="V494" s="1732"/>
      <c r="W494" s="1732"/>
      <c r="X494" s="1732"/>
      <c r="Y494" s="1732"/>
      <c r="Z494" s="1732"/>
    </row>
    <row r="495" spans="1:26" ht="18" customHeight="1">
      <c r="A495" s="1732"/>
      <c r="B495" s="1732"/>
      <c r="C495" s="1776"/>
      <c r="D495" s="1732"/>
      <c r="E495" s="1732"/>
      <c r="F495" s="1732"/>
      <c r="G495" s="1732"/>
      <c r="H495" s="1732"/>
      <c r="I495" s="1732"/>
      <c r="J495" s="1732"/>
      <c r="K495" s="1732"/>
      <c r="L495" s="1732"/>
      <c r="M495" s="1732"/>
      <c r="N495" s="1732"/>
      <c r="O495" s="1732"/>
      <c r="P495" s="1732"/>
      <c r="Q495" s="1732"/>
      <c r="R495" s="1732"/>
      <c r="S495" s="1732"/>
      <c r="T495" s="1732"/>
      <c r="U495" s="1732"/>
      <c r="V495" s="1732"/>
      <c r="W495" s="1732"/>
      <c r="X495" s="1732"/>
      <c r="Y495" s="1732"/>
      <c r="Z495" s="1732"/>
    </row>
    <row r="496" spans="1:26" ht="18" customHeight="1">
      <c r="A496" s="1732"/>
      <c r="B496" s="1732"/>
      <c r="C496" s="1776"/>
      <c r="D496" s="1732"/>
      <c r="E496" s="1732"/>
      <c r="F496" s="1732"/>
      <c r="G496" s="1732"/>
      <c r="H496" s="1732"/>
      <c r="I496" s="1732"/>
      <c r="J496" s="1732"/>
      <c r="K496" s="1732"/>
      <c r="L496" s="1732"/>
      <c r="M496" s="1732"/>
      <c r="N496" s="1732"/>
      <c r="O496" s="1732"/>
      <c r="P496" s="1732"/>
      <c r="Q496" s="1732"/>
      <c r="R496" s="1732"/>
      <c r="S496" s="1732"/>
      <c r="T496" s="1732"/>
      <c r="U496" s="1732"/>
      <c r="V496" s="1732"/>
      <c r="W496" s="1732"/>
      <c r="X496" s="1732"/>
      <c r="Y496" s="1732"/>
      <c r="Z496" s="1732"/>
    </row>
    <row r="497" spans="1:26" ht="18" customHeight="1">
      <c r="A497" s="1732"/>
      <c r="B497" s="1732"/>
      <c r="C497" s="1776"/>
      <c r="D497" s="1732"/>
      <c r="E497" s="1732"/>
      <c r="F497" s="1732"/>
      <c r="G497" s="1732"/>
      <c r="H497" s="1732"/>
      <c r="I497" s="1732"/>
      <c r="J497" s="1732"/>
      <c r="K497" s="1732"/>
      <c r="L497" s="1732"/>
      <c r="M497" s="1732"/>
      <c r="N497" s="1732"/>
      <c r="O497" s="1732"/>
      <c r="P497" s="1732"/>
      <c r="Q497" s="1732"/>
      <c r="R497" s="1732"/>
      <c r="S497" s="1732"/>
      <c r="T497" s="1732"/>
      <c r="U497" s="1732"/>
      <c r="V497" s="1732"/>
      <c r="W497" s="1732"/>
      <c r="X497" s="1732"/>
      <c r="Y497" s="1732"/>
      <c r="Z497" s="1732"/>
    </row>
    <row r="498" spans="1:26" ht="18" customHeight="1">
      <c r="A498" s="1732"/>
      <c r="B498" s="1732"/>
      <c r="C498" s="1776"/>
      <c r="D498" s="1732"/>
      <c r="E498" s="1732"/>
      <c r="F498" s="1732"/>
      <c r="G498" s="1732"/>
      <c r="H498" s="1732"/>
      <c r="I498" s="1732"/>
      <c r="J498" s="1732"/>
      <c r="K498" s="1732"/>
      <c r="L498" s="1732"/>
      <c r="M498" s="1732"/>
      <c r="N498" s="1732"/>
      <c r="O498" s="1732"/>
      <c r="P498" s="1732"/>
      <c r="Q498" s="1732"/>
      <c r="R498" s="1732"/>
      <c r="S498" s="1732"/>
      <c r="T498" s="1732"/>
      <c r="U498" s="1732"/>
      <c r="V498" s="1732"/>
      <c r="W498" s="1732"/>
      <c r="X498" s="1732"/>
      <c r="Y498" s="1732"/>
      <c r="Z498" s="1732"/>
    </row>
    <row r="499" spans="1:26" ht="18" customHeight="1">
      <c r="A499" s="1732"/>
      <c r="B499" s="1732"/>
      <c r="C499" s="1776"/>
      <c r="D499" s="1732"/>
      <c r="E499" s="1732"/>
      <c r="F499" s="1732"/>
      <c r="G499" s="1732"/>
      <c r="H499" s="1732"/>
      <c r="I499" s="1732"/>
      <c r="J499" s="1732"/>
      <c r="K499" s="1732"/>
      <c r="L499" s="1732"/>
      <c r="M499" s="1732"/>
      <c r="N499" s="1732"/>
      <c r="O499" s="1732"/>
      <c r="P499" s="1732"/>
      <c r="Q499" s="1732"/>
      <c r="R499" s="1732"/>
      <c r="S499" s="1732"/>
      <c r="T499" s="1732"/>
      <c r="U499" s="1732"/>
      <c r="V499" s="1732"/>
      <c r="W499" s="1732"/>
      <c r="X499" s="1732"/>
      <c r="Y499" s="1732"/>
      <c r="Z499" s="1732"/>
    </row>
    <row r="500" spans="1:26" ht="18" customHeight="1">
      <c r="A500" s="1732"/>
      <c r="B500" s="1732"/>
      <c r="C500" s="1776"/>
      <c r="D500" s="1732"/>
      <c r="E500" s="1732"/>
      <c r="F500" s="1732"/>
      <c r="G500" s="1732"/>
      <c r="H500" s="1732"/>
      <c r="I500" s="1732"/>
      <c r="J500" s="1732"/>
      <c r="K500" s="1732"/>
      <c r="L500" s="1732"/>
      <c r="M500" s="1732"/>
      <c r="N500" s="1732"/>
      <c r="O500" s="1732"/>
      <c r="P500" s="1732"/>
      <c r="Q500" s="1732"/>
      <c r="R500" s="1732"/>
      <c r="S500" s="1732"/>
      <c r="T500" s="1732"/>
      <c r="U500" s="1732"/>
      <c r="V500" s="1732"/>
      <c r="W500" s="1732"/>
      <c r="X500" s="1732"/>
      <c r="Y500" s="1732"/>
      <c r="Z500" s="1732"/>
    </row>
    <row r="501" spans="1:26" ht="18" customHeight="1">
      <c r="A501" s="1732"/>
      <c r="B501" s="1732"/>
      <c r="C501" s="1776"/>
      <c r="D501" s="1732"/>
      <c r="E501" s="1732"/>
      <c r="F501" s="1732"/>
      <c r="G501" s="1732"/>
      <c r="H501" s="1732"/>
      <c r="I501" s="1732"/>
      <c r="J501" s="1732"/>
      <c r="K501" s="1732"/>
      <c r="L501" s="1732"/>
      <c r="M501" s="1732"/>
      <c r="N501" s="1732"/>
      <c r="O501" s="1732"/>
      <c r="P501" s="1732"/>
      <c r="Q501" s="1732"/>
      <c r="R501" s="1732"/>
      <c r="S501" s="1732"/>
      <c r="T501" s="1732"/>
      <c r="U501" s="1732"/>
      <c r="V501" s="1732"/>
      <c r="W501" s="1732"/>
      <c r="X501" s="1732"/>
      <c r="Y501" s="1732"/>
      <c r="Z501" s="1732"/>
    </row>
    <row r="502" spans="1:26" ht="18" customHeight="1">
      <c r="A502" s="1732"/>
      <c r="B502" s="1732"/>
      <c r="C502" s="1776"/>
      <c r="D502" s="1732"/>
      <c r="E502" s="1732"/>
      <c r="F502" s="1732"/>
      <c r="G502" s="1732"/>
      <c r="H502" s="1732"/>
      <c r="I502" s="1732"/>
      <c r="J502" s="1732"/>
      <c r="K502" s="1732"/>
      <c r="L502" s="1732"/>
      <c r="M502" s="1732"/>
      <c r="N502" s="1732"/>
      <c r="O502" s="1732"/>
      <c r="P502" s="1732"/>
      <c r="Q502" s="1732"/>
      <c r="R502" s="1732"/>
      <c r="S502" s="1732"/>
      <c r="T502" s="1732"/>
      <c r="U502" s="1732"/>
      <c r="V502" s="1732"/>
      <c r="W502" s="1732"/>
      <c r="X502" s="1732"/>
      <c r="Y502" s="1732"/>
      <c r="Z502" s="1732"/>
    </row>
    <row r="503" spans="1:26" ht="18" customHeight="1">
      <c r="A503" s="1732"/>
      <c r="B503" s="1732"/>
      <c r="C503" s="1776"/>
      <c r="D503" s="1732"/>
      <c r="E503" s="1732"/>
      <c r="F503" s="1732"/>
      <c r="G503" s="1732"/>
      <c r="H503" s="1732"/>
      <c r="I503" s="1732"/>
      <c r="J503" s="1732"/>
      <c r="K503" s="1732"/>
      <c r="L503" s="1732"/>
      <c r="M503" s="1732"/>
      <c r="N503" s="1732"/>
      <c r="O503" s="1732"/>
      <c r="P503" s="1732"/>
      <c r="Q503" s="1732"/>
      <c r="R503" s="1732"/>
      <c r="S503" s="1732"/>
      <c r="T503" s="1732"/>
      <c r="U503" s="1732"/>
      <c r="V503" s="1732"/>
      <c r="W503" s="1732"/>
      <c r="X503" s="1732"/>
      <c r="Y503" s="1732"/>
      <c r="Z503" s="1732"/>
    </row>
    <row r="504" spans="1:26" ht="18" customHeight="1">
      <c r="A504" s="1732"/>
      <c r="B504" s="1732"/>
      <c r="C504" s="1776"/>
      <c r="D504" s="1732"/>
      <c r="E504" s="1732"/>
      <c r="F504" s="1732"/>
      <c r="G504" s="1732"/>
      <c r="H504" s="1732"/>
      <c r="I504" s="1732"/>
      <c r="J504" s="1732"/>
      <c r="K504" s="1732"/>
      <c r="L504" s="1732"/>
      <c r="M504" s="1732"/>
      <c r="N504" s="1732"/>
      <c r="O504" s="1732"/>
      <c r="P504" s="1732"/>
      <c r="Q504" s="1732"/>
      <c r="R504" s="1732"/>
      <c r="S504" s="1732"/>
      <c r="T504" s="1732"/>
      <c r="U504" s="1732"/>
      <c r="V504" s="1732"/>
      <c r="W504" s="1732"/>
      <c r="X504" s="1732"/>
      <c r="Y504" s="1732"/>
      <c r="Z504" s="1732"/>
    </row>
    <row r="505" spans="1:26" ht="18" customHeight="1">
      <c r="A505" s="1732"/>
      <c r="B505" s="1732"/>
      <c r="C505" s="1776"/>
      <c r="D505" s="1732"/>
      <c r="E505" s="1732"/>
      <c r="F505" s="1732"/>
      <c r="G505" s="1732"/>
      <c r="H505" s="1732"/>
      <c r="I505" s="1732"/>
      <c r="J505" s="1732"/>
      <c r="K505" s="1732"/>
      <c r="L505" s="1732"/>
      <c r="M505" s="1732"/>
      <c r="N505" s="1732"/>
      <c r="O505" s="1732"/>
      <c r="P505" s="1732"/>
      <c r="Q505" s="1732"/>
      <c r="R505" s="1732"/>
      <c r="S505" s="1732"/>
      <c r="T505" s="1732"/>
      <c r="U505" s="1732"/>
      <c r="V505" s="1732"/>
      <c r="W505" s="1732"/>
      <c r="X505" s="1732"/>
      <c r="Y505" s="1732"/>
      <c r="Z505" s="1732"/>
    </row>
    <row r="506" spans="1:26" ht="18" customHeight="1">
      <c r="A506" s="1732"/>
      <c r="B506" s="1732"/>
      <c r="C506" s="1776"/>
      <c r="D506" s="1732"/>
      <c r="E506" s="1732"/>
      <c r="F506" s="1732"/>
      <c r="G506" s="1732"/>
      <c r="H506" s="1732"/>
      <c r="I506" s="1732"/>
      <c r="J506" s="1732"/>
      <c r="K506" s="1732"/>
      <c r="L506" s="1732"/>
      <c r="M506" s="1732"/>
      <c r="N506" s="1732"/>
      <c r="O506" s="1732"/>
      <c r="P506" s="1732"/>
      <c r="Q506" s="1732"/>
      <c r="R506" s="1732"/>
      <c r="S506" s="1732"/>
      <c r="T506" s="1732"/>
      <c r="U506" s="1732"/>
      <c r="V506" s="1732"/>
      <c r="W506" s="1732"/>
      <c r="X506" s="1732"/>
      <c r="Y506" s="1732"/>
      <c r="Z506" s="1732"/>
    </row>
    <row r="507" spans="1:26" ht="18" customHeight="1">
      <c r="A507" s="1732"/>
      <c r="B507" s="1732"/>
      <c r="C507" s="1776"/>
      <c r="D507" s="1732"/>
      <c r="E507" s="1732"/>
      <c r="F507" s="1732"/>
      <c r="G507" s="1732"/>
      <c r="H507" s="1732"/>
      <c r="I507" s="1732"/>
      <c r="J507" s="1732"/>
      <c r="K507" s="1732"/>
      <c r="L507" s="1732"/>
      <c r="M507" s="1732"/>
      <c r="N507" s="1732"/>
      <c r="O507" s="1732"/>
      <c r="P507" s="1732"/>
      <c r="Q507" s="1732"/>
      <c r="R507" s="1732"/>
      <c r="S507" s="1732"/>
      <c r="T507" s="1732"/>
      <c r="U507" s="1732"/>
      <c r="V507" s="1732"/>
      <c r="W507" s="1732"/>
      <c r="X507" s="1732"/>
      <c r="Y507" s="1732"/>
      <c r="Z507" s="1732"/>
    </row>
    <row r="508" spans="1:26" ht="18" customHeight="1">
      <c r="A508" s="1732"/>
      <c r="B508" s="1732"/>
      <c r="C508" s="1776"/>
      <c r="D508" s="1732"/>
      <c r="E508" s="1732"/>
      <c r="F508" s="1732"/>
      <c r="G508" s="1732"/>
      <c r="H508" s="1732"/>
      <c r="I508" s="1732"/>
      <c r="J508" s="1732"/>
      <c r="K508" s="1732"/>
      <c r="L508" s="1732"/>
      <c r="M508" s="1732"/>
      <c r="N508" s="1732"/>
      <c r="O508" s="1732"/>
      <c r="P508" s="1732"/>
      <c r="Q508" s="1732"/>
      <c r="R508" s="1732"/>
      <c r="S508" s="1732"/>
      <c r="T508" s="1732"/>
      <c r="U508" s="1732"/>
      <c r="V508" s="1732"/>
      <c r="W508" s="1732"/>
      <c r="X508" s="1732"/>
      <c r="Y508" s="1732"/>
      <c r="Z508" s="1732"/>
    </row>
    <row r="509" spans="1:26" ht="18" customHeight="1">
      <c r="A509" s="1732"/>
      <c r="B509" s="1732"/>
      <c r="C509" s="1776"/>
      <c r="D509" s="1732"/>
      <c r="E509" s="1732"/>
      <c r="F509" s="1732"/>
      <c r="G509" s="1732"/>
      <c r="H509" s="1732"/>
      <c r="I509" s="1732"/>
      <c r="J509" s="1732"/>
      <c r="K509" s="1732"/>
      <c r="L509" s="1732"/>
      <c r="M509" s="1732"/>
      <c r="N509" s="1732"/>
      <c r="O509" s="1732"/>
      <c r="P509" s="1732"/>
      <c r="Q509" s="1732"/>
      <c r="R509" s="1732"/>
      <c r="S509" s="1732"/>
      <c r="T509" s="1732"/>
      <c r="U509" s="1732"/>
      <c r="V509" s="1732"/>
      <c r="W509" s="1732"/>
      <c r="X509" s="1732"/>
      <c r="Y509" s="1732"/>
      <c r="Z509" s="1732"/>
    </row>
    <row r="510" spans="1:26" ht="18" customHeight="1">
      <c r="A510" s="1732"/>
      <c r="B510" s="1732"/>
      <c r="C510" s="1776"/>
      <c r="D510" s="1732"/>
      <c r="E510" s="1732"/>
      <c r="F510" s="1732"/>
      <c r="G510" s="1732"/>
      <c r="H510" s="1732"/>
      <c r="I510" s="1732"/>
      <c r="J510" s="1732"/>
      <c r="K510" s="1732"/>
      <c r="L510" s="1732"/>
      <c r="M510" s="1732"/>
      <c r="N510" s="1732"/>
      <c r="O510" s="1732"/>
      <c r="P510" s="1732"/>
      <c r="Q510" s="1732"/>
      <c r="R510" s="1732"/>
      <c r="S510" s="1732"/>
      <c r="T510" s="1732"/>
      <c r="U510" s="1732"/>
      <c r="V510" s="1732"/>
      <c r="W510" s="1732"/>
      <c r="X510" s="1732"/>
      <c r="Y510" s="1732"/>
      <c r="Z510" s="1732"/>
    </row>
    <row r="511" spans="1:26" ht="18" customHeight="1">
      <c r="A511" s="1732"/>
      <c r="B511" s="1732"/>
      <c r="C511" s="1776"/>
      <c r="D511" s="1732"/>
      <c r="E511" s="1732"/>
      <c r="F511" s="1732"/>
      <c r="G511" s="1732"/>
      <c r="H511" s="1732"/>
      <c r="I511" s="1732"/>
      <c r="J511" s="1732"/>
      <c r="K511" s="1732"/>
      <c r="L511" s="1732"/>
      <c r="M511" s="1732"/>
      <c r="N511" s="1732"/>
      <c r="O511" s="1732"/>
      <c r="P511" s="1732"/>
      <c r="Q511" s="1732"/>
      <c r="R511" s="1732"/>
      <c r="S511" s="1732"/>
      <c r="T511" s="1732"/>
      <c r="U511" s="1732"/>
      <c r="V511" s="1732"/>
      <c r="W511" s="1732"/>
      <c r="X511" s="1732"/>
      <c r="Y511" s="1732"/>
      <c r="Z511" s="1732"/>
    </row>
    <row r="512" spans="1:26" ht="18" customHeight="1">
      <c r="A512" s="1732"/>
      <c r="B512" s="1732"/>
      <c r="C512" s="1776"/>
      <c r="D512" s="1732"/>
      <c r="E512" s="1732"/>
      <c r="F512" s="1732"/>
      <c r="G512" s="1732"/>
      <c r="H512" s="1732"/>
      <c r="I512" s="1732"/>
      <c r="J512" s="1732"/>
      <c r="K512" s="1732"/>
      <c r="L512" s="1732"/>
      <c r="M512" s="1732"/>
      <c r="N512" s="1732"/>
      <c r="O512" s="1732"/>
      <c r="P512" s="1732"/>
      <c r="Q512" s="1732"/>
      <c r="R512" s="1732"/>
      <c r="S512" s="1732"/>
      <c r="T512" s="1732"/>
      <c r="U512" s="1732"/>
      <c r="V512" s="1732"/>
      <c r="W512" s="1732"/>
      <c r="X512" s="1732"/>
      <c r="Y512" s="1732"/>
      <c r="Z512" s="1732"/>
    </row>
    <row r="513" spans="1:26" ht="18" customHeight="1">
      <c r="A513" s="1732"/>
      <c r="B513" s="1732"/>
      <c r="C513" s="1776"/>
      <c r="D513" s="1732"/>
      <c r="E513" s="1732"/>
      <c r="F513" s="1732"/>
      <c r="G513" s="1732"/>
      <c r="H513" s="1732"/>
      <c r="I513" s="1732"/>
      <c r="J513" s="1732"/>
      <c r="K513" s="1732"/>
      <c r="L513" s="1732"/>
      <c r="M513" s="1732"/>
      <c r="N513" s="1732"/>
      <c r="O513" s="1732"/>
      <c r="P513" s="1732"/>
      <c r="Q513" s="1732"/>
      <c r="R513" s="1732"/>
      <c r="S513" s="1732"/>
      <c r="T513" s="1732"/>
      <c r="U513" s="1732"/>
      <c r="V513" s="1732"/>
      <c r="W513" s="1732"/>
      <c r="X513" s="1732"/>
      <c r="Y513" s="1732"/>
      <c r="Z513" s="1732"/>
    </row>
    <row r="514" spans="1:26" ht="18" customHeight="1">
      <c r="A514" s="1732"/>
      <c r="B514" s="1732"/>
      <c r="C514" s="1776"/>
      <c r="D514" s="1732"/>
      <c r="E514" s="1732"/>
      <c r="F514" s="1732"/>
      <c r="G514" s="1732"/>
      <c r="H514" s="1732"/>
      <c r="I514" s="1732"/>
      <c r="J514" s="1732"/>
      <c r="K514" s="1732"/>
      <c r="L514" s="1732"/>
      <c r="M514" s="1732"/>
      <c r="N514" s="1732"/>
      <c r="O514" s="1732"/>
      <c r="P514" s="1732"/>
      <c r="Q514" s="1732"/>
      <c r="R514" s="1732"/>
      <c r="S514" s="1732"/>
      <c r="T514" s="1732"/>
      <c r="U514" s="1732"/>
      <c r="V514" s="1732"/>
      <c r="W514" s="1732"/>
      <c r="X514" s="1732"/>
      <c r="Y514" s="1732"/>
      <c r="Z514" s="1732"/>
    </row>
    <row r="515" spans="1:26" ht="18" customHeight="1">
      <c r="A515" s="1732"/>
      <c r="B515" s="1732"/>
      <c r="C515" s="1776"/>
      <c r="D515" s="1732"/>
      <c r="E515" s="1732"/>
      <c r="F515" s="1732"/>
      <c r="G515" s="1732"/>
      <c r="H515" s="1732"/>
      <c r="I515" s="1732"/>
      <c r="J515" s="1732"/>
      <c r="K515" s="1732"/>
      <c r="L515" s="1732"/>
      <c r="M515" s="1732"/>
      <c r="N515" s="1732"/>
      <c r="O515" s="1732"/>
      <c r="P515" s="1732"/>
      <c r="Q515" s="1732"/>
      <c r="R515" s="1732"/>
      <c r="S515" s="1732"/>
      <c r="T515" s="1732"/>
      <c r="U515" s="1732"/>
      <c r="V515" s="1732"/>
      <c r="W515" s="1732"/>
      <c r="X515" s="1732"/>
      <c r="Y515" s="1732"/>
      <c r="Z515" s="1732"/>
    </row>
    <row r="516" spans="1:26" ht="18" customHeight="1">
      <c r="A516" s="1732"/>
      <c r="B516" s="1732"/>
      <c r="C516" s="1776"/>
      <c r="D516" s="1732"/>
      <c r="E516" s="1732"/>
      <c r="F516" s="1732"/>
      <c r="G516" s="1732"/>
      <c r="H516" s="1732"/>
      <c r="I516" s="1732"/>
      <c r="J516" s="1732"/>
      <c r="K516" s="1732"/>
      <c r="L516" s="1732"/>
      <c r="M516" s="1732"/>
      <c r="N516" s="1732"/>
      <c r="O516" s="1732"/>
      <c r="P516" s="1732"/>
      <c r="Q516" s="1732"/>
      <c r="R516" s="1732"/>
      <c r="S516" s="1732"/>
      <c r="T516" s="1732"/>
      <c r="U516" s="1732"/>
      <c r="V516" s="1732"/>
      <c r="W516" s="1732"/>
      <c r="X516" s="1732"/>
      <c r="Y516" s="1732"/>
      <c r="Z516" s="1732"/>
    </row>
    <row r="517" spans="1:26" ht="18" customHeight="1">
      <c r="A517" s="1732"/>
      <c r="B517" s="1732"/>
      <c r="C517" s="1776"/>
      <c r="D517" s="1732"/>
      <c r="E517" s="1732"/>
      <c r="F517" s="1732"/>
      <c r="G517" s="1732"/>
      <c r="H517" s="1732"/>
      <c r="I517" s="1732"/>
      <c r="J517" s="1732"/>
      <c r="K517" s="1732"/>
      <c r="L517" s="1732"/>
      <c r="M517" s="1732"/>
      <c r="N517" s="1732"/>
      <c r="O517" s="1732"/>
      <c r="P517" s="1732"/>
      <c r="Q517" s="1732"/>
      <c r="R517" s="1732"/>
      <c r="S517" s="1732"/>
      <c r="T517" s="1732"/>
      <c r="U517" s="1732"/>
      <c r="V517" s="1732"/>
      <c r="W517" s="1732"/>
      <c r="X517" s="1732"/>
      <c r="Y517" s="1732"/>
      <c r="Z517" s="1732"/>
    </row>
    <row r="518" spans="1:26" ht="18" customHeight="1">
      <c r="A518" s="1732"/>
      <c r="B518" s="1732"/>
      <c r="C518" s="1776"/>
      <c r="D518" s="1732"/>
      <c r="E518" s="1732"/>
      <c r="F518" s="1732"/>
      <c r="G518" s="1732"/>
      <c r="H518" s="1732"/>
      <c r="I518" s="1732"/>
      <c r="J518" s="1732"/>
      <c r="K518" s="1732"/>
      <c r="L518" s="1732"/>
      <c r="M518" s="1732"/>
      <c r="N518" s="1732"/>
      <c r="O518" s="1732"/>
      <c r="P518" s="1732"/>
      <c r="Q518" s="1732"/>
      <c r="R518" s="1732"/>
      <c r="S518" s="1732"/>
      <c r="T518" s="1732"/>
      <c r="U518" s="1732"/>
      <c r="V518" s="1732"/>
      <c r="W518" s="1732"/>
      <c r="X518" s="1732"/>
      <c r="Y518" s="1732"/>
      <c r="Z518" s="1732"/>
    </row>
    <row r="519" spans="1:26" ht="18" customHeight="1">
      <c r="A519" s="1732"/>
      <c r="B519" s="1732"/>
      <c r="C519" s="1776"/>
      <c r="D519" s="1732"/>
      <c r="E519" s="1732"/>
      <c r="F519" s="1732"/>
      <c r="G519" s="1732"/>
      <c r="H519" s="1732"/>
      <c r="I519" s="1732"/>
      <c r="J519" s="1732"/>
      <c r="K519" s="1732"/>
      <c r="L519" s="1732"/>
      <c r="M519" s="1732"/>
      <c r="N519" s="1732"/>
      <c r="O519" s="1732"/>
      <c r="P519" s="1732"/>
      <c r="Q519" s="1732"/>
      <c r="R519" s="1732"/>
      <c r="S519" s="1732"/>
      <c r="T519" s="1732"/>
      <c r="U519" s="1732"/>
      <c r="V519" s="1732"/>
      <c r="W519" s="1732"/>
      <c r="X519" s="1732"/>
      <c r="Y519" s="1732"/>
      <c r="Z519" s="1732"/>
    </row>
    <row r="520" spans="1:26" ht="18" customHeight="1">
      <c r="A520" s="1732"/>
      <c r="B520" s="1732"/>
      <c r="C520" s="1776"/>
      <c r="D520" s="1732"/>
      <c r="E520" s="1732"/>
      <c r="F520" s="1732"/>
      <c r="G520" s="1732"/>
      <c r="H520" s="1732"/>
      <c r="I520" s="1732"/>
      <c r="J520" s="1732"/>
      <c r="K520" s="1732"/>
      <c r="L520" s="1732"/>
      <c r="M520" s="1732"/>
      <c r="N520" s="1732"/>
      <c r="O520" s="1732"/>
      <c r="P520" s="1732"/>
      <c r="Q520" s="1732"/>
      <c r="R520" s="1732"/>
      <c r="S520" s="1732"/>
      <c r="T520" s="1732"/>
      <c r="U520" s="1732"/>
      <c r="V520" s="1732"/>
      <c r="W520" s="1732"/>
      <c r="X520" s="1732"/>
      <c r="Y520" s="1732"/>
      <c r="Z520" s="1732"/>
    </row>
    <row r="521" spans="1:26" ht="18" customHeight="1">
      <c r="A521" s="1732"/>
      <c r="B521" s="1732"/>
      <c r="C521" s="1776"/>
      <c r="D521" s="1732"/>
      <c r="E521" s="1732"/>
      <c r="F521" s="1732"/>
      <c r="G521" s="1732"/>
      <c r="H521" s="1732"/>
      <c r="I521" s="1732"/>
      <c r="J521" s="1732"/>
      <c r="K521" s="1732"/>
      <c r="L521" s="1732"/>
      <c r="M521" s="1732"/>
      <c r="N521" s="1732"/>
      <c r="O521" s="1732"/>
      <c r="P521" s="1732"/>
      <c r="Q521" s="1732"/>
      <c r="R521" s="1732"/>
      <c r="S521" s="1732"/>
      <c r="T521" s="1732"/>
      <c r="U521" s="1732"/>
      <c r="V521" s="1732"/>
      <c r="W521" s="1732"/>
      <c r="X521" s="1732"/>
      <c r="Y521" s="1732"/>
      <c r="Z521" s="1732"/>
    </row>
    <row r="522" spans="1:26" ht="18" customHeight="1">
      <c r="A522" s="1732"/>
      <c r="B522" s="1732"/>
      <c r="C522" s="1776"/>
      <c r="D522" s="1732"/>
      <c r="E522" s="1732"/>
      <c r="F522" s="1732"/>
      <c r="G522" s="1732"/>
      <c r="H522" s="1732"/>
      <c r="I522" s="1732"/>
      <c r="J522" s="1732"/>
      <c r="K522" s="1732"/>
      <c r="L522" s="1732"/>
      <c r="M522" s="1732"/>
      <c r="N522" s="1732"/>
      <c r="O522" s="1732"/>
      <c r="P522" s="1732"/>
      <c r="Q522" s="1732"/>
      <c r="R522" s="1732"/>
      <c r="S522" s="1732"/>
      <c r="T522" s="1732"/>
      <c r="U522" s="1732"/>
      <c r="V522" s="1732"/>
      <c r="W522" s="1732"/>
      <c r="X522" s="1732"/>
      <c r="Y522" s="1732"/>
      <c r="Z522" s="1732"/>
    </row>
    <row r="523" spans="1:26" ht="18" customHeight="1">
      <c r="A523" s="1732"/>
      <c r="B523" s="1732"/>
      <c r="C523" s="1776"/>
      <c r="D523" s="1732"/>
      <c r="E523" s="1732"/>
      <c r="F523" s="1732"/>
      <c r="G523" s="1732"/>
      <c r="H523" s="1732"/>
      <c r="I523" s="1732"/>
      <c r="J523" s="1732"/>
      <c r="K523" s="1732"/>
      <c r="L523" s="1732"/>
      <c r="M523" s="1732"/>
      <c r="N523" s="1732"/>
      <c r="O523" s="1732"/>
      <c r="P523" s="1732"/>
      <c r="Q523" s="1732"/>
      <c r="R523" s="1732"/>
      <c r="S523" s="1732"/>
      <c r="T523" s="1732"/>
      <c r="U523" s="1732"/>
      <c r="V523" s="1732"/>
      <c r="W523" s="1732"/>
      <c r="X523" s="1732"/>
      <c r="Y523" s="1732"/>
      <c r="Z523" s="1732"/>
    </row>
    <row r="524" spans="1:26" ht="18" customHeight="1">
      <c r="A524" s="1732"/>
      <c r="B524" s="1732"/>
      <c r="C524" s="1776"/>
      <c r="D524" s="1732"/>
      <c r="E524" s="1732"/>
      <c r="F524" s="1732"/>
      <c r="G524" s="1732"/>
      <c r="H524" s="1732"/>
      <c r="I524" s="1732"/>
      <c r="J524" s="1732"/>
      <c r="K524" s="1732"/>
      <c r="L524" s="1732"/>
      <c r="M524" s="1732"/>
      <c r="N524" s="1732"/>
      <c r="O524" s="1732"/>
      <c r="P524" s="1732"/>
      <c r="Q524" s="1732"/>
      <c r="R524" s="1732"/>
      <c r="S524" s="1732"/>
      <c r="T524" s="1732"/>
      <c r="U524" s="1732"/>
      <c r="V524" s="1732"/>
      <c r="W524" s="1732"/>
      <c r="X524" s="1732"/>
      <c r="Y524" s="1732"/>
      <c r="Z524" s="1732"/>
    </row>
    <row r="525" spans="1:26" ht="18" customHeight="1">
      <c r="A525" s="1732"/>
      <c r="B525" s="1732"/>
      <c r="C525" s="1776"/>
      <c r="D525" s="1732"/>
      <c r="E525" s="1732"/>
      <c r="F525" s="1732"/>
      <c r="G525" s="1732"/>
      <c r="H525" s="1732"/>
      <c r="I525" s="1732"/>
      <c r="J525" s="1732"/>
      <c r="K525" s="1732"/>
      <c r="L525" s="1732"/>
      <c r="M525" s="1732"/>
      <c r="N525" s="1732"/>
      <c r="O525" s="1732"/>
      <c r="P525" s="1732"/>
      <c r="Q525" s="1732"/>
      <c r="R525" s="1732"/>
      <c r="S525" s="1732"/>
      <c r="T525" s="1732"/>
      <c r="U525" s="1732"/>
      <c r="V525" s="1732"/>
      <c r="W525" s="1732"/>
      <c r="X525" s="1732"/>
      <c r="Y525" s="1732"/>
      <c r="Z525" s="1732"/>
    </row>
    <row r="526" spans="1:26" ht="18" customHeight="1">
      <c r="A526" s="1732"/>
      <c r="B526" s="1732"/>
      <c r="C526" s="1776"/>
      <c r="D526" s="1732"/>
      <c r="E526" s="1732"/>
      <c r="F526" s="1732"/>
      <c r="G526" s="1732"/>
      <c r="H526" s="1732"/>
      <c r="I526" s="1732"/>
      <c r="J526" s="1732"/>
      <c r="K526" s="1732"/>
      <c r="L526" s="1732"/>
      <c r="M526" s="1732"/>
      <c r="N526" s="1732"/>
      <c r="O526" s="1732"/>
      <c r="P526" s="1732"/>
      <c r="Q526" s="1732"/>
      <c r="R526" s="1732"/>
      <c r="S526" s="1732"/>
      <c r="T526" s="1732"/>
      <c r="U526" s="1732"/>
      <c r="V526" s="1732"/>
      <c r="W526" s="1732"/>
      <c r="X526" s="1732"/>
      <c r="Y526" s="1732"/>
      <c r="Z526" s="1732"/>
    </row>
    <row r="527" spans="1:26" ht="18" customHeight="1">
      <c r="A527" s="1732"/>
      <c r="B527" s="1732"/>
      <c r="C527" s="1776"/>
      <c r="D527" s="1732"/>
      <c r="E527" s="1732"/>
      <c r="F527" s="1732"/>
      <c r="G527" s="1732"/>
      <c r="H527" s="1732"/>
      <c r="I527" s="1732"/>
      <c r="J527" s="1732"/>
      <c r="K527" s="1732"/>
      <c r="L527" s="1732"/>
      <c r="M527" s="1732"/>
      <c r="N527" s="1732"/>
      <c r="O527" s="1732"/>
      <c r="P527" s="1732"/>
      <c r="Q527" s="1732"/>
      <c r="R527" s="1732"/>
      <c r="S527" s="1732"/>
      <c r="T527" s="1732"/>
      <c r="U527" s="1732"/>
      <c r="V527" s="1732"/>
      <c r="W527" s="1732"/>
      <c r="X527" s="1732"/>
      <c r="Y527" s="1732"/>
      <c r="Z527" s="1732"/>
    </row>
    <row r="528" spans="1:26" ht="18" customHeight="1">
      <c r="A528" s="1732"/>
      <c r="B528" s="1732"/>
      <c r="C528" s="1776"/>
      <c r="D528" s="1732"/>
      <c r="E528" s="1732"/>
      <c r="F528" s="1732"/>
      <c r="G528" s="1732"/>
      <c r="H528" s="1732"/>
      <c r="I528" s="1732"/>
      <c r="J528" s="1732"/>
      <c r="K528" s="1732"/>
      <c r="L528" s="1732"/>
      <c r="M528" s="1732"/>
      <c r="N528" s="1732"/>
      <c r="O528" s="1732"/>
      <c r="P528" s="1732"/>
      <c r="Q528" s="1732"/>
      <c r="R528" s="1732"/>
      <c r="S528" s="1732"/>
      <c r="T528" s="1732"/>
      <c r="U528" s="1732"/>
      <c r="V528" s="1732"/>
      <c r="W528" s="1732"/>
      <c r="X528" s="1732"/>
      <c r="Y528" s="1732"/>
      <c r="Z528" s="1732"/>
    </row>
    <row r="529" spans="1:26" ht="18" customHeight="1">
      <c r="A529" s="1732"/>
      <c r="B529" s="1732"/>
      <c r="C529" s="1776"/>
      <c r="D529" s="1732"/>
      <c r="E529" s="1732"/>
      <c r="F529" s="1732"/>
      <c r="G529" s="1732"/>
      <c r="H529" s="1732"/>
      <c r="I529" s="1732"/>
      <c r="J529" s="1732"/>
      <c r="K529" s="1732"/>
      <c r="L529" s="1732"/>
      <c r="M529" s="1732"/>
      <c r="N529" s="1732"/>
      <c r="O529" s="1732"/>
      <c r="P529" s="1732"/>
      <c r="Q529" s="1732"/>
      <c r="R529" s="1732"/>
      <c r="S529" s="1732"/>
      <c r="T529" s="1732"/>
      <c r="U529" s="1732"/>
      <c r="V529" s="1732"/>
      <c r="W529" s="1732"/>
      <c r="X529" s="1732"/>
      <c r="Y529" s="1732"/>
      <c r="Z529" s="1732"/>
    </row>
    <row r="530" spans="1:26" ht="18" customHeight="1">
      <c r="A530" s="1732"/>
      <c r="B530" s="1732"/>
      <c r="C530" s="1776"/>
      <c r="D530" s="1732"/>
      <c r="E530" s="1732"/>
      <c r="F530" s="1732"/>
      <c r="G530" s="1732"/>
      <c r="H530" s="1732"/>
      <c r="I530" s="1732"/>
      <c r="J530" s="1732"/>
      <c r="K530" s="1732"/>
      <c r="L530" s="1732"/>
      <c r="M530" s="1732"/>
      <c r="N530" s="1732"/>
      <c r="O530" s="1732"/>
      <c r="P530" s="1732"/>
      <c r="Q530" s="1732"/>
      <c r="R530" s="1732"/>
      <c r="S530" s="1732"/>
      <c r="T530" s="1732"/>
      <c r="U530" s="1732"/>
      <c r="V530" s="1732"/>
      <c r="W530" s="1732"/>
      <c r="X530" s="1732"/>
      <c r="Y530" s="1732"/>
      <c r="Z530" s="1732"/>
    </row>
    <row r="531" spans="1:26" ht="18" customHeight="1">
      <c r="A531" s="1732"/>
      <c r="B531" s="1732"/>
      <c r="C531" s="1776"/>
      <c r="D531" s="1732"/>
      <c r="E531" s="1732"/>
      <c r="F531" s="1732"/>
      <c r="G531" s="1732"/>
      <c r="H531" s="1732"/>
      <c r="I531" s="1732"/>
      <c r="J531" s="1732"/>
      <c r="K531" s="1732"/>
      <c r="L531" s="1732"/>
      <c r="M531" s="1732"/>
      <c r="N531" s="1732"/>
      <c r="O531" s="1732"/>
      <c r="P531" s="1732"/>
      <c r="Q531" s="1732"/>
      <c r="R531" s="1732"/>
      <c r="S531" s="1732"/>
      <c r="T531" s="1732"/>
      <c r="U531" s="1732"/>
      <c r="V531" s="1732"/>
      <c r="W531" s="1732"/>
      <c r="X531" s="1732"/>
      <c r="Y531" s="1732"/>
      <c r="Z531" s="1732"/>
    </row>
    <row r="532" spans="1:26" ht="18" customHeight="1">
      <c r="A532" s="1732"/>
      <c r="B532" s="1732"/>
      <c r="C532" s="1776"/>
      <c r="D532" s="1732"/>
      <c r="E532" s="1732"/>
      <c r="F532" s="1732"/>
      <c r="G532" s="1732"/>
      <c r="H532" s="1732"/>
      <c r="I532" s="1732"/>
      <c r="J532" s="1732"/>
      <c r="K532" s="1732"/>
      <c r="L532" s="1732"/>
      <c r="M532" s="1732"/>
      <c r="N532" s="1732"/>
      <c r="O532" s="1732"/>
      <c r="P532" s="1732"/>
      <c r="Q532" s="1732"/>
      <c r="R532" s="1732"/>
      <c r="S532" s="1732"/>
      <c r="T532" s="1732"/>
      <c r="U532" s="1732"/>
      <c r="V532" s="1732"/>
      <c r="W532" s="1732"/>
      <c r="X532" s="1732"/>
      <c r="Y532" s="1732"/>
      <c r="Z532" s="1732"/>
    </row>
    <row r="533" spans="1:26" ht="18" customHeight="1">
      <c r="A533" s="1732"/>
      <c r="B533" s="1732"/>
      <c r="C533" s="1776"/>
      <c r="D533" s="1732"/>
      <c r="E533" s="1732"/>
      <c r="F533" s="1732"/>
      <c r="G533" s="1732"/>
      <c r="H533" s="1732"/>
      <c r="I533" s="1732"/>
      <c r="J533" s="1732"/>
      <c r="K533" s="1732"/>
      <c r="L533" s="1732"/>
      <c r="M533" s="1732"/>
      <c r="N533" s="1732"/>
      <c r="O533" s="1732"/>
      <c r="P533" s="1732"/>
      <c r="Q533" s="1732"/>
      <c r="R533" s="1732"/>
      <c r="S533" s="1732"/>
      <c r="T533" s="1732"/>
      <c r="U533" s="1732"/>
      <c r="V533" s="1732"/>
      <c r="W533" s="1732"/>
      <c r="X533" s="1732"/>
      <c r="Y533" s="1732"/>
      <c r="Z533" s="1732"/>
    </row>
    <row r="534" spans="1:26" ht="18" customHeight="1">
      <c r="A534" s="1732"/>
      <c r="B534" s="1732"/>
      <c r="C534" s="1776"/>
      <c r="D534" s="1732"/>
      <c r="E534" s="1732"/>
      <c r="F534" s="1732"/>
      <c r="G534" s="1732"/>
      <c r="H534" s="1732"/>
      <c r="I534" s="1732"/>
      <c r="J534" s="1732"/>
      <c r="K534" s="1732"/>
      <c r="L534" s="1732"/>
      <c r="M534" s="1732"/>
      <c r="N534" s="1732"/>
      <c r="O534" s="1732"/>
      <c r="P534" s="1732"/>
      <c r="Q534" s="1732"/>
      <c r="R534" s="1732"/>
      <c r="S534" s="1732"/>
      <c r="T534" s="1732"/>
      <c r="U534" s="1732"/>
      <c r="V534" s="1732"/>
      <c r="W534" s="1732"/>
      <c r="X534" s="1732"/>
      <c r="Y534" s="1732"/>
      <c r="Z534" s="1732"/>
    </row>
    <row r="535" spans="1:26" ht="18" customHeight="1">
      <c r="A535" s="1732"/>
      <c r="B535" s="1732"/>
      <c r="C535" s="1776"/>
      <c r="D535" s="1732"/>
      <c r="E535" s="1732"/>
      <c r="F535" s="1732"/>
      <c r="G535" s="1732"/>
      <c r="H535" s="1732"/>
      <c r="I535" s="1732"/>
      <c r="J535" s="1732"/>
      <c r="K535" s="1732"/>
      <c r="L535" s="1732"/>
      <c r="M535" s="1732"/>
      <c r="N535" s="1732"/>
      <c r="O535" s="1732"/>
      <c r="P535" s="1732"/>
      <c r="Q535" s="1732"/>
      <c r="R535" s="1732"/>
      <c r="S535" s="1732"/>
      <c r="T535" s="1732"/>
      <c r="U535" s="1732"/>
      <c r="V535" s="1732"/>
      <c r="W535" s="1732"/>
      <c r="X535" s="1732"/>
      <c r="Y535" s="1732"/>
      <c r="Z535" s="1732"/>
    </row>
    <row r="536" spans="1:26" ht="18" customHeight="1">
      <c r="A536" s="1732"/>
      <c r="B536" s="1732"/>
      <c r="C536" s="1776"/>
      <c r="D536" s="1732"/>
      <c r="E536" s="1732"/>
      <c r="F536" s="1732"/>
      <c r="G536" s="1732"/>
      <c r="H536" s="1732"/>
      <c r="I536" s="1732"/>
      <c r="J536" s="1732"/>
      <c r="K536" s="1732"/>
      <c r="L536" s="1732"/>
      <c r="M536" s="1732"/>
      <c r="N536" s="1732"/>
      <c r="O536" s="1732"/>
      <c r="P536" s="1732"/>
      <c r="Q536" s="1732"/>
      <c r="R536" s="1732"/>
      <c r="S536" s="1732"/>
      <c r="T536" s="1732"/>
      <c r="U536" s="1732"/>
      <c r="V536" s="1732"/>
      <c r="W536" s="1732"/>
      <c r="X536" s="1732"/>
      <c r="Y536" s="1732"/>
      <c r="Z536" s="1732"/>
    </row>
    <row r="537" spans="1:26" ht="18" customHeight="1">
      <c r="A537" s="1732"/>
      <c r="B537" s="1732"/>
      <c r="C537" s="1776"/>
      <c r="D537" s="1732"/>
      <c r="E537" s="1732"/>
      <c r="F537" s="1732"/>
      <c r="G537" s="1732"/>
      <c r="H537" s="1732"/>
      <c r="I537" s="1732"/>
      <c r="J537" s="1732"/>
      <c r="K537" s="1732"/>
      <c r="L537" s="1732"/>
      <c r="M537" s="1732"/>
      <c r="N537" s="1732"/>
      <c r="O537" s="1732"/>
      <c r="P537" s="1732"/>
      <c r="Q537" s="1732"/>
      <c r="R537" s="1732"/>
      <c r="S537" s="1732"/>
      <c r="T537" s="1732"/>
      <c r="U537" s="1732"/>
      <c r="V537" s="1732"/>
      <c r="W537" s="1732"/>
      <c r="X537" s="1732"/>
      <c r="Y537" s="1732"/>
      <c r="Z537" s="1732"/>
    </row>
    <row r="538" spans="1:26" ht="18" customHeight="1">
      <c r="A538" s="1732"/>
      <c r="B538" s="1732"/>
      <c r="C538" s="1776"/>
      <c r="D538" s="1732"/>
      <c r="E538" s="1732"/>
      <c r="F538" s="1732"/>
      <c r="G538" s="1732"/>
      <c r="H538" s="1732"/>
      <c r="I538" s="1732"/>
      <c r="J538" s="1732"/>
      <c r="K538" s="1732"/>
      <c r="L538" s="1732"/>
      <c r="M538" s="1732"/>
      <c r="N538" s="1732"/>
      <c r="O538" s="1732"/>
      <c r="P538" s="1732"/>
      <c r="Q538" s="1732"/>
      <c r="R538" s="1732"/>
      <c r="S538" s="1732"/>
      <c r="T538" s="1732"/>
      <c r="U538" s="1732"/>
      <c r="V538" s="1732"/>
      <c r="W538" s="1732"/>
      <c r="X538" s="1732"/>
      <c r="Y538" s="1732"/>
      <c r="Z538" s="1732"/>
    </row>
    <row r="539" spans="1:26" ht="18" customHeight="1">
      <c r="A539" s="1732"/>
      <c r="B539" s="1732"/>
      <c r="C539" s="1776"/>
      <c r="D539" s="1732"/>
      <c r="E539" s="1732"/>
      <c r="F539" s="1732"/>
      <c r="G539" s="1732"/>
      <c r="H539" s="1732"/>
      <c r="I539" s="1732"/>
      <c r="J539" s="1732"/>
      <c r="K539" s="1732"/>
      <c r="L539" s="1732"/>
      <c r="M539" s="1732"/>
      <c r="N539" s="1732"/>
      <c r="O539" s="1732"/>
      <c r="P539" s="1732"/>
      <c r="Q539" s="1732"/>
      <c r="R539" s="1732"/>
      <c r="S539" s="1732"/>
      <c r="T539" s="1732"/>
      <c r="U539" s="1732"/>
      <c r="V539" s="1732"/>
      <c r="W539" s="1732"/>
      <c r="X539" s="1732"/>
      <c r="Y539" s="1732"/>
      <c r="Z539" s="1732"/>
    </row>
    <row r="540" spans="1:26" ht="18" customHeight="1">
      <c r="A540" s="1732"/>
      <c r="B540" s="1732"/>
      <c r="C540" s="1776"/>
      <c r="D540" s="1732"/>
      <c r="E540" s="1732"/>
      <c r="F540" s="1732"/>
      <c r="G540" s="1732"/>
      <c r="H540" s="1732"/>
      <c r="I540" s="1732"/>
      <c r="J540" s="1732"/>
      <c r="K540" s="1732"/>
      <c r="L540" s="1732"/>
      <c r="M540" s="1732"/>
      <c r="N540" s="1732"/>
      <c r="O540" s="1732"/>
      <c r="P540" s="1732"/>
      <c r="Q540" s="1732"/>
      <c r="R540" s="1732"/>
      <c r="S540" s="1732"/>
      <c r="T540" s="1732"/>
      <c r="U540" s="1732"/>
      <c r="V540" s="1732"/>
      <c r="W540" s="1732"/>
      <c r="X540" s="1732"/>
      <c r="Y540" s="1732"/>
      <c r="Z540" s="1732"/>
    </row>
    <row r="541" spans="1:26" ht="18" customHeight="1">
      <c r="A541" s="1732"/>
      <c r="B541" s="1732"/>
      <c r="C541" s="1776"/>
      <c r="D541" s="1732"/>
      <c r="E541" s="1732"/>
      <c r="F541" s="1732"/>
      <c r="G541" s="1732"/>
      <c r="H541" s="1732"/>
      <c r="I541" s="1732"/>
      <c r="J541" s="1732"/>
      <c r="K541" s="1732"/>
      <c r="L541" s="1732"/>
      <c r="M541" s="1732"/>
      <c r="N541" s="1732"/>
      <c r="O541" s="1732"/>
      <c r="P541" s="1732"/>
      <c r="Q541" s="1732"/>
      <c r="R541" s="1732"/>
      <c r="S541" s="1732"/>
      <c r="T541" s="1732"/>
      <c r="U541" s="1732"/>
      <c r="V541" s="1732"/>
      <c r="W541" s="1732"/>
      <c r="X541" s="1732"/>
      <c r="Y541" s="1732"/>
      <c r="Z541" s="1732"/>
    </row>
    <row r="542" spans="1:26" ht="18" customHeight="1">
      <c r="A542" s="1732"/>
      <c r="B542" s="1732"/>
      <c r="C542" s="1776"/>
      <c r="D542" s="1732"/>
      <c r="E542" s="1732"/>
      <c r="F542" s="1732"/>
      <c r="G542" s="1732"/>
      <c r="H542" s="1732"/>
      <c r="I542" s="1732"/>
      <c r="J542" s="1732"/>
      <c r="K542" s="1732"/>
      <c r="L542" s="1732"/>
      <c r="M542" s="1732"/>
      <c r="N542" s="1732"/>
      <c r="O542" s="1732"/>
      <c r="P542" s="1732"/>
      <c r="Q542" s="1732"/>
      <c r="R542" s="1732"/>
      <c r="S542" s="1732"/>
      <c r="T542" s="1732"/>
      <c r="U542" s="1732"/>
      <c r="V542" s="1732"/>
      <c r="W542" s="1732"/>
      <c r="X542" s="1732"/>
      <c r="Y542" s="1732"/>
      <c r="Z542" s="1732"/>
    </row>
    <row r="543" spans="1:26" ht="18" customHeight="1">
      <c r="A543" s="1732"/>
      <c r="B543" s="1732"/>
      <c r="C543" s="1776"/>
      <c r="D543" s="1732"/>
      <c r="E543" s="1732"/>
      <c r="F543" s="1732"/>
      <c r="G543" s="1732"/>
      <c r="H543" s="1732"/>
      <c r="I543" s="1732"/>
      <c r="J543" s="1732"/>
      <c r="K543" s="1732"/>
      <c r="L543" s="1732"/>
      <c r="M543" s="1732"/>
      <c r="N543" s="1732"/>
      <c r="O543" s="1732"/>
      <c r="P543" s="1732"/>
      <c r="Q543" s="1732"/>
      <c r="R543" s="1732"/>
      <c r="S543" s="1732"/>
      <c r="T543" s="1732"/>
      <c r="U543" s="1732"/>
      <c r="V543" s="1732"/>
      <c r="W543" s="1732"/>
      <c r="X543" s="1732"/>
      <c r="Y543" s="1732"/>
      <c r="Z543" s="1732"/>
    </row>
    <row r="544" spans="1:26" ht="18" customHeight="1">
      <c r="A544" s="1732"/>
      <c r="B544" s="1732"/>
      <c r="C544" s="1776"/>
      <c r="D544" s="1732"/>
      <c r="E544" s="1732"/>
      <c r="F544" s="1732"/>
      <c r="G544" s="1732"/>
      <c r="H544" s="1732"/>
      <c r="I544" s="1732"/>
      <c r="J544" s="1732"/>
      <c r="K544" s="1732"/>
      <c r="L544" s="1732"/>
      <c r="M544" s="1732"/>
      <c r="N544" s="1732"/>
      <c r="O544" s="1732"/>
      <c r="P544" s="1732"/>
      <c r="Q544" s="1732"/>
      <c r="R544" s="1732"/>
      <c r="S544" s="1732"/>
      <c r="T544" s="1732"/>
      <c r="U544" s="1732"/>
      <c r="V544" s="1732"/>
      <c r="W544" s="1732"/>
      <c r="X544" s="1732"/>
      <c r="Y544" s="1732"/>
      <c r="Z544" s="1732"/>
    </row>
    <row r="545" spans="1:26" ht="18" customHeight="1">
      <c r="A545" s="1732"/>
      <c r="B545" s="1732"/>
      <c r="C545" s="1776"/>
      <c r="D545" s="1732"/>
      <c r="E545" s="1732"/>
      <c r="F545" s="1732"/>
      <c r="G545" s="1732"/>
      <c r="H545" s="1732"/>
      <c r="I545" s="1732"/>
      <c r="J545" s="1732"/>
      <c r="K545" s="1732"/>
      <c r="L545" s="1732"/>
      <c r="M545" s="1732"/>
      <c r="N545" s="1732"/>
      <c r="O545" s="1732"/>
      <c r="P545" s="1732"/>
      <c r="Q545" s="1732"/>
      <c r="R545" s="1732"/>
      <c r="S545" s="1732"/>
      <c r="T545" s="1732"/>
      <c r="U545" s="1732"/>
      <c r="V545" s="1732"/>
      <c r="W545" s="1732"/>
      <c r="X545" s="1732"/>
      <c r="Y545" s="1732"/>
      <c r="Z545" s="1732"/>
    </row>
    <row r="546" spans="1:26" ht="18" customHeight="1">
      <c r="A546" s="1732"/>
      <c r="B546" s="1732"/>
      <c r="C546" s="1776"/>
      <c r="D546" s="1732"/>
      <c r="E546" s="1732"/>
      <c r="F546" s="1732"/>
      <c r="G546" s="1732"/>
      <c r="H546" s="1732"/>
      <c r="I546" s="1732"/>
      <c r="J546" s="1732"/>
      <c r="K546" s="1732"/>
      <c r="L546" s="1732"/>
      <c r="M546" s="1732"/>
      <c r="N546" s="1732"/>
      <c r="O546" s="1732"/>
      <c r="P546" s="1732"/>
      <c r="Q546" s="1732"/>
      <c r="R546" s="1732"/>
      <c r="S546" s="1732"/>
      <c r="T546" s="1732"/>
      <c r="U546" s="1732"/>
      <c r="V546" s="1732"/>
      <c r="W546" s="1732"/>
      <c r="X546" s="1732"/>
      <c r="Y546" s="1732"/>
      <c r="Z546" s="1732"/>
    </row>
    <row r="547" spans="1:26" ht="18" customHeight="1">
      <c r="A547" s="1732"/>
      <c r="B547" s="1732"/>
      <c r="C547" s="1776"/>
      <c r="D547" s="1732"/>
      <c r="E547" s="1732"/>
      <c r="F547" s="1732"/>
      <c r="G547" s="1732"/>
      <c r="H547" s="1732"/>
      <c r="I547" s="1732"/>
      <c r="J547" s="1732"/>
      <c r="K547" s="1732"/>
      <c r="L547" s="1732"/>
      <c r="M547" s="1732"/>
      <c r="N547" s="1732"/>
      <c r="O547" s="1732"/>
      <c r="P547" s="1732"/>
      <c r="Q547" s="1732"/>
      <c r="R547" s="1732"/>
      <c r="S547" s="1732"/>
      <c r="T547" s="1732"/>
      <c r="U547" s="1732"/>
      <c r="V547" s="1732"/>
      <c r="W547" s="1732"/>
      <c r="X547" s="1732"/>
      <c r="Y547" s="1732"/>
      <c r="Z547" s="1732"/>
    </row>
    <row r="548" spans="1:26" ht="18" customHeight="1">
      <c r="A548" s="1732"/>
      <c r="B548" s="1732"/>
      <c r="C548" s="1776"/>
      <c r="D548" s="1732"/>
      <c r="E548" s="1732"/>
      <c r="F548" s="1732"/>
      <c r="G548" s="1732"/>
      <c r="H548" s="1732"/>
      <c r="I548" s="1732"/>
      <c r="J548" s="1732"/>
      <c r="K548" s="1732"/>
      <c r="L548" s="1732"/>
      <c r="M548" s="1732"/>
      <c r="N548" s="1732"/>
      <c r="O548" s="1732"/>
      <c r="P548" s="1732"/>
      <c r="Q548" s="1732"/>
      <c r="R548" s="1732"/>
      <c r="S548" s="1732"/>
      <c r="T548" s="1732"/>
      <c r="U548" s="1732"/>
      <c r="V548" s="1732"/>
      <c r="W548" s="1732"/>
      <c r="X548" s="1732"/>
      <c r="Y548" s="1732"/>
      <c r="Z548" s="1732"/>
    </row>
    <row r="549" spans="1:26" ht="18" customHeight="1">
      <c r="A549" s="1732"/>
      <c r="B549" s="1732"/>
      <c r="C549" s="1776"/>
      <c r="D549" s="1732"/>
      <c r="E549" s="1732"/>
      <c r="F549" s="1732"/>
      <c r="G549" s="1732"/>
      <c r="H549" s="1732"/>
      <c r="I549" s="1732"/>
      <c r="J549" s="1732"/>
      <c r="K549" s="1732"/>
      <c r="L549" s="1732"/>
      <c r="M549" s="1732"/>
      <c r="N549" s="1732"/>
      <c r="O549" s="1732"/>
      <c r="P549" s="1732"/>
      <c r="Q549" s="1732"/>
      <c r="R549" s="1732"/>
      <c r="S549" s="1732"/>
      <c r="T549" s="1732"/>
      <c r="U549" s="1732"/>
      <c r="V549" s="1732"/>
      <c r="W549" s="1732"/>
      <c r="X549" s="1732"/>
      <c r="Y549" s="1732"/>
      <c r="Z549" s="1732"/>
    </row>
    <row r="550" spans="1:26" ht="18" customHeight="1">
      <c r="A550" s="1732"/>
      <c r="B550" s="1732"/>
      <c r="C550" s="1776"/>
      <c r="D550" s="1732"/>
      <c r="E550" s="1732"/>
      <c r="F550" s="1732"/>
      <c r="G550" s="1732"/>
      <c r="H550" s="1732"/>
      <c r="I550" s="1732"/>
      <c r="J550" s="1732"/>
      <c r="K550" s="1732"/>
      <c r="L550" s="1732"/>
      <c r="M550" s="1732"/>
      <c r="N550" s="1732"/>
      <c r="O550" s="1732"/>
      <c r="P550" s="1732"/>
      <c r="Q550" s="1732"/>
      <c r="R550" s="1732"/>
      <c r="S550" s="1732"/>
      <c r="T550" s="1732"/>
      <c r="U550" s="1732"/>
      <c r="V550" s="1732"/>
      <c r="W550" s="1732"/>
      <c r="X550" s="1732"/>
      <c r="Y550" s="1732"/>
      <c r="Z550" s="1732"/>
    </row>
    <row r="551" spans="1:26" ht="18" customHeight="1">
      <c r="A551" s="1732"/>
      <c r="B551" s="1732"/>
      <c r="C551" s="1776"/>
      <c r="D551" s="1732"/>
      <c r="E551" s="1732"/>
      <c r="F551" s="1732"/>
      <c r="G551" s="1732"/>
      <c r="H551" s="1732"/>
      <c r="I551" s="1732"/>
      <c r="J551" s="1732"/>
      <c r="K551" s="1732"/>
      <c r="L551" s="1732"/>
      <c r="M551" s="1732"/>
      <c r="N551" s="1732"/>
      <c r="O551" s="1732"/>
      <c r="P551" s="1732"/>
      <c r="Q551" s="1732"/>
      <c r="R551" s="1732"/>
      <c r="S551" s="1732"/>
      <c r="T551" s="1732"/>
      <c r="U551" s="1732"/>
      <c r="V551" s="1732"/>
      <c r="W551" s="1732"/>
      <c r="X551" s="1732"/>
      <c r="Y551" s="1732"/>
      <c r="Z551" s="1732"/>
    </row>
    <row r="552" spans="1:26" ht="18" customHeight="1">
      <c r="A552" s="1732"/>
      <c r="B552" s="1732"/>
      <c r="C552" s="1776"/>
      <c r="D552" s="1732"/>
      <c r="E552" s="1732"/>
      <c r="F552" s="1732"/>
      <c r="G552" s="1732"/>
      <c r="H552" s="1732"/>
      <c r="I552" s="1732"/>
      <c r="J552" s="1732"/>
      <c r="K552" s="1732"/>
      <c r="L552" s="1732"/>
      <c r="M552" s="1732"/>
      <c r="N552" s="1732"/>
      <c r="O552" s="1732"/>
      <c r="P552" s="1732"/>
      <c r="Q552" s="1732"/>
      <c r="R552" s="1732"/>
      <c r="S552" s="1732"/>
      <c r="T552" s="1732"/>
      <c r="U552" s="1732"/>
      <c r="V552" s="1732"/>
      <c r="W552" s="1732"/>
      <c r="X552" s="1732"/>
      <c r="Y552" s="1732"/>
      <c r="Z552" s="1732"/>
    </row>
    <row r="553" spans="1:26" ht="18" customHeight="1">
      <c r="A553" s="1732"/>
      <c r="B553" s="1732"/>
      <c r="C553" s="1776"/>
      <c r="D553" s="1732"/>
      <c r="E553" s="1732"/>
      <c r="F553" s="1732"/>
      <c r="G553" s="1732"/>
      <c r="H553" s="1732"/>
      <c r="I553" s="1732"/>
      <c r="J553" s="1732"/>
      <c r="K553" s="1732"/>
      <c r="L553" s="1732"/>
      <c r="M553" s="1732"/>
      <c r="N553" s="1732"/>
      <c r="O553" s="1732"/>
      <c r="P553" s="1732"/>
      <c r="Q553" s="1732"/>
      <c r="R553" s="1732"/>
      <c r="S553" s="1732"/>
      <c r="T553" s="1732"/>
      <c r="U553" s="1732"/>
      <c r="V553" s="1732"/>
      <c r="W553" s="1732"/>
      <c r="X553" s="1732"/>
      <c r="Y553" s="1732"/>
      <c r="Z553" s="1732"/>
    </row>
    <row r="554" spans="1:26" ht="18" customHeight="1">
      <c r="A554" s="1732"/>
      <c r="B554" s="1732"/>
      <c r="C554" s="1776"/>
      <c r="D554" s="1732"/>
      <c r="E554" s="1732"/>
      <c r="F554" s="1732"/>
      <c r="G554" s="1732"/>
      <c r="H554" s="1732"/>
      <c r="I554" s="1732"/>
      <c r="J554" s="1732"/>
      <c r="K554" s="1732"/>
      <c r="L554" s="1732"/>
      <c r="M554" s="1732"/>
      <c r="N554" s="1732"/>
      <c r="O554" s="1732"/>
      <c r="P554" s="1732"/>
      <c r="Q554" s="1732"/>
      <c r="R554" s="1732"/>
      <c r="S554" s="1732"/>
      <c r="T554" s="1732"/>
      <c r="U554" s="1732"/>
      <c r="V554" s="1732"/>
      <c r="W554" s="1732"/>
      <c r="X554" s="1732"/>
      <c r="Y554" s="1732"/>
      <c r="Z554" s="1732"/>
    </row>
    <row r="555" spans="1:26" ht="18" customHeight="1">
      <c r="A555" s="1732"/>
      <c r="B555" s="1732"/>
      <c r="C555" s="1776"/>
      <c r="D555" s="1732"/>
      <c r="E555" s="1732"/>
      <c r="F555" s="1732"/>
      <c r="G555" s="1732"/>
      <c r="H555" s="1732"/>
      <c r="I555" s="1732"/>
      <c r="J555" s="1732"/>
      <c r="K555" s="1732"/>
      <c r="L555" s="1732"/>
      <c r="M555" s="1732"/>
      <c r="N555" s="1732"/>
      <c r="O555" s="1732"/>
      <c r="P555" s="1732"/>
      <c r="Q555" s="1732"/>
      <c r="R555" s="1732"/>
      <c r="S555" s="1732"/>
      <c r="T555" s="1732"/>
      <c r="U555" s="1732"/>
      <c r="V555" s="1732"/>
      <c r="W555" s="1732"/>
      <c r="X555" s="1732"/>
      <c r="Y555" s="1732"/>
      <c r="Z555" s="1732"/>
    </row>
    <row r="556" spans="1:26" ht="18" customHeight="1">
      <c r="A556" s="1732"/>
      <c r="B556" s="1732"/>
      <c r="C556" s="1776"/>
      <c r="D556" s="1732"/>
      <c r="E556" s="1732"/>
      <c r="F556" s="1732"/>
      <c r="G556" s="1732"/>
      <c r="H556" s="1732"/>
      <c r="I556" s="1732"/>
      <c r="J556" s="1732"/>
      <c r="K556" s="1732"/>
      <c r="L556" s="1732"/>
      <c r="M556" s="1732"/>
      <c r="N556" s="1732"/>
      <c r="O556" s="1732"/>
      <c r="P556" s="1732"/>
      <c r="Q556" s="1732"/>
      <c r="R556" s="1732"/>
      <c r="S556" s="1732"/>
      <c r="T556" s="1732"/>
      <c r="U556" s="1732"/>
      <c r="V556" s="1732"/>
      <c r="W556" s="1732"/>
      <c r="X556" s="1732"/>
      <c r="Y556" s="1732"/>
      <c r="Z556" s="1732"/>
    </row>
    <row r="557" spans="1:26" ht="18" customHeight="1">
      <c r="A557" s="1732"/>
      <c r="B557" s="1732"/>
      <c r="C557" s="1776"/>
      <c r="D557" s="1732"/>
      <c r="E557" s="1732"/>
      <c r="F557" s="1732"/>
      <c r="G557" s="1732"/>
      <c r="H557" s="1732"/>
      <c r="I557" s="1732"/>
      <c r="J557" s="1732"/>
      <c r="K557" s="1732"/>
      <c r="L557" s="1732"/>
      <c r="M557" s="1732"/>
      <c r="N557" s="1732"/>
      <c r="O557" s="1732"/>
      <c r="P557" s="1732"/>
      <c r="Q557" s="1732"/>
      <c r="R557" s="1732"/>
      <c r="S557" s="1732"/>
      <c r="T557" s="1732"/>
      <c r="U557" s="1732"/>
      <c r="V557" s="1732"/>
      <c r="W557" s="1732"/>
      <c r="X557" s="1732"/>
      <c r="Y557" s="1732"/>
      <c r="Z557" s="1732"/>
    </row>
    <row r="558" spans="1:26" ht="18" customHeight="1">
      <c r="A558" s="1732"/>
      <c r="B558" s="1732"/>
      <c r="C558" s="1776"/>
      <c r="D558" s="1732"/>
      <c r="E558" s="1732"/>
      <c r="F558" s="1732"/>
      <c r="G558" s="1732"/>
      <c r="H558" s="1732"/>
      <c r="I558" s="1732"/>
      <c r="J558" s="1732"/>
      <c r="K558" s="1732"/>
      <c r="L558" s="1732"/>
      <c r="M558" s="1732"/>
      <c r="N558" s="1732"/>
      <c r="O558" s="1732"/>
      <c r="P558" s="1732"/>
      <c r="Q558" s="1732"/>
      <c r="R558" s="1732"/>
      <c r="S558" s="1732"/>
      <c r="T558" s="1732"/>
      <c r="U558" s="1732"/>
      <c r="V558" s="1732"/>
      <c r="W558" s="1732"/>
      <c r="X558" s="1732"/>
      <c r="Y558" s="1732"/>
      <c r="Z558" s="1732"/>
    </row>
    <row r="559" spans="1:26" ht="18" customHeight="1">
      <c r="A559" s="1732"/>
      <c r="B559" s="1732"/>
      <c r="C559" s="1776"/>
      <c r="D559" s="1732"/>
      <c r="E559" s="1732"/>
      <c r="F559" s="1732"/>
      <c r="G559" s="1732"/>
      <c r="H559" s="1732"/>
      <c r="I559" s="1732"/>
      <c r="J559" s="1732"/>
      <c r="K559" s="1732"/>
      <c r="L559" s="1732"/>
      <c r="M559" s="1732"/>
      <c r="N559" s="1732"/>
      <c r="O559" s="1732"/>
      <c r="P559" s="1732"/>
      <c r="Q559" s="1732"/>
      <c r="R559" s="1732"/>
      <c r="S559" s="1732"/>
      <c r="T559" s="1732"/>
      <c r="U559" s="1732"/>
      <c r="V559" s="1732"/>
      <c r="W559" s="1732"/>
      <c r="X559" s="1732"/>
      <c r="Y559" s="1732"/>
      <c r="Z559" s="1732"/>
    </row>
    <row r="560" spans="1:26" ht="18" customHeight="1">
      <c r="A560" s="1732"/>
      <c r="B560" s="1732"/>
      <c r="C560" s="1776"/>
      <c r="D560" s="1732"/>
      <c r="E560" s="1732"/>
      <c r="F560" s="1732"/>
      <c r="G560" s="1732"/>
      <c r="H560" s="1732"/>
      <c r="I560" s="1732"/>
      <c r="J560" s="1732"/>
      <c r="K560" s="1732"/>
      <c r="L560" s="1732"/>
      <c r="M560" s="1732"/>
      <c r="N560" s="1732"/>
      <c r="O560" s="1732"/>
      <c r="P560" s="1732"/>
      <c r="Q560" s="1732"/>
      <c r="R560" s="1732"/>
      <c r="S560" s="1732"/>
      <c r="T560" s="1732"/>
      <c r="U560" s="1732"/>
      <c r="V560" s="1732"/>
      <c r="W560" s="1732"/>
      <c r="X560" s="1732"/>
      <c r="Y560" s="1732"/>
      <c r="Z560" s="1732"/>
    </row>
    <row r="561" spans="1:26" ht="18" customHeight="1">
      <c r="A561" s="1732"/>
      <c r="B561" s="1732"/>
      <c r="C561" s="1776"/>
      <c r="D561" s="1732"/>
      <c r="E561" s="1732"/>
      <c r="F561" s="1732"/>
      <c r="G561" s="1732"/>
      <c r="H561" s="1732"/>
      <c r="I561" s="1732"/>
      <c r="J561" s="1732"/>
      <c r="K561" s="1732"/>
      <c r="L561" s="1732"/>
      <c r="M561" s="1732"/>
      <c r="N561" s="1732"/>
      <c r="O561" s="1732"/>
      <c r="P561" s="1732"/>
      <c r="Q561" s="1732"/>
      <c r="R561" s="1732"/>
      <c r="S561" s="1732"/>
      <c r="T561" s="1732"/>
      <c r="U561" s="1732"/>
      <c r="V561" s="1732"/>
      <c r="W561" s="1732"/>
      <c r="X561" s="1732"/>
      <c r="Y561" s="1732"/>
      <c r="Z561" s="1732"/>
    </row>
    <row r="562" spans="1:26" ht="18" customHeight="1">
      <c r="A562" s="1732"/>
      <c r="B562" s="1732"/>
      <c r="C562" s="1776"/>
      <c r="D562" s="1732"/>
      <c r="E562" s="1732"/>
      <c r="F562" s="1732"/>
      <c r="G562" s="1732"/>
      <c r="H562" s="1732"/>
      <c r="I562" s="1732"/>
      <c r="J562" s="1732"/>
      <c r="K562" s="1732"/>
      <c r="L562" s="1732"/>
      <c r="M562" s="1732"/>
      <c r="N562" s="1732"/>
      <c r="O562" s="1732"/>
      <c r="P562" s="1732"/>
      <c r="Q562" s="1732"/>
      <c r="R562" s="1732"/>
      <c r="S562" s="1732"/>
      <c r="T562" s="1732"/>
      <c r="U562" s="1732"/>
      <c r="V562" s="1732"/>
      <c r="W562" s="1732"/>
      <c r="X562" s="1732"/>
      <c r="Y562" s="1732"/>
      <c r="Z562" s="1732"/>
    </row>
    <row r="563" spans="1:26" ht="18" customHeight="1">
      <c r="A563" s="1732"/>
      <c r="B563" s="1732"/>
      <c r="C563" s="1776"/>
      <c r="D563" s="1732"/>
      <c r="E563" s="1732"/>
      <c r="F563" s="1732"/>
      <c r="G563" s="1732"/>
      <c r="H563" s="1732"/>
      <c r="I563" s="1732"/>
      <c r="J563" s="1732"/>
      <c r="K563" s="1732"/>
      <c r="L563" s="1732"/>
      <c r="M563" s="1732"/>
      <c r="N563" s="1732"/>
      <c r="O563" s="1732"/>
      <c r="P563" s="1732"/>
      <c r="Q563" s="1732"/>
      <c r="R563" s="1732"/>
      <c r="S563" s="1732"/>
      <c r="T563" s="1732"/>
      <c r="U563" s="1732"/>
      <c r="V563" s="1732"/>
      <c r="W563" s="1732"/>
      <c r="X563" s="1732"/>
      <c r="Y563" s="1732"/>
      <c r="Z563" s="1732"/>
    </row>
    <row r="564" spans="1:26" ht="18" customHeight="1">
      <c r="A564" s="1732"/>
      <c r="B564" s="1732"/>
      <c r="C564" s="1776"/>
      <c r="D564" s="1732"/>
      <c r="E564" s="1732"/>
      <c r="F564" s="1732"/>
      <c r="G564" s="1732"/>
      <c r="H564" s="1732"/>
      <c r="I564" s="1732"/>
      <c r="J564" s="1732"/>
      <c r="K564" s="1732"/>
      <c r="L564" s="1732"/>
      <c r="M564" s="1732"/>
      <c r="N564" s="1732"/>
      <c r="O564" s="1732"/>
      <c r="P564" s="1732"/>
      <c r="Q564" s="1732"/>
      <c r="R564" s="1732"/>
      <c r="S564" s="1732"/>
      <c r="T564" s="1732"/>
      <c r="U564" s="1732"/>
      <c r="V564" s="1732"/>
      <c r="W564" s="1732"/>
      <c r="X564" s="1732"/>
      <c r="Y564" s="1732"/>
      <c r="Z564" s="1732"/>
    </row>
    <row r="565" spans="1:26" ht="18" customHeight="1">
      <c r="A565" s="1732"/>
      <c r="B565" s="1732"/>
      <c r="C565" s="1776"/>
      <c r="D565" s="1732"/>
      <c r="E565" s="1732"/>
      <c r="F565" s="1732"/>
      <c r="G565" s="1732"/>
      <c r="H565" s="1732"/>
      <c r="I565" s="1732"/>
      <c r="J565" s="1732"/>
      <c r="K565" s="1732"/>
      <c r="L565" s="1732"/>
      <c r="M565" s="1732"/>
      <c r="N565" s="1732"/>
      <c r="O565" s="1732"/>
      <c r="P565" s="1732"/>
      <c r="Q565" s="1732"/>
      <c r="R565" s="1732"/>
      <c r="S565" s="1732"/>
      <c r="T565" s="1732"/>
      <c r="U565" s="1732"/>
      <c r="V565" s="1732"/>
      <c r="W565" s="1732"/>
      <c r="X565" s="1732"/>
      <c r="Y565" s="1732"/>
      <c r="Z565" s="1732"/>
    </row>
    <row r="566" spans="1:26" ht="18" customHeight="1">
      <c r="A566" s="1732"/>
      <c r="B566" s="1732"/>
      <c r="C566" s="1776"/>
      <c r="D566" s="1732"/>
      <c r="E566" s="1732"/>
      <c r="F566" s="1732"/>
      <c r="G566" s="1732"/>
      <c r="H566" s="1732"/>
      <c r="I566" s="1732"/>
      <c r="J566" s="1732"/>
      <c r="K566" s="1732"/>
      <c r="L566" s="1732"/>
      <c r="M566" s="1732"/>
      <c r="N566" s="1732"/>
      <c r="O566" s="1732"/>
      <c r="P566" s="1732"/>
      <c r="Q566" s="1732"/>
      <c r="R566" s="1732"/>
      <c r="S566" s="1732"/>
      <c r="T566" s="1732"/>
      <c r="U566" s="1732"/>
      <c r="V566" s="1732"/>
      <c r="W566" s="1732"/>
      <c r="X566" s="1732"/>
      <c r="Y566" s="1732"/>
      <c r="Z566" s="1732"/>
    </row>
    <row r="567" spans="1:26" ht="18" customHeight="1">
      <c r="A567" s="1732"/>
      <c r="B567" s="1732"/>
      <c r="C567" s="1776"/>
      <c r="D567" s="1732"/>
      <c r="E567" s="1732"/>
      <c r="F567" s="1732"/>
      <c r="G567" s="1732"/>
      <c r="H567" s="1732"/>
      <c r="I567" s="1732"/>
      <c r="J567" s="1732"/>
      <c r="K567" s="1732"/>
      <c r="L567" s="1732"/>
      <c r="M567" s="1732"/>
      <c r="N567" s="1732"/>
      <c r="O567" s="1732"/>
      <c r="P567" s="1732"/>
      <c r="Q567" s="1732"/>
      <c r="R567" s="1732"/>
      <c r="S567" s="1732"/>
      <c r="T567" s="1732"/>
      <c r="U567" s="1732"/>
      <c r="V567" s="1732"/>
      <c r="W567" s="1732"/>
      <c r="X567" s="1732"/>
      <c r="Y567" s="1732"/>
      <c r="Z567" s="1732"/>
    </row>
    <row r="568" spans="1:26" ht="18" customHeight="1">
      <c r="A568" s="1732"/>
      <c r="B568" s="1732"/>
      <c r="C568" s="1776"/>
      <c r="D568" s="1732"/>
      <c r="E568" s="1732"/>
      <c r="F568" s="1732"/>
      <c r="G568" s="1732"/>
      <c r="H568" s="1732"/>
      <c r="I568" s="1732"/>
      <c r="J568" s="1732"/>
      <c r="K568" s="1732"/>
      <c r="L568" s="1732"/>
      <c r="M568" s="1732"/>
      <c r="N568" s="1732"/>
      <c r="O568" s="1732"/>
      <c r="P568" s="1732"/>
      <c r="Q568" s="1732"/>
      <c r="R568" s="1732"/>
      <c r="S568" s="1732"/>
      <c r="T568" s="1732"/>
      <c r="U568" s="1732"/>
      <c r="V568" s="1732"/>
      <c r="W568" s="1732"/>
      <c r="X568" s="1732"/>
      <c r="Y568" s="1732"/>
      <c r="Z568" s="1732"/>
    </row>
    <row r="569" spans="1:26" ht="18" customHeight="1">
      <c r="A569" s="1732"/>
      <c r="B569" s="1732"/>
      <c r="C569" s="1776"/>
      <c r="D569" s="1732"/>
      <c r="E569" s="1732"/>
      <c r="F569" s="1732"/>
      <c r="G569" s="1732"/>
      <c r="H569" s="1732"/>
      <c r="I569" s="1732"/>
      <c r="J569" s="1732"/>
      <c r="K569" s="1732"/>
      <c r="L569" s="1732"/>
      <c r="M569" s="1732"/>
      <c r="N569" s="1732"/>
      <c r="O569" s="1732"/>
      <c r="P569" s="1732"/>
      <c r="Q569" s="1732"/>
      <c r="R569" s="1732"/>
      <c r="S569" s="1732"/>
      <c r="T569" s="1732"/>
      <c r="U569" s="1732"/>
      <c r="V569" s="1732"/>
      <c r="W569" s="1732"/>
      <c r="X569" s="1732"/>
      <c r="Y569" s="1732"/>
      <c r="Z569" s="1732"/>
    </row>
    <row r="570" spans="1:26" ht="18" customHeight="1">
      <c r="A570" s="1732"/>
      <c r="B570" s="1732"/>
      <c r="C570" s="1776"/>
      <c r="D570" s="1732"/>
      <c r="E570" s="1732"/>
      <c r="F570" s="1732"/>
      <c r="G570" s="1732"/>
      <c r="H570" s="1732"/>
      <c r="I570" s="1732"/>
      <c r="J570" s="1732"/>
      <c r="K570" s="1732"/>
      <c r="L570" s="1732"/>
      <c r="M570" s="1732"/>
      <c r="N570" s="1732"/>
      <c r="O570" s="1732"/>
      <c r="P570" s="1732"/>
      <c r="Q570" s="1732"/>
      <c r="R570" s="1732"/>
      <c r="S570" s="1732"/>
      <c r="T570" s="1732"/>
      <c r="U570" s="1732"/>
      <c r="V570" s="1732"/>
      <c r="W570" s="1732"/>
      <c r="X570" s="1732"/>
      <c r="Y570" s="1732"/>
      <c r="Z570" s="1732"/>
    </row>
    <row r="571" spans="1:26" ht="18" customHeight="1">
      <c r="A571" s="1732"/>
      <c r="B571" s="1732"/>
      <c r="C571" s="1776"/>
      <c r="D571" s="1732"/>
      <c r="E571" s="1732"/>
      <c r="F571" s="1732"/>
      <c r="G571" s="1732"/>
      <c r="H571" s="1732"/>
      <c r="I571" s="1732"/>
      <c r="J571" s="1732"/>
      <c r="K571" s="1732"/>
      <c r="L571" s="1732"/>
      <c r="M571" s="1732"/>
      <c r="N571" s="1732"/>
      <c r="O571" s="1732"/>
      <c r="P571" s="1732"/>
      <c r="Q571" s="1732"/>
      <c r="R571" s="1732"/>
      <c r="S571" s="1732"/>
      <c r="T571" s="1732"/>
      <c r="U571" s="1732"/>
      <c r="V571" s="1732"/>
      <c r="W571" s="1732"/>
      <c r="X571" s="1732"/>
      <c r="Y571" s="1732"/>
      <c r="Z571" s="1732"/>
    </row>
    <row r="572" spans="1:26" ht="18" customHeight="1">
      <c r="A572" s="1732"/>
      <c r="B572" s="1732"/>
      <c r="C572" s="1776"/>
      <c r="D572" s="1732"/>
      <c r="E572" s="1732"/>
      <c r="F572" s="1732"/>
      <c r="G572" s="1732"/>
      <c r="H572" s="1732"/>
      <c r="I572" s="1732"/>
      <c r="J572" s="1732"/>
      <c r="K572" s="1732"/>
      <c r="L572" s="1732"/>
      <c r="M572" s="1732"/>
      <c r="N572" s="1732"/>
      <c r="O572" s="1732"/>
      <c r="P572" s="1732"/>
      <c r="Q572" s="1732"/>
      <c r="R572" s="1732"/>
      <c r="S572" s="1732"/>
      <c r="T572" s="1732"/>
      <c r="U572" s="1732"/>
      <c r="V572" s="1732"/>
      <c r="W572" s="1732"/>
      <c r="X572" s="1732"/>
      <c r="Y572" s="1732"/>
      <c r="Z572" s="1732"/>
    </row>
    <row r="573" spans="1:26" ht="18" customHeight="1">
      <c r="A573" s="1732"/>
      <c r="B573" s="1732"/>
      <c r="C573" s="1776"/>
      <c r="D573" s="1732"/>
      <c r="E573" s="1732"/>
      <c r="F573" s="1732"/>
      <c r="G573" s="1732"/>
      <c r="H573" s="1732"/>
      <c r="I573" s="1732"/>
      <c r="J573" s="1732"/>
      <c r="K573" s="1732"/>
      <c r="L573" s="1732"/>
      <c r="M573" s="1732"/>
      <c r="N573" s="1732"/>
      <c r="O573" s="1732"/>
      <c r="P573" s="1732"/>
      <c r="Q573" s="1732"/>
      <c r="R573" s="1732"/>
      <c r="S573" s="1732"/>
      <c r="T573" s="1732"/>
      <c r="U573" s="1732"/>
      <c r="V573" s="1732"/>
      <c r="W573" s="1732"/>
      <c r="X573" s="1732"/>
      <c r="Y573" s="1732"/>
      <c r="Z573" s="1732"/>
    </row>
    <row r="574" spans="1:26" ht="18" customHeight="1">
      <c r="A574" s="1732"/>
      <c r="B574" s="1732"/>
      <c r="C574" s="1776"/>
      <c r="D574" s="1732"/>
      <c r="E574" s="1732"/>
      <c r="F574" s="1732"/>
      <c r="G574" s="1732"/>
      <c r="H574" s="1732"/>
      <c r="I574" s="1732"/>
      <c r="J574" s="1732"/>
      <c r="K574" s="1732"/>
      <c r="L574" s="1732"/>
      <c r="M574" s="1732"/>
      <c r="N574" s="1732"/>
      <c r="O574" s="1732"/>
      <c r="P574" s="1732"/>
      <c r="Q574" s="1732"/>
      <c r="R574" s="1732"/>
      <c r="S574" s="1732"/>
      <c r="T574" s="1732"/>
      <c r="U574" s="1732"/>
      <c r="V574" s="1732"/>
      <c r="W574" s="1732"/>
      <c r="X574" s="1732"/>
      <c r="Y574" s="1732"/>
      <c r="Z574" s="1732"/>
    </row>
    <row r="575" spans="1:26" ht="18" customHeight="1">
      <c r="A575" s="1732"/>
      <c r="B575" s="1732"/>
      <c r="C575" s="1776"/>
      <c r="D575" s="1732"/>
      <c r="E575" s="1732"/>
      <c r="F575" s="1732"/>
      <c r="G575" s="1732"/>
      <c r="H575" s="1732"/>
      <c r="I575" s="1732"/>
      <c r="J575" s="1732"/>
      <c r="K575" s="1732"/>
      <c r="L575" s="1732"/>
      <c r="M575" s="1732"/>
      <c r="N575" s="1732"/>
      <c r="O575" s="1732"/>
      <c r="P575" s="1732"/>
      <c r="Q575" s="1732"/>
      <c r="R575" s="1732"/>
      <c r="S575" s="1732"/>
      <c r="T575" s="1732"/>
      <c r="U575" s="1732"/>
      <c r="V575" s="1732"/>
      <c r="W575" s="1732"/>
      <c r="X575" s="1732"/>
      <c r="Y575" s="1732"/>
      <c r="Z575" s="1732"/>
    </row>
    <row r="576" spans="1:26" ht="18" customHeight="1">
      <c r="A576" s="1732"/>
      <c r="B576" s="1732"/>
      <c r="C576" s="1776"/>
      <c r="D576" s="1732"/>
      <c r="E576" s="1732"/>
      <c r="F576" s="1732"/>
      <c r="G576" s="1732"/>
      <c r="H576" s="1732"/>
      <c r="I576" s="1732"/>
      <c r="J576" s="1732"/>
      <c r="K576" s="1732"/>
      <c r="L576" s="1732"/>
      <c r="M576" s="1732"/>
      <c r="N576" s="1732"/>
      <c r="O576" s="1732"/>
      <c r="P576" s="1732"/>
      <c r="Q576" s="1732"/>
      <c r="R576" s="1732"/>
      <c r="S576" s="1732"/>
      <c r="T576" s="1732"/>
      <c r="U576" s="1732"/>
      <c r="V576" s="1732"/>
      <c r="W576" s="1732"/>
      <c r="X576" s="1732"/>
      <c r="Y576" s="1732"/>
      <c r="Z576" s="1732"/>
    </row>
    <row r="577" spans="1:26" ht="18" customHeight="1">
      <c r="A577" s="1732"/>
      <c r="B577" s="1732"/>
      <c r="C577" s="1776"/>
      <c r="D577" s="1732"/>
      <c r="E577" s="1732"/>
      <c r="F577" s="1732"/>
      <c r="G577" s="1732"/>
      <c r="H577" s="1732"/>
      <c r="I577" s="1732"/>
      <c r="J577" s="1732"/>
      <c r="K577" s="1732"/>
      <c r="L577" s="1732"/>
      <c r="M577" s="1732"/>
      <c r="N577" s="1732"/>
      <c r="O577" s="1732"/>
      <c r="P577" s="1732"/>
      <c r="Q577" s="1732"/>
      <c r="R577" s="1732"/>
      <c r="S577" s="1732"/>
      <c r="T577" s="1732"/>
      <c r="U577" s="1732"/>
      <c r="V577" s="1732"/>
      <c r="W577" s="1732"/>
      <c r="X577" s="1732"/>
      <c r="Y577" s="1732"/>
      <c r="Z577" s="1732"/>
    </row>
    <row r="578" spans="1:26" ht="18" customHeight="1">
      <c r="A578" s="1732"/>
      <c r="B578" s="1732"/>
      <c r="C578" s="1776"/>
      <c r="D578" s="1732"/>
      <c r="E578" s="1732"/>
      <c r="F578" s="1732"/>
      <c r="G578" s="1732"/>
      <c r="H578" s="1732"/>
      <c r="I578" s="1732"/>
      <c r="J578" s="1732"/>
      <c r="K578" s="1732"/>
      <c r="L578" s="1732"/>
      <c r="M578" s="1732"/>
      <c r="N578" s="1732"/>
      <c r="O578" s="1732"/>
      <c r="P578" s="1732"/>
      <c r="Q578" s="1732"/>
      <c r="R578" s="1732"/>
      <c r="S578" s="1732"/>
      <c r="T578" s="1732"/>
      <c r="U578" s="1732"/>
      <c r="V578" s="1732"/>
      <c r="W578" s="1732"/>
      <c r="X578" s="1732"/>
      <c r="Y578" s="1732"/>
      <c r="Z578" s="1732"/>
    </row>
    <row r="579" spans="1:26" ht="18" customHeight="1">
      <c r="A579" s="1732"/>
      <c r="B579" s="1732"/>
      <c r="C579" s="1776"/>
      <c r="D579" s="1732"/>
      <c r="E579" s="1732"/>
      <c r="F579" s="1732"/>
      <c r="G579" s="1732"/>
      <c r="H579" s="1732"/>
      <c r="I579" s="1732"/>
      <c r="J579" s="1732"/>
      <c r="K579" s="1732"/>
      <c r="L579" s="1732"/>
      <c r="M579" s="1732"/>
      <c r="N579" s="1732"/>
      <c r="O579" s="1732"/>
      <c r="P579" s="1732"/>
      <c r="Q579" s="1732"/>
      <c r="R579" s="1732"/>
      <c r="S579" s="1732"/>
      <c r="T579" s="1732"/>
      <c r="U579" s="1732"/>
      <c r="V579" s="1732"/>
      <c r="W579" s="1732"/>
      <c r="X579" s="1732"/>
      <c r="Y579" s="1732"/>
      <c r="Z579" s="1732"/>
    </row>
    <row r="580" spans="1:26" ht="18" customHeight="1">
      <c r="A580" s="1732"/>
      <c r="B580" s="1732"/>
      <c r="C580" s="1776"/>
      <c r="D580" s="1732"/>
      <c r="E580" s="1732"/>
      <c r="F580" s="1732"/>
      <c r="G580" s="1732"/>
      <c r="H580" s="1732"/>
      <c r="I580" s="1732"/>
      <c r="J580" s="1732"/>
      <c r="K580" s="1732"/>
      <c r="L580" s="1732"/>
      <c r="M580" s="1732"/>
      <c r="N580" s="1732"/>
      <c r="O580" s="1732"/>
      <c r="P580" s="1732"/>
      <c r="Q580" s="1732"/>
      <c r="R580" s="1732"/>
      <c r="S580" s="1732"/>
      <c r="T580" s="1732"/>
      <c r="U580" s="1732"/>
      <c r="V580" s="1732"/>
      <c r="W580" s="1732"/>
      <c r="X580" s="1732"/>
      <c r="Y580" s="1732"/>
      <c r="Z580" s="1732"/>
    </row>
    <row r="581" spans="1:26" ht="18" customHeight="1">
      <c r="A581" s="1732"/>
      <c r="B581" s="1732"/>
      <c r="C581" s="1776"/>
      <c r="D581" s="1732"/>
      <c r="E581" s="1732"/>
      <c r="F581" s="1732"/>
      <c r="G581" s="1732"/>
      <c r="H581" s="1732"/>
      <c r="I581" s="1732"/>
      <c r="J581" s="1732"/>
      <c r="K581" s="1732"/>
      <c r="L581" s="1732"/>
      <c r="M581" s="1732"/>
      <c r="N581" s="1732"/>
      <c r="O581" s="1732"/>
      <c r="P581" s="1732"/>
      <c r="Q581" s="1732"/>
      <c r="R581" s="1732"/>
      <c r="S581" s="1732"/>
      <c r="T581" s="1732"/>
      <c r="U581" s="1732"/>
      <c r="V581" s="1732"/>
      <c r="W581" s="1732"/>
      <c r="X581" s="1732"/>
      <c r="Y581" s="1732"/>
      <c r="Z581" s="1732"/>
    </row>
    <row r="582" spans="1:26" ht="18" customHeight="1">
      <c r="A582" s="1732"/>
      <c r="B582" s="1732"/>
      <c r="C582" s="1776"/>
      <c r="D582" s="1732"/>
      <c r="E582" s="1732"/>
      <c r="F582" s="1732"/>
      <c r="G582" s="1732"/>
      <c r="H582" s="1732"/>
      <c r="I582" s="1732"/>
      <c r="J582" s="1732"/>
      <c r="K582" s="1732"/>
      <c r="L582" s="1732"/>
      <c r="M582" s="1732"/>
      <c r="N582" s="1732"/>
      <c r="O582" s="1732"/>
      <c r="P582" s="1732"/>
      <c r="Q582" s="1732"/>
      <c r="R582" s="1732"/>
      <c r="S582" s="1732"/>
      <c r="T582" s="1732"/>
      <c r="U582" s="1732"/>
      <c r="V582" s="1732"/>
      <c r="W582" s="1732"/>
      <c r="X582" s="1732"/>
      <c r="Y582" s="1732"/>
      <c r="Z582" s="1732"/>
    </row>
    <row r="583" spans="1:26" ht="18" customHeight="1">
      <c r="A583" s="1732"/>
      <c r="B583" s="1732"/>
      <c r="C583" s="1776"/>
      <c r="D583" s="1732"/>
      <c r="E583" s="1732"/>
      <c r="F583" s="1732"/>
      <c r="G583" s="1732"/>
      <c r="H583" s="1732"/>
      <c r="I583" s="1732"/>
      <c r="J583" s="1732"/>
      <c r="K583" s="1732"/>
      <c r="L583" s="1732"/>
      <c r="M583" s="1732"/>
      <c r="N583" s="1732"/>
      <c r="O583" s="1732"/>
      <c r="P583" s="1732"/>
      <c r="Q583" s="1732"/>
      <c r="R583" s="1732"/>
      <c r="S583" s="1732"/>
      <c r="T583" s="1732"/>
      <c r="U583" s="1732"/>
      <c r="V583" s="1732"/>
      <c r="W583" s="1732"/>
      <c r="X583" s="1732"/>
      <c r="Y583" s="1732"/>
      <c r="Z583" s="1732"/>
    </row>
    <row r="584" spans="1:26" ht="18" customHeight="1">
      <c r="A584" s="1732"/>
      <c r="B584" s="1732"/>
      <c r="C584" s="1776"/>
      <c r="D584" s="1732"/>
      <c r="E584" s="1732"/>
      <c r="F584" s="1732"/>
      <c r="G584" s="1732"/>
      <c r="H584" s="1732"/>
      <c r="I584" s="1732"/>
      <c r="J584" s="1732"/>
      <c r="K584" s="1732"/>
      <c r="L584" s="1732"/>
      <c r="M584" s="1732"/>
      <c r="N584" s="1732"/>
      <c r="O584" s="1732"/>
      <c r="P584" s="1732"/>
      <c r="Q584" s="1732"/>
      <c r="R584" s="1732"/>
      <c r="S584" s="1732"/>
      <c r="T584" s="1732"/>
      <c r="U584" s="1732"/>
      <c r="V584" s="1732"/>
      <c r="W584" s="1732"/>
      <c r="X584" s="1732"/>
      <c r="Y584" s="1732"/>
      <c r="Z584" s="1732"/>
    </row>
    <row r="585" spans="1:26" ht="18" customHeight="1">
      <c r="A585" s="1732"/>
      <c r="B585" s="1732"/>
      <c r="C585" s="1776"/>
      <c r="D585" s="1732"/>
      <c r="E585" s="1732"/>
      <c r="F585" s="1732"/>
      <c r="G585" s="1732"/>
      <c r="H585" s="1732"/>
      <c r="I585" s="1732"/>
      <c r="J585" s="1732"/>
      <c r="K585" s="1732"/>
      <c r="L585" s="1732"/>
      <c r="M585" s="1732"/>
      <c r="N585" s="1732"/>
      <c r="O585" s="1732"/>
      <c r="P585" s="1732"/>
      <c r="Q585" s="1732"/>
      <c r="R585" s="1732"/>
      <c r="S585" s="1732"/>
      <c r="T585" s="1732"/>
      <c r="U585" s="1732"/>
      <c r="V585" s="1732"/>
      <c r="W585" s="1732"/>
      <c r="X585" s="1732"/>
      <c r="Y585" s="1732"/>
      <c r="Z585" s="1732"/>
    </row>
    <row r="586" spans="1:26" ht="18" customHeight="1">
      <c r="A586" s="1732"/>
      <c r="B586" s="1732"/>
      <c r="C586" s="1776"/>
      <c r="D586" s="1732"/>
      <c r="E586" s="1732"/>
      <c r="F586" s="1732"/>
      <c r="G586" s="1732"/>
      <c r="H586" s="1732"/>
      <c r="I586" s="1732"/>
      <c r="J586" s="1732"/>
      <c r="K586" s="1732"/>
      <c r="L586" s="1732"/>
      <c r="M586" s="1732"/>
      <c r="N586" s="1732"/>
      <c r="O586" s="1732"/>
      <c r="P586" s="1732"/>
      <c r="Q586" s="1732"/>
      <c r="R586" s="1732"/>
      <c r="S586" s="1732"/>
      <c r="T586" s="1732"/>
      <c r="U586" s="1732"/>
      <c r="V586" s="1732"/>
      <c r="W586" s="1732"/>
      <c r="X586" s="1732"/>
      <c r="Y586" s="1732"/>
      <c r="Z586" s="1732"/>
    </row>
    <row r="587" spans="1:26" ht="18" customHeight="1">
      <c r="A587" s="1732"/>
      <c r="B587" s="1732"/>
      <c r="C587" s="1776"/>
      <c r="D587" s="1732"/>
      <c r="E587" s="1732"/>
      <c r="F587" s="1732"/>
      <c r="G587" s="1732"/>
      <c r="H587" s="1732"/>
      <c r="I587" s="1732"/>
      <c r="J587" s="1732"/>
      <c r="K587" s="1732"/>
      <c r="L587" s="1732"/>
      <c r="M587" s="1732"/>
      <c r="N587" s="1732"/>
      <c r="O587" s="1732"/>
      <c r="P587" s="1732"/>
      <c r="Q587" s="1732"/>
      <c r="R587" s="1732"/>
      <c r="S587" s="1732"/>
      <c r="T587" s="1732"/>
      <c r="U587" s="1732"/>
      <c r="V587" s="1732"/>
      <c r="W587" s="1732"/>
      <c r="X587" s="1732"/>
      <c r="Y587" s="1732"/>
      <c r="Z587" s="1732"/>
    </row>
    <row r="588" spans="1:26" ht="18" customHeight="1">
      <c r="A588" s="1732"/>
      <c r="B588" s="1732"/>
      <c r="C588" s="1776"/>
      <c r="D588" s="1732"/>
      <c r="E588" s="1732"/>
      <c r="F588" s="1732"/>
      <c r="G588" s="1732"/>
      <c r="H588" s="1732"/>
      <c r="I588" s="1732"/>
      <c r="J588" s="1732"/>
      <c r="K588" s="1732"/>
      <c r="L588" s="1732"/>
      <c r="M588" s="1732"/>
      <c r="N588" s="1732"/>
      <c r="O588" s="1732"/>
      <c r="P588" s="1732"/>
      <c r="Q588" s="1732"/>
      <c r="R588" s="1732"/>
      <c r="S588" s="1732"/>
      <c r="T588" s="1732"/>
      <c r="U588" s="1732"/>
      <c r="V588" s="1732"/>
      <c r="W588" s="1732"/>
      <c r="X588" s="1732"/>
      <c r="Y588" s="1732"/>
      <c r="Z588" s="1732"/>
    </row>
    <row r="589" spans="1:26" ht="18" customHeight="1">
      <c r="A589" s="1732"/>
      <c r="B589" s="1732"/>
      <c r="C589" s="1776"/>
      <c r="D589" s="1732"/>
      <c r="E589" s="1732"/>
      <c r="F589" s="1732"/>
      <c r="G589" s="1732"/>
      <c r="H589" s="1732"/>
      <c r="I589" s="1732"/>
      <c r="J589" s="1732"/>
      <c r="K589" s="1732"/>
      <c r="L589" s="1732"/>
      <c r="M589" s="1732"/>
      <c r="N589" s="1732"/>
      <c r="O589" s="1732"/>
      <c r="P589" s="1732"/>
      <c r="Q589" s="1732"/>
      <c r="R589" s="1732"/>
      <c r="S589" s="1732"/>
      <c r="T589" s="1732"/>
      <c r="U589" s="1732"/>
      <c r="V589" s="1732"/>
      <c r="W589" s="1732"/>
      <c r="X589" s="1732"/>
      <c r="Y589" s="1732"/>
      <c r="Z589" s="1732"/>
    </row>
    <row r="590" spans="1:26" ht="18" customHeight="1">
      <c r="A590" s="1732"/>
      <c r="B590" s="1732"/>
      <c r="C590" s="1776"/>
      <c r="D590" s="1732"/>
      <c r="E590" s="1732"/>
      <c r="F590" s="1732"/>
      <c r="G590" s="1732"/>
      <c r="H590" s="1732"/>
      <c r="I590" s="1732"/>
      <c r="J590" s="1732"/>
      <c r="K590" s="1732"/>
      <c r="L590" s="1732"/>
      <c r="M590" s="1732"/>
      <c r="N590" s="1732"/>
      <c r="O590" s="1732"/>
      <c r="P590" s="1732"/>
      <c r="Q590" s="1732"/>
      <c r="R590" s="1732"/>
      <c r="S590" s="1732"/>
      <c r="T590" s="1732"/>
      <c r="U590" s="1732"/>
      <c r="V590" s="1732"/>
      <c r="W590" s="1732"/>
      <c r="X590" s="1732"/>
      <c r="Y590" s="1732"/>
      <c r="Z590" s="1732"/>
    </row>
    <row r="591" spans="1:26" ht="18" customHeight="1">
      <c r="A591" s="1732"/>
      <c r="B591" s="1732"/>
      <c r="C591" s="1776"/>
      <c r="D591" s="1732"/>
      <c r="E591" s="1732"/>
      <c r="F591" s="1732"/>
      <c r="G591" s="1732"/>
      <c r="H591" s="1732"/>
      <c r="I591" s="1732"/>
      <c r="J591" s="1732"/>
      <c r="K591" s="1732"/>
      <c r="L591" s="1732"/>
      <c r="M591" s="1732"/>
      <c r="N591" s="1732"/>
      <c r="O591" s="1732"/>
      <c r="P591" s="1732"/>
      <c r="Q591" s="1732"/>
      <c r="R591" s="1732"/>
      <c r="S591" s="1732"/>
      <c r="T591" s="1732"/>
      <c r="U591" s="1732"/>
      <c r="V591" s="1732"/>
      <c r="W591" s="1732"/>
      <c r="X591" s="1732"/>
      <c r="Y591" s="1732"/>
      <c r="Z591" s="1732"/>
    </row>
    <row r="592" spans="1:26" ht="18" customHeight="1">
      <c r="A592" s="1732"/>
      <c r="B592" s="1732"/>
      <c r="C592" s="1776"/>
      <c r="D592" s="1732"/>
      <c r="E592" s="1732"/>
      <c r="F592" s="1732"/>
      <c r="G592" s="1732"/>
      <c r="H592" s="1732"/>
      <c r="I592" s="1732"/>
      <c r="J592" s="1732"/>
      <c r="K592" s="1732"/>
      <c r="L592" s="1732"/>
      <c r="M592" s="1732"/>
      <c r="N592" s="1732"/>
      <c r="O592" s="1732"/>
      <c r="P592" s="1732"/>
      <c r="Q592" s="1732"/>
      <c r="R592" s="1732"/>
      <c r="S592" s="1732"/>
      <c r="T592" s="1732"/>
      <c r="U592" s="1732"/>
      <c r="V592" s="1732"/>
      <c r="W592" s="1732"/>
      <c r="X592" s="1732"/>
      <c r="Y592" s="1732"/>
      <c r="Z592" s="1732"/>
    </row>
    <row r="593" spans="1:26" ht="18" customHeight="1">
      <c r="A593" s="1732"/>
      <c r="B593" s="1732"/>
      <c r="C593" s="1776"/>
      <c r="D593" s="1732"/>
      <c r="E593" s="1732"/>
      <c r="F593" s="1732"/>
      <c r="G593" s="1732"/>
      <c r="H593" s="1732"/>
      <c r="I593" s="1732"/>
      <c r="J593" s="1732"/>
      <c r="K593" s="1732"/>
      <c r="L593" s="1732"/>
      <c r="M593" s="1732"/>
      <c r="N593" s="1732"/>
      <c r="O593" s="1732"/>
      <c r="P593" s="1732"/>
      <c r="Q593" s="1732"/>
      <c r="R593" s="1732"/>
      <c r="S593" s="1732"/>
      <c r="T593" s="1732"/>
      <c r="U593" s="1732"/>
      <c r="V593" s="1732"/>
      <c r="W593" s="1732"/>
      <c r="X593" s="1732"/>
      <c r="Y593" s="1732"/>
      <c r="Z593" s="1732"/>
    </row>
    <row r="594" spans="1:26" ht="18" customHeight="1">
      <c r="A594" s="1732"/>
      <c r="B594" s="1732"/>
      <c r="C594" s="1776"/>
      <c r="D594" s="1732"/>
      <c r="E594" s="1732"/>
      <c r="F594" s="1732"/>
      <c r="G594" s="1732"/>
      <c r="H594" s="1732"/>
      <c r="I594" s="1732"/>
      <c r="J594" s="1732"/>
      <c r="K594" s="1732"/>
      <c r="L594" s="1732"/>
      <c r="M594" s="1732"/>
      <c r="N594" s="1732"/>
      <c r="O594" s="1732"/>
      <c r="P594" s="1732"/>
      <c r="Q594" s="1732"/>
      <c r="R594" s="1732"/>
      <c r="S594" s="1732"/>
      <c r="T594" s="1732"/>
      <c r="U594" s="1732"/>
      <c r="V594" s="1732"/>
      <c r="W594" s="1732"/>
      <c r="X594" s="1732"/>
      <c r="Y594" s="1732"/>
      <c r="Z594" s="1732"/>
    </row>
    <row r="595" spans="1:26" ht="18" customHeight="1">
      <c r="A595" s="1732"/>
      <c r="B595" s="1732"/>
      <c r="C595" s="1776"/>
      <c r="D595" s="1732"/>
      <c r="E595" s="1732"/>
      <c r="F595" s="1732"/>
      <c r="G595" s="1732"/>
      <c r="H595" s="1732"/>
      <c r="I595" s="1732"/>
      <c r="J595" s="1732"/>
      <c r="K595" s="1732"/>
      <c r="L595" s="1732"/>
      <c r="M595" s="1732"/>
      <c r="N595" s="1732"/>
      <c r="O595" s="1732"/>
      <c r="P595" s="1732"/>
      <c r="Q595" s="1732"/>
      <c r="R595" s="1732"/>
      <c r="S595" s="1732"/>
      <c r="T595" s="1732"/>
      <c r="U595" s="1732"/>
      <c r="V595" s="1732"/>
      <c r="W595" s="1732"/>
      <c r="X595" s="1732"/>
      <c r="Y595" s="1732"/>
      <c r="Z595" s="1732"/>
    </row>
    <row r="596" spans="1:26" ht="18" customHeight="1">
      <c r="A596" s="1732"/>
      <c r="B596" s="1732"/>
      <c r="C596" s="1776"/>
      <c r="D596" s="1732"/>
      <c r="E596" s="1732"/>
      <c r="F596" s="1732"/>
      <c r="G596" s="1732"/>
      <c r="H596" s="1732"/>
      <c r="I596" s="1732"/>
      <c r="J596" s="1732"/>
      <c r="K596" s="1732"/>
      <c r="L596" s="1732"/>
      <c r="M596" s="1732"/>
      <c r="N596" s="1732"/>
      <c r="O596" s="1732"/>
      <c r="P596" s="1732"/>
      <c r="Q596" s="1732"/>
      <c r="R596" s="1732"/>
      <c r="S596" s="1732"/>
      <c r="T596" s="1732"/>
      <c r="U596" s="1732"/>
      <c r="V596" s="1732"/>
      <c r="W596" s="1732"/>
      <c r="X596" s="1732"/>
      <c r="Y596" s="1732"/>
      <c r="Z596" s="1732"/>
    </row>
    <row r="597" spans="1:26" ht="18" customHeight="1">
      <c r="A597" s="1732"/>
      <c r="B597" s="1732"/>
      <c r="C597" s="1776"/>
      <c r="D597" s="1732"/>
      <c r="E597" s="1732"/>
      <c r="F597" s="1732"/>
      <c r="G597" s="1732"/>
      <c r="H597" s="1732"/>
      <c r="I597" s="1732"/>
      <c r="J597" s="1732"/>
      <c r="K597" s="1732"/>
      <c r="L597" s="1732"/>
      <c r="M597" s="1732"/>
      <c r="N597" s="1732"/>
      <c r="O597" s="1732"/>
      <c r="P597" s="1732"/>
      <c r="Q597" s="1732"/>
      <c r="R597" s="1732"/>
      <c r="S597" s="1732"/>
      <c r="T597" s="1732"/>
      <c r="U597" s="1732"/>
      <c r="V597" s="1732"/>
      <c r="W597" s="1732"/>
      <c r="X597" s="1732"/>
      <c r="Y597" s="1732"/>
      <c r="Z597" s="1732"/>
    </row>
    <row r="598" spans="1:26" ht="18" customHeight="1">
      <c r="A598" s="1732"/>
      <c r="B598" s="1732"/>
      <c r="C598" s="1776"/>
      <c r="D598" s="1732"/>
      <c r="E598" s="1732"/>
      <c r="F598" s="1732"/>
      <c r="G598" s="1732"/>
      <c r="H598" s="1732"/>
      <c r="I598" s="1732"/>
      <c r="J598" s="1732"/>
      <c r="K598" s="1732"/>
      <c r="L598" s="1732"/>
      <c r="M598" s="1732"/>
      <c r="N598" s="1732"/>
      <c r="O598" s="1732"/>
      <c r="P598" s="1732"/>
      <c r="Q598" s="1732"/>
      <c r="R598" s="1732"/>
      <c r="S598" s="1732"/>
      <c r="T598" s="1732"/>
      <c r="U598" s="1732"/>
      <c r="V598" s="1732"/>
      <c r="W598" s="1732"/>
      <c r="X598" s="1732"/>
      <c r="Y598" s="1732"/>
      <c r="Z598" s="1732"/>
    </row>
    <row r="599" spans="1:26" ht="18" customHeight="1">
      <c r="A599" s="1732"/>
      <c r="B599" s="1732"/>
      <c r="C599" s="1776"/>
      <c r="D599" s="1732"/>
      <c r="E599" s="1732"/>
      <c r="F599" s="1732"/>
      <c r="G599" s="1732"/>
      <c r="H599" s="1732"/>
      <c r="I599" s="1732"/>
      <c r="J599" s="1732"/>
      <c r="K599" s="1732"/>
      <c r="L599" s="1732"/>
      <c r="M599" s="1732"/>
      <c r="N599" s="1732"/>
      <c r="O599" s="1732"/>
      <c r="P599" s="1732"/>
      <c r="Q599" s="1732"/>
      <c r="R599" s="1732"/>
      <c r="S599" s="1732"/>
      <c r="T599" s="1732"/>
      <c r="U599" s="1732"/>
      <c r="V599" s="1732"/>
      <c r="W599" s="1732"/>
      <c r="X599" s="1732"/>
      <c r="Y599" s="1732"/>
      <c r="Z599" s="1732"/>
    </row>
    <row r="600" spans="1:26" ht="18" customHeight="1">
      <c r="A600" s="1732"/>
      <c r="B600" s="1732"/>
      <c r="C600" s="1776"/>
      <c r="D600" s="1732"/>
      <c r="E600" s="1732"/>
      <c r="F600" s="1732"/>
      <c r="G600" s="1732"/>
      <c r="H600" s="1732"/>
      <c r="I600" s="1732"/>
      <c r="J600" s="1732"/>
      <c r="K600" s="1732"/>
      <c r="L600" s="1732"/>
      <c r="M600" s="1732"/>
      <c r="N600" s="1732"/>
      <c r="O600" s="1732"/>
      <c r="P600" s="1732"/>
      <c r="Q600" s="1732"/>
      <c r="R600" s="1732"/>
      <c r="S600" s="1732"/>
      <c r="T600" s="1732"/>
      <c r="U600" s="1732"/>
      <c r="V600" s="1732"/>
      <c r="W600" s="1732"/>
      <c r="X600" s="1732"/>
      <c r="Y600" s="1732"/>
      <c r="Z600" s="1732"/>
    </row>
    <row r="601" spans="1:26" ht="18" customHeight="1">
      <c r="A601" s="1732"/>
      <c r="B601" s="1732"/>
      <c r="C601" s="1776"/>
      <c r="D601" s="1732"/>
      <c r="E601" s="1732"/>
      <c r="F601" s="1732"/>
      <c r="G601" s="1732"/>
      <c r="H601" s="1732"/>
      <c r="I601" s="1732"/>
      <c r="J601" s="1732"/>
      <c r="K601" s="1732"/>
      <c r="L601" s="1732"/>
      <c r="M601" s="1732"/>
      <c r="N601" s="1732"/>
      <c r="O601" s="1732"/>
      <c r="P601" s="1732"/>
      <c r="Q601" s="1732"/>
      <c r="R601" s="1732"/>
      <c r="S601" s="1732"/>
      <c r="T601" s="1732"/>
      <c r="U601" s="1732"/>
      <c r="V601" s="1732"/>
      <c r="W601" s="1732"/>
      <c r="X601" s="1732"/>
      <c r="Y601" s="1732"/>
      <c r="Z601" s="1732"/>
    </row>
    <row r="602" spans="1:26" ht="18" customHeight="1">
      <c r="A602" s="1732"/>
      <c r="B602" s="1732"/>
      <c r="C602" s="1776"/>
      <c r="D602" s="1732"/>
      <c r="E602" s="1732"/>
      <c r="F602" s="1732"/>
      <c r="G602" s="1732"/>
      <c r="H602" s="1732"/>
      <c r="I602" s="1732"/>
      <c r="J602" s="1732"/>
      <c r="K602" s="1732"/>
      <c r="L602" s="1732"/>
      <c r="M602" s="1732"/>
      <c r="N602" s="1732"/>
      <c r="O602" s="1732"/>
      <c r="P602" s="1732"/>
      <c r="Q602" s="1732"/>
      <c r="R602" s="1732"/>
      <c r="S602" s="1732"/>
      <c r="T602" s="1732"/>
      <c r="U602" s="1732"/>
      <c r="V602" s="1732"/>
      <c r="W602" s="1732"/>
      <c r="X602" s="1732"/>
      <c r="Y602" s="1732"/>
      <c r="Z602" s="1732"/>
    </row>
    <row r="603" spans="1:26" ht="18" customHeight="1">
      <c r="A603" s="1732"/>
      <c r="B603" s="1732"/>
      <c r="C603" s="1776"/>
      <c r="D603" s="1732"/>
      <c r="E603" s="1732"/>
      <c r="F603" s="1732"/>
      <c r="G603" s="1732"/>
      <c r="H603" s="1732"/>
      <c r="I603" s="1732"/>
      <c r="J603" s="1732"/>
      <c r="K603" s="1732"/>
      <c r="L603" s="1732"/>
      <c r="M603" s="1732"/>
      <c r="N603" s="1732"/>
      <c r="O603" s="1732"/>
      <c r="P603" s="1732"/>
      <c r="Q603" s="1732"/>
      <c r="R603" s="1732"/>
      <c r="S603" s="1732"/>
      <c r="T603" s="1732"/>
      <c r="U603" s="1732"/>
      <c r="V603" s="1732"/>
      <c r="W603" s="1732"/>
      <c r="X603" s="1732"/>
      <c r="Y603" s="1732"/>
      <c r="Z603" s="1732"/>
    </row>
    <row r="604" spans="1:26" ht="18" customHeight="1">
      <c r="A604" s="1732"/>
      <c r="B604" s="1732"/>
      <c r="C604" s="1776"/>
      <c r="D604" s="1732"/>
      <c r="E604" s="1732"/>
      <c r="F604" s="1732"/>
      <c r="G604" s="1732"/>
      <c r="H604" s="1732"/>
      <c r="I604" s="1732"/>
      <c r="J604" s="1732"/>
      <c r="K604" s="1732"/>
      <c r="L604" s="1732"/>
      <c r="M604" s="1732"/>
      <c r="N604" s="1732"/>
      <c r="O604" s="1732"/>
      <c r="P604" s="1732"/>
      <c r="Q604" s="1732"/>
      <c r="R604" s="1732"/>
      <c r="S604" s="1732"/>
      <c r="T604" s="1732"/>
      <c r="U604" s="1732"/>
      <c r="V604" s="1732"/>
      <c r="W604" s="1732"/>
      <c r="X604" s="1732"/>
      <c r="Y604" s="1732"/>
      <c r="Z604" s="1732"/>
    </row>
    <row r="605" spans="1:26" ht="18" customHeight="1">
      <c r="A605" s="1732"/>
      <c r="B605" s="1732"/>
      <c r="C605" s="1776"/>
      <c r="D605" s="1732"/>
      <c r="E605" s="1732"/>
      <c r="F605" s="1732"/>
      <c r="G605" s="1732"/>
      <c r="H605" s="1732"/>
      <c r="I605" s="1732"/>
      <c r="J605" s="1732"/>
      <c r="K605" s="1732"/>
      <c r="L605" s="1732"/>
      <c r="M605" s="1732"/>
      <c r="N605" s="1732"/>
      <c r="O605" s="1732"/>
      <c r="P605" s="1732"/>
      <c r="Q605" s="1732"/>
      <c r="R605" s="1732"/>
      <c r="S605" s="1732"/>
      <c r="T605" s="1732"/>
      <c r="U605" s="1732"/>
      <c r="V605" s="1732"/>
      <c r="W605" s="1732"/>
      <c r="X605" s="1732"/>
      <c r="Y605" s="1732"/>
      <c r="Z605" s="1732"/>
    </row>
    <row r="606" spans="1:26" ht="18" customHeight="1">
      <c r="A606" s="1732"/>
      <c r="B606" s="1732"/>
      <c r="C606" s="1776"/>
      <c r="D606" s="1732"/>
      <c r="E606" s="1732"/>
      <c r="F606" s="1732"/>
      <c r="G606" s="1732"/>
      <c r="H606" s="1732"/>
      <c r="I606" s="1732"/>
      <c r="J606" s="1732"/>
      <c r="K606" s="1732"/>
      <c r="L606" s="1732"/>
      <c r="M606" s="1732"/>
      <c r="N606" s="1732"/>
      <c r="O606" s="1732"/>
      <c r="P606" s="1732"/>
      <c r="Q606" s="1732"/>
      <c r="R606" s="1732"/>
      <c r="S606" s="1732"/>
      <c r="T606" s="1732"/>
      <c r="U606" s="1732"/>
      <c r="V606" s="1732"/>
      <c r="W606" s="1732"/>
      <c r="X606" s="1732"/>
      <c r="Y606" s="1732"/>
      <c r="Z606" s="1732"/>
    </row>
    <row r="607" spans="1:26" ht="18" customHeight="1">
      <c r="A607" s="1732"/>
      <c r="B607" s="1732"/>
      <c r="C607" s="1776"/>
      <c r="D607" s="1732"/>
      <c r="E607" s="1732"/>
      <c r="F607" s="1732"/>
      <c r="G607" s="1732"/>
      <c r="H607" s="1732"/>
      <c r="I607" s="1732"/>
      <c r="J607" s="1732"/>
      <c r="K607" s="1732"/>
      <c r="L607" s="1732"/>
      <c r="M607" s="1732"/>
      <c r="N607" s="1732"/>
      <c r="O607" s="1732"/>
      <c r="P607" s="1732"/>
      <c r="Q607" s="1732"/>
      <c r="R607" s="1732"/>
      <c r="S607" s="1732"/>
      <c r="T607" s="1732"/>
      <c r="U607" s="1732"/>
      <c r="V607" s="1732"/>
      <c r="W607" s="1732"/>
      <c r="X607" s="1732"/>
      <c r="Y607" s="1732"/>
      <c r="Z607" s="1732"/>
    </row>
    <row r="608" spans="1:26" ht="18" customHeight="1">
      <c r="A608" s="1732"/>
      <c r="B608" s="1732"/>
      <c r="C608" s="1776"/>
      <c r="D608" s="1732"/>
      <c r="E608" s="1732"/>
      <c r="F608" s="1732"/>
      <c r="G608" s="1732"/>
      <c r="H608" s="1732"/>
      <c r="I608" s="1732"/>
      <c r="J608" s="1732"/>
      <c r="K608" s="1732"/>
      <c r="L608" s="1732"/>
      <c r="M608" s="1732"/>
      <c r="N608" s="1732"/>
      <c r="O608" s="1732"/>
      <c r="P608" s="1732"/>
      <c r="Q608" s="1732"/>
      <c r="R608" s="1732"/>
      <c r="S608" s="1732"/>
      <c r="T608" s="1732"/>
      <c r="U608" s="1732"/>
      <c r="V608" s="1732"/>
      <c r="W608" s="1732"/>
      <c r="X608" s="1732"/>
      <c r="Y608" s="1732"/>
      <c r="Z608" s="1732"/>
    </row>
    <row r="609" spans="1:26" ht="18" customHeight="1">
      <c r="A609" s="1732"/>
      <c r="B609" s="1732"/>
      <c r="C609" s="1776"/>
      <c r="D609" s="1732"/>
      <c r="E609" s="1732"/>
      <c r="F609" s="1732"/>
      <c r="G609" s="1732"/>
      <c r="H609" s="1732"/>
      <c r="I609" s="1732"/>
      <c r="J609" s="1732"/>
      <c r="K609" s="1732"/>
      <c r="L609" s="1732"/>
      <c r="M609" s="1732"/>
      <c r="N609" s="1732"/>
      <c r="O609" s="1732"/>
      <c r="P609" s="1732"/>
      <c r="Q609" s="1732"/>
      <c r="R609" s="1732"/>
      <c r="S609" s="1732"/>
      <c r="T609" s="1732"/>
      <c r="U609" s="1732"/>
      <c r="V609" s="1732"/>
      <c r="W609" s="1732"/>
      <c r="X609" s="1732"/>
      <c r="Y609" s="1732"/>
      <c r="Z609" s="1732"/>
    </row>
    <row r="610" spans="1:26" ht="18" customHeight="1">
      <c r="A610" s="1732"/>
      <c r="B610" s="1732"/>
      <c r="C610" s="1776"/>
      <c r="D610" s="1732"/>
      <c r="E610" s="1732"/>
      <c r="F610" s="1732"/>
      <c r="G610" s="1732"/>
      <c r="H610" s="1732"/>
      <c r="I610" s="1732"/>
      <c r="J610" s="1732"/>
      <c r="K610" s="1732"/>
      <c r="L610" s="1732"/>
      <c r="M610" s="1732"/>
      <c r="N610" s="1732"/>
      <c r="O610" s="1732"/>
      <c r="P610" s="1732"/>
      <c r="Q610" s="1732"/>
      <c r="R610" s="1732"/>
      <c r="S610" s="1732"/>
      <c r="T610" s="1732"/>
      <c r="U610" s="1732"/>
      <c r="V610" s="1732"/>
      <c r="W610" s="1732"/>
      <c r="X610" s="1732"/>
      <c r="Y610" s="1732"/>
      <c r="Z610" s="1732"/>
    </row>
    <row r="611" spans="1:26" ht="18" customHeight="1">
      <c r="A611" s="1732"/>
      <c r="B611" s="1732"/>
      <c r="C611" s="1776"/>
      <c r="D611" s="1732"/>
      <c r="E611" s="1732"/>
      <c r="F611" s="1732"/>
      <c r="G611" s="1732"/>
      <c r="H611" s="1732"/>
      <c r="I611" s="1732"/>
      <c r="J611" s="1732"/>
      <c r="K611" s="1732"/>
      <c r="L611" s="1732"/>
      <c r="M611" s="1732"/>
      <c r="N611" s="1732"/>
      <c r="O611" s="1732"/>
      <c r="P611" s="1732"/>
      <c r="Q611" s="1732"/>
      <c r="R611" s="1732"/>
      <c r="S611" s="1732"/>
      <c r="T611" s="1732"/>
      <c r="U611" s="1732"/>
      <c r="V611" s="1732"/>
      <c r="W611" s="1732"/>
      <c r="X611" s="1732"/>
      <c r="Y611" s="1732"/>
      <c r="Z611" s="1732"/>
    </row>
    <row r="612" spans="1:26" ht="18" customHeight="1">
      <c r="A612" s="1732"/>
      <c r="B612" s="1732"/>
      <c r="C612" s="1776"/>
      <c r="D612" s="1732"/>
      <c r="E612" s="1732"/>
      <c r="F612" s="1732"/>
      <c r="G612" s="1732"/>
      <c r="H612" s="1732"/>
      <c r="I612" s="1732"/>
      <c r="J612" s="1732"/>
      <c r="K612" s="1732"/>
      <c r="L612" s="1732"/>
      <c r="M612" s="1732"/>
      <c r="N612" s="1732"/>
      <c r="O612" s="1732"/>
      <c r="P612" s="1732"/>
      <c r="Q612" s="1732"/>
      <c r="R612" s="1732"/>
      <c r="S612" s="1732"/>
      <c r="T612" s="1732"/>
      <c r="U612" s="1732"/>
      <c r="V612" s="1732"/>
      <c r="W612" s="1732"/>
      <c r="X612" s="1732"/>
      <c r="Y612" s="1732"/>
      <c r="Z612" s="1732"/>
    </row>
    <row r="613" spans="1:26" ht="18" customHeight="1">
      <c r="A613" s="1732"/>
      <c r="B613" s="1732"/>
      <c r="C613" s="1776"/>
      <c r="D613" s="1732"/>
      <c r="E613" s="1732"/>
      <c r="F613" s="1732"/>
      <c r="G613" s="1732"/>
      <c r="H613" s="1732"/>
      <c r="I613" s="1732"/>
      <c r="J613" s="1732"/>
      <c r="K613" s="1732"/>
      <c r="L613" s="1732"/>
      <c r="M613" s="1732"/>
      <c r="N613" s="1732"/>
      <c r="O613" s="1732"/>
      <c r="P613" s="1732"/>
      <c r="Q613" s="1732"/>
      <c r="R613" s="1732"/>
      <c r="S613" s="1732"/>
      <c r="T613" s="1732"/>
      <c r="U613" s="1732"/>
      <c r="V613" s="1732"/>
      <c r="W613" s="1732"/>
      <c r="X613" s="1732"/>
      <c r="Y613" s="1732"/>
      <c r="Z613" s="1732"/>
    </row>
    <row r="614" spans="1:26" ht="18" customHeight="1">
      <c r="A614" s="1732"/>
      <c r="B614" s="1732"/>
      <c r="C614" s="1776"/>
      <c r="D614" s="1732"/>
      <c r="E614" s="1732"/>
      <c r="F614" s="1732"/>
      <c r="G614" s="1732"/>
      <c r="H614" s="1732"/>
      <c r="I614" s="1732"/>
      <c r="J614" s="1732"/>
      <c r="K614" s="1732"/>
      <c r="L614" s="1732"/>
      <c r="M614" s="1732"/>
      <c r="N614" s="1732"/>
      <c r="O614" s="1732"/>
      <c r="P614" s="1732"/>
      <c r="Q614" s="1732"/>
      <c r="R614" s="1732"/>
      <c r="S614" s="1732"/>
      <c r="T614" s="1732"/>
      <c r="U614" s="1732"/>
      <c r="V614" s="1732"/>
      <c r="W614" s="1732"/>
      <c r="X614" s="1732"/>
      <c r="Y614" s="1732"/>
      <c r="Z614" s="1732"/>
    </row>
    <row r="615" spans="1:26" ht="18" customHeight="1">
      <c r="A615" s="1732"/>
      <c r="B615" s="1732"/>
      <c r="C615" s="1776"/>
      <c r="D615" s="1732"/>
      <c r="E615" s="1732"/>
      <c r="F615" s="1732"/>
      <c r="G615" s="1732"/>
      <c r="H615" s="1732"/>
      <c r="I615" s="1732"/>
      <c r="J615" s="1732"/>
      <c r="K615" s="1732"/>
      <c r="L615" s="1732"/>
      <c r="M615" s="1732"/>
      <c r="N615" s="1732"/>
      <c r="O615" s="1732"/>
      <c r="P615" s="1732"/>
      <c r="Q615" s="1732"/>
      <c r="R615" s="1732"/>
      <c r="S615" s="1732"/>
      <c r="T615" s="1732"/>
      <c r="U615" s="1732"/>
      <c r="V615" s="1732"/>
      <c r="W615" s="1732"/>
      <c r="X615" s="1732"/>
      <c r="Y615" s="1732"/>
      <c r="Z615" s="1732"/>
    </row>
    <row r="616" spans="1:26" ht="18" customHeight="1">
      <c r="A616" s="1732"/>
      <c r="B616" s="1732"/>
      <c r="C616" s="1776"/>
      <c r="D616" s="1732"/>
      <c r="E616" s="1732"/>
      <c r="F616" s="1732"/>
      <c r="G616" s="1732"/>
      <c r="H616" s="1732"/>
      <c r="I616" s="1732"/>
      <c r="J616" s="1732"/>
      <c r="K616" s="1732"/>
      <c r="L616" s="1732"/>
      <c r="M616" s="1732"/>
      <c r="N616" s="1732"/>
      <c r="O616" s="1732"/>
      <c r="P616" s="1732"/>
      <c r="Q616" s="1732"/>
      <c r="R616" s="1732"/>
      <c r="S616" s="1732"/>
      <c r="T616" s="1732"/>
      <c r="U616" s="1732"/>
      <c r="V616" s="1732"/>
      <c r="W616" s="1732"/>
      <c r="X616" s="1732"/>
      <c r="Y616" s="1732"/>
      <c r="Z616" s="1732"/>
    </row>
    <row r="617" spans="1:26" ht="18" customHeight="1">
      <c r="A617" s="1732"/>
      <c r="B617" s="1732"/>
      <c r="C617" s="1776"/>
      <c r="D617" s="1732"/>
      <c r="E617" s="1732"/>
      <c r="F617" s="1732"/>
      <c r="G617" s="1732"/>
      <c r="H617" s="1732"/>
      <c r="I617" s="1732"/>
      <c r="J617" s="1732"/>
      <c r="K617" s="1732"/>
      <c r="L617" s="1732"/>
      <c r="M617" s="1732"/>
      <c r="N617" s="1732"/>
      <c r="O617" s="1732"/>
      <c r="P617" s="1732"/>
      <c r="Q617" s="1732"/>
      <c r="R617" s="1732"/>
      <c r="S617" s="1732"/>
      <c r="T617" s="1732"/>
      <c r="U617" s="1732"/>
      <c r="V617" s="1732"/>
      <c r="W617" s="1732"/>
      <c r="X617" s="1732"/>
      <c r="Y617" s="1732"/>
      <c r="Z617" s="1732"/>
    </row>
    <row r="618" spans="1:26" ht="18" customHeight="1">
      <c r="A618" s="1732"/>
      <c r="B618" s="1732"/>
      <c r="C618" s="1776"/>
      <c r="D618" s="1732"/>
      <c r="E618" s="1732"/>
      <c r="F618" s="1732"/>
      <c r="G618" s="1732"/>
      <c r="H618" s="1732"/>
      <c r="I618" s="1732"/>
      <c r="J618" s="1732"/>
      <c r="K618" s="1732"/>
      <c r="L618" s="1732"/>
      <c r="M618" s="1732"/>
      <c r="N618" s="1732"/>
      <c r="O618" s="1732"/>
      <c r="P618" s="1732"/>
      <c r="Q618" s="1732"/>
      <c r="R618" s="1732"/>
      <c r="S618" s="1732"/>
      <c r="T618" s="1732"/>
      <c r="U618" s="1732"/>
      <c r="V618" s="1732"/>
      <c r="W618" s="1732"/>
      <c r="X618" s="1732"/>
      <c r="Y618" s="1732"/>
      <c r="Z618" s="1732"/>
    </row>
    <row r="619" spans="1:26" ht="18" customHeight="1">
      <c r="A619" s="1732"/>
      <c r="B619" s="1732"/>
      <c r="C619" s="1776"/>
      <c r="D619" s="1732"/>
      <c r="E619" s="1732"/>
      <c r="F619" s="1732"/>
      <c r="G619" s="1732"/>
      <c r="H619" s="1732"/>
      <c r="I619" s="1732"/>
      <c r="J619" s="1732"/>
      <c r="K619" s="1732"/>
      <c r="L619" s="1732"/>
      <c r="M619" s="1732"/>
      <c r="N619" s="1732"/>
      <c r="O619" s="1732"/>
      <c r="P619" s="1732"/>
      <c r="Q619" s="1732"/>
      <c r="R619" s="1732"/>
      <c r="S619" s="1732"/>
      <c r="T619" s="1732"/>
      <c r="U619" s="1732"/>
      <c r="V619" s="1732"/>
      <c r="W619" s="1732"/>
      <c r="X619" s="1732"/>
      <c r="Y619" s="1732"/>
      <c r="Z619" s="1732"/>
    </row>
    <row r="620" spans="1:26" ht="18" customHeight="1">
      <c r="A620" s="1732"/>
      <c r="B620" s="1732"/>
      <c r="C620" s="1776"/>
      <c r="D620" s="1732"/>
      <c r="E620" s="1732"/>
      <c r="F620" s="1732"/>
      <c r="G620" s="1732"/>
      <c r="H620" s="1732"/>
      <c r="I620" s="1732"/>
      <c r="J620" s="1732"/>
      <c r="K620" s="1732"/>
      <c r="L620" s="1732"/>
      <c r="M620" s="1732"/>
      <c r="N620" s="1732"/>
      <c r="O620" s="1732"/>
      <c r="P620" s="1732"/>
      <c r="Q620" s="1732"/>
      <c r="R620" s="1732"/>
      <c r="S620" s="1732"/>
      <c r="T620" s="1732"/>
      <c r="U620" s="1732"/>
      <c r="V620" s="1732"/>
      <c r="W620" s="1732"/>
      <c r="X620" s="1732"/>
      <c r="Y620" s="1732"/>
      <c r="Z620" s="1732"/>
    </row>
    <row r="621" spans="1:26" ht="18" customHeight="1">
      <c r="A621" s="1732"/>
      <c r="B621" s="1732"/>
      <c r="C621" s="1776"/>
      <c r="D621" s="1732"/>
      <c r="E621" s="1732"/>
      <c r="F621" s="1732"/>
      <c r="G621" s="1732"/>
      <c r="H621" s="1732"/>
      <c r="I621" s="1732"/>
      <c r="J621" s="1732"/>
      <c r="K621" s="1732"/>
      <c r="L621" s="1732"/>
      <c r="M621" s="1732"/>
      <c r="N621" s="1732"/>
      <c r="O621" s="1732"/>
      <c r="P621" s="1732"/>
      <c r="Q621" s="1732"/>
      <c r="R621" s="1732"/>
      <c r="S621" s="1732"/>
      <c r="T621" s="1732"/>
      <c r="U621" s="1732"/>
      <c r="V621" s="1732"/>
      <c r="W621" s="1732"/>
      <c r="X621" s="1732"/>
      <c r="Y621" s="1732"/>
      <c r="Z621" s="1732"/>
    </row>
    <row r="622" spans="1:26" ht="18" customHeight="1">
      <c r="A622" s="1732"/>
      <c r="B622" s="1732"/>
      <c r="C622" s="1776"/>
      <c r="D622" s="1732"/>
      <c r="E622" s="1732"/>
      <c r="F622" s="1732"/>
      <c r="G622" s="1732"/>
      <c r="H622" s="1732"/>
      <c r="I622" s="1732"/>
      <c r="J622" s="1732"/>
      <c r="K622" s="1732"/>
      <c r="L622" s="1732"/>
      <c r="M622" s="1732"/>
      <c r="N622" s="1732"/>
      <c r="O622" s="1732"/>
      <c r="P622" s="1732"/>
      <c r="Q622" s="1732"/>
      <c r="R622" s="1732"/>
      <c r="S622" s="1732"/>
      <c r="T622" s="1732"/>
      <c r="U622" s="1732"/>
      <c r="V622" s="1732"/>
      <c r="W622" s="1732"/>
      <c r="X622" s="1732"/>
      <c r="Y622" s="1732"/>
      <c r="Z622" s="1732"/>
    </row>
    <row r="623" spans="1:26" ht="18" customHeight="1">
      <c r="A623" s="1732"/>
      <c r="B623" s="1732"/>
      <c r="C623" s="1776"/>
      <c r="D623" s="1732"/>
      <c r="E623" s="1732"/>
      <c r="F623" s="1732"/>
      <c r="G623" s="1732"/>
      <c r="H623" s="1732"/>
      <c r="I623" s="1732"/>
      <c r="J623" s="1732"/>
      <c r="K623" s="1732"/>
      <c r="L623" s="1732"/>
      <c r="M623" s="1732"/>
      <c r="N623" s="1732"/>
      <c r="O623" s="1732"/>
      <c r="P623" s="1732"/>
      <c r="Q623" s="1732"/>
      <c r="R623" s="1732"/>
      <c r="S623" s="1732"/>
      <c r="T623" s="1732"/>
      <c r="U623" s="1732"/>
      <c r="V623" s="1732"/>
      <c r="W623" s="1732"/>
      <c r="X623" s="1732"/>
      <c r="Y623" s="1732"/>
      <c r="Z623" s="1732"/>
    </row>
    <row r="624" spans="1:26" ht="18" customHeight="1">
      <c r="A624" s="1732"/>
      <c r="B624" s="1732"/>
      <c r="C624" s="1776"/>
      <c r="D624" s="1732"/>
      <c r="E624" s="1732"/>
      <c r="F624" s="1732"/>
      <c r="G624" s="1732"/>
      <c r="H624" s="1732"/>
      <c r="I624" s="1732"/>
      <c r="J624" s="1732"/>
      <c r="K624" s="1732"/>
      <c r="L624" s="1732"/>
      <c r="M624" s="1732"/>
      <c r="N624" s="1732"/>
      <c r="O624" s="1732"/>
      <c r="P624" s="1732"/>
      <c r="Q624" s="1732"/>
      <c r="R624" s="1732"/>
      <c r="S624" s="1732"/>
      <c r="T624" s="1732"/>
      <c r="U624" s="1732"/>
      <c r="V624" s="1732"/>
      <c r="W624" s="1732"/>
      <c r="X624" s="1732"/>
      <c r="Y624" s="1732"/>
      <c r="Z624" s="1732"/>
    </row>
    <row r="625" spans="1:26" ht="18" customHeight="1">
      <c r="A625" s="1732"/>
      <c r="B625" s="1732"/>
      <c r="C625" s="1776"/>
      <c r="D625" s="1732"/>
      <c r="E625" s="1732"/>
      <c r="F625" s="1732"/>
      <c r="G625" s="1732"/>
      <c r="H625" s="1732"/>
      <c r="I625" s="1732"/>
      <c r="J625" s="1732"/>
      <c r="K625" s="1732"/>
      <c r="L625" s="1732"/>
      <c r="M625" s="1732"/>
      <c r="N625" s="1732"/>
      <c r="O625" s="1732"/>
      <c r="P625" s="1732"/>
      <c r="Q625" s="1732"/>
      <c r="R625" s="1732"/>
      <c r="S625" s="1732"/>
      <c r="T625" s="1732"/>
      <c r="U625" s="1732"/>
      <c r="V625" s="1732"/>
      <c r="W625" s="1732"/>
      <c r="X625" s="1732"/>
      <c r="Y625" s="1732"/>
      <c r="Z625" s="1732"/>
    </row>
    <row r="626" spans="1:26" ht="18" customHeight="1">
      <c r="A626" s="1732"/>
      <c r="B626" s="1732"/>
      <c r="C626" s="1776"/>
      <c r="D626" s="1732"/>
      <c r="E626" s="1732"/>
      <c r="F626" s="1732"/>
      <c r="G626" s="1732"/>
      <c r="H626" s="1732"/>
      <c r="I626" s="1732"/>
      <c r="J626" s="1732"/>
      <c r="K626" s="1732"/>
      <c r="L626" s="1732"/>
      <c r="M626" s="1732"/>
      <c r="N626" s="1732"/>
      <c r="O626" s="1732"/>
      <c r="P626" s="1732"/>
      <c r="Q626" s="1732"/>
      <c r="R626" s="1732"/>
      <c r="S626" s="1732"/>
      <c r="T626" s="1732"/>
      <c r="U626" s="1732"/>
      <c r="V626" s="1732"/>
      <c r="W626" s="1732"/>
      <c r="X626" s="1732"/>
      <c r="Y626" s="1732"/>
      <c r="Z626" s="1732"/>
    </row>
    <row r="627" spans="1:26" ht="18" customHeight="1">
      <c r="A627" s="1732"/>
      <c r="B627" s="1732"/>
      <c r="C627" s="1776"/>
      <c r="D627" s="1732"/>
      <c r="E627" s="1732"/>
      <c r="F627" s="1732"/>
      <c r="G627" s="1732"/>
      <c r="H627" s="1732"/>
      <c r="I627" s="1732"/>
      <c r="J627" s="1732"/>
      <c r="K627" s="1732"/>
      <c r="L627" s="1732"/>
      <c r="M627" s="1732"/>
      <c r="N627" s="1732"/>
      <c r="O627" s="1732"/>
      <c r="P627" s="1732"/>
      <c r="Q627" s="1732"/>
      <c r="R627" s="1732"/>
      <c r="S627" s="1732"/>
      <c r="T627" s="1732"/>
      <c r="U627" s="1732"/>
      <c r="V627" s="1732"/>
      <c r="W627" s="1732"/>
      <c r="X627" s="1732"/>
      <c r="Y627" s="1732"/>
      <c r="Z627" s="1732"/>
    </row>
    <row r="628" spans="1:26" ht="18" customHeight="1">
      <c r="A628" s="1732"/>
      <c r="B628" s="1732"/>
      <c r="C628" s="1776"/>
      <c r="D628" s="1732"/>
      <c r="E628" s="1732"/>
      <c r="F628" s="1732"/>
      <c r="G628" s="1732"/>
      <c r="H628" s="1732"/>
      <c r="I628" s="1732"/>
      <c r="J628" s="1732"/>
      <c r="K628" s="1732"/>
      <c r="L628" s="1732"/>
      <c r="M628" s="1732"/>
      <c r="N628" s="1732"/>
      <c r="O628" s="1732"/>
      <c r="P628" s="1732"/>
      <c r="Q628" s="1732"/>
      <c r="R628" s="1732"/>
      <c r="S628" s="1732"/>
      <c r="T628" s="1732"/>
      <c r="U628" s="1732"/>
      <c r="V628" s="1732"/>
      <c r="W628" s="1732"/>
      <c r="X628" s="1732"/>
      <c r="Y628" s="1732"/>
      <c r="Z628" s="1732"/>
    </row>
    <row r="629" spans="1:26" ht="18" customHeight="1">
      <c r="A629" s="1732"/>
      <c r="B629" s="1732"/>
      <c r="C629" s="1776"/>
      <c r="D629" s="1732"/>
      <c r="E629" s="1732"/>
      <c r="F629" s="1732"/>
      <c r="G629" s="1732"/>
      <c r="H629" s="1732"/>
      <c r="I629" s="1732"/>
      <c r="J629" s="1732"/>
      <c r="K629" s="1732"/>
      <c r="L629" s="1732"/>
      <c r="M629" s="1732"/>
      <c r="N629" s="1732"/>
      <c r="O629" s="1732"/>
      <c r="P629" s="1732"/>
      <c r="Q629" s="1732"/>
      <c r="R629" s="1732"/>
      <c r="S629" s="1732"/>
      <c r="T629" s="1732"/>
      <c r="U629" s="1732"/>
      <c r="V629" s="1732"/>
      <c r="W629" s="1732"/>
      <c r="X629" s="1732"/>
      <c r="Y629" s="1732"/>
      <c r="Z629" s="1732"/>
    </row>
    <row r="630" spans="1:26" ht="18" customHeight="1">
      <c r="A630" s="1732"/>
      <c r="B630" s="1732"/>
      <c r="C630" s="1776"/>
      <c r="D630" s="1732"/>
      <c r="E630" s="1732"/>
      <c r="F630" s="1732"/>
      <c r="G630" s="1732"/>
      <c r="H630" s="1732"/>
      <c r="I630" s="1732"/>
      <c r="J630" s="1732"/>
      <c r="K630" s="1732"/>
      <c r="L630" s="1732"/>
      <c r="M630" s="1732"/>
      <c r="N630" s="1732"/>
      <c r="O630" s="1732"/>
      <c r="P630" s="1732"/>
      <c r="Q630" s="1732"/>
      <c r="R630" s="1732"/>
      <c r="S630" s="1732"/>
      <c r="T630" s="1732"/>
      <c r="U630" s="1732"/>
      <c r="V630" s="1732"/>
      <c r="W630" s="1732"/>
      <c r="X630" s="1732"/>
      <c r="Y630" s="1732"/>
      <c r="Z630" s="1732"/>
    </row>
    <row r="631" spans="1:26" ht="18" customHeight="1">
      <c r="A631" s="1732"/>
      <c r="B631" s="1732"/>
      <c r="C631" s="1776"/>
      <c r="D631" s="1732"/>
      <c r="E631" s="1732"/>
      <c r="F631" s="1732"/>
      <c r="G631" s="1732"/>
      <c r="H631" s="1732"/>
      <c r="I631" s="1732"/>
      <c r="J631" s="1732"/>
      <c r="K631" s="1732"/>
      <c r="L631" s="1732"/>
      <c r="M631" s="1732"/>
      <c r="N631" s="1732"/>
      <c r="O631" s="1732"/>
      <c r="P631" s="1732"/>
      <c r="Q631" s="1732"/>
      <c r="R631" s="1732"/>
      <c r="S631" s="1732"/>
      <c r="T631" s="1732"/>
      <c r="U631" s="1732"/>
      <c r="V631" s="1732"/>
      <c r="W631" s="1732"/>
      <c r="X631" s="1732"/>
      <c r="Y631" s="1732"/>
      <c r="Z631" s="1732"/>
    </row>
    <row r="632" spans="1:26" ht="18" customHeight="1">
      <c r="A632" s="1732"/>
      <c r="B632" s="1732"/>
      <c r="C632" s="1776"/>
      <c r="D632" s="1732"/>
      <c r="E632" s="1732"/>
      <c r="F632" s="1732"/>
      <c r="G632" s="1732"/>
      <c r="H632" s="1732"/>
      <c r="I632" s="1732"/>
      <c r="J632" s="1732"/>
      <c r="K632" s="1732"/>
      <c r="L632" s="1732"/>
      <c r="M632" s="1732"/>
      <c r="N632" s="1732"/>
      <c r="O632" s="1732"/>
      <c r="P632" s="1732"/>
      <c r="Q632" s="1732"/>
      <c r="R632" s="1732"/>
      <c r="S632" s="1732"/>
      <c r="T632" s="1732"/>
      <c r="U632" s="1732"/>
      <c r="V632" s="1732"/>
      <c r="W632" s="1732"/>
      <c r="X632" s="1732"/>
      <c r="Y632" s="1732"/>
      <c r="Z632" s="1732"/>
    </row>
    <row r="633" spans="1:26" ht="18" customHeight="1">
      <c r="A633" s="1732"/>
      <c r="B633" s="1732"/>
      <c r="C633" s="1776"/>
      <c r="D633" s="1732"/>
      <c r="E633" s="1732"/>
      <c r="F633" s="1732"/>
      <c r="G633" s="1732"/>
      <c r="H633" s="1732"/>
      <c r="I633" s="1732"/>
      <c r="J633" s="1732"/>
      <c r="K633" s="1732"/>
      <c r="L633" s="1732"/>
      <c r="M633" s="1732"/>
      <c r="N633" s="1732"/>
      <c r="O633" s="1732"/>
      <c r="P633" s="1732"/>
      <c r="Q633" s="1732"/>
      <c r="R633" s="1732"/>
      <c r="S633" s="1732"/>
      <c r="T633" s="1732"/>
      <c r="U633" s="1732"/>
      <c r="V633" s="1732"/>
      <c r="W633" s="1732"/>
      <c r="X633" s="1732"/>
      <c r="Y633" s="1732"/>
      <c r="Z633" s="1732"/>
    </row>
    <row r="634" spans="1:26" ht="18" customHeight="1">
      <c r="A634" s="1732"/>
      <c r="B634" s="1732"/>
      <c r="C634" s="1776"/>
      <c r="D634" s="1732"/>
      <c r="E634" s="1732"/>
      <c r="F634" s="1732"/>
      <c r="G634" s="1732"/>
      <c r="H634" s="1732"/>
      <c r="I634" s="1732"/>
      <c r="J634" s="1732"/>
      <c r="K634" s="1732"/>
      <c r="L634" s="1732"/>
      <c r="M634" s="1732"/>
      <c r="N634" s="1732"/>
      <c r="O634" s="1732"/>
      <c r="P634" s="1732"/>
      <c r="Q634" s="1732"/>
      <c r="R634" s="1732"/>
      <c r="S634" s="1732"/>
      <c r="T634" s="1732"/>
      <c r="U634" s="1732"/>
      <c r="V634" s="1732"/>
      <c r="W634" s="1732"/>
      <c r="X634" s="1732"/>
      <c r="Y634" s="1732"/>
      <c r="Z634" s="1732"/>
    </row>
    <row r="635" spans="1:26" ht="18" customHeight="1">
      <c r="A635" s="1732"/>
      <c r="B635" s="1732"/>
      <c r="C635" s="1776"/>
      <c r="D635" s="1732"/>
      <c r="E635" s="1732"/>
      <c r="F635" s="1732"/>
      <c r="G635" s="1732"/>
      <c r="H635" s="1732"/>
      <c r="I635" s="1732"/>
      <c r="J635" s="1732"/>
      <c r="K635" s="1732"/>
      <c r="L635" s="1732"/>
      <c r="M635" s="1732"/>
      <c r="N635" s="1732"/>
      <c r="O635" s="1732"/>
      <c r="P635" s="1732"/>
      <c r="Q635" s="1732"/>
      <c r="R635" s="1732"/>
      <c r="S635" s="1732"/>
      <c r="T635" s="1732"/>
      <c r="U635" s="1732"/>
      <c r="V635" s="1732"/>
      <c r="W635" s="1732"/>
      <c r="X635" s="1732"/>
      <c r="Y635" s="1732"/>
      <c r="Z635" s="1732"/>
    </row>
    <row r="636" spans="1:26" ht="18" customHeight="1">
      <c r="A636" s="1732"/>
      <c r="B636" s="1732"/>
      <c r="C636" s="1776"/>
      <c r="D636" s="1732"/>
      <c r="E636" s="1732"/>
      <c r="F636" s="1732"/>
      <c r="G636" s="1732"/>
      <c r="H636" s="1732"/>
      <c r="I636" s="1732"/>
      <c r="J636" s="1732"/>
      <c r="K636" s="1732"/>
      <c r="L636" s="1732"/>
      <c r="M636" s="1732"/>
      <c r="N636" s="1732"/>
      <c r="O636" s="1732"/>
      <c r="P636" s="1732"/>
      <c r="Q636" s="1732"/>
      <c r="R636" s="1732"/>
      <c r="S636" s="1732"/>
      <c r="T636" s="1732"/>
      <c r="U636" s="1732"/>
      <c r="V636" s="1732"/>
      <c r="W636" s="1732"/>
      <c r="X636" s="1732"/>
      <c r="Y636" s="1732"/>
      <c r="Z636" s="1732"/>
    </row>
    <row r="637" spans="1:26" ht="18" customHeight="1">
      <c r="A637" s="1732"/>
      <c r="B637" s="1732"/>
      <c r="C637" s="1776"/>
      <c r="D637" s="1732"/>
      <c r="E637" s="1732"/>
      <c r="F637" s="1732"/>
      <c r="G637" s="1732"/>
      <c r="H637" s="1732"/>
      <c r="I637" s="1732"/>
      <c r="J637" s="1732"/>
      <c r="K637" s="1732"/>
      <c r="L637" s="1732"/>
      <c r="M637" s="1732"/>
      <c r="N637" s="1732"/>
      <c r="O637" s="1732"/>
      <c r="P637" s="1732"/>
      <c r="Q637" s="1732"/>
      <c r="R637" s="1732"/>
      <c r="S637" s="1732"/>
      <c r="T637" s="1732"/>
      <c r="U637" s="1732"/>
      <c r="V637" s="1732"/>
      <c r="W637" s="1732"/>
      <c r="X637" s="1732"/>
      <c r="Y637" s="1732"/>
      <c r="Z637" s="1732"/>
    </row>
    <row r="638" spans="1:26" ht="18" customHeight="1">
      <c r="A638" s="1732"/>
      <c r="B638" s="1732"/>
      <c r="C638" s="1776"/>
      <c r="D638" s="1732"/>
      <c r="E638" s="1732"/>
      <c r="F638" s="1732"/>
      <c r="G638" s="1732"/>
      <c r="H638" s="1732"/>
      <c r="I638" s="1732"/>
      <c r="J638" s="1732"/>
      <c r="K638" s="1732"/>
      <c r="L638" s="1732"/>
      <c r="M638" s="1732"/>
      <c r="N638" s="1732"/>
      <c r="O638" s="1732"/>
      <c r="P638" s="1732"/>
      <c r="Q638" s="1732"/>
      <c r="R638" s="1732"/>
      <c r="S638" s="1732"/>
      <c r="T638" s="1732"/>
      <c r="U638" s="1732"/>
      <c r="V638" s="1732"/>
      <c r="W638" s="1732"/>
      <c r="X638" s="1732"/>
      <c r="Y638" s="1732"/>
      <c r="Z638" s="1732"/>
    </row>
    <row r="639" spans="1:26" ht="18" customHeight="1">
      <c r="A639" s="1732"/>
      <c r="B639" s="1732"/>
      <c r="C639" s="1776"/>
      <c r="D639" s="1732"/>
      <c r="E639" s="1732"/>
      <c r="F639" s="1732"/>
      <c r="G639" s="1732"/>
      <c r="H639" s="1732"/>
      <c r="I639" s="1732"/>
      <c r="J639" s="1732"/>
      <c r="K639" s="1732"/>
      <c r="L639" s="1732"/>
      <c r="M639" s="1732"/>
      <c r="N639" s="1732"/>
      <c r="O639" s="1732"/>
      <c r="P639" s="1732"/>
      <c r="Q639" s="1732"/>
      <c r="R639" s="1732"/>
      <c r="S639" s="1732"/>
      <c r="T639" s="1732"/>
      <c r="U639" s="1732"/>
      <c r="V639" s="1732"/>
      <c r="W639" s="1732"/>
      <c r="X639" s="1732"/>
      <c r="Y639" s="1732"/>
      <c r="Z639" s="1732"/>
    </row>
    <row r="640" spans="1:26" ht="18" customHeight="1">
      <c r="A640" s="1732"/>
      <c r="B640" s="1732"/>
      <c r="C640" s="1776"/>
      <c r="D640" s="1732"/>
      <c r="E640" s="1732"/>
      <c r="F640" s="1732"/>
      <c r="G640" s="1732"/>
      <c r="H640" s="1732"/>
      <c r="I640" s="1732"/>
      <c r="J640" s="1732"/>
      <c r="K640" s="1732"/>
      <c r="L640" s="1732"/>
      <c r="M640" s="1732"/>
      <c r="N640" s="1732"/>
      <c r="O640" s="1732"/>
      <c r="P640" s="1732"/>
      <c r="Q640" s="1732"/>
      <c r="R640" s="1732"/>
      <c r="S640" s="1732"/>
      <c r="T640" s="1732"/>
      <c r="U640" s="1732"/>
      <c r="V640" s="1732"/>
      <c r="W640" s="1732"/>
      <c r="X640" s="1732"/>
      <c r="Y640" s="1732"/>
      <c r="Z640" s="1732"/>
    </row>
    <row r="641" spans="1:26" ht="18" customHeight="1">
      <c r="A641" s="1732"/>
      <c r="B641" s="1732"/>
      <c r="C641" s="1776"/>
      <c r="D641" s="1732"/>
      <c r="E641" s="1732"/>
      <c r="F641" s="1732"/>
      <c r="G641" s="1732"/>
      <c r="H641" s="1732"/>
      <c r="I641" s="1732"/>
      <c r="J641" s="1732"/>
      <c r="K641" s="1732"/>
      <c r="L641" s="1732"/>
      <c r="M641" s="1732"/>
      <c r="N641" s="1732"/>
      <c r="O641" s="1732"/>
      <c r="P641" s="1732"/>
      <c r="Q641" s="1732"/>
      <c r="R641" s="1732"/>
      <c r="S641" s="1732"/>
      <c r="T641" s="1732"/>
      <c r="U641" s="1732"/>
      <c r="V641" s="1732"/>
      <c r="W641" s="1732"/>
      <c r="X641" s="1732"/>
      <c r="Y641" s="1732"/>
      <c r="Z641" s="1732"/>
    </row>
    <row r="642" spans="1:26" ht="18" customHeight="1">
      <c r="A642" s="1732"/>
      <c r="B642" s="1732"/>
      <c r="C642" s="1776"/>
      <c r="D642" s="1732"/>
      <c r="E642" s="1732"/>
      <c r="F642" s="1732"/>
      <c r="G642" s="1732"/>
      <c r="H642" s="1732"/>
      <c r="I642" s="1732"/>
      <c r="J642" s="1732"/>
      <c r="K642" s="1732"/>
      <c r="L642" s="1732"/>
      <c r="M642" s="1732"/>
      <c r="N642" s="1732"/>
      <c r="O642" s="1732"/>
      <c r="P642" s="1732"/>
      <c r="Q642" s="1732"/>
      <c r="R642" s="1732"/>
      <c r="S642" s="1732"/>
      <c r="T642" s="1732"/>
      <c r="U642" s="1732"/>
      <c r="V642" s="1732"/>
      <c r="W642" s="1732"/>
      <c r="X642" s="1732"/>
      <c r="Y642" s="1732"/>
      <c r="Z642" s="1732"/>
    </row>
    <row r="643" spans="1:26" ht="18" customHeight="1">
      <c r="A643" s="1732"/>
      <c r="B643" s="1732"/>
      <c r="C643" s="1776"/>
      <c r="D643" s="1732"/>
      <c r="E643" s="1732"/>
      <c r="F643" s="1732"/>
      <c r="G643" s="1732"/>
      <c r="H643" s="1732"/>
      <c r="I643" s="1732"/>
      <c r="J643" s="1732"/>
      <c r="K643" s="1732"/>
      <c r="L643" s="1732"/>
      <c r="M643" s="1732"/>
      <c r="N643" s="1732"/>
      <c r="O643" s="1732"/>
      <c r="P643" s="1732"/>
      <c r="Q643" s="1732"/>
      <c r="R643" s="1732"/>
      <c r="S643" s="1732"/>
      <c r="T643" s="1732"/>
      <c r="U643" s="1732"/>
      <c r="V643" s="1732"/>
      <c r="W643" s="1732"/>
      <c r="X643" s="1732"/>
      <c r="Y643" s="1732"/>
      <c r="Z643" s="1732"/>
    </row>
    <row r="644" spans="1:26" ht="18" customHeight="1">
      <c r="A644" s="1732"/>
      <c r="B644" s="1732"/>
      <c r="C644" s="1776"/>
      <c r="D644" s="1732"/>
      <c r="E644" s="1732"/>
      <c r="F644" s="1732"/>
      <c r="G644" s="1732"/>
      <c r="H644" s="1732"/>
      <c r="I644" s="1732"/>
      <c r="J644" s="1732"/>
      <c r="K644" s="1732"/>
      <c r="L644" s="1732"/>
      <c r="M644" s="1732"/>
      <c r="N644" s="1732"/>
      <c r="O644" s="1732"/>
      <c r="P644" s="1732"/>
      <c r="Q644" s="1732"/>
      <c r="R644" s="1732"/>
      <c r="S644" s="1732"/>
      <c r="T644" s="1732"/>
      <c r="U644" s="1732"/>
      <c r="V644" s="1732"/>
      <c r="W644" s="1732"/>
      <c r="X644" s="1732"/>
      <c r="Y644" s="1732"/>
      <c r="Z644" s="1732"/>
    </row>
    <row r="645" spans="1:26" ht="18" customHeight="1">
      <c r="A645" s="1732"/>
      <c r="B645" s="1732"/>
      <c r="C645" s="1776"/>
      <c r="D645" s="1732"/>
      <c r="E645" s="1732"/>
      <c r="F645" s="1732"/>
      <c r="G645" s="1732"/>
      <c r="H645" s="1732"/>
      <c r="I645" s="1732"/>
      <c r="J645" s="1732"/>
      <c r="K645" s="1732"/>
      <c r="L645" s="1732"/>
      <c r="M645" s="1732"/>
      <c r="N645" s="1732"/>
      <c r="O645" s="1732"/>
      <c r="P645" s="1732"/>
      <c r="Q645" s="1732"/>
      <c r="R645" s="1732"/>
      <c r="S645" s="1732"/>
      <c r="T645" s="1732"/>
      <c r="U645" s="1732"/>
      <c r="V645" s="1732"/>
      <c r="W645" s="1732"/>
      <c r="X645" s="1732"/>
      <c r="Y645" s="1732"/>
      <c r="Z645" s="1732"/>
    </row>
    <row r="646" spans="1:26" ht="18" customHeight="1">
      <c r="A646" s="1732"/>
      <c r="B646" s="1732"/>
      <c r="C646" s="1776"/>
      <c r="D646" s="1732"/>
      <c r="E646" s="1732"/>
      <c r="F646" s="1732"/>
      <c r="G646" s="1732"/>
      <c r="H646" s="1732"/>
      <c r="I646" s="1732"/>
      <c r="J646" s="1732"/>
      <c r="K646" s="1732"/>
      <c r="L646" s="1732"/>
      <c r="M646" s="1732"/>
      <c r="N646" s="1732"/>
      <c r="O646" s="1732"/>
      <c r="P646" s="1732"/>
      <c r="Q646" s="1732"/>
      <c r="R646" s="1732"/>
      <c r="S646" s="1732"/>
      <c r="T646" s="1732"/>
      <c r="U646" s="1732"/>
      <c r="V646" s="1732"/>
      <c r="W646" s="1732"/>
      <c r="X646" s="1732"/>
      <c r="Y646" s="1732"/>
      <c r="Z646" s="1732"/>
    </row>
    <row r="647" spans="1:26" ht="18" customHeight="1">
      <c r="A647" s="1732"/>
      <c r="B647" s="1732"/>
      <c r="C647" s="1776"/>
      <c r="D647" s="1732"/>
      <c r="E647" s="1732"/>
      <c r="F647" s="1732"/>
      <c r="G647" s="1732"/>
      <c r="H647" s="1732"/>
      <c r="I647" s="1732"/>
      <c r="J647" s="1732"/>
      <c r="K647" s="1732"/>
      <c r="L647" s="1732"/>
      <c r="M647" s="1732"/>
      <c r="N647" s="1732"/>
      <c r="O647" s="1732"/>
      <c r="P647" s="1732"/>
      <c r="Q647" s="1732"/>
      <c r="R647" s="1732"/>
      <c r="S647" s="1732"/>
      <c r="T647" s="1732"/>
      <c r="U647" s="1732"/>
      <c r="V647" s="1732"/>
      <c r="W647" s="1732"/>
      <c r="X647" s="1732"/>
      <c r="Y647" s="1732"/>
      <c r="Z647" s="1732"/>
    </row>
    <row r="648" spans="1:26" ht="18" customHeight="1">
      <c r="A648" s="1732"/>
      <c r="B648" s="1732"/>
      <c r="C648" s="1776"/>
      <c r="D648" s="1732"/>
      <c r="E648" s="1732"/>
      <c r="F648" s="1732"/>
      <c r="G648" s="1732"/>
      <c r="H648" s="1732"/>
      <c r="I648" s="1732"/>
      <c r="J648" s="1732"/>
      <c r="K648" s="1732"/>
      <c r="L648" s="1732"/>
      <c r="M648" s="1732"/>
      <c r="N648" s="1732"/>
      <c r="O648" s="1732"/>
      <c r="P648" s="1732"/>
      <c r="Q648" s="1732"/>
      <c r="R648" s="1732"/>
      <c r="S648" s="1732"/>
      <c r="T648" s="1732"/>
      <c r="U648" s="1732"/>
      <c r="V648" s="1732"/>
      <c r="W648" s="1732"/>
      <c r="X648" s="1732"/>
      <c r="Y648" s="1732"/>
      <c r="Z648" s="1732"/>
    </row>
    <row r="649" spans="1:26" ht="18" customHeight="1">
      <c r="A649" s="1732"/>
      <c r="B649" s="1732"/>
      <c r="C649" s="1776"/>
      <c r="D649" s="1732"/>
      <c r="E649" s="1732"/>
      <c r="F649" s="1732"/>
      <c r="G649" s="1732"/>
      <c r="H649" s="1732"/>
      <c r="I649" s="1732"/>
      <c r="J649" s="1732"/>
      <c r="K649" s="1732"/>
      <c r="L649" s="1732"/>
      <c r="M649" s="1732"/>
      <c r="N649" s="1732"/>
      <c r="O649" s="1732"/>
      <c r="P649" s="1732"/>
      <c r="Q649" s="1732"/>
      <c r="R649" s="1732"/>
      <c r="S649" s="1732"/>
      <c r="T649" s="1732"/>
      <c r="U649" s="1732"/>
      <c r="V649" s="1732"/>
      <c r="W649" s="1732"/>
      <c r="X649" s="1732"/>
      <c r="Y649" s="1732"/>
      <c r="Z649" s="1732"/>
    </row>
    <row r="650" spans="1:26" ht="18" customHeight="1">
      <c r="A650" s="1732"/>
      <c r="B650" s="1732"/>
      <c r="C650" s="1776"/>
      <c r="D650" s="1732"/>
      <c r="E650" s="1732"/>
      <c r="F650" s="1732"/>
      <c r="G650" s="1732"/>
      <c r="H650" s="1732"/>
      <c r="I650" s="1732"/>
      <c r="J650" s="1732"/>
      <c r="K650" s="1732"/>
      <c r="L650" s="1732"/>
      <c r="M650" s="1732"/>
      <c r="N650" s="1732"/>
      <c r="O650" s="1732"/>
      <c r="P650" s="1732"/>
      <c r="Q650" s="1732"/>
      <c r="R650" s="1732"/>
      <c r="S650" s="1732"/>
      <c r="T650" s="1732"/>
      <c r="U650" s="1732"/>
      <c r="V650" s="1732"/>
      <c r="W650" s="1732"/>
      <c r="X650" s="1732"/>
      <c r="Y650" s="1732"/>
      <c r="Z650" s="1732"/>
    </row>
    <row r="651" spans="1:26" ht="18" customHeight="1">
      <c r="A651" s="1732"/>
      <c r="B651" s="1732"/>
      <c r="C651" s="1776"/>
      <c r="D651" s="1732"/>
      <c r="E651" s="1732"/>
      <c r="F651" s="1732"/>
      <c r="G651" s="1732"/>
      <c r="H651" s="1732"/>
      <c r="I651" s="1732"/>
      <c r="J651" s="1732"/>
      <c r="K651" s="1732"/>
      <c r="L651" s="1732"/>
      <c r="M651" s="1732"/>
      <c r="N651" s="1732"/>
      <c r="O651" s="1732"/>
      <c r="P651" s="1732"/>
      <c r="Q651" s="1732"/>
      <c r="R651" s="1732"/>
      <c r="S651" s="1732"/>
      <c r="T651" s="1732"/>
      <c r="U651" s="1732"/>
      <c r="V651" s="1732"/>
      <c r="W651" s="1732"/>
      <c r="X651" s="1732"/>
      <c r="Y651" s="1732"/>
      <c r="Z651" s="1732"/>
    </row>
    <row r="652" spans="1:26" ht="18" customHeight="1">
      <c r="A652" s="1732"/>
      <c r="B652" s="1732"/>
      <c r="C652" s="1776"/>
      <c r="D652" s="1732"/>
      <c r="E652" s="1732"/>
      <c r="F652" s="1732"/>
      <c r="G652" s="1732"/>
      <c r="H652" s="1732"/>
      <c r="I652" s="1732"/>
      <c r="J652" s="1732"/>
      <c r="K652" s="1732"/>
      <c r="L652" s="1732"/>
      <c r="M652" s="1732"/>
      <c r="N652" s="1732"/>
      <c r="O652" s="1732"/>
      <c r="P652" s="1732"/>
      <c r="Q652" s="1732"/>
      <c r="R652" s="1732"/>
      <c r="S652" s="1732"/>
      <c r="T652" s="1732"/>
      <c r="U652" s="1732"/>
      <c r="V652" s="1732"/>
      <c r="W652" s="1732"/>
      <c r="X652" s="1732"/>
      <c r="Y652" s="1732"/>
      <c r="Z652" s="1732"/>
    </row>
    <row r="653" spans="1:26" ht="18" customHeight="1">
      <c r="A653" s="1732"/>
      <c r="B653" s="1732"/>
      <c r="C653" s="1776"/>
      <c r="D653" s="1732"/>
      <c r="E653" s="1732"/>
      <c r="F653" s="1732"/>
      <c r="G653" s="1732"/>
      <c r="H653" s="1732"/>
      <c r="I653" s="1732"/>
      <c r="J653" s="1732"/>
      <c r="K653" s="1732"/>
      <c r="L653" s="1732"/>
      <c r="M653" s="1732"/>
      <c r="N653" s="1732"/>
      <c r="O653" s="1732"/>
      <c r="P653" s="1732"/>
      <c r="Q653" s="1732"/>
      <c r="R653" s="1732"/>
      <c r="S653" s="1732"/>
      <c r="T653" s="1732"/>
      <c r="U653" s="1732"/>
      <c r="V653" s="1732"/>
      <c r="W653" s="1732"/>
      <c r="X653" s="1732"/>
      <c r="Y653" s="1732"/>
      <c r="Z653" s="1732"/>
    </row>
    <row r="654" spans="1:26" ht="18" customHeight="1">
      <c r="A654" s="1732"/>
      <c r="B654" s="1732"/>
      <c r="C654" s="1776"/>
      <c r="D654" s="1732"/>
      <c r="E654" s="1732"/>
      <c r="F654" s="1732"/>
      <c r="G654" s="1732"/>
      <c r="H654" s="1732"/>
      <c r="I654" s="1732"/>
      <c r="J654" s="1732"/>
      <c r="K654" s="1732"/>
      <c r="L654" s="1732"/>
      <c r="M654" s="1732"/>
      <c r="N654" s="1732"/>
      <c r="O654" s="1732"/>
      <c r="P654" s="1732"/>
      <c r="Q654" s="1732"/>
      <c r="R654" s="1732"/>
      <c r="S654" s="1732"/>
      <c r="T654" s="1732"/>
      <c r="U654" s="1732"/>
      <c r="V654" s="1732"/>
      <c r="W654" s="1732"/>
      <c r="X654" s="1732"/>
      <c r="Y654" s="1732"/>
      <c r="Z654" s="1732"/>
    </row>
    <row r="655" spans="1:26" ht="18" customHeight="1">
      <c r="A655" s="1732"/>
      <c r="B655" s="1732"/>
      <c r="C655" s="1776"/>
      <c r="D655" s="1732"/>
      <c r="E655" s="1732"/>
      <c r="F655" s="1732"/>
      <c r="G655" s="1732"/>
      <c r="H655" s="1732"/>
      <c r="I655" s="1732"/>
      <c r="J655" s="1732"/>
      <c r="K655" s="1732"/>
      <c r="L655" s="1732"/>
      <c r="M655" s="1732"/>
      <c r="N655" s="1732"/>
      <c r="O655" s="1732"/>
      <c r="P655" s="1732"/>
      <c r="Q655" s="1732"/>
      <c r="R655" s="1732"/>
      <c r="S655" s="1732"/>
      <c r="T655" s="1732"/>
      <c r="U655" s="1732"/>
      <c r="V655" s="1732"/>
      <c r="W655" s="1732"/>
      <c r="X655" s="1732"/>
      <c r="Y655" s="1732"/>
      <c r="Z655" s="1732"/>
    </row>
    <row r="656" spans="1:26" ht="18" customHeight="1">
      <c r="A656" s="1732"/>
      <c r="B656" s="1732"/>
      <c r="C656" s="1776"/>
      <c r="D656" s="1732"/>
      <c r="E656" s="1732"/>
      <c r="F656" s="1732"/>
      <c r="G656" s="1732"/>
      <c r="H656" s="1732"/>
      <c r="I656" s="1732"/>
      <c r="J656" s="1732"/>
      <c r="K656" s="1732"/>
      <c r="L656" s="1732"/>
      <c r="M656" s="1732"/>
      <c r="N656" s="1732"/>
      <c r="O656" s="1732"/>
      <c r="P656" s="1732"/>
      <c r="Q656" s="1732"/>
      <c r="R656" s="1732"/>
      <c r="S656" s="1732"/>
      <c r="T656" s="1732"/>
      <c r="U656" s="1732"/>
      <c r="V656" s="1732"/>
      <c r="W656" s="1732"/>
      <c r="X656" s="1732"/>
      <c r="Y656" s="1732"/>
      <c r="Z656" s="1732"/>
    </row>
    <row r="657" spans="1:26" ht="18" customHeight="1">
      <c r="A657" s="1732"/>
      <c r="B657" s="1732"/>
      <c r="C657" s="1776"/>
      <c r="D657" s="1732"/>
      <c r="E657" s="1732"/>
      <c r="F657" s="1732"/>
      <c r="G657" s="1732"/>
      <c r="H657" s="1732"/>
      <c r="I657" s="1732"/>
      <c r="J657" s="1732"/>
      <c r="K657" s="1732"/>
      <c r="L657" s="1732"/>
      <c r="M657" s="1732"/>
      <c r="N657" s="1732"/>
      <c r="O657" s="1732"/>
      <c r="P657" s="1732"/>
      <c r="Q657" s="1732"/>
      <c r="R657" s="1732"/>
      <c r="S657" s="1732"/>
      <c r="T657" s="1732"/>
      <c r="U657" s="1732"/>
      <c r="V657" s="1732"/>
      <c r="W657" s="1732"/>
      <c r="X657" s="1732"/>
      <c r="Y657" s="1732"/>
      <c r="Z657" s="1732"/>
    </row>
    <row r="658" spans="1:26" ht="18" customHeight="1">
      <c r="A658" s="1732"/>
      <c r="B658" s="1732"/>
      <c r="C658" s="1776"/>
      <c r="D658" s="1732"/>
      <c r="E658" s="1732"/>
      <c r="F658" s="1732"/>
      <c r="G658" s="1732"/>
      <c r="H658" s="1732"/>
      <c r="I658" s="1732"/>
      <c r="J658" s="1732"/>
      <c r="K658" s="1732"/>
      <c r="L658" s="1732"/>
      <c r="M658" s="1732"/>
      <c r="N658" s="1732"/>
      <c r="O658" s="1732"/>
      <c r="P658" s="1732"/>
      <c r="Q658" s="1732"/>
      <c r="R658" s="1732"/>
      <c r="S658" s="1732"/>
      <c r="T658" s="1732"/>
      <c r="U658" s="1732"/>
      <c r="V658" s="1732"/>
      <c r="W658" s="1732"/>
      <c r="X658" s="1732"/>
      <c r="Y658" s="1732"/>
      <c r="Z658" s="1732"/>
    </row>
    <row r="659" spans="1:26" ht="18" customHeight="1">
      <c r="A659" s="1732"/>
      <c r="B659" s="1732"/>
      <c r="C659" s="1776"/>
      <c r="D659" s="1732"/>
      <c r="E659" s="1732"/>
      <c r="F659" s="1732"/>
      <c r="G659" s="1732"/>
      <c r="H659" s="1732"/>
      <c r="I659" s="1732"/>
      <c r="J659" s="1732"/>
      <c r="K659" s="1732"/>
      <c r="L659" s="1732"/>
      <c r="M659" s="1732"/>
      <c r="N659" s="1732"/>
      <c r="O659" s="1732"/>
      <c r="P659" s="1732"/>
      <c r="Q659" s="1732"/>
      <c r="R659" s="1732"/>
      <c r="S659" s="1732"/>
      <c r="T659" s="1732"/>
      <c r="U659" s="1732"/>
      <c r="V659" s="1732"/>
      <c r="W659" s="1732"/>
      <c r="X659" s="1732"/>
      <c r="Y659" s="1732"/>
      <c r="Z659" s="1732"/>
    </row>
    <row r="660" spans="1:26" ht="18" customHeight="1">
      <c r="A660" s="1732"/>
      <c r="B660" s="1732"/>
      <c r="C660" s="1776"/>
      <c r="D660" s="1732"/>
      <c r="E660" s="1732"/>
      <c r="F660" s="1732"/>
      <c r="G660" s="1732"/>
      <c r="H660" s="1732"/>
      <c r="I660" s="1732"/>
      <c r="J660" s="1732"/>
      <c r="K660" s="1732"/>
      <c r="L660" s="1732"/>
      <c r="M660" s="1732"/>
      <c r="N660" s="1732"/>
      <c r="O660" s="1732"/>
      <c r="P660" s="1732"/>
      <c r="Q660" s="1732"/>
      <c r="R660" s="1732"/>
      <c r="S660" s="1732"/>
      <c r="T660" s="1732"/>
      <c r="U660" s="1732"/>
      <c r="V660" s="1732"/>
      <c r="W660" s="1732"/>
      <c r="X660" s="1732"/>
      <c r="Y660" s="1732"/>
      <c r="Z660" s="1732"/>
    </row>
    <row r="661" spans="1:26" ht="18" customHeight="1">
      <c r="A661" s="1732"/>
      <c r="B661" s="1732"/>
      <c r="C661" s="1776"/>
      <c r="D661" s="1732"/>
      <c r="E661" s="1732"/>
      <c r="F661" s="1732"/>
      <c r="G661" s="1732"/>
      <c r="H661" s="1732"/>
      <c r="I661" s="1732"/>
      <c r="J661" s="1732"/>
      <c r="K661" s="1732"/>
      <c r="L661" s="1732"/>
      <c r="M661" s="1732"/>
      <c r="N661" s="1732"/>
      <c r="O661" s="1732"/>
      <c r="P661" s="1732"/>
      <c r="Q661" s="1732"/>
      <c r="R661" s="1732"/>
      <c r="S661" s="1732"/>
      <c r="T661" s="1732"/>
      <c r="U661" s="1732"/>
      <c r="V661" s="1732"/>
      <c r="W661" s="1732"/>
      <c r="X661" s="1732"/>
      <c r="Y661" s="1732"/>
      <c r="Z661" s="1732"/>
    </row>
    <row r="662" spans="1:26" ht="18" customHeight="1">
      <c r="A662" s="1732"/>
      <c r="B662" s="1732"/>
      <c r="C662" s="1776"/>
      <c r="D662" s="1732"/>
      <c r="E662" s="1732"/>
      <c r="F662" s="1732"/>
      <c r="G662" s="1732"/>
      <c r="H662" s="1732"/>
      <c r="I662" s="1732"/>
      <c r="J662" s="1732"/>
      <c r="K662" s="1732"/>
      <c r="L662" s="1732"/>
      <c r="M662" s="1732"/>
      <c r="N662" s="1732"/>
      <c r="O662" s="1732"/>
      <c r="P662" s="1732"/>
      <c r="Q662" s="1732"/>
      <c r="R662" s="1732"/>
      <c r="S662" s="1732"/>
      <c r="T662" s="1732"/>
      <c r="U662" s="1732"/>
      <c r="V662" s="1732"/>
      <c r="W662" s="1732"/>
      <c r="X662" s="1732"/>
      <c r="Y662" s="1732"/>
      <c r="Z662" s="1732"/>
    </row>
    <row r="663" spans="1:26" ht="18" customHeight="1">
      <c r="A663" s="1732"/>
      <c r="B663" s="1732"/>
      <c r="C663" s="1776"/>
      <c r="D663" s="1732"/>
      <c r="E663" s="1732"/>
      <c r="F663" s="1732"/>
      <c r="G663" s="1732"/>
      <c r="H663" s="1732"/>
      <c r="I663" s="1732"/>
      <c r="J663" s="1732"/>
      <c r="K663" s="1732"/>
      <c r="L663" s="1732"/>
      <c r="M663" s="1732"/>
      <c r="N663" s="1732"/>
      <c r="O663" s="1732"/>
      <c r="P663" s="1732"/>
      <c r="Q663" s="1732"/>
      <c r="R663" s="1732"/>
      <c r="S663" s="1732"/>
      <c r="T663" s="1732"/>
      <c r="U663" s="1732"/>
      <c r="V663" s="1732"/>
      <c r="W663" s="1732"/>
      <c r="X663" s="1732"/>
      <c r="Y663" s="1732"/>
      <c r="Z663" s="1732"/>
    </row>
    <row r="664" spans="1:26" ht="18" customHeight="1">
      <c r="A664" s="1732"/>
      <c r="B664" s="1732"/>
      <c r="C664" s="1776"/>
      <c r="D664" s="1732"/>
      <c r="E664" s="1732"/>
      <c r="F664" s="1732"/>
      <c r="G664" s="1732"/>
      <c r="H664" s="1732"/>
      <c r="I664" s="1732"/>
      <c r="J664" s="1732"/>
      <c r="K664" s="1732"/>
      <c r="L664" s="1732"/>
      <c r="M664" s="1732"/>
      <c r="N664" s="1732"/>
      <c r="O664" s="1732"/>
      <c r="P664" s="1732"/>
      <c r="Q664" s="1732"/>
      <c r="R664" s="1732"/>
      <c r="S664" s="1732"/>
      <c r="T664" s="1732"/>
      <c r="U664" s="1732"/>
      <c r="V664" s="1732"/>
      <c r="W664" s="1732"/>
      <c r="X664" s="1732"/>
      <c r="Y664" s="1732"/>
      <c r="Z664" s="1732"/>
    </row>
    <row r="665" spans="1:26" ht="18" customHeight="1">
      <c r="A665" s="1732"/>
      <c r="B665" s="1732"/>
      <c r="C665" s="1776"/>
      <c r="D665" s="1732"/>
      <c r="E665" s="1732"/>
      <c r="F665" s="1732"/>
      <c r="G665" s="1732"/>
      <c r="H665" s="1732"/>
      <c r="I665" s="1732"/>
      <c r="J665" s="1732"/>
      <c r="K665" s="1732"/>
      <c r="L665" s="1732"/>
      <c r="M665" s="1732"/>
      <c r="N665" s="1732"/>
      <c r="O665" s="1732"/>
      <c r="P665" s="1732"/>
      <c r="Q665" s="1732"/>
      <c r="R665" s="1732"/>
      <c r="S665" s="1732"/>
      <c r="T665" s="1732"/>
      <c r="U665" s="1732"/>
      <c r="V665" s="1732"/>
      <c r="W665" s="1732"/>
      <c r="X665" s="1732"/>
      <c r="Y665" s="1732"/>
      <c r="Z665" s="1732"/>
    </row>
    <row r="666" spans="1:26" ht="18" customHeight="1">
      <c r="A666" s="1732"/>
      <c r="B666" s="1732"/>
      <c r="C666" s="1776"/>
      <c r="D666" s="1732"/>
      <c r="E666" s="1732"/>
      <c r="F666" s="1732"/>
      <c r="G666" s="1732"/>
      <c r="H666" s="1732"/>
      <c r="I666" s="1732"/>
      <c r="J666" s="1732"/>
      <c r="K666" s="1732"/>
      <c r="L666" s="1732"/>
      <c r="M666" s="1732"/>
      <c r="N666" s="1732"/>
      <c r="O666" s="1732"/>
      <c r="P666" s="1732"/>
      <c r="Q666" s="1732"/>
      <c r="R666" s="1732"/>
      <c r="S666" s="1732"/>
      <c r="T666" s="1732"/>
      <c r="U666" s="1732"/>
      <c r="V666" s="1732"/>
      <c r="W666" s="1732"/>
      <c r="X666" s="1732"/>
      <c r="Y666" s="1732"/>
      <c r="Z666" s="1732"/>
    </row>
    <row r="667" spans="1:26" ht="18" customHeight="1">
      <c r="A667" s="1732"/>
      <c r="B667" s="1732"/>
      <c r="C667" s="1776"/>
      <c r="D667" s="1732"/>
      <c r="E667" s="1732"/>
      <c r="F667" s="1732"/>
      <c r="G667" s="1732"/>
      <c r="H667" s="1732"/>
      <c r="I667" s="1732"/>
      <c r="J667" s="1732"/>
      <c r="K667" s="1732"/>
      <c r="L667" s="1732"/>
      <c r="M667" s="1732"/>
      <c r="N667" s="1732"/>
      <c r="O667" s="1732"/>
      <c r="P667" s="1732"/>
      <c r="Q667" s="1732"/>
      <c r="R667" s="1732"/>
      <c r="S667" s="1732"/>
      <c r="T667" s="1732"/>
      <c r="U667" s="1732"/>
      <c r="V667" s="1732"/>
      <c r="W667" s="1732"/>
      <c r="X667" s="1732"/>
      <c r="Y667" s="1732"/>
      <c r="Z667" s="1732"/>
    </row>
    <row r="668" spans="1:26" ht="18" customHeight="1">
      <c r="A668" s="1732"/>
      <c r="B668" s="1732"/>
      <c r="C668" s="1776"/>
      <c r="D668" s="1732"/>
      <c r="E668" s="1732"/>
      <c r="F668" s="1732"/>
      <c r="G668" s="1732"/>
      <c r="H668" s="1732"/>
      <c r="I668" s="1732"/>
      <c r="J668" s="1732"/>
      <c r="K668" s="1732"/>
      <c r="L668" s="1732"/>
      <c r="M668" s="1732"/>
      <c r="N668" s="1732"/>
      <c r="O668" s="1732"/>
      <c r="P668" s="1732"/>
      <c r="Q668" s="1732"/>
      <c r="R668" s="1732"/>
      <c r="S668" s="1732"/>
      <c r="T668" s="1732"/>
      <c r="U668" s="1732"/>
      <c r="V668" s="1732"/>
      <c r="W668" s="1732"/>
      <c r="X668" s="1732"/>
      <c r="Y668" s="1732"/>
      <c r="Z668" s="1732"/>
    </row>
    <row r="669" spans="1:26" ht="18" customHeight="1">
      <c r="A669" s="1732"/>
      <c r="B669" s="1732"/>
      <c r="C669" s="1776"/>
      <c r="D669" s="1732"/>
      <c r="E669" s="1732"/>
      <c r="F669" s="1732"/>
      <c r="G669" s="1732"/>
      <c r="H669" s="1732"/>
      <c r="I669" s="1732"/>
      <c r="J669" s="1732"/>
      <c r="K669" s="1732"/>
      <c r="L669" s="1732"/>
      <c r="M669" s="1732"/>
      <c r="N669" s="1732"/>
      <c r="O669" s="1732"/>
      <c r="P669" s="1732"/>
      <c r="Q669" s="1732"/>
      <c r="R669" s="1732"/>
      <c r="S669" s="1732"/>
      <c r="T669" s="1732"/>
      <c r="U669" s="1732"/>
      <c r="V669" s="1732"/>
      <c r="W669" s="1732"/>
      <c r="X669" s="1732"/>
      <c r="Y669" s="1732"/>
      <c r="Z669" s="1732"/>
    </row>
    <row r="670" spans="1:26" ht="18" customHeight="1">
      <c r="A670" s="1732"/>
      <c r="B670" s="1732"/>
      <c r="C670" s="1776"/>
      <c r="D670" s="1732"/>
      <c r="E670" s="1732"/>
      <c r="F670" s="1732"/>
      <c r="G670" s="1732"/>
      <c r="H670" s="1732"/>
      <c r="I670" s="1732"/>
      <c r="J670" s="1732"/>
      <c r="K670" s="1732"/>
      <c r="L670" s="1732"/>
      <c r="M670" s="1732"/>
      <c r="N670" s="1732"/>
      <c r="O670" s="1732"/>
      <c r="P670" s="1732"/>
      <c r="Q670" s="1732"/>
      <c r="R670" s="1732"/>
      <c r="S670" s="1732"/>
      <c r="T670" s="1732"/>
      <c r="U670" s="1732"/>
      <c r="V670" s="1732"/>
      <c r="W670" s="1732"/>
      <c r="X670" s="1732"/>
      <c r="Y670" s="1732"/>
      <c r="Z670" s="1732"/>
    </row>
    <row r="671" spans="1:26" ht="18" customHeight="1">
      <c r="A671" s="1732"/>
      <c r="B671" s="1732"/>
      <c r="C671" s="1776"/>
      <c r="D671" s="1732"/>
      <c r="E671" s="1732"/>
      <c r="F671" s="1732"/>
      <c r="G671" s="1732"/>
      <c r="H671" s="1732"/>
      <c r="I671" s="1732"/>
      <c r="J671" s="1732"/>
      <c r="K671" s="1732"/>
      <c r="L671" s="1732"/>
      <c r="M671" s="1732"/>
      <c r="N671" s="1732"/>
      <c r="O671" s="1732"/>
      <c r="P671" s="1732"/>
      <c r="Q671" s="1732"/>
      <c r="R671" s="1732"/>
      <c r="S671" s="1732"/>
      <c r="T671" s="1732"/>
      <c r="U671" s="1732"/>
      <c r="V671" s="1732"/>
      <c r="W671" s="1732"/>
      <c r="X671" s="1732"/>
      <c r="Y671" s="1732"/>
      <c r="Z671" s="1732"/>
    </row>
    <row r="672" spans="1:26" ht="18" customHeight="1">
      <c r="A672" s="1732"/>
      <c r="B672" s="1732"/>
      <c r="C672" s="1776"/>
      <c r="D672" s="1732"/>
      <c r="E672" s="1732"/>
      <c r="F672" s="1732"/>
      <c r="G672" s="1732"/>
      <c r="H672" s="1732"/>
      <c r="I672" s="1732"/>
      <c r="J672" s="1732"/>
      <c r="K672" s="1732"/>
      <c r="L672" s="1732"/>
      <c r="M672" s="1732"/>
      <c r="N672" s="1732"/>
      <c r="O672" s="1732"/>
      <c r="P672" s="1732"/>
      <c r="Q672" s="1732"/>
      <c r="R672" s="1732"/>
      <c r="S672" s="1732"/>
      <c r="T672" s="1732"/>
      <c r="U672" s="1732"/>
      <c r="V672" s="1732"/>
      <c r="W672" s="1732"/>
      <c r="X672" s="1732"/>
      <c r="Y672" s="1732"/>
      <c r="Z672" s="1732"/>
    </row>
    <row r="673" spans="1:26" ht="18" customHeight="1">
      <c r="A673" s="1732"/>
      <c r="B673" s="1732"/>
      <c r="C673" s="1776"/>
      <c r="D673" s="1732"/>
      <c r="E673" s="1732"/>
      <c r="F673" s="1732"/>
      <c r="G673" s="1732"/>
      <c r="H673" s="1732"/>
      <c r="I673" s="1732"/>
      <c r="J673" s="1732"/>
      <c r="K673" s="1732"/>
      <c r="L673" s="1732"/>
      <c r="M673" s="1732"/>
      <c r="N673" s="1732"/>
      <c r="O673" s="1732"/>
      <c r="P673" s="1732"/>
      <c r="Q673" s="1732"/>
      <c r="R673" s="1732"/>
      <c r="S673" s="1732"/>
      <c r="T673" s="1732"/>
      <c r="U673" s="1732"/>
      <c r="V673" s="1732"/>
      <c r="W673" s="1732"/>
      <c r="X673" s="1732"/>
      <c r="Y673" s="1732"/>
      <c r="Z673" s="1732"/>
    </row>
    <row r="674" spans="1:26" ht="18" customHeight="1">
      <c r="A674" s="1732"/>
      <c r="B674" s="1732"/>
      <c r="C674" s="1776"/>
      <c r="D674" s="1732"/>
      <c r="E674" s="1732"/>
      <c r="F674" s="1732"/>
      <c r="G674" s="1732"/>
      <c r="H674" s="1732"/>
      <c r="I674" s="1732"/>
      <c r="J674" s="1732"/>
      <c r="K674" s="1732"/>
      <c r="L674" s="1732"/>
      <c r="M674" s="1732"/>
      <c r="N674" s="1732"/>
      <c r="O674" s="1732"/>
      <c r="P674" s="1732"/>
      <c r="Q674" s="1732"/>
      <c r="R674" s="1732"/>
      <c r="S674" s="1732"/>
      <c r="T674" s="1732"/>
      <c r="U674" s="1732"/>
      <c r="V674" s="1732"/>
      <c r="W674" s="1732"/>
      <c r="X674" s="1732"/>
      <c r="Y674" s="1732"/>
      <c r="Z674" s="1732"/>
    </row>
    <row r="675" spans="1:26" ht="18" customHeight="1">
      <c r="A675" s="1732"/>
      <c r="B675" s="1732"/>
      <c r="C675" s="1776"/>
      <c r="D675" s="1732"/>
      <c r="E675" s="1732"/>
      <c r="F675" s="1732"/>
      <c r="G675" s="1732"/>
      <c r="H675" s="1732"/>
      <c r="I675" s="1732"/>
      <c r="J675" s="1732"/>
      <c r="K675" s="1732"/>
      <c r="L675" s="1732"/>
      <c r="M675" s="1732"/>
      <c r="N675" s="1732"/>
      <c r="O675" s="1732"/>
      <c r="P675" s="1732"/>
      <c r="Q675" s="1732"/>
      <c r="R675" s="1732"/>
      <c r="S675" s="1732"/>
      <c r="T675" s="1732"/>
      <c r="U675" s="1732"/>
      <c r="V675" s="1732"/>
      <c r="W675" s="1732"/>
      <c r="X675" s="1732"/>
      <c r="Y675" s="1732"/>
      <c r="Z675" s="1732"/>
    </row>
    <row r="676" spans="1:26" ht="18" customHeight="1">
      <c r="A676" s="1732"/>
      <c r="B676" s="1732"/>
      <c r="C676" s="1776"/>
      <c r="D676" s="1732"/>
      <c r="E676" s="1732"/>
      <c r="F676" s="1732"/>
      <c r="G676" s="1732"/>
      <c r="H676" s="1732"/>
      <c r="I676" s="1732"/>
      <c r="J676" s="1732"/>
      <c r="K676" s="1732"/>
      <c r="L676" s="1732"/>
      <c r="M676" s="1732"/>
      <c r="N676" s="1732"/>
      <c r="O676" s="1732"/>
      <c r="P676" s="1732"/>
      <c r="Q676" s="1732"/>
      <c r="R676" s="1732"/>
      <c r="S676" s="1732"/>
      <c r="T676" s="1732"/>
      <c r="U676" s="1732"/>
      <c r="V676" s="1732"/>
      <c r="W676" s="1732"/>
      <c r="X676" s="1732"/>
      <c r="Y676" s="1732"/>
      <c r="Z676" s="1732"/>
    </row>
    <row r="677" spans="1:26" ht="18" customHeight="1">
      <c r="A677" s="1732"/>
      <c r="B677" s="1732"/>
      <c r="C677" s="1776"/>
      <c r="D677" s="1732"/>
      <c r="E677" s="1732"/>
      <c r="F677" s="1732"/>
      <c r="G677" s="1732"/>
      <c r="H677" s="1732"/>
      <c r="I677" s="1732"/>
      <c r="J677" s="1732"/>
      <c r="K677" s="1732"/>
      <c r="L677" s="1732"/>
      <c r="M677" s="1732"/>
      <c r="N677" s="1732"/>
      <c r="O677" s="1732"/>
      <c r="P677" s="1732"/>
      <c r="Q677" s="1732"/>
      <c r="R677" s="1732"/>
      <c r="S677" s="1732"/>
      <c r="T677" s="1732"/>
      <c r="U677" s="1732"/>
      <c r="V677" s="1732"/>
      <c r="W677" s="1732"/>
      <c r="X677" s="1732"/>
      <c r="Y677" s="1732"/>
      <c r="Z677" s="1732"/>
    </row>
    <row r="678" spans="1:26" ht="18" customHeight="1">
      <c r="A678" s="1732"/>
      <c r="B678" s="1732"/>
      <c r="C678" s="1776"/>
      <c r="D678" s="1732"/>
      <c r="E678" s="1732"/>
      <c r="F678" s="1732"/>
      <c r="G678" s="1732"/>
      <c r="H678" s="1732"/>
      <c r="I678" s="1732"/>
      <c r="J678" s="1732"/>
      <c r="K678" s="1732"/>
      <c r="L678" s="1732"/>
      <c r="M678" s="1732"/>
      <c r="N678" s="1732"/>
      <c r="O678" s="1732"/>
      <c r="P678" s="1732"/>
      <c r="Q678" s="1732"/>
      <c r="R678" s="1732"/>
      <c r="S678" s="1732"/>
      <c r="T678" s="1732"/>
      <c r="U678" s="1732"/>
      <c r="V678" s="1732"/>
      <c r="W678" s="1732"/>
      <c r="X678" s="1732"/>
      <c r="Y678" s="1732"/>
      <c r="Z678" s="1732"/>
    </row>
    <row r="679" spans="1:26" ht="18" customHeight="1">
      <c r="A679" s="1732"/>
      <c r="B679" s="1732"/>
      <c r="C679" s="1776"/>
      <c r="D679" s="1732"/>
      <c r="E679" s="1732"/>
      <c r="F679" s="1732"/>
      <c r="G679" s="1732"/>
      <c r="H679" s="1732"/>
      <c r="I679" s="1732"/>
      <c r="J679" s="1732"/>
      <c r="K679" s="1732"/>
      <c r="L679" s="1732"/>
      <c r="M679" s="1732"/>
      <c r="N679" s="1732"/>
      <c r="O679" s="1732"/>
      <c r="P679" s="1732"/>
      <c r="Q679" s="1732"/>
      <c r="R679" s="1732"/>
      <c r="S679" s="1732"/>
      <c r="T679" s="1732"/>
      <c r="U679" s="1732"/>
      <c r="V679" s="1732"/>
      <c r="W679" s="1732"/>
      <c r="X679" s="1732"/>
      <c r="Y679" s="1732"/>
      <c r="Z679" s="1732"/>
    </row>
    <row r="680" spans="1:26" ht="18" customHeight="1">
      <c r="A680" s="1732"/>
      <c r="B680" s="1732"/>
      <c r="C680" s="1776"/>
      <c r="D680" s="1732"/>
      <c r="E680" s="1732"/>
      <c r="F680" s="1732"/>
      <c r="G680" s="1732"/>
      <c r="H680" s="1732"/>
      <c r="I680" s="1732"/>
      <c r="J680" s="1732"/>
      <c r="K680" s="1732"/>
      <c r="L680" s="1732"/>
      <c r="M680" s="1732"/>
      <c r="N680" s="1732"/>
      <c r="O680" s="1732"/>
      <c r="P680" s="1732"/>
      <c r="Q680" s="1732"/>
      <c r="R680" s="1732"/>
      <c r="S680" s="1732"/>
      <c r="T680" s="1732"/>
      <c r="U680" s="1732"/>
      <c r="V680" s="1732"/>
      <c r="W680" s="1732"/>
      <c r="X680" s="1732"/>
      <c r="Y680" s="1732"/>
      <c r="Z680" s="1732"/>
    </row>
    <row r="681" spans="1:26" ht="18" customHeight="1">
      <c r="A681" s="1732"/>
      <c r="B681" s="1732"/>
      <c r="C681" s="1776"/>
      <c r="D681" s="1732"/>
      <c r="E681" s="1732"/>
      <c r="F681" s="1732"/>
      <c r="G681" s="1732"/>
      <c r="H681" s="1732"/>
      <c r="I681" s="1732"/>
      <c r="J681" s="1732"/>
      <c r="K681" s="1732"/>
      <c r="L681" s="1732"/>
      <c r="M681" s="1732"/>
      <c r="N681" s="1732"/>
      <c r="O681" s="1732"/>
      <c r="P681" s="1732"/>
      <c r="Q681" s="1732"/>
      <c r="R681" s="1732"/>
      <c r="S681" s="1732"/>
      <c r="T681" s="1732"/>
      <c r="U681" s="1732"/>
      <c r="V681" s="1732"/>
      <c r="W681" s="1732"/>
      <c r="X681" s="1732"/>
      <c r="Y681" s="1732"/>
      <c r="Z681" s="1732"/>
    </row>
    <row r="682" spans="1:26" ht="18" customHeight="1">
      <c r="A682" s="1732"/>
      <c r="B682" s="1732"/>
      <c r="C682" s="1776"/>
      <c r="D682" s="1732"/>
      <c r="E682" s="1732"/>
      <c r="F682" s="1732"/>
      <c r="G682" s="1732"/>
      <c r="H682" s="1732"/>
      <c r="I682" s="1732"/>
      <c r="J682" s="1732"/>
      <c r="K682" s="1732"/>
      <c r="L682" s="1732"/>
      <c r="M682" s="1732"/>
      <c r="N682" s="1732"/>
      <c r="O682" s="1732"/>
      <c r="P682" s="1732"/>
      <c r="Q682" s="1732"/>
      <c r="R682" s="1732"/>
      <c r="S682" s="1732"/>
      <c r="T682" s="1732"/>
      <c r="U682" s="1732"/>
      <c r="V682" s="1732"/>
      <c r="W682" s="1732"/>
      <c r="X682" s="1732"/>
      <c r="Y682" s="1732"/>
      <c r="Z682" s="1732"/>
    </row>
    <row r="683" spans="1:26" ht="18" customHeight="1">
      <c r="A683" s="1732"/>
      <c r="B683" s="1732"/>
      <c r="C683" s="1776"/>
      <c r="D683" s="1732"/>
      <c r="E683" s="1732"/>
      <c r="F683" s="1732"/>
      <c r="G683" s="1732"/>
      <c r="H683" s="1732"/>
      <c r="I683" s="1732"/>
      <c r="J683" s="1732"/>
      <c r="K683" s="1732"/>
      <c r="L683" s="1732"/>
      <c r="M683" s="1732"/>
      <c r="N683" s="1732"/>
      <c r="O683" s="1732"/>
      <c r="P683" s="1732"/>
      <c r="Q683" s="1732"/>
      <c r="R683" s="1732"/>
      <c r="S683" s="1732"/>
      <c r="T683" s="1732"/>
      <c r="U683" s="1732"/>
      <c r="V683" s="1732"/>
      <c r="W683" s="1732"/>
      <c r="X683" s="1732"/>
      <c r="Y683" s="1732"/>
      <c r="Z683" s="1732"/>
    </row>
    <row r="684" spans="1:26" ht="18" customHeight="1">
      <c r="A684" s="1732"/>
      <c r="B684" s="1732"/>
      <c r="C684" s="1776"/>
      <c r="D684" s="1732"/>
      <c r="E684" s="1732"/>
      <c r="F684" s="1732"/>
      <c r="G684" s="1732"/>
      <c r="H684" s="1732"/>
      <c r="I684" s="1732"/>
      <c r="J684" s="1732"/>
      <c r="K684" s="1732"/>
      <c r="L684" s="1732"/>
      <c r="M684" s="1732"/>
      <c r="N684" s="1732"/>
      <c r="O684" s="1732"/>
      <c r="P684" s="1732"/>
      <c r="Q684" s="1732"/>
      <c r="R684" s="1732"/>
      <c r="S684" s="1732"/>
      <c r="T684" s="1732"/>
      <c r="U684" s="1732"/>
      <c r="V684" s="1732"/>
      <c r="W684" s="1732"/>
      <c r="X684" s="1732"/>
      <c r="Y684" s="1732"/>
      <c r="Z684" s="1732"/>
    </row>
    <row r="685" spans="1:26" ht="18" customHeight="1">
      <c r="A685" s="1732"/>
      <c r="B685" s="1732"/>
      <c r="C685" s="1776"/>
      <c r="D685" s="1732"/>
      <c r="E685" s="1732"/>
      <c r="F685" s="1732"/>
      <c r="G685" s="1732"/>
      <c r="H685" s="1732"/>
      <c r="I685" s="1732"/>
      <c r="J685" s="1732"/>
      <c r="K685" s="1732"/>
      <c r="L685" s="1732"/>
      <c r="M685" s="1732"/>
      <c r="N685" s="1732"/>
      <c r="O685" s="1732"/>
      <c r="P685" s="1732"/>
      <c r="Q685" s="1732"/>
      <c r="R685" s="1732"/>
      <c r="S685" s="1732"/>
      <c r="T685" s="1732"/>
      <c r="U685" s="1732"/>
      <c r="V685" s="1732"/>
      <c r="W685" s="1732"/>
      <c r="X685" s="1732"/>
      <c r="Y685" s="1732"/>
      <c r="Z685" s="1732"/>
    </row>
    <row r="686" spans="1:26" ht="18" customHeight="1">
      <c r="A686" s="1732"/>
      <c r="B686" s="1732"/>
      <c r="C686" s="1776"/>
      <c r="D686" s="1732"/>
      <c r="E686" s="1732"/>
      <c r="F686" s="1732"/>
      <c r="G686" s="1732"/>
      <c r="H686" s="1732"/>
      <c r="I686" s="1732"/>
      <c r="J686" s="1732"/>
      <c r="K686" s="1732"/>
      <c r="L686" s="1732"/>
      <c r="M686" s="1732"/>
      <c r="N686" s="1732"/>
      <c r="O686" s="1732"/>
      <c r="P686" s="1732"/>
      <c r="Q686" s="1732"/>
      <c r="R686" s="1732"/>
      <c r="S686" s="1732"/>
      <c r="T686" s="1732"/>
      <c r="U686" s="1732"/>
      <c r="V686" s="1732"/>
      <c r="W686" s="1732"/>
      <c r="X686" s="1732"/>
      <c r="Y686" s="1732"/>
      <c r="Z686" s="1732"/>
    </row>
    <row r="687" spans="1:26" ht="18" customHeight="1">
      <c r="A687" s="1732"/>
      <c r="B687" s="1732"/>
      <c r="C687" s="1776"/>
      <c r="D687" s="1732"/>
      <c r="E687" s="1732"/>
      <c r="F687" s="1732"/>
      <c r="G687" s="1732"/>
      <c r="H687" s="1732"/>
      <c r="I687" s="1732"/>
      <c r="J687" s="1732"/>
      <c r="K687" s="1732"/>
      <c r="L687" s="1732"/>
      <c r="M687" s="1732"/>
      <c r="N687" s="1732"/>
      <c r="O687" s="1732"/>
      <c r="P687" s="1732"/>
      <c r="Q687" s="1732"/>
      <c r="R687" s="1732"/>
      <c r="S687" s="1732"/>
      <c r="T687" s="1732"/>
      <c r="U687" s="1732"/>
      <c r="V687" s="1732"/>
      <c r="W687" s="1732"/>
      <c r="X687" s="1732"/>
      <c r="Y687" s="1732"/>
      <c r="Z687" s="1732"/>
    </row>
    <row r="688" spans="1:26" ht="18" customHeight="1">
      <c r="A688" s="1732"/>
      <c r="B688" s="1732"/>
      <c r="C688" s="1776"/>
      <c r="D688" s="1732"/>
      <c r="E688" s="1732"/>
      <c r="F688" s="1732"/>
      <c r="G688" s="1732"/>
      <c r="H688" s="1732"/>
      <c r="I688" s="1732"/>
      <c r="J688" s="1732"/>
      <c r="K688" s="1732"/>
      <c r="L688" s="1732"/>
      <c r="M688" s="1732"/>
      <c r="N688" s="1732"/>
      <c r="O688" s="1732"/>
      <c r="P688" s="1732"/>
      <c r="Q688" s="1732"/>
      <c r="R688" s="1732"/>
      <c r="S688" s="1732"/>
      <c r="T688" s="1732"/>
      <c r="U688" s="1732"/>
      <c r="V688" s="1732"/>
      <c r="W688" s="1732"/>
      <c r="X688" s="1732"/>
      <c r="Y688" s="1732"/>
      <c r="Z688" s="1732"/>
    </row>
    <row r="689" spans="1:26" ht="18" customHeight="1">
      <c r="A689" s="1732"/>
      <c r="B689" s="1732"/>
      <c r="C689" s="1776"/>
      <c r="D689" s="1732"/>
      <c r="E689" s="1732"/>
      <c r="F689" s="1732"/>
      <c r="G689" s="1732"/>
      <c r="H689" s="1732"/>
      <c r="I689" s="1732"/>
      <c r="J689" s="1732"/>
      <c r="K689" s="1732"/>
      <c r="L689" s="1732"/>
      <c r="M689" s="1732"/>
      <c r="N689" s="1732"/>
      <c r="O689" s="1732"/>
      <c r="P689" s="1732"/>
      <c r="Q689" s="1732"/>
      <c r="R689" s="1732"/>
      <c r="S689" s="1732"/>
      <c r="T689" s="1732"/>
      <c r="U689" s="1732"/>
      <c r="V689" s="1732"/>
      <c r="W689" s="1732"/>
      <c r="X689" s="1732"/>
      <c r="Y689" s="1732"/>
      <c r="Z689" s="1732"/>
    </row>
    <row r="690" spans="1:26" ht="18" customHeight="1">
      <c r="A690" s="1732"/>
      <c r="B690" s="1732"/>
      <c r="C690" s="1776"/>
      <c r="D690" s="1732"/>
      <c r="E690" s="1732"/>
      <c r="F690" s="1732"/>
      <c r="G690" s="1732"/>
      <c r="H690" s="1732"/>
      <c r="I690" s="1732"/>
      <c r="J690" s="1732"/>
      <c r="K690" s="1732"/>
      <c r="L690" s="1732"/>
      <c r="M690" s="1732"/>
      <c r="N690" s="1732"/>
      <c r="O690" s="1732"/>
      <c r="P690" s="1732"/>
      <c r="Q690" s="1732"/>
      <c r="R690" s="1732"/>
      <c r="S690" s="1732"/>
      <c r="T690" s="1732"/>
      <c r="U690" s="1732"/>
      <c r="V690" s="1732"/>
      <c r="W690" s="1732"/>
      <c r="X690" s="1732"/>
      <c r="Y690" s="1732"/>
      <c r="Z690" s="1732"/>
    </row>
    <row r="691" spans="1:26" ht="18" customHeight="1">
      <c r="A691" s="1732"/>
      <c r="B691" s="1732"/>
      <c r="C691" s="1776"/>
      <c r="D691" s="1732"/>
      <c r="E691" s="1732"/>
      <c r="F691" s="1732"/>
      <c r="G691" s="1732"/>
      <c r="H691" s="1732"/>
      <c r="I691" s="1732"/>
      <c r="J691" s="1732"/>
      <c r="K691" s="1732"/>
      <c r="L691" s="1732"/>
      <c r="M691" s="1732"/>
      <c r="N691" s="1732"/>
      <c r="O691" s="1732"/>
      <c r="P691" s="1732"/>
      <c r="Q691" s="1732"/>
      <c r="R691" s="1732"/>
      <c r="S691" s="1732"/>
      <c r="T691" s="1732"/>
      <c r="U691" s="1732"/>
      <c r="V691" s="1732"/>
      <c r="W691" s="1732"/>
      <c r="X691" s="1732"/>
      <c r="Y691" s="1732"/>
      <c r="Z691" s="1732"/>
    </row>
    <row r="692" spans="1:26" ht="18" customHeight="1">
      <c r="A692" s="1732"/>
      <c r="B692" s="1732"/>
      <c r="C692" s="1776"/>
      <c r="D692" s="1732"/>
      <c r="E692" s="1732"/>
      <c r="F692" s="1732"/>
      <c r="G692" s="1732"/>
      <c r="H692" s="1732"/>
      <c r="I692" s="1732"/>
      <c r="J692" s="1732"/>
      <c r="K692" s="1732"/>
      <c r="L692" s="1732"/>
      <c r="M692" s="1732"/>
      <c r="N692" s="1732"/>
      <c r="O692" s="1732"/>
      <c r="P692" s="1732"/>
      <c r="Q692" s="1732"/>
      <c r="R692" s="1732"/>
      <c r="S692" s="1732"/>
      <c r="T692" s="1732"/>
      <c r="U692" s="1732"/>
      <c r="V692" s="1732"/>
      <c r="W692" s="1732"/>
      <c r="X692" s="1732"/>
      <c r="Y692" s="1732"/>
      <c r="Z692" s="1732"/>
    </row>
    <row r="693" spans="1:26" ht="18" customHeight="1">
      <c r="A693" s="1732"/>
      <c r="B693" s="1732"/>
      <c r="C693" s="1776"/>
      <c r="D693" s="1732"/>
      <c r="E693" s="1732"/>
      <c r="F693" s="1732"/>
      <c r="G693" s="1732"/>
      <c r="H693" s="1732"/>
      <c r="I693" s="1732"/>
      <c r="J693" s="1732"/>
      <c r="K693" s="1732"/>
      <c r="L693" s="1732"/>
      <c r="M693" s="1732"/>
      <c r="N693" s="1732"/>
      <c r="O693" s="1732"/>
      <c r="P693" s="1732"/>
      <c r="Q693" s="1732"/>
      <c r="R693" s="1732"/>
      <c r="S693" s="1732"/>
      <c r="T693" s="1732"/>
      <c r="U693" s="1732"/>
      <c r="V693" s="1732"/>
      <c r="W693" s="1732"/>
      <c r="X693" s="1732"/>
      <c r="Y693" s="1732"/>
      <c r="Z693" s="1732"/>
    </row>
    <row r="694" spans="1:26" ht="18" customHeight="1">
      <c r="A694" s="1732"/>
      <c r="B694" s="1732"/>
      <c r="C694" s="1776"/>
      <c r="D694" s="1732"/>
      <c r="E694" s="1732"/>
      <c r="F694" s="1732"/>
      <c r="G694" s="1732"/>
      <c r="H694" s="1732"/>
      <c r="I694" s="1732"/>
      <c r="J694" s="1732"/>
      <c r="K694" s="1732"/>
      <c r="L694" s="1732"/>
      <c r="M694" s="1732"/>
      <c r="N694" s="1732"/>
      <c r="O694" s="1732"/>
      <c r="P694" s="1732"/>
      <c r="Q694" s="1732"/>
      <c r="R694" s="1732"/>
      <c r="S694" s="1732"/>
      <c r="T694" s="1732"/>
      <c r="U694" s="1732"/>
      <c r="V694" s="1732"/>
      <c r="W694" s="1732"/>
      <c r="X694" s="1732"/>
      <c r="Y694" s="1732"/>
      <c r="Z694" s="1732"/>
    </row>
    <row r="695" spans="1:26" ht="18" customHeight="1">
      <c r="A695" s="1732"/>
      <c r="B695" s="1732"/>
      <c r="C695" s="1776"/>
      <c r="D695" s="1732"/>
      <c r="E695" s="1732"/>
      <c r="F695" s="1732"/>
      <c r="G695" s="1732"/>
      <c r="H695" s="1732"/>
      <c r="I695" s="1732"/>
      <c r="J695" s="1732"/>
      <c r="K695" s="1732"/>
      <c r="L695" s="1732"/>
      <c r="M695" s="1732"/>
      <c r="N695" s="1732"/>
      <c r="O695" s="1732"/>
      <c r="P695" s="1732"/>
      <c r="Q695" s="1732"/>
      <c r="R695" s="1732"/>
      <c r="S695" s="1732"/>
      <c r="T695" s="1732"/>
      <c r="U695" s="1732"/>
      <c r="V695" s="1732"/>
      <c r="W695" s="1732"/>
      <c r="X695" s="1732"/>
      <c r="Y695" s="1732"/>
      <c r="Z695" s="1732"/>
    </row>
    <row r="696" spans="1:26" ht="18" customHeight="1">
      <c r="A696" s="1732"/>
      <c r="B696" s="1732"/>
      <c r="C696" s="1776"/>
      <c r="D696" s="1732"/>
      <c r="E696" s="1732"/>
      <c r="F696" s="1732"/>
      <c r="G696" s="1732"/>
      <c r="H696" s="1732"/>
      <c r="I696" s="1732"/>
      <c r="J696" s="1732"/>
      <c r="K696" s="1732"/>
      <c r="L696" s="1732"/>
      <c r="M696" s="1732"/>
      <c r="N696" s="1732"/>
      <c r="O696" s="1732"/>
      <c r="P696" s="1732"/>
      <c r="Q696" s="1732"/>
      <c r="R696" s="1732"/>
      <c r="S696" s="1732"/>
      <c r="T696" s="1732"/>
      <c r="U696" s="1732"/>
      <c r="V696" s="1732"/>
      <c r="W696" s="1732"/>
      <c r="X696" s="1732"/>
      <c r="Y696" s="1732"/>
      <c r="Z696" s="1732"/>
    </row>
    <row r="697" spans="1:26" ht="18" customHeight="1">
      <c r="A697" s="1732"/>
      <c r="B697" s="1732"/>
      <c r="C697" s="1776"/>
      <c r="D697" s="1732"/>
      <c r="E697" s="1732"/>
      <c r="F697" s="1732"/>
      <c r="G697" s="1732"/>
      <c r="H697" s="1732"/>
      <c r="I697" s="1732"/>
      <c r="J697" s="1732"/>
      <c r="K697" s="1732"/>
      <c r="L697" s="1732"/>
      <c r="M697" s="1732"/>
      <c r="N697" s="1732"/>
      <c r="O697" s="1732"/>
      <c r="P697" s="1732"/>
      <c r="Q697" s="1732"/>
      <c r="R697" s="1732"/>
      <c r="S697" s="1732"/>
      <c r="T697" s="1732"/>
      <c r="U697" s="1732"/>
      <c r="V697" s="1732"/>
      <c r="W697" s="1732"/>
      <c r="X697" s="1732"/>
      <c r="Y697" s="1732"/>
      <c r="Z697" s="1732"/>
    </row>
    <row r="698" spans="1:26" ht="18" customHeight="1">
      <c r="A698" s="1732"/>
      <c r="B698" s="1732"/>
      <c r="C698" s="1776"/>
      <c r="D698" s="1732"/>
      <c r="E698" s="1732"/>
      <c r="F698" s="1732"/>
      <c r="G698" s="1732"/>
      <c r="H698" s="1732"/>
      <c r="I698" s="1732"/>
      <c r="J698" s="1732"/>
      <c r="K698" s="1732"/>
      <c r="L698" s="1732"/>
      <c r="M698" s="1732"/>
      <c r="N698" s="1732"/>
      <c r="O698" s="1732"/>
      <c r="P698" s="1732"/>
      <c r="Q698" s="1732"/>
      <c r="R698" s="1732"/>
      <c r="S698" s="1732"/>
      <c r="T698" s="1732"/>
      <c r="U698" s="1732"/>
      <c r="V698" s="1732"/>
      <c r="W698" s="1732"/>
      <c r="X698" s="1732"/>
      <c r="Y698" s="1732"/>
      <c r="Z698" s="1732"/>
    </row>
    <row r="699" spans="1:26" ht="18" customHeight="1">
      <c r="A699" s="1732"/>
      <c r="B699" s="1732"/>
      <c r="C699" s="1776"/>
      <c r="D699" s="1732"/>
      <c r="E699" s="1732"/>
      <c r="F699" s="1732"/>
      <c r="G699" s="1732"/>
      <c r="H699" s="1732"/>
      <c r="I699" s="1732"/>
      <c r="J699" s="1732"/>
      <c r="K699" s="1732"/>
      <c r="L699" s="1732"/>
      <c r="M699" s="1732"/>
      <c r="N699" s="1732"/>
      <c r="O699" s="1732"/>
      <c r="P699" s="1732"/>
      <c r="Q699" s="1732"/>
      <c r="R699" s="1732"/>
      <c r="S699" s="1732"/>
      <c r="T699" s="1732"/>
      <c r="U699" s="1732"/>
      <c r="V699" s="1732"/>
      <c r="W699" s="1732"/>
      <c r="X699" s="1732"/>
      <c r="Y699" s="1732"/>
      <c r="Z699" s="1732"/>
    </row>
    <row r="700" spans="1:26" ht="18" customHeight="1">
      <c r="A700" s="1732"/>
      <c r="B700" s="1732"/>
      <c r="C700" s="1776"/>
      <c r="D700" s="1732"/>
      <c r="E700" s="1732"/>
      <c r="F700" s="1732"/>
      <c r="G700" s="1732"/>
      <c r="H700" s="1732"/>
      <c r="I700" s="1732"/>
      <c r="J700" s="1732"/>
      <c r="K700" s="1732"/>
      <c r="L700" s="1732"/>
      <c r="M700" s="1732"/>
      <c r="N700" s="1732"/>
      <c r="O700" s="1732"/>
      <c r="P700" s="1732"/>
      <c r="Q700" s="1732"/>
      <c r="R700" s="1732"/>
      <c r="S700" s="1732"/>
      <c r="T700" s="1732"/>
      <c r="U700" s="1732"/>
      <c r="V700" s="1732"/>
      <c r="W700" s="1732"/>
      <c r="X700" s="1732"/>
      <c r="Y700" s="1732"/>
      <c r="Z700" s="1732"/>
    </row>
    <row r="701" spans="1:26" ht="18" customHeight="1">
      <c r="A701" s="1732"/>
      <c r="B701" s="1732"/>
      <c r="C701" s="1776"/>
      <c r="D701" s="1732"/>
      <c r="E701" s="1732"/>
      <c r="F701" s="1732"/>
      <c r="G701" s="1732"/>
      <c r="H701" s="1732"/>
      <c r="I701" s="1732"/>
      <c r="J701" s="1732"/>
      <c r="K701" s="1732"/>
      <c r="L701" s="1732"/>
      <c r="M701" s="1732"/>
      <c r="N701" s="1732"/>
      <c r="O701" s="1732"/>
      <c r="P701" s="1732"/>
      <c r="Q701" s="1732"/>
      <c r="R701" s="1732"/>
      <c r="S701" s="1732"/>
      <c r="T701" s="1732"/>
      <c r="U701" s="1732"/>
      <c r="V701" s="1732"/>
      <c r="W701" s="1732"/>
      <c r="X701" s="1732"/>
      <c r="Y701" s="1732"/>
      <c r="Z701" s="1732"/>
    </row>
    <row r="702" spans="1:26" ht="18" customHeight="1">
      <c r="A702" s="1732"/>
      <c r="B702" s="1732"/>
      <c r="C702" s="1776"/>
      <c r="D702" s="1732"/>
      <c r="E702" s="1732"/>
      <c r="F702" s="1732"/>
      <c r="G702" s="1732"/>
      <c r="H702" s="1732"/>
      <c r="I702" s="1732"/>
      <c r="J702" s="1732"/>
      <c r="K702" s="1732"/>
      <c r="L702" s="1732"/>
      <c r="M702" s="1732"/>
      <c r="N702" s="1732"/>
      <c r="O702" s="1732"/>
      <c r="P702" s="1732"/>
      <c r="Q702" s="1732"/>
      <c r="R702" s="1732"/>
      <c r="S702" s="1732"/>
      <c r="T702" s="1732"/>
      <c r="U702" s="1732"/>
      <c r="V702" s="1732"/>
      <c r="W702" s="1732"/>
      <c r="X702" s="1732"/>
      <c r="Y702" s="1732"/>
      <c r="Z702" s="1732"/>
    </row>
    <row r="703" spans="1:26" ht="18" customHeight="1">
      <c r="A703" s="1732"/>
      <c r="B703" s="1732"/>
      <c r="C703" s="1776"/>
      <c r="D703" s="1732"/>
      <c r="E703" s="1732"/>
      <c r="F703" s="1732"/>
      <c r="G703" s="1732"/>
      <c r="H703" s="1732"/>
      <c r="I703" s="1732"/>
      <c r="J703" s="1732"/>
      <c r="K703" s="1732"/>
      <c r="L703" s="1732"/>
      <c r="M703" s="1732"/>
      <c r="N703" s="1732"/>
      <c r="O703" s="1732"/>
      <c r="P703" s="1732"/>
      <c r="Q703" s="1732"/>
      <c r="R703" s="1732"/>
      <c r="S703" s="1732"/>
      <c r="T703" s="1732"/>
      <c r="U703" s="1732"/>
      <c r="V703" s="1732"/>
      <c r="W703" s="1732"/>
      <c r="X703" s="1732"/>
      <c r="Y703" s="1732"/>
      <c r="Z703" s="1732"/>
    </row>
    <row r="704" spans="1:26" ht="18" customHeight="1">
      <c r="A704" s="1732"/>
      <c r="B704" s="1732"/>
      <c r="C704" s="1776"/>
      <c r="D704" s="1732"/>
      <c r="E704" s="1732"/>
      <c r="F704" s="1732"/>
      <c r="G704" s="1732"/>
      <c r="H704" s="1732"/>
      <c r="I704" s="1732"/>
      <c r="J704" s="1732"/>
      <c r="K704" s="1732"/>
      <c r="L704" s="1732"/>
      <c r="M704" s="1732"/>
      <c r="N704" s="1732"/>
      <c r="O704" s="1732"/>
      <c r="P704" s="1732"/>
      <c r="Q704" s="1732"/>
      <c r="R704" s="1732"/>
      <c r="S704" s="1732"/>
      <c r="T704" s="1732"/>
      <c r="U704" s="1732"/>
      <c r="V704" s="1732"/>
      <c r="W704" s="1732"/>
      <c r="X704" s="1732"/>
      <c r="Y704" s="1732"/>
      <c r="Z704" s="1732"/>
    </row>
    <row r="705" spans="1:26" ht="18" customHeight="1">
      <c r="A705" s="1732"/>
      <c r="B705" s="1732"/>
      <c r="C705" s="1776"/>
      <c r="D705" s="1732"/>
      <c r="E705" s="1732"/>
      <c r="F705" s="1732"/>
      <c r="G705" s="1732"/>
      <c r="H705" s="1732"/>
      <c r="I705" s="1732"/>
      <c r="J705" s="1732"/>
      <c r="K705" s="1732"/>
      <c r="L705" s="1732"/>
      <c r="M705" s="1732"/>
      <c r="N705" s="1732"/>
      <c r="O705" s="1732"/>
      <c r="P705" s="1732"/>
      <c r="Q705" s="1732"/>
      <c r="R705" s="1732"/>
      <c r="S705" s="1732"/>
      <c r="T705" s="1732"/>
      <c r="U705" s="1732"/>
      <c r="V705" s="1732"/>
      <c r="W705" s="1732"/>
      <c r="X705" s="1732"/>
      <c r="Y705" s="1732"/>
      <c r="Z705" s="1732"/>
    </row>
    <row r="706" spans="1:26" ht="18" customHeight="1">
      <c r="A706" s="1732"/>
      <c r="B706" s="1732"/>
      <c r="C706" s="1776"/>
      <c r="D706" s="1732"/>
      <c r="E706" s="1732"/>
      <c r="F706" s="1732"/>
      <c r="G706" s="1732"/>
      <c r="H706" s="1732"/>
      <c r="I706" s="1732"/>
      <c r="J706" s="1732"/>
      <c r="K706" s="1732"/>
      <c r="L706" s="1732"/>
      <c r="M706" s="1732"/>
      <c r="N706" s="1732"/>
      <c r="O706" s="1732"/>
      <c r="P706" s="1732"/>
      <c r="Q706" s="1732"/>
      <c r="R706" s="1732"/>
      <c r="S706" s="1732"/>
      <c r="T706" s="1732"/>
      <c r="U706" s="1732"/>
      <c r="V706" s="1732"/>
      <c r="W706" s="1732"/>
      <c r="X706" s="1732"/>
      <c r="Y706" s="1732"/>
      <c r="Z706" s="1732"/>
    </row>
    <row r="707" spans="1:26" ht="18" customHeight="1">
      <c r="A707" s="1732"/>
      <c r="B707" s="1732"/>
      <c r="C707" s="1776"/>
      <c r="D707" s="1732"/>
      <c r="E707" s="1732"/>
      <c r="F707" s="1732"/>
      <c r="G707" s="1732"/>
      <c r="H707" s="1732"/>
      <c r="I707" s="1732"/>
      <c r="J707" s="1732"/>
      <c r="K707" s="1732"/>
      <c r="L707" s="1732"/>
      <c r="M707" s="1732"/>
      <c r="N707" s="1732"/>
      <c r="O707" s="1732"/>
      <c r="P707" s="1732"/>
      <c r="Q707" s="1732"/>
      <c r="R707" s="1732"/>
      <c r="S707" s="1732"/>
      <c r="T707" s="1732"/>
      <c r="U707" s="1732"/>
      <c r="V707" s="1732"/>
      <c r="W707" s="1732"/>
      <c r="X707" s="1732"/>
      <c r="Y707" s="1732"/>
      <c r="Z707" s="1732"/>
    </row>
    <row r="708" spans="1:26" ht="18" customHeight="1">
      <c r="A708" s="1732"/>
      <c r="B708" s="1732"/>
      <c r="C708" s="1776"/>
      <c r="D708" s="1732"/>
      <c r="E708" s="1732"/>
      <c r="F708" s="1732"/>
      <c r="G708" s="1732"/>
      <c r="H708" s="1732"/>
      <c r="I708" s="1732"/>
      <c r="J708" s="1732"/>
      <c r="K708" s="1732"/>
      <c r="L708" s="1732"/>
      <c r="M708" s="1732"/>
      <c r="N708" s="1732"/>
      <c r="O708" s="1732"/>
      <c r="P708" s="1732"/>
      <c r="Q708" s="1732"/>
      <c r="R708" s="1732"/>
      <c r="S708" s="1732"/>
      <c r="T708" s="1732"/>
      <c r="U708" s="1732"/>
      <c r="V708" s="1732"/>
      <c r="W708" s="1732"/>
      <c r="X708" s="1732"/>
      <c r="Y708" s="1732"/>
      <c r="Z708" s="1732"/>
    </row>
    <row r="709" spans="1:26" ht="18" customHeight="1">
      <c r="A709" s="1732"/>
      <c r="B709" s="1732"/>
      <c r="C709" s="1776"/>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row>
    <row r="710" spans="1:26" ht="18" customHeight="1">
      <c r="A710" s="1732"/>
      <c r="B710" s="1732"/>
      <c r="C710" s="1776"/>
      <c r="D710" s="1732"/>
      <c r="E710" s="1732"/>
      <c r="F710" s="1732"/>
      <c r="G710" s="1732"/>
      <c r="H710" s="1732"/>
      <c r="I710" s="1732"/>
      <c r="J710" s="1732"/>
      <c r="K710" s="1732"/>
      <c r="L710" s="1732"/>
      <c r="M710" s="1732"/>
      <c r="N710" s="1732"/>
      <c r="O710" s="1732"/>
      <c r="P710" s="1732"/>
      <c r="Q710" s="1732"/>
      <c r="R710" s="1732"/>
      <c r="S710" s="1732"/>
      <c r="T710" s="1732"/>
      <c r="U710" s="1732"/>
      <c r="V710" s="1732"/>
      <c r="W710" s="1732"/>
      <c r="X710" s="1732"/>
      <c r="Y710" s="1732"/>
      <c r="Z710" s="1732"/>
    </row>
    <row r="711" spans="1:26" ht="18" customHeight="1">
      <c r="A711" s="1732"/>
      <c r="B711" s="1732"/>
      <c r="C711" s="1776"/>
      <c r="D711" s="1732"/>
      <c r="E711" s="1732"/>
      <c r="F711" s="1732"/>
      <c r="G711" s="1732"/>
      <c r="H711" s="1732"/>
      <c r="I711" s="1732"/>
      <c r="J711" s="1732"/>
      <c r="K711" s="1732"/>
      <c r="L711" s="1732"/>
      <c r="M711" s="1732"/>
      <c r="N711" s="1732"/>
      <c r="O711" s="1732"/>
      <c r="P711" s="1732"/>
      <c r="Q711" s="1732"/>
      <c r="R711" s="1732"/>
      <c r="S711" s="1732"/>
      <c r="T711" s="1732"/>
      <c r="U711" s="1732"/>
      <c r="V711" s="1732"/>
      <c r="W711" s="1732"/>
      <c r="X711" s="1732"/>
      <c r="Y711" s="1732"/>
      <c r="Z711" s="1732"/>
    </row>
    <row r="712" spans="1:26" ht="18" customHeight="1">
      <c r="A712" s="1732"/>
      <c r="B712" s="1732"/>
      <c r="C712" s="1776"/>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row>
    <row r="713" spans="1:26" ht="18" customHeight="1">
      <c r="A713" s="1732"/>
      <c r="B713" s="1732"/>
      <c r="C713" s="1776"/>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row>
    <row r="714" spans="1:26" ht="18" customHeight="1">
      <c r="A714" s="1732"/>
      <c r="B714" s="1732"/>
      <c r="C714" s="1776"/>
      <c r="D714" s="1732"/>
      <c r="E714" s="1732"/>
      <c r="F714" s="1732"/>
      <c r="G714" s="1732"/>
      <c r="H714" s="1732"/>
      <c r="I714" s="1732"/>
      <c r="J714" s="1732"/>
      <c r="K714" s="1732"/>
      <c r="L714" s="1732"/>
      <c r="M714" s="1732"/>
      <c r="N714" s="1732"/>
      <c r="O714" s="1732"/>
      <c r="P714" s="1732"/>
      <c r="Q714" s="1732"/>
      <c r="R714" s="1732"/>
      <c r="S714" s="1732"/>
      <c r="T714" s="1732"/>
      <c r="U714" s="1732"/>
      <c r="V714" s="1732"/>
      <c r="W714" s="1732"/>
      <c r="X714" s="1732"/>
      <c r="Y714" s="1732"/>
      <c r="Z714" s="1732"/>
    </row>
    <row r="715" spans="1:26" ht="18" customHeight="1">
      <c r="A715" s="1732"/>
      <c r="B715" s="1732"/>
      <c r="C715" s="1776"/>
      <c r="D715" s="1732"/>
      <c r="E715" s="1732"/>
      <c r="F715" s="1732"/>
      <c r="G715" s="1732"/>
      <c r="H715" s="1732"/>
      <c r="I715" s="1732"/>
      <c r="J715" s="1732"/>
      <c r="K715" s="1732"/>
      <c r="L715" s="1732"/>
      <c r="M715" s="1732"/>
      <c r="N715" s="1732"/>
      <c r="O715" s="1732"/>
      <c r="P715" s="1732"/>
      <c r="Q715" s="1732"/>
      <c r="R715" s="1732"/>
      <c r="S715" s="1732"/>
      <c r="T715" s="1732"/>
      <c r="U715" s="1732"/>
      <c r="V715" s="1732"/>
      <c r="W715" s="1732"/>
      <c r="X715" s="1732"/>
      <c r="Y715" s="1732"/>
      <c r="Z715" s="1732"/>
    </row>
    <row r="716" spans="1:26" ht="18" customHeight="1">
      <c r="A716" s="1732"/>
      <c r="B716" s="1732"/>
      <c r="C716" s="1776"/>
      <c r="D716" s="1732"/>
      <c r="E716" s="1732"/>
      <c r="F716" s="1732"/>
      <c r="G716" s="1732"/>
      <c r="H716" s="1732"/>
      <c r="I716" s="1732"/>
      <c r="J716" s="1732"/>
      <c r="K716" s="1732"/>
      <c r="L716" s="1732"/>
      <c r="M716" s="1732"/>
      <c r="N716" s="1732"/>
      <c r="O716" s="1732"/>
      <c r="P716" s="1732"/>
      <c r="Q716" s="1732"/>
      <c r="R716" s="1732"/>
      <c r="S716" s="1732"/>
      <c r="T716" s="1732"/>
      <c r="U716" s="1732"/>
      <c r="V716" s="1732"/>
      <c r="W716" s="1732"/>
      <c r="X716" s="1732"/>
      <c r="Y716" s="1732"/>
      <c r="Z716" s="1732"/>
    </row>
    <row r="717" spans="1:26" ht="18" customHeight="1">
      <c r="A717" s="1732"/>
      <c r="B717" s="1732"/>
      <c r="C717" s="1776"/>
      <c r="D717" s="1732"/>
      <c r="E717" s="1732"/>
      <c r="F717" s="1732"/>
      <c r="G717" s="1732"/>
      <c r="H717" s="1732"/>
      <c r="I717" s="1732"/>
      <c r="J717" s="1732"/>
      <c r="K717" s="1732"/>
      <c r="L717" s="1732"/>
      <c r="M717" s="1732"/>
      <c r="N717" s="1732"/>
      <c r="O717" s="1732"/>
      <c r="P717" s="1732"/>
      <c r="Q717" s="1732"/>
      <c r="R717" s="1732"/>
      <c r="S717" s="1732"/>
      <c r="T717" s="1732"/>
      <c r="U717" s="1732"/>
      <c r="V717" s="1732"/>
      <c r="W717" s="1732"/>
      <c r="X717" s="1732"/>
      <c r="Y717" s="1732"/>
      <c r="Z717" s="1732"/>
    </row>
    <row r="718" spans="1:26" ht="18" customHeight="1">
      <c r="A718" s="1732"/>
      <c r="B718" s="1732"/>
      <c r="C718" s="1776"/>
      <c r="D718" s="1732"/>
      <c r="E718" s="1732"/>
      <c r="F718" s="1732"/>
      <c r="G718" s="1732"/>
      <c r="H718" s="1732"/>
      <c r="I718" s="1732"/>
      <c r="J718" s="1732"/>
      <c r="K718" s="1732"/>
      <c r="L718" s="1732"/>
      <c r="M718" s="1732"/>
      <c r="N718" s="1732"/>
      <c r="O718" s="1732"/>
      <c r="P718" s="1732"/>
      <c r="Q718" s="1732"/>
      <c r="R718" s="1732"/>
      <c r="S718" s="1732"/>
      <c r="T718" s="1732"/>
      <c r="U718" s="1732"/>
      <c r="V718" s="1732"/>
      <c r="W718" s="1732"/>
      <c r="X718" s="1732"/>
      <c r="Y718" s="1732"/>
      <c r="Z718" s="1732"/>
    </row>
    <row r="719" spans="1:26" ht="18" customHeight="1">
      <c r="A719" s="1732"/>
      <c r="B719" s="1732"/>
      <c r="C719" s="1776"/>
      <c r="D719" s="1732"/>
      <c r="E719" s="1732"/>
      <c r="F719" s="1732"/>
      <c r="G719" s="1732"/>
      <c r="H719" s="1732"/>
      <c r="I719" s="1732"/>
      <c r="J719" s="1732"/>
      <c r="K719" s="1732"/>
      <c r="L719" s="1732"/>
      <c r="M719" s="1732"/>
      <c r="N719" s="1732"/>
      <c r="O719" s="1732"/>
      <c r="P719" s="1732"/>
      <c r="Q719" s="1732"/>
      <c r="R719" s="1732"/>
      <c r="S719" s="1732"/>
      <c r="T719" s="1732"/>
      <c r="U719" s="1732"/>
      <c r="V719" s="1732"/>
      <c r="W719" s="1732"/>
      <c r="X719" s="1732"/>
      <c r="Y719" s="1732"/>
      <c r="Z719" s="1732"/>
    </row>
    <row r="720" spans="1:26" ht="18" customHeight="1">
      <c r="A720" s="1732"/>
      <c r="B720" s="1732"/>
      <c r="C720" s="1776"/>
      <c r="D720" s="1732"/>
      <c r="E720" s="1732"/>
      <c r="F720" s="1732"/>
      <c r="G720" s="1732"/>
      <c r="H720" s="1732"/>
      <c r="I720" s="1732"/>
      <c r="J720" s="1732"/>
      <c r="K720" s="1732"/>
      <c r="L720" s="1732"/>
      <c r="M720" s="1732"/>
      <c r="N720" s="1732"/>
      <c r="O720" s="1732"/>
      <c r="P720" s="1732"/>
      <c r="Q720" s="1732"/>
      <c r="R720" s="1732"/>
      <c r="S720" s="1732"/>
      <c r="T720" s="1732"/>
      <c r="U720" s="1732"/>
      <c r="V720" s="1732"/>
      <c r="W720" s="1732"/>
      <c r="X720" s="1732"/>
      <c r="Y720" s="1732"/>
      <c r="Z720" s="1732"/>
    </row>
    <row r="721" spans="1:26" ht="18" customHeight="1">
      <c r="A721" s="1732"/>
      <c r="B721" s="1732"/>
      <c r="C721" s="1776"/>
      <c r="D721" s="1732"/>
      <c r="E721" s="1732"/>
      <c r="F721" s="1732"/>
      <c r="G721" s="1732"/>
      <c r="H721" s="1732"/>
      <c r="I721" s="1732"/>
      <c r="J721" s="1732"/>
      <c r="K721" s="1732"/>
      <c r="L721" s="1732"/>
      <c r="M721" s="1732"/>
      <c r="N721" s="1732"/>
      <c r="O721" s="1732"/>
      <c r="P721" s="1732"/>
      <c r="Q721" s="1732"/>
      <c r="R721" s="1732"/>
      <c r="S721" s="1732"/>
      <c r="T721" s="1732"/>
      <c r="U721" s="1732"/>
      <c r="V721" s="1732"/>
      <c r="W721" s="1732"/>
      <c r="X721" s="1732"/>
      <c r="Y721" s="1732"/>
      <c r="Z721" s="1732"/>
    </row>
    <row r="722" spans="1:26" ht="18" customHeight="1">
      <c r="A722" s="1732"/>
      <c r="B722" s="1732"/>
      <c r="C722" s="1776"/>
      <c r="D722" s="1732"/>
      <c r="E722" s="1732"/>
      <c r="F722" s="1732"/>
      <c r="G722" s="1732"/>
      <c r="H722" s="1732"/>
      <c r="I722" s="1732"/>
      <c r="J722" s="1732"/>
      <c r="K722" s="1732"/>
      <c r="L722" s="1732"/>
      <c r="M722" s="1732"/>
      <c r="N722" s="1732"/>
      <c r="O722" s="1732"/>
      <c r="P722" s="1732"/>
      <c r="Q722" s="1732"/>
      <c r="R722" s="1732"/>
      <c r="S722" s="1732"/>
      <c r="T722" s="1732"/>
      <c r="U722" s="1732"/>
      <c r="V722" s="1732"/>
      <c r="W722" s="1732"/>
      <c r="X722" s="1732"/>
      <c r="Y722" s="1732"/>
      <c r="Z722" s="1732"/>
    </row>
    <row r="723" spans="1:26" ht="18" customHeight="1">
      <c r="A723" s="1732"/>
      <c r="B723" s="1732"/>
      <c r="C723" s="1776"/>
      <c r="D723" s="1732"/>
      <c r="E723" s="1732"/>
      <c r="F723" s="1732"/>
      <c r="G723" s="1732"/>
      <c r="H723" s="1732"/>
      <c r="I723" s="1732"/>
      <c r="J723" s="1732"/>
      <c r="K723" s="1732"/>
      <c r="L723" s="1732"/>
      <c r="M723" s="1732"/>
      <c r="N723" s="1732"/>
      <c r="O723" s="1732"/>
      <c r="P723" s="1732"/>
      <c r="Q723" s="1732"/>
      <c r="R723" s="1732"/>
      <c r="S723" s="1732"/>
      <c r="T723" s="1732"/>
      <c r="U723" s="1732"/>
      <c r="V723" s="1732"/>
      <c r="W723" s="1732"/>
      <c r="X723" s="1732"/>
      <c r="Y723" s="1732"/>
      <c r="Z723" s="1732"/>
    </row>
    <row r="724" spans="1:26" ht="18" customHeight="1">
      <c r="A724" s="1732"/>
      <c r="B724" s="1732"/>
      <c r="C724" s="1776"/>
      <c r="D724" s="1732"/>
      <c r="E724" s="1732"/>
      <c r="F724" s="1732"/>
      <c r="G724" s="1732"/>
      <c r="H724" s="1732"/>
      <c r="I724" s="1732"/>
      <c r="J724" s="1732"/>
      <c r="K724" s="1732"/>
      <c r="L724" s="1732"/>
      <c r="M724" s="1732"/>
      <c r="N724" s="1732"/>
      <c r="O724" s="1732"/>
      <c r="P724" s="1732"/>
      <c r="Q724" s="1732"/>
      <c r="R724" s="1732"/>
      <c r="S724" s="1732"/>
      <c r="T724" s="1732"/>
      <c r="U724" s="1732"/>
      <c r="V724" s="1732"/>
      <c r="W724" s="1732"/>
      <c r="X724" s="1732"/>
      <c r="Y724" s="1732"/>
      <c r="Z724" s="1732"/>
    </row>
    <row r="725" spans="1:26" ht="18" customHeight="1">
      <c r="A725" s="1732"/>
      <c r="B725" s="1732"/>
      <c r="C725" s="1776"/>
      <c r="D725" s="1732"/>
      <c r="E725" s="1732"/>
      <c r="F725" s="1732"/>
      <c r="G725" s="1732"/>
      <c r="H725" s="1732"/>
      <c r="I725" s="1732"/>
      <c r="J725" s="1732"/>
      <c r="K725" s="1732"/>
      <c r="L725" s="1732"/>
      <c r="M725" s="1732"/>
      <c r="N725" s="1732"/>
      <c r="O725" s="1732"/>
      <c r="P725" s="1732"/>
      <c r="Q725" s="1732"/>
      <c r="R725" s="1732"/>
      <c r="S725" s="1732"/>
      <c r="T725" s="1732"/>
      <c r="U725" s="1732"/>
      <c r="V725" s="1732"/>
      <c r="W725" s="1732"/>
      <c r="X725" s="1732"/>
      <c r="Y725" s="1732"/>
      <c r="Z725" s="1732"/>
    </row>
    <row r="726" spans="1:26" ht="18" customHeight="1">
      <c r="A726" s="1732"/>
      <c r="B726" s="1732"/>
      <c r="C726" s="1776"/>
      <c r="D726" s="1732"/>
      <c r="E726" s="1732"/>
      <c r="F726" s="1732"/>
      <c r="G726" s="1732"/>
      <c r="H726" s="1732"/>
      <c r="I726" s="1732"/>
      <c r="J726" s="1732"/>
      <c r="K726" s="1732"/>
      <c r="L726" s="1732"/>
      <c r="M726" s="1732"/>
      <c r="N726" s="1732"/>
      <c r="O726" s="1732"/>
      <c r="P726" s="1732"/>
      <c r="Q726" s="1732"/>
      <c r="R726" s="1732"/>
      <c r="S726" s="1732"/>
      <c r="T726" s="1732"/>
      <c r="U726" s="1732"/>
      <c r="V726" s="1732"/>
      <c r="W726" s="1732"/>
      <c r="X726" s="1732"/>
      <c r="Y726" s="1732"/>
      <c r="Z726" s="1732"/>
    </row>
    <row r="727" spans="1:26" ht="18" customHeight="1">
      <c r="A727" s="1732"/>
      <c r="B727" s="1732"/>
      <c r="C727" s="1776"/>
      <c r="D727" s="1732"/>
      <c r="E727" s="1732"/>
      <c r="F727" s="1732"/>
      <c r="G727" s="1732"/>
      <c r="H727" s="1732"/>
      <c r="I727" s="1732"/>
      <c r="J727" s="1732"/>
      <c r="K727" s="1732"/>
      <c r="L727" s="1732"/>
      <c r="M727" s="1732"/>
      <c r="N727" s="1732"/>
      <c r="O727" s="1732"/>
      <c r="P727" s="1732"/>
      <c r="Q727" s="1732"/>
      <c r="R727" s="1732"/>
      <c r="S727" s="1732"/>
      <c r="T727" s="1732"/>
      <c r="U727" s="1732"/>
      <c r="V727" s="1732"/>
      <c r="W727" s="1732"/>
      <c r="X727" s="1732"/>
      <c r="Y727" s="1732"/>
      <c r="Z727" s="1732"/>
    </row>
    <row r="728" spans="1:26" ht="18" customHeight="1">
      <c r="A728" s="1732"/>
      <c r="B728" s="1732"/>
      <c r="C728" s="1776"/>
      <c r="D728" s="1732"/>
      <c r="E728" s="1732"/>
      <c r="F728" s="1732"/>
      <c r="G728" s="1732"/>
      <c r="H728" s="1732"/>
      <c r="I728" s="1732"/>
      <c r="J728" s="1732"/>
      <c r="K728" s="1732"/>
      <c r="L728" s="1732"/>
      <c r="M728" s="1732"/>
      <c r="N728" s="1732"/>
      <c r="O728" s="1732"/>
      <c r="P728" s="1732"/>
      <c r="Q728" s="1732"/>
      <c r="R728" s="1732"/>
      <c r="S728" s="1732"/>
      <c r="T728" s="1732"/>
      <c r="U728" s="1732"/>
      <c r="V728" s="1732"/>
      <c r="W728" s="1732"/>
      <c r="X728" s="1732"/>
      <c r="Y728" s="1732"/>
      <c r="Z728" s="1732"/>
    </row>
    <row r="729" spans="1:26" ht="18" customHeight="1">
      <c r="A729" s="1732"/>
      <c r="B729" s="1732"/>
      <c r="C729" s="1776"/>
      <c r="D729" s="1732"/>
      <c r="E729" s="1732"/>
      <c r="F729" s="1732"/>
      <c r="G729" s="1732"/>
      <c r="H729" s="1732"/>
      <c r="I729" s="1732"/>
      <c r="J729" s="1732"/>
      <c r="K729" s="1732"/>
      <c r="L729" s="1732"/>
      <c r="M729" s="1732"/>
      <c r="N729" s="1732"/>
      <c r="O729" s="1732"/>
      <c r="P729" s="1732"/>
      <c r="Q729" s="1732"/>
      <c r="R729" s="1732"/>
      <c r="S729" s="1732"/>
      <c r="T729" s="1732"/>
      <c r="U729" s="1732"/>
      <c r="V729" s="1732"/>
      <c r="W729" s="1732"/>
      <c r="X729" s="1732"/>
      <c r="Y729" s="1732"/>
      <c r="Z729" s="1732"/>
    </row>
    <row r="730" spans="1:26" ht="18" customHeight="1">
      <c r="A730" s="1732"/>
      <c r="B730" s="1732"/>
      <c r="C730" s="1776"/>
      <c r="D730" s="1732"/>
      <c r="E730" s="1732"/>
      <c r="F730" s="1732"/>
      <c r="G730" s="1732"/>
      <c r="H730" s="1732"/>
      <c r="I730" s="1732"/>
      <c r="J730" s="1732"/>
      <c r="K730" s="1732"/>
      <c r="L730" s="1732"/>
      <c r="M730" s="1732"/>
      <c r="N730" s="1732"/>
      <c r="O730" s="1732"/>
      <c r="P730" s="1732"/>
      <c r="Q730" s="1732"/>
      <c r="R730" s="1732"/>
      <c r="S730" s="1732"/>
      <c r="T730" s="1732"/>
      <c r="U730" s="1732"/>
      <c r="V730" s="1732"/>
      <c r="W730" s="1732"/>
      <c r="X730" s="1732"/>
      <c r="Y730" s="1732"/>
      <c r="Z730" s="1732"/>
    </row>
    <row r="731" spans="1:26" ht="18" customHeight="1">
      <c r="A731" s="1732"/>
      <c r="B731" s="1732"/>
      <c r="C731" s="1776"/>
      <c r="D731" s="1732"/>
      <c r="E731" s="1732"/>
      <c r="F731" s="1732"/>
      <c r="G731" s="1732"/>
      <c r="H731" s="1732"/>
      <c r="I731" s="1732"/>
      <c r="J731" s="1732"/>
      <c r="K731" s="1732"/>
      <c r="L731" s="1732"/>
      <c r="M731" s="1732"/>
      <c r="N731" s="1732"/>
      <c r="O731" s="1732"/>
      <c r="P731" s="1732"/>
      <c r="Q731" s="1732"/>
      <c r="R731" s="1732"/>
      <c r="S731" s="1732"/>
      <c r="T731" s="1732"/>
      <c r="U731" s="1732"/>
      <c r="V731" s="1732"/>
      <c r="W731" s="1732"/>
      <c r="X731" s="1732"/>
      <c r="Y731" s="1732"/>
      <c r="Z731" s="1732"/>
    </row>
    <row r="732" spans="1:26" ht="18" customHeight="1">
      <c r="A732" s="1732"/>
      <c r="B732" s="1732"/>
      <c r="C732" s="1776"/>
      <c r="D732" s="1732"/>
      <c r="E732" s="1732"/>
      <c r="F732" s="1732"/>
      <c r="G732" s="1732"/>
      <c r="H732" s="1732"/>
      <c r="I732" s="1732"/>
      <c r="J732" s="1732"/>
      <c r="K732" s="1732"/>
      <c r="L732" s="1732"/>
      <c r="M732" s="1732"/>
      <c r="N732" s="1732"/>
      <c r="O732" s="1732"/>
      <c r="P732" s="1732"/>
      <c r="Q732" s="1732"/>
      <c r="R732" s="1732"/>
      <c r="S732" s="1732"/>
      <c r="T732" s="1732"/>
      <c r="U732" s="1732"/>
      <c r="V732" s="1732"/>
      <c r="W732" s="1732"/>
      <c r="X732" s="1732"/>
      <c r="Y732" s="1732"/>
      <c r="Z732" s="1732"/>
    </row>
    <row r="733" spans="1:26" ht="18" customHeight="1">
      <c r="A733" s="1732"/>
      <c r="B733" s="1732"/>
      <c r="C733" s="1776"/>
      <c r="D733" s="1732"/>
      <c r="E733" s="1732"/>
      <c r="F733" s="1732"/>
      <c r="G733" s="1732"/>
      <c r="H733" s="1732"/>
      <c r="I733" s="1732"/>
      <c r="J733" s="1732"/>
      <c r="K733" s="1732"/>
      <c r="L733" s="1732"/>
      <c r="M733" s="1732"/>
      <c r="N733" s="1732"/>
      <c r="O733" s="1732"/>
      <c r="P733" s="1732"/>
      <c r="Q733" s="1732"/>
      <c r="R733" s="1732"/>
      <c r="S733" s="1732"/>
      <c r="T733" s="1732"/>
      <c r="U733" s="1732"/>
      <c r="V733" s="1732"/>
      <c r="W733" s="1732"/>
      <c r="X733" s="1732"/>
      <c r="Y733" s="1732"/>
      <c r="Z733" s="1732"/>
    </row>
    <row r="734" spans="1:26" ht="18" customHeight="1">
      <c r="A734" s="1732"/>
      <c r="B734" s="1732"/>
      <c r="C734" s="1776"/>
      <c r="D734" s="1732"/>
      <c r="E734" s="1732"/>
      <c r="F734" s="1732"/>
      <c r="G734" s="1732"/>
      <c r="H734" s="1732"/>
      <c r="I734" s="1732"/>
      <c r="J734" s="1732"/>
      <c r="K734" s="1732"/>
      <c r="L734" s="1732"/>
      <c r="M734" s="1732"/>
      <c r="N734" s="1732"/>
      <c r="O734" s="1732"/>
      <c r="P734" s="1732"/>
      <c r="Q734" s="1732"/>
      <c r="R734" s="1732"/>
      <c r="S734" s="1732"/>
      <c r="T734" s="1732"/>
      <c r="U734" s="1732"/>
      <c r="V734" s="1732"/>
      <c r="W734" s="1732"/>
      <c r="X734" s="1732"/>
      <c r="Y734" s="1732"/>
      <c r="Z734" s="1732"/>
    </row>
    <row r="735" spans="1:26" ht="18" customHeight="1">
      <c r="A735" s="1732"/>
      <c r="B735" s="1732"/>
      <c r="C735" s="1776"/>
      <c r="D735" s="1732"/>
      <c r="E735" s="1732"/>
      <c r="F735" s="1732"/>
      <c r="G735" s="1732"/>
      <c r="H735" s="1732"/>
      <c r="I735" s="1732"/>
      <c r="J735" s="1732"/>
      <c r="K735" s="1732"/>
      <c r="L735" s="1732"/>
      <c r="M735" s="1732"/>
      <c r="N735" s="1732"/>
      <c r="O735" s="1732"/>
      <c r="P735" s="1732"/>
      <c r="Q735" s="1732"/>
      <c r="R735" s="1732"/>
      <c r="S735" s="1732"/>
      <c r="T735" s="1732"/>
      <c r="U735" s="1732"/>
      <c r="V735" s="1732"/>
      <c r="W735" s="1732"/>
      <c r="X735" s="1732"/>
      <c r="Y735" s="1732"/>
      <c r="Z735" s="1732"/>
    </row>
    <row r="736" spans="1:26" ht="18" customHeight="1">
      <c r="A736" s="1732"/>
      <c r="B736" s="1732"/>
      <c r="C736" s="1776"/>
      <c r="D736" s="1732"/>
      <c r="E736" s="1732"/>
      <c r="F736" s="1732"/>
      <c r="G736" s="1732"/>
      <c r="H736" s="1732"/>
      <c r="I736" s="1732"/>
      <c r="J736" s="1732"/>
      <c r="K736" s="1732"/>
      <c r="L736" s="1732"/>
      <c r="M736" s="1732"/>
      <c r="N736" s="1732"/>
      <c r="O736" s="1732"/>
      <c r="P736" s="1732"/>
      <c r="Q736" s="1732"/>
      <c r="R736" s="1732"/>
      <c r="S736" s="1732"/>
      <c r="T736" s="1732"/>
      <c r="U736" s="1732"/>
      <c r="V736" s="1732"/>
      <c r="W736" s="1732"/>
      <c r="X736" s="1732"/>
      <c r="Y736" s="1732"/>
      <c r="Z736" s="1732"/>
    </row>
    <row r="737" spans="1:26" ht="18" customHeight="1">
      <c r="A737" s="1732"/>
      <c r="B737" s="1732"/>
      <c r="C737" s="1776"/>
      <c r="D737" s="1732"/>
      <c r="E737" s="1732"/>
      <c r="F737" s="1732"/>
      <c r="G737" s="1732"/>
      <c r="H737" s="1732"/>
      <c r="I737" s="1732"/>
      <c r="J737" s="1732"/>
      <c r="K737" s="1732"/>
      <c r="L737" s="1732"/>
      <c r="M737" s="1732"/>
      <c r="N737" s="1732"/>
      <c r="O737" s="1732"/>
      <c r="P737" s="1732"/>
      <c r="Q737" s="1732"/>
      <c r="R737" s="1732"/>
      <c r="S737" s="1732"/>
      <c r="T737" s="1732"/>
      <c r="U737" s="1732"/>
      <c r="V737" s="1732"/>
      <c r="W737" s="1732"/>
      <c r="X737" s="1732"/>
      <c r="Y737" s="1732"/>
      <c r="Z737" s="1732"/>
    </row>
    <row r="738" spans="1:26" ht="18" customHeight="1">
      <c r="A738" s="1732"/>
      <c r="B738" s="1732"/>
      <c r="C738" s="1776"/>
      <c r="D738" s="1732"/>
      <c r="E738" s="1732"/>
      <c r="F738" s="1732"/>
      <c r="G738" s="1732"/>
      <c r="H738" s="1732"/>
      <c r="I738" s="1732"/>
      <c r="J738" s="1732"/>
      <c r="K738" s="1732"/>
      <c r="L738" s="1732"/>
      <c r="M738" s="1732"/>
      <c r="N738" s="1732"/>
      <c r="O738" s="1732"/>
      <c r="P738" s="1732"/>
      <c r="Q738" s="1732"/>
      <c r="R738" s="1732"/>
      <c r="S738" s="1732"/>
      <c r="T738" s="1732"/>
      <c r="U738" s="1732"/>
      <c r="V738" s="1732"/>
      <c r="W738" s="1732"/>
      <c r="X738" s="1732"/>
      <c r="Y738" s="1732"/>
      <c r="Z738" s="1732"/>
    </row>
    <row r="739" spans="1:26" ht="18" customHeight="1">
      <c r="A739" s="1732"/>
      <c r="B739" s="1732"/>
      <c r="C739" s="1776"/>
      <c r="D739" s="1732"/>
      <c r="E739" s="1732"/>
      <c r="F739" s="1732"/>
      <c r="G739" s="1732"/>
      <c r="H739" s="1732"/>
      <c r="I739" s="1732"/>
      <c r="J739" s="1732"/>
      <c r="K739" s="1732"/>
      <c r="L739" s="1732"/>
      <c r="M739" s="1732"/>
      <c r="N739" s="1732"/>
      <c r="O739" s="1732"/>
      <c r="P739" s="1732"/>
      <c r="Q739" s="1732"/>
      <c r="R739" s="1732"/>
      <c r="S739" s="1732"/>
      <c r="T739" s="1732"/>
      <c r="U739" s="1732"/>
      <c r="V739" s="1732"/>
      <c r="W739" s="1732"/>
      <c r="X739" s="1732"/>
      <c r="Y739" s="1732"/>
      <c r="Z739" s="1732"/>
    </row>
    <row r="740" spans="1:26" ht="18" customHeight="1">
      <c r="A740" s="1732"/>
      <c r="B740" s="1732"/>
      <c r="C740" s="1776"/>
      <c r="D740" s="1732"/>
      <c r="E740" s="1732"/>
      <c r="F740" s="1732"/>
      <c r="G740" s="1732"/>
      <c r="H740" s="1732"/>
      <c r="I740" s="1732"/>
      <c r="J740" s="1732"/>
      <c r="K740" s="1732"/>
      <c r="L740" s="1732"/>
      <c r="M740" s="1732"/>
      <c r="N740" s="1732"/>
      <c r="O740" s="1732"/>
      <c r="P740" s="1732"/>
      <c r="Q740" s="1732"/>
      <c r="R740" s="1732"/>
      <c r="S740" s="1732"/>
      <c r="T740" s="1732"/>
      <c r="U740" s="1732"/>
      <c r="V740" s="1732"/>
      <c r="W740" s="1732"/>
      <c r="X740" s="1732"/>
      <c r="Y740" s="1732"/>
      <c r="Z740" s="1732"/>
    </row>
    <row r="741" spans="1:26" ht="18" customHeight="1">
      <c r="A741" s="1732"/>
      <c r="B741" s="1732"/>
      <c r="C741" s="1776"/>
      <c r="D741" s="1732"/>
      <c r="E741" s="1732"/>
      <c r="F741" s="1732"/>
      <c r="G741" s="1732"/>
      <c r="H741" s="1732"/>
      <c r="I741" s="1732"/>
      <c r="J741" s="1732"/>
      <c r="K741" s="1732"/>
      <c r="L741" s="1732"/>
      <c r="M741" s="1732"/>
      <c r="N741" s="1732"/>
      <c r="O741" s="1732"/>
      <c r="P741" s="1732"/>
      <c r="Q741" s="1732"/>
      <c r="R741" s="1732"/>
      <c r="S741" s="1732"/>
      <c r="T741" s="1732"/>
      <c r="U741" s="1732"/>
      <c r="V741" s="1732"/>
      <c r="W741" s="1732"/>
      <c r="X741" s="1732"/>
      <c r="Y741" s="1732"/>
      <c r="Z741" s="1732"/>
    </row>
    <row r="742" spans="1:26" ht="18" customHeight="1">
      <c r="A742" s="1732"/>
      <c r="B742" s="1732"/>
      <c r="C742" s="1776"/>
      <c r="D742" s="1732"/>
      <c r="E742" s="1732"/>
      <c r="F742" s="1732"/>
      <c r="G742" s="1732"/>
      <c r="H742" s="1732"/>
      <c r="I742" s="1732"/>
      <c r="J742" s="1732"/>
      <c r="K742" s="1732"/>
      <c r="L742" s="1732"/>
      <c r="M742" s="1732"/>
      <c r="N742" s="1732"/>
      <c r="O742" s="1732"/>
      <c r="P742" s="1732"/>
      <c r="Q742" s="1732"/>
      <c r="R742" s="1732"/>
      <c r="S742" s="1732"/>
      <c r="T742" s="1732"/>
      <c r="U742" s="1732"/>
      <c r="V742" s="1732"/>
      <c r="W742" s="1732"/>
      <c r="X742" s="1732"/>
      <c r="Y742" s="1732"/>
      <c r="Z742" s="1732"/>
    </row>
    <row r="743" spans="1:26" ht="18" customHeight="1">
      <c r="A743" s="1732"/>
      <c r="B743" s="1732"/>
      <c r="C743" s="1776"/>
      <c r="D743" s="1732"/>
      <c r="E743" s="1732"/>
      <c r="F743" s="1732"/>
      <c r="G743" s="1732"/>
      <c r="H743" s="1732"/>
      <c r="I743" s="1732"/>
      <c r="J743" s="1732"/>
      <c r="K743" s="1732"/>
      <c r="L743" s="1732"/>
      <c r="M743" s="1732"/>
      <c r="N743" s="1732"/>
      <c r="O743" s="1732"/>
      <c r="P743" s="1732"/>
      <c r="Q743" s="1732"/>
      <c r="R743" s="1732"/>
      <c r="S743" s="1732"/>
      <c r="T743" s="1732"/>
      <c r="U743" s="1732"/>
      <c r="V743" s="1732"/>
      <c r="W743" s="1732"/>
      <c r="X743" s="1732"/>
      <c r="Y743" s="1732"/>
      <c r="Z743" s="1732"/>
    </row>
    <row r="744" spans="1:26" ht="18" customHeight="1">
      <c r="A744" s="1732"/>
      <c r="B744" s="1732"/>
      <c r="C744" s="1776"/>
      <c r="D744" s="1732"/>
      <c r="E744" s="1732"/>
      <c r="F744" s="1732"/>
      <c r="G744" s="1732"/>
      <c r="H744" s="1732"/>
      <c r="I744" s="1732"/>
      <c r="J744" s="1732"/>
      <c r="K744" s="1732"/>
      <c r="L744" s="1732"/>
      <c r="M744" s="1732"/>
      <c r="N744" s="1732"/>
      <c r="O744" s="1732"/>
      <c r="P744" s="1732"/>
      <c r="Q744" s="1732"/>
      <c r="R744" s="1732"/>
      <c r="S744" s="1732"/>
      <c r="T744" s="1732"/>
      <c r="U744" s="1732"/>
      <c r="V744" s="1732"/>
      <c r="W744" s="1732"/>
      <c r="X744" s="1732"/>
      <c r="Y744" s="1732"/>
      <c r="Z744" s="1732"/>
    </row>
    <row r="745" spans="1:26" ht="18" customHeight="1">
      <c r="A745" s="1732"/>
      <c r="B745" s="1732"/>
      <c r="C745" s="1776"/>
      <c r="D745" s="1732"/>
      <c r="E745" s="1732"/>
      <c r="F745" s="1732"/>
      <c r="G745" s="1732"/>
      <c r="H745" s="1732"/>
      <c r="I745" s="1732"/>
      <c r="J745" s="1732"/>
      <c r="K745" s="1732"/>
      <c r="L745" s="1732"/>
      <c r="M745" s="1732"/>
      <c r="N745" s="1732"/>
      <c r="O745" s="1732"/>
      <c r="P745" s="1732"/>
      <c r="Q745" s="1732"/>
      <c r="R745" s="1732"/>
      <c r="S745" s="1732"/>
      <c r="T745" s="1732"/>
      <c r="U745" s="1732"/>
      <c r="V745" s="1732"/>
      <c r="W745" s="1732"/>
      <c r="X745" s="1732"/>
      <c r="Y745" s="1732"/>
      <c r="Z745" s="1732"/>
    </row>
    <row r="746" spans="1:26" ht="18" customHeight="1">
      <c r="A746" s="1732"/>
      <c r="B746" s="1732"/>
      <c r="C746" s="1776"/>
      <c r="D746" s="1732"/>
      <c r="E746" s="1732"/>
      <c r="F746" s="1732"/>
      <c r="G746" s="1732"/>
      <c r="H746" s="1732"/>
      <c r="I746" s="1732"/>
      <c r="J746" s="1732"/>
      <c r="K746" s="1732"/>
      <c r="L746" s="1732"/>
      <c r="M746" s="1732"/>
      <c r="N746" s="1732"/>
      <c r="O746" s="1732"/>
      <c r="P746" s="1732"/>
      <c r="Q746" s="1732"/>
      <c r="R746" s="1732"/>
      <c r="S746" s="1732"/>
      <c r="T746" s="1732"/>
      <c r="U746" s="1732"/>
      <c r="V746" s="1732"/>
      <c r="W746" s="1732"/>
      <c r="X746" s="1732"/>
      <c r="Y746" s="1732"/>
      <c r="Z746" s="1732"/>
    </row>
    <row r="747" spans="1:26" ht="18" customHeight="1">
      <c r="A747" s="1732"/>
      <c r="B747" s="1732"/>
      <c r="C747" s="1776"/>
      <c r="D747" s="1732"/>
      <c r="E747" s="1732"/>
      <c r="F747" s="1732"/>
      <c r="G747" s="1732"/>
      <c r="H747" s="1732"/>
      <c r="I747" s="1732"/>
      <c r="J747" s="1732"/>
      <c r="K747" s="1732"/>
      <c r="L747" s="1732"/>
      <c r="M747" s="1732"/>
      <c r="N747" s="1732"/>
      <c r="O747" s="1732"/>
      <c r="P747" s="1732"/>
      <c r="Q747" s="1732"/>
      <c r="R747" s="1732"/>
      <c r="S747" s="1732"/>
      <c r="T747" s="1732"/>
      <c r="U747" s="1732"/>
      <c r="V747" s="1732"/>
      <c r="W747" s="1732"/>
      <c r="X747" s="1732"/>
      <c r="Y747" s="1732"/>
      <c r="Z747" s="1732"/>
    </row>
    <row r="748" spans="1:26" ht="18" customHeight="1">
      <c r="A748" s="1732"/>
      <c r="B748" s="1732"/>
      <c r="C748" s="1776"/>
      <c r="D748" s="1732"/>
      <c r="E748" s="1732"/>
      <c r="F748" s="1732"/>
      <c r="G748" s="1732"/>
      <c r="H748" s="1732"/>
      <c r="I748" s="1732"/>
      <c r="J748" s="1732"/>
      <c r="K748" s="1732"/>
      <c r="L748" s="1732"/>
      <c r="M748" s="1732"/>
      <c r="N748" s="1732"/>
      <c r="O748" s="1732"/>
      <c r="P748" s="1732"/>
      <c r="Q748" s="1732"/>
      <c r="R748" s="1732"/>
      <c r="S748" s="1732"/>
      <c r="T748" s="1732"/>
      <c r="U748" s="1732"/>
      <c r="V748" s="1732"/>
      <c r="W748" s="1732"/>
      <c r="X748" s="1732"/>
      <c r="Y748" s="1732"/>
      <c r="Z748" s="1732"/>
    </row>
    <row r="749" spans="1:26" ht="18" customHeight="1">
      <c r="A749" s="1732"/>
      <c r="B749" s="1732"/>
      <c r="C749" s="1776"/>
      <c r="D749" s="1732"/>
      <c r="E749" s="1732"/>
      <c r="F749" s="1732"/>
      <c r="G749" s="1732"/>
      <c r="H749" s="1732"/>
      <c r="I749" s="1732"/>
      <c r="J749" s="1732"/>
      <c r="K749" s="1732"/>
      <c r="L749" s="1732"/>
      <c r="M749" s="1732"/>
      <c r="N749" s="1732"/>
      <c r="O749" s="1732"/>
      <c r="P749" s="1732"/>
      <c r="Q749" s="1732"/>
      <c r="R749" s="1732"/>
      <c r="S749" s="1732"/>
      <c r="T749" s="1732"/>
      <c r="U749" s="1732"/>
      <c r="V749" s="1732"/>
      <c r="W749" s="1732"/>
      <c r="X749" s="1732"/>
      <c r="Y749" s="1732"/>
      <c r="Z749" s="1732"/>
    </row>
    <row r="750" spans="1:26" ht="18" customHeight="1">
      <c r="A750" s="1732"/>
      <c r="B750" s="1732"/>
      <c r="C750" s="1776"/>
      <c r="D750" s="1732"/>
      <c r="E750" s="1732"/>
      <c r="F750" s="1732"/>
      <c r="G750" s="1732"/>
      <c r="H750" s="1732"/>
      <c r="I750" s="1732"/>
      <c r="J750" s="1732"/>
      <c r="K750" s="1732"/>
      <c r="L750" s="1732"/>
      <c r="M750" s="1732"/>
      <c r="N750" s="1732"/>
      <c r="O750" s="1732"/>
      <c r="P750" s="1732"/>
      <c r="Q750" s="1732"/>
      <c r="R750" s="1732"/>
      <c r="S750" s="1732"/>
      <c r="T750" s="1732"/>
      <c r="U750" s="1732"/>
      <c r="V750" s="1732"/>
      <c r="W750" s="1732"/>
      <c r="X750" s="1732"/>
      <c r="Y750" s="1732"/>
      <c r="Z750" s="1732"/>
    </row>
    <row r="751" spans="1:26" ht="18" customHeight="1">
      <c r="A751" s="1732"/>
      <c r="B751" s="1732"/>
      <c r="C751" s="1776"/>
      <c r="D751" s="1732"/>
      <c r="E751" s="1732"/>
      <c r="F751" s="1732"/>
      <c r="G751" s="1732"/>
      <c r="H751" s="1732"/>
      <c r="I751" s="1732"/>
      <c r="J751" s="1732"/>
      <c r="K751" s="1732"/>
      <c r="L751" s="1732"/>
      <c r="M751" s="1732"/>
      <c r="N751" s="1732"/>
      <c r="O751" s="1732"/>
      <c r="P751" s="1732"/>
      <c r="Q751" s="1732"/>
      <c r="R751" s="1732"/>
      <c r="S751" s="1732"/>
      <c r="T751" s="1732"/>
      <c r="U751" s="1732"/>
      <c r="V751" s="1732"/>
      <c r="W751" s="1732"/>
      <c r="X751" s="1732"/>
      <c r="Y751" s="1732"/>
      <c r="Z751" s="1732"/>
    </row>
    <row r="752" spans="1:26" ht="18" customHeight="1">
      <c r="A752" s="1732"/>
      <c r="B752" s="1732"/>
      <c r="C752" s="1776"/>
      <c r="D752" s="1732"/>
      <c r="E752" s="1732"/>
      <c r="F752" s="1732"/>
      <c r="G752" s="1732"/>
      <c r="H752" s="1732"/>
      <c r="I752" s="1732"/>
      <c r="J752" s="1732"/>
      <c r="K752" s="1732"/>
      <c r="L752" s="1732"/>
      <c r="M752" s="1732"/>
      <c r="N752" s="1732"/>
      <c r="O752" s="1732"/>
      <c r="P752" s="1732"/>
      <c r="Q752" s="1732"/>
      <c r="R752" s="1732"/>
      <c r="S752" s="1732"/>
      <c r="T752" s="1732"/>
      <c r="U752" s="1732"/>
      <c r="V752" s="1732"/>
      <c r="W752" s="1732"/>
      <c r="X752" s="1732"/>
      <c r="Y752" s="1732"/>
      <c r="Z752" s="1732"/>
    </row>
    <row r="753" spans="1:26" ht="18" customHeight="1">
      <c r="A753" s="1732"/>
      <c r="B753" s="1732"/>
      <c r="C753" s="1776"/>
      <c r="D753" s="1732"/>
      <c r="E753" s="1732"/>
      <c r="F753" s="1732"/>
      <c r="G753" s="1732"/>
      <c r="H753" s="1732"/>
      <c r="I753" s="1732"/>
      <c r="J753" s="1732"/>
      <c r="K753" s="1732"/>
      <c r="L753" s="1732"/>
      <c r="M753" s="1732"/>
      <c r="N753" s="1732"/>
      <c r="O753" s="1732"/>
      <c r="P753" s="1732"/>
      <c r="Q753" s="1732"/>
      <c r="R753" s="1732"/>
      <c r="S753" s="1732"/>
      <c r="T753" s="1732"/>
      <c r="U753" s="1732"/>
      <c r="V753" s="1732"/>
      <c r="W753" s="1732"/>
      <c r="X753" s="1732"/>
      <c r="Y753" s="1732"/>
      <c r="Z753" s="1732"/>
    </row>
    <row r="754" spans="1:26" ht="18" customHeight="1">
      <c r="A754" s="1732"/>
      <c r="B754" s="1732"/>
      <c r="C754" s="1776"/>
      <c r="D754" s="1732"/>
      <c r="E754" s="1732"/>
      <c r="F754" s="1732"/>
      <c r="G754" s="1732"/>
      <c r="H754" s="1732"/>
      <c r="I754" s="1732"/>
      <c r="J754" s="1732"/>
      <c r="K754" s="1732"/>
      <c r="L754" s="1732"/>
      <c r="M754" s="1732"/>
      <c r="N754" s="1732"/>
      <c r="O754" s="1732"/>
      <c r="P754" s="1732"/>
      <c r="Q754" s="1732"/>
      <c r="R754" s="1732"/>
      <c r="S754" s="1732"/>
      <c r="T754" s="1732"/>
      <c r="U754" s="1732"/>
      <c r="V754" s="1732"/>
      <c r="W754" s="1732"/>
      <c r="X754" s="1732"/>
      <c r="Y754" s="1732"/>
      <c r="Z754" s="1732"/>
    </row>
    <row r="755" spans="1:26" ht="18" customHeight="1">
      <c r="A755" s="1732"/>
      <c r="B755" s="1732"/>
      <c r="C755" s="1776"/>
      <c r="D755" s="1732"/>
      <c r="E755" s="1732"/>
      <c r="F755" s="1732"/>
      <c r="G755" s="1732"/>
      <c r="H755" s="1732"/>
      <c r="I755" s="1732"/>
      <c r="J755" s="1732"/>
      <c r="K755" s="1732"/>
      <c r="L755" s="1732"/>
      <c r="M755" s="1732"/>
      <c r="N755" s="1732"/>
      <c r="O755" s="1732"/>
      <c r="P755" s="1732"/>
      <c r="Q755" s="1732"/>
      <c r="R755" s="1732"/>
      <c r="S755" s="1732"/>
      <c r="T755" s="1732"/>
      <c r="U755" s="1732"/>
      <c r="V755" s="1732"/>
      <c r="W755" s="1732"/>
      <c r="X755" s="1732"/>
      <c r="Y755" s="1732"/>
      <c r="Z755" s="1732"/>
    </row>
    <row r="756" spans="1:26" ht="18" customHeight="1">
      <c r="A756" s="1732"/>
      <c r="B756" s="1732"/>
      <c r="C756" s="1776"/>
      <c r="D756" s="1732"/>
      <c r="E756" s="1732"/>
      <c r="F756" s="1732"/>
      <c r="G756" s="1732"/>
      <c r="H756" s="1732"/>
      <c r="I756" s="1732"/>
      <c r="J756" s="1732"/>
      <c r="K756" s="1732"/>
      <c r="L756" s="1732"/>
      <c r="M756" s="1732"/>
      <c r="N756" s="1732"/>
      <c r="O756" s="1732"/>
      <c r="P756" s="1732"/>
      <c r="Q756" s="1732"/>
      <c r="R756" s="1732"/>
      <c r="S756" s="1732"/>
      <c r="T756" s="1732"/>
      <c r="U756" s="1732"/>
      <c r="V756" s="1732"/>
      <c r="W756" s="1732"/>
      <c r="X756" s="1732"/>
      <c r="Y756" s="1732"/>
      <c r="Z756" s="1732"/>
    </row>
    <row r="757" spans="1:26" ht="18" customHeight="1">
      <c r="A757" s="1732"/>
      <c r="B757" s="1732"/>
      <c r="C757" s="1776"/>
      <c r="D757" s="1732"/>
      <c r="E757" s="1732"/>
      <c r="F757" s="1732"/>
      <c r="G757" s="1732"/>
      <c r="H757" s="1732"/>
      <c r="I757" s="1732"/>
      <c r="J757" s="1732"/>
      <c r="K757" s="1732"/>
      <c r="L757" s="1732"/>
      <c r="M757" s="1732"/>
      <c r="N757" s="1732"/>
      <c r="O757" s="1732"/>
      <c r="P757" s="1732"/>
      <c r="Q757" s="1732"/>
      <c r="R757" s="1732"/>
      <c r="S757" s="1732"/>
      <c r="T757" s="1732"/>
      <c r="U757" s="1732"/>
      <c r="V757" s="1732"/>
      <c r="W757" s="1732"/>
      <c r="X757" s="1732"/>
      <c r="Y757" s="1732"/>
      <c r="Z757" s="1732"/>
    </row>
    <row r="758" spans="1:26" ht="18" customHeight="1">
      <c r="A758" s="1732"/>
      <c r="B758" s="1732"/>
      <c r="C758" s="1776"/>
      <c r="D758" s="1732"/>
      <c r="E758" s="1732"/>
      <c r="F758" s="1732"/>
      <c r="G758" s="1732"/>
      <c r="H758" s="1732"/>
      <c r="I758" s="1732"/>
      <c r="J758" s="1732"/>
      <c r="K758" s="1732"/>
      <c r="L758" s="1732"/>
      <c r="M758" s="1732"/>
      <c r="N758" s="1732"/>
      <c r="O758" s="1732"/>
      <c r="P758" s="1732"/>
      <c r="Q758" s="1732"/>
      <c r="R758" s="1732"/>
      <c r="S758" s="1732"/>
      <c r="T758" s="1732"/>
      <c r="U758" s="1732"/>
      <c r="V758" s="1732"/>
      <c r="W758" s="1732"/>
      <c r="X758" s="1732"/>
      <c r="Y758" s="1732"/>
      <c r="Z758" s="1732"/>
    </row>
    <row r="759" spans="1:26" ht="18" customHeight="1">
      <c r="A759" s="1732"/>
      <c r="B759" s="1732"/>
      <c r="C759" s="1776"/>
      <c r="D759" s="1732"/>
      <c r="E759" s="1732"/>
      <c r="F759" s="1732"/>
      <c r="G759" s="1732"/>
      <c r="H759" s="1732"/>
      <c r="I759" s="1732"/>
      <c r="J759" s="1732"/>
      <c r="K759" s="1732"/>
      <c r="L759" s="1732"/>
      <c r="M759" s="1732"/>
      <c r="N759" s="1732"/>
      <c r="O759" s="1732"/>
      <c r="P759" s="1732"/>
      <c r="Q759" s="1732"/>
      <c r="R759" s="1732"/>
      <c r="S759" s="1732"/>
      <c r="T759" s="1732"/>
      <c r="U759" s="1732"/>
      <c r="V759" s="1732"/>
      <c r="W759" s="1732"/>
      <c r="X759" s="1732"/>
      <c r="Y759" s="1732"/>
      <c r="Z759" s="1732"/>
    </row>
    <row r="760" spans="1:26" ht="18" customHeight="1">
      <c r="A760" s="1732"/>
      <c r="B760" s="1732"/>
      <c r="C760" s="1776"/>
      <c r="D760" s="1732"/>
      <c r="E760" s="1732"/>
      <c r="F760" s="1732"/>
      <c r="G760" s="1732"/>
      <c r="H760" s="1732"/>
      <c r="I760" s="1732"/>
      <c r="J760" s="1732"/>
      <c r="K760" s="1732"/>
      <c r="L760" s="1732"/>
      <c r="M760" s="1732"/>
      <c r="N760" s="1732"/>
      <c r="O760" s="1732"/>
      <c r="P760" s="1732"/>
      <c r="Q760" s="1732"/>
      <c r="R760" s="1732"/>
      <c r="S760" s="1732"/>
      <c r="T760" s="1732"/>
      <c r="U760" s="1732"/>
      <c r="V760" s="1732"/>
      <c r="W760" s="1732"/>
      <c r="X760" s="1732"/>
      <c r="Y760" s="1732"/>
      <c r="Z760" s="1732"/>
    </row>
    <row r="761" spans="1:26" ht="18" customHeight="1">
      <c r="A761" s="1732"/>
      <c r="B761" s="1732"/>
      <c r="C761" s="1776"/>
      <c r="D761" s="1732"/>
      <c r="E761" s="1732"/>
      <c r="F761" s="1732"/>
      <c r="G761" s="1732"/>
      <c r="H761" s="1732"/>
      <c r="I761" s="1732"/>
      <c r="J761" s="1732"/>
      <c r="K761" s="1732"/>
      <c r="L761" s="1732"/>
      <c r="M761" s="1732"/>
      <c r="N761" s="1732"/>
      <c r="O761" s="1732"/>
      <c r="P761" s="1732"/>
      <c r="Q761" s="1732"/>
      <c r="R761" s="1732"/>
      <c r="S761" s="1732"/>
      <c r="T761" s="1732"/>
      <c r="U761" s="1732"/>
      <c r="V761" s="1732"/>
      <c r="W761" s="1732"/>
      <c r="X761" s="1732"/>
      <c r="Y761" s="1732"/>
      <c r="Z761" s="1732"/>
    </row>
    <row r="762" spans="1:26" ht="18" customHeight="1">
      <c r="A762" s="1732"/>
      <c r="B762" s="1732"/>
      <c r="C762" s="1776"/>
      <c r="D762" s="1732"/>
      <c r="E762" s="1732"/>
      <c r="F762" s="1732"/>
      <c r="G762" s="1732"/>
      <c r="H762" s="1732"/>
      <c r="I762" s="1732"/>
      <c r="J762" s="1732"/>
      <c r="K762" s="1732"/>
      <c r="L762" s="1732"/>
      <c r="M762" s="1732"/>
      <c r="N762" s="1732"/>
      <c r="O762" s="1732"/>
      <c r="P762" s="1732"/>
      <c r="Q762" s="1732"/>
      <c r="R762" s="1732"/>
      <c r="S762" s="1732"/>
      <c r="T762" s="1732"/>
      <c r="U762" s="1732"/>
      <c r="V762" s="1732"/>
      <c r="W762" s="1732"/>
      <c r="X762" s="1732"/>
      <c r="Y762" s="1732"/>
      <c r="Z762" s="1732"/>
    </row>
    <row r="763" spans="1:26" ht="18" customHeight="1">
      <c r="A763" s="1732"/>
      <c r="B763" s="1732"/>
      <c r="C763" s="1776"/>
      <c r="D763" s="1732"/>
      <c r="E763" s="1732"/>
      <c r="F763" s="1732"/>
      <c r="G763" s="1732"/>
      <c r="H763" s="1732"/>
      <c r="I763" s="1732"/>
      <c r="J763" s="1732"/>
      <c r="K763" s="1732"/>
      <c r="L763" s="1732"/>
      <c r="M763" s="1732"/>
      <c r="N763" s="1732"/>
      <c r="O763" s="1732"/>
      <c r="P763" s="1732"/>
      <c r="Q763" s="1732"/>
      <c r="R763" s="1732"/>
      <c r="S763" s="1732"/>
      <c r="T763" s="1732"/>
      <c r="U763" s="1732"/>
      <c r="V763" s="1732"/>
      <c r="W763" s="1732"/>
      <c r="X763" s="1732"/>
      <c r="Y763" s="1732"/>
      <c r="Z763" s="1732"/>
    </row>
    <row r="764" spans="1:26" ht="18" customHeight="1">
      <c r="A764" s="1732"/>
      <c r="B764" s="1732"/>
      <c r="C764" s="1776"/>
      <c r="D764" s="1732"/>
      <c r="E764" s="1732"/>
      <c r="F764" s="1732"/>
      <c r="G764" s="1732"/>
      <c r="H764" s="1732"/>
      <c r="I764" s="1732"/>
      <c r="J764" s="1732"/>
      <c r="K764" s="1732"/>
      <c r="L764" s="1732"/>
      <c r="M764" s="1732"/>
      <c r="N764" s="1732"/>
      <c r="O764" s="1732"/>
      <c r="P764" s="1732"/>
      <c r="Q764" s="1732"/>
      <c r="R764" s="1732"/>
      <c r="S764" s="1732"/>
      <c r="T764" s="1732"/>
      <c r="U764" s="1732"/>
      <c r="V764" s="1732"/>
      <c r="W764" s="1732"/>
      <c r="X764" s="1732"/>
      <c r="Y764" s="1732"/>
      <c r="Z764" s="1732"/>
    </row>
    <row r="765" spans="1:26" ht="18" customHeight="1">
      <c r="A765" s="1732"/>
      <c r="B765" s="1732"/>
      <c r="C765" s="1776"/>
      <c r="D765" s="1732"/>
      <c r="E765" s="1732"/>
      <c r="F765" s="1732"/>
      <c r="G765" s="1732"/>
      <c r="H765" s="1732"/>
      <c r="I765" s="1732"/>
      <c r="J765" s="1732"/>
      <c r="K765" s="1732"/>
      <c r="L765" s="1732"/>
      <c r="M765" s="1732"/>
      <c r="N765" s="1732"/>
      <c r="O765" s="1732"/>
      <c r="P765" s="1732"/>
      <c r="Q765" s="1732"/>
      <c r="R765" s="1732"/>
      <c r="S765" s="1732"/>
      <c r="T765" s="1732"/>
      <c r="U765" s="1732"/>
      <c r="V765" s="1732"/>
      <c r="W765" s="1732"/>
      <c r="X765" s="1732"/>
      <c r="Y765" s="1732"/>
      <c r="Z765" s="1732"/>
    </row>
    <row r="766" spans="1:26" ht="18" customHeight="1">
      <c r="A766" s="1732"/>
      <c r="B766" s="1732"/>
      <c r="C766" s="1776"/>
      <c r="D766" s="1732"/>
      <c r="E766" s="1732"/>
      <c r="F766" s="1732"/>
      <c r="G766" s="1732"/>
      <c r="H766" s="1732"/>
      <c r="I766" s="1732"/>
      <c r="J766" s="1732"/>
      <c r="K766" s="1732"/>
      <c r="L766" s="1732"/>
      <c r="M766" s="1732"/>
      <c r="N766" s="1732"/>
      <c r="O766" s="1732"/>
      <c r="P766" s="1732"/>
      <c r="Q766" s="1732"/>
      <c r="R766" s="1732"/>
      <c r="S766" s="1732"/>
      <c r="T766" s="1732"/>
      <c r="U766" s="1732"/>
      <c r="V766" s="1732"/>
      <c r="W766" s="1732"/>
      <c r="X766" s="1732"/>
      <c r="Y766" s="1732"/>
      <c r="Z766" s="1732"/>
    </row>
    <row r="767" spans="1:26" ht="18" customHeight="1">
      <c r="A767" s="1732"/>
      <c r="B767" s="1732"/>
      <c r="C767" s="1776"/>
      <c r="D767" s="1732"/>
      <c r="E767" s="1732"/>
      <c r="F767" s="1732"/>
      <c r="G767" s="1732"/>
      <c r="H767" s="1732"/>
      <c r="I767" s="1732"/>
      <c r="J767" s="1732"/>
      <c r="K767" s="1732"/>
      <c r="L767" s="1732"/>
      <c r="M767" s="1732"/>
      <c r="N767" s="1732"/>
      <c r="O767" s="1732"/>
      <c r="P767" s="1732"/>
      <c r="Q767" s="1732"/>
      <c r="R767" s="1732"/>
      <c r="S767" s="1732"/>
      <c r="T767" s="1732"/>
      <c r="U767" s="1732"/>
      <c r="V767" s="1732"/>
      <c r="W767" s="1732"/>
      <c r="X767" s="1732"/>
      <c r="Y767" s="1732"/>
      <c r="Z767" s="1732"/>
    </row>
    <row r="768" spans="1:26" ht="18" customHeight="1">
      <c r="A768" s="1732"/>
      <c r="B768" s="1732"/>
      <c r="C768" s="1776"/>
      <c r="D768" s="1732"/>
      <c r="E768" s="1732"/>
      <c r="F768" s="1732"/>
      <c r="G768" s="1732"/>
      <c r="H768" s="1732"/>
      <c r="I768" s="1732"/>
      <c r="J768" s="1732"/>
      <c r="K768" s="1732"/>
      <c r="L768" s="1732"/>
      <c r="M768" s="1732"/>
      <c r="N768" s="1732"/>
      <c r="O768" s="1732"/>
      <c r="P768" s="1732"/>
      <c r="Q768" s="1732"/>
      <c r="R768" s="1732"/>
      <c r="S768" s="1732"/>
      <c r="T768" s="1732"/>
      <c r="U768" s="1732"/>
      <c r="V768" s="1732"/>
      <c r="W768" s="1732"/>
      <c r="X768" s="1732"/>
      <c r="Y768" s="1732"/>
      <c r="Z768" s="1732"/>
    </row>
    <row r="769" spans="1:26" ht="18" customHeight="1">
      <c r="A769" s="1732"/>
      <c r="B769" s="1732"/>
      <c r="C769" s="1776"/>
      <c r="D769" s="1732"/>
      <c r="E769" s="1732"/>
      <c r="F769" s="1732"/>
      <c r="G769" s="1732"/>
      <c r="H769" s="1732"/>
      <c r="I769" s="1732"/>
      <c r="J769" s="1732"/>
      <c r="K769" s="1732"/>
      <c r="L769" s="1732"/>
      <c r="M769" s="1732"/>
      <c r="N769" s="1732"/>
      <c r="O769" s="1732"/>
      <c r="P769" s="1732"/>
      <c r="Q769" s="1732"/>
      <c r="R769" s="1732"/>
      <c r="S769" s="1732"/>
      <c r="T769" s="1732"/>
      <c r="U769" s="1732"/>
      <c r="V769" s="1732"/>
      <c r="W769" s="1732"/>
      <c r="X769" s="1732"/>
      <c r="Y769" s="1732"/>
      <c r="Z769" s="1732"/>
    </row>
    <row r="770" spans="1:26" ht="18" customHeight="1">
      <c r="A770" s="1732"/>
      <c r="B770" s="1732"/>
      <c r="C770" s="1776"/>
      <c r="D770" s="1732"/>
      <c r="E770" s="1732"/>
      <c r="F770" s="1732"/>
      <c r="G770" s="1732"/>
      <c r="H770" s="1732"/>
      <c r="I770" s="1732"/>
      <c r="J770" s="1732"/>
      <c r="K770" s="1732"/>
      <c r="L770" s="1732"/>
      <c r="M770" s="1732"/>
      <c r="N770" s="1732"/>
      <c r="O770" s="1732"/>
      <c r="P770" s="1732"/>
      <c r="Q770" s="1732"/>
      <c r="R770" s="1732"/>
      <c r="S770" s="1732"/>
      <c r="T770" s="1732"/>
      <c r="U770" s="1732"/>
      <c r="V770" s="1732"/>
      <c r="W770" s="1732"/>
      <c r="X770" s="1732"/>
      <c r="Y770" s="1732"/>
      <c r="Z770" s="1732"/>
    </row>
    <row r="771" spans="1:26" ht="18" customHeight="1">
      <c r="A771" s="1732"/>
      <c r="B771" s="1732"/>
      <c r="C771" s="1776"/>
      <c r="D771" s="1732"/>
      <c r="E771" s="1732"/>
      <c r="F771" s="1732"/>
      <c r="G771" s="1732"/>
      <c r="H771" s="1732"/>
      <c r="I771" s="1732"/>
      <c r="J771" s="1732"/>
      <c r="K771" s="1732"/>
      <c r="L771" s="1732"/>
      <c r="M771" s="1732"/>
      <c r="N771" s="1732"/>
      <c r="O771" s="1732"/>
      <c r="P771" s="1732"/>
      <c r="Q771" s="1732"/>
      <c r="R771" s="1732"/>
      <c r="S771" s="1732"/>
      <c r="T771" s="1732"/>
      <c r="U771" s="1732"/>
      <c r="V771" s="1732"/>
      <c r="W771" s="1732"/>
      <c r="X771" s="1732"/>
      <c r="Y771" s="1732"/>
      <c r="Z771" s="1732"/>
    </row>
    <row r="772" spans="1:26" ht="18" customHeight="1">
      <c r="A772" s="1732"/>
      <c r="B772" s="1732"/>
      <c r="C772" s="1776"/>
      <c r="D772" s="1732"/>
      <c r="E772" s="1732"/>
      <c r="F772" s="1732"/>
      <c r="G772" s="1732"/>
      <c r="H772" s="1732"/>
      <c r="I772" s="1732"/>
      <c r="J772" s="1732"/>
      <c r="K772" s="1732"/>
      <c r="L772" s="1732"/>
      <c r="M772" s="1732"/>
      <c r="N772" s="1732"/>
      <c r="O772" s="1732"/>
      <c r="P772" s="1732"/>
      <c r="Q772" s="1732"/>
      <c r="R772" s="1732"/>
      <c r="S772" s="1732"/>
      <c r="T772" s="1732"/>
      <c r="U772" s="1732"/>
      <c r="V772" s="1732"/>
      <c r="W772" s="1732"/>
      <c r="X772" s="1732"/>
      <c r="Y772" s="1732"/>
      <c r="Z772" s="1732"/>
    </row>
    <row r="773" spans="1:26" ht="18" customHeight="1">
      <c r="A773" s="1732"/>
      <c r="B773" s="1732"/>
      <c r="C773" s="1776"/>
      <c r="D773" s="1732"/>
      <c r="E773" s="1732"/>
      <c r="F773" s="1732"/>
      <c r="G773" s="1732"/>
      <c r="H773" s="1732"/>
      <c r="I773" s="1732"/>
      <c r="J773" s="1732"/>
      <c r="K773" s="1732"/>
      <c r="L773" s="1732"/>
      <c r="M773" s="1732"/>
      <c r="N773" s="1732"/>
      <c r="O773" s="1732"/>
      <c r="P773" s="1732"/>
      <c r="Q773" s="1732"/>
      <c r="R773" s="1732"/>
      <c r="S773" s="1732"/>
      <c r="T773" s="1732"/>
      <c r="U773" s="1732"/>
      <c r="V773" s="1732"/>
      <c r="W773" s="1732"/>
      <c r="X773" s="1732"/>
      <c r="Y773" s="1732"/>
      <c r="Z773" s="1732"/>
    </row>
    <row r="774" spans="1:26" ht="18" customHeight="1">
      <c r="A774" s="1732"/>
      <c r="B774" s="1732"/>
      <c r="C774" s="1776"/>
      <c r="D774" s="1732"/>
      <c r="E774" s="1732"/>
      <c r="F774" s="1732"/>
      <c r="G774" s="1732"/>
      <c r="H774" s="1732"/>
      <c r="I774" s="1732"/>
      <c r="J774" s="1732"/>
      <c r="K774" s="1732"/>
      <c r="L774" s="1732"/>
      <c r="M774" s="1732"/>
      <c r="N774" s="1732"/>
      <c r="O774" s="1732"/>
      <c r="P774" s="1732"/>
      <c r="Q774" s="1732"/>
      <c r="R774" s="1732"/>
      <c r="S774" s="1732"/>
      <c r="T774" s="1732"/>
      <c r="U774" s="1732"/>
      <c r="V774" s="1732"/>
      <c r="W774" s="1732"/>
      <c r="X774" s="1732"/>
      <c r="Y774" s="1732"/>
      <c r="Z774" s="1732"/>
    </row>
    <row r="775" spans="1:26" ht="18" customHeight="1">
      <c r="A775" s="1732"/>
      <c r="B775" s="1732"/>
      <c r="C775" s="1776"/>
      <c r="D775" s="1732"/>
      <c r="E775" s="1732"/>
      <c r="F775" s="1732"/>
      <c r="G775" s="1732"/>
      <c r="H775" s="1732"/>
      <c r="I775" s="1732"/>
      <c r="J775" s="1732"/>
      <c r="K775" s="1732"/>
      <c r="L775" s="1732"/>
      <c r="M775" s="1732"/>
      <c r="N775" s="1732"/>
      <c r="O775" s="1732"/>
      <c r="P775" s="1732"/>
      <c r="Q775" s="1732"/>
      <c r="R775" s="1732"/>
      <c r="S775" s="1732"/>
      <c r="T775" s="1732"/>
      <c r="U775" s="1732"/>
      <c r="V775" s="1732"/>
      <c r="W775" s="1732"/>
      <c r="X775" s="1732"/>
      <c r="Y775" s="1732"/>
      <c r="Z775" s="1732"/>
    </row>
    <row r="776" spans="1:26" ht="18" customHeight="1">
      <c r="A776" s="1732"/>
      <c r="B776" s="1732"/>
      <c r="C776" s="1776"/>
      <c r="D776" s="1732"/>
      <c r="E776" s="1732"/>
      <c r="F776" s="1732"/>
      <c r="G776" s="1732"/>
      <c r="H776" s="1732"/>
      <c r="I776" s="1732"/>
      <c r="J776" s="1732"/>
      <c r="K776" s="1732"/>
      <c r="L776" s="1732"/>
      <c r="M776" s="1732"/>
      <c r="N776" s="1732"/>
      <c r="O776" s="1732"/>
      <c r="P776" s="1732"/>
      <c r="Q776" s="1732"/>
      <c r="R776" s="1732"/>
      <c r="S776" s="1732"/>
      <c r="T776" s="1732"/>
      <c r="U776" s="1732"/>
      <c r="V776" s="1732"/>
      <c r="W776" s="1732"/>
      <c r="X776" s="1732"/>
      <c r="Y776" s="1732"/>
      <c r="Z776" s="1732"/>
    </row>
    <row r="777" spans="1:26" ht="18" customHeight="1">
      <c r="A777" s="1732"/>
      <c r="B777" s="1732"/>
      <c r="C777" s="1776"/>
      <c r="D777" s="1732"/>
      <c r="E777" s="1732"/>
      <c r="F777" s="1732"/>
      <c r="G777" s="1732"/>
      <c r="H777" s="1732"/>
      <c r="I777" s="1732"/>
      <c r="J777" s="1732"/>
      <c r="K777" s="1732"/>
      <c r="L777" s="1732"/>
      <c r="M777" s="1732"/>
      <c r="N777" s="1732"/>
      <c r="O777" s="1732"/>
      <c r="P777" s="1732"/>
      <c r="Q777" s="1732"/>
      <c r="R777" s="1732"/>
      <c r="S777" s="1732"/>
      <c r="T777" s="1732"/>
      <c r="U777" s="1732"/>
      <c r="V777" s="1732"/>
      <c r="W777" s="1732"/>
      <c r="X777" s="1732"/>
      <c r="Y777" s="1732"/>
      <c r="Z777" s="1732"/>
    </row>
    <row r="778" spans="1:26" ht="18" customHeight="1">
      <c r="A778" s="1732"/>
      <c r="B778" s="1732"/>
      <c r="C778" s="1776"/>
      <c r="D778" s="1732"/>
      <c r="E778" s="1732"/>
      <c r="F778" s="1732"/>
      <c r="G778" s="1732"/>
      <c r="H778" s="1732"/>
      <c r="I778" s="1732"/>
      <c r="J778" s="1732"/>
      <c r="K778" s="1732"/>
      <c r="L778" s="1732"/>
      <c r="M778" s="1732"/>
      <c r="N778" s="1732"/>
      <c r="O778" s="1732"/>
      <c r="P778" s="1732"/>
      <c r="Q778" s="1732"/>
      <c r="R778" s="1732"/>
      <c r="S778" s="1732"/>
      <c r="T778" s="1732"/>
      <c r="U778" s="1732"/>
      <c r="V778" s="1732"/>
      <c r="W778" s="1732"/>
      <c r="X778" s="1732"/>
      <c r="Y778" s="1732"/>
      <c r="Z778" s="1732"/>
    </row>
    <row r="779" spans="1:26" ht="18" customHeight="1">
      <c r="A779" s="1732"/>
      <c r="B779" s="1732"/>
      <c r="C779" s="1776"/>
      <c r="D779" s="1732"/>
      <c r="E779" s="1732"/>
      <c r="F779" s="1732"/>
      <c r="G779" s="1732"/>
      <c r="H779" s="1732"/>
      <c r="I779" s="1732"/>
      <c r="J779" s="1732"/>
      <c r="K779" s="1732"/>
      <c r="L779" s="1732"/>
      <c r="M779" s="1732"/>
      <c r="N779" s="1732"/>
      <c r="O779" s="1732"/>
      <c r="P779" s="1732"/>
      <c r="Q779" s="1732"/>
      <c r="R779" s="1732"/>
      <c r="S779" s="1732"/>
      <c r="T779" s="1732"/>
      <c r="U779" s="1732"/>
      <c r="V779" s="1732"/>
      <c r="W779" s="1732"/>
      <c r="X779" s="1732"/>
      <c r="Y779" s="1732"/>
      <c r="Z779" s="1732"/>
    </row>
    <row r="780" spans="1:26" ht="18" customHeight="1">
      <c r="A780" s="1732"/>
      <c r="B780" s="1732"/>
      <c r="C780" s="1776"/>
      <c r="D780" s="1732"/>
      <c r="E780" s="1732"/>
      <c r="F780" s="1732"/>
      <c r="G780" s="1732"/>
      <c r="H780" s="1732"/>
      <c r="I780" s="1732"/>
      <c r="J780" s="1732"/>
      <c r="K780" s="1732"/>
      <c r="L780" s="1732"/>
      <c r="M780" s="1732"/>
      <c r="N780" s="1732"/>
      <c r="O780" s="1732"/>
      <c r="P780" s="1732"/>
      <c r="Q780" s="1732"/>
      <c r="R780" s="1732"/>
      <c r="S780" s="1732"/>
      <c r="T780" s="1732"/>
      <c r="U780" s="1732"/>
      <c r="V780" s="1732"/>
      <c r="W780" s="1732"/>
      <c r="X780" s="1732"/>
      <c r="Y780" s="1732"/>
      <c r="Z780" s="1732"/>
    </row>
    <row r="781" spans="1:26" ht="18" customHeight="1">
      <c r="A781" s="1732"/>
      <c r="B781" s="1732"/>
      <c r="C781" s="1776"/>
      <c r="D781" s="1732"/>
      <c r="E781" s="1732"/>
      <c r="F781" s="1732"/>
      <c r="G781" s="1732"/>
      <c r="H781" s="1732"/>
      <c r="I781" s="1732"/>
      <c r="J781" s="1732"/>
      <c r="K781" s="1732"/>
      <c r="L781" s="1732"/>
      <c r="M781" s="1732"/>
      <c r="N781" s="1732"/>
      <c r="O781" s="1732"/>
      <c r="P781" s="1732"/>
      <c r="Q781" s="1732"/>
      <c r="R781" s="1732"/>
      <c r="S781" s="1732"/>
      <c r="T781" s="1732"/>
      <c r="U781" s="1732"/>
      <c r="V781" s="1732"/>
      <c r="W781" s="1732"/>
      <c r="X781" s="1732"/>
      <c r="Y781" s="1732"/>
      <c r="Z781" s="1732"/>
    </row>
    <row r="782" spans="1:26" ht="18" customHeight="1">
      <c r="A782" s="1732"/>
      <c r="B782" s="1732"/>
      <c r="C782" s="1776"/>
      <c r="D782" s="1732"/>
      <c r="E782" s="1732"/>
      <c r="F782" s="1732"/>
      <c r="G782" s="1732"/>
      <c r="H782" s="1732"/>
      <c r="I782" s="1732"/>
      <c r="J782" s="1732"/>
      <c r="K782" s="1732"/>
      <c r="L782" s="1732"/>
      <c r="M782" s="1732"/>
      <c r="N782" s="1732"/>
      <c r="O782" s="1732"/>
      <c r="P782" s="1732"/>
      <c r="Q782" s="1732"/>
      <c r="R782" s="1732"/>
      <c r="S782" s="1732"/>
      <c r="T782" s="1732"/>
      <c r="U782" s="1732"/>
      <c r="V782" s="1732"/>
      <c r="W782" s="1732"/>
      <c r="X782" s="1732"/>
      <c r="Y782" s="1732"/>
      <c r="Z782" s="1732"/>
    </row>
    <row r="783" spans="1:26" ht="18" customHeight="1">
      <c r="A783" s="1732"/>
      <c r="B783" s="1732"/>
      <c r="C783" s="1776"/>
      <c r="D783" s="1732"/>
      <c r="E783" s="1732"/>
      <c r="F783" s="1732"/>
      <c r="G783" s="1732"/>
      <c r="H783" s="1732"/>
      <c r="I783" s="1732"/>
      <c r="J783" s="1732"/>
      <c r="K783" s="1732"/>
      <c r="L783" s="1732"/>
      <c r="M783" s="1732"/>
      <c r="N783" s="1732"/>
      <c r="O783" s="1732"/>
      <c r="P783" s="1732"/>
      <c r="Q783" s="1732"/>
      <c r="R783" s="1732"/>
      <c r="S783" s="1732"/>
      <c r="T783" s="1732"/>
      <c r="U783" s="1732"/>
      <c r="V783" s="1732"/>
      <c r="W783" s="1732"/>
      <c r="X783" s="1732"/>
      <c r="Y783" s="1732"/>
      <c r="Z783" s="1732"/>
    </row>
    <row r="784" spans="1:26" ht="18" customHeight="1">
      <c r="A784" s="1732"/>
      <c r="B784" s="1732"/>
      <c r="C784" s="1776"/>
      <c r="D784" s="1732"/>
      <c r="E784" s="1732"/>
      <c r="F784" s="1732"/>
      <c r="G784" s="1732"/>
      <c r="H784" s="1732"/>
      <c r="I784" s="1732"/>
      <c r="J784" s="1732"/>
      <c r="K784" s="1732"/>
      <c r="L784" s="1732"/>
      <c r="M784" s="1732"/>
      <c r="N784" s="1732"/>
      <c r="O784" s="1732"/>
      <c r="P784" s="1732"/>
      <c r="Q784" s="1732"/>
      <c r="R784" s="1732"/>
      <c r="S784" s="1732"/>
      <c r="T784" s="1732"/>
      <c r="U784" s="1732"/>
      <c r="V784" s="1732"/>
      <c r="W784" s="1732"/>
      <c r="X784" s="1732"/>
      <c r="Y784" s="1732"/>
      <c r="Z784" s="1732"/>
    </row>
    <row r="785" spans="1:26" ht="18" customHeight="1">
      <c r="A785" s="1732"/>
      <c r="B785" s="1732"/>
      <c r="C785" s="1776"/>
      <c r="D785" s="1732"/>
      <c r="E785" s="1732"/>
      <c r="F785" s="1732"/>
      <c r="G785" s="1732"/>
      <c r="H785" s="1732"/>
      <c r="I785" s="1732"/>
      <c r="J785" s="1732"/>
      <c r="K785" s="1732"/>
      <c r="L785" s="1732"/>
      <c r="M785" s="1732"/>
      <c r="N785" s="1732"/>
      <c r="O785" s="1732"/>
      <c r="P785" s="1732"/>
      <c r="Q785" s="1732"/>
      <c r="R785" s="1732"/>
      <c r="S785" s="1732"/>
      <c r="T785" s="1732"/>
      <c r="U785" s="1732"/>
      <c r="V785" s="1732"/>
      <c r="W785" s="1732"/>
      <c r="X785" s="1732"/>
      <c r="Y785" s="1732"/>
      <c r="Z785" s="1732"/>
    </row>
    <row r="786" spans="1:26" ht="18" customHeight="1">
      <c r="A786" s="1732"/>
      <c r="B786" s="1732"/>
      <c r="C786" s="1776"/>
      <c r="D786" s="1732"/>
      <c r="E786" s="1732"/>
      <c r="F786" s="1732"/>
      <c r="G786" s="1732"/>
      <c r="H786" s="1732"/>
      <c r="I786" s="1732"/>
      <c r="J786" s="1732"/>
      <c r="K786" s="1732"/>
      <c r="L786" s="1732"/>
      <c r="M786" s="1732"/>
      <c r="N786" s="1732"/>
      <c r="O786" s="1732"/>
      <c r="P786" s="1732"/>
      <c r="Q786" s="1732"/>
      <c r="R786" s="1732"/>
      <c r="S786" s="1732"/>
      <c r="T786" s="1732"/>
      <c r="U786" s="1732"/>
      <c r="V786" s="1732"/>
      <c r="W786" s="1732"/>
      <c r="X786" s="1732"/>
      <c r="Y786" s="1732"/>
      <c r="Z786" s="1732"/>
    </row>
    <row r="787" spans="1:26" ht="18" customHeight="1">
      <c r="A787" s="1732"/>
      <c r="B787" s="1732"/>
      <c r="C787" s="1776"/>
      <c r="D787" s="1732"/>
      <c r="E787" s="1732"/>
      <c r="F787" s="1732"/>
      <c r="G787" s="1732"/>
      <c r="H787" s="1732"/>
      <c r="I787" s="1732"/>
      <c r="J787" s="1732"/>
      <c r="K787" s="1732"/>
      <c r="L787" s="1732"/>
      <c r="M787" s="1732"/>
      <c r="N787" s="1732"/>
      <c r="O787" s="1732"/>
      <c r="P787" s="1732"/>
      <c r="Q787" s="1732"/>
      <c r="R787" s="1732"/>
      <c r="S787" s="1732"/>
      <c r="T787" s="1732"/>
      <c r="U787" s="1732"/>
      <c r="V787" s="1732"/>
      <c r="W787" s="1732"/>
      <c r="X787" s="1732"/>
      <c r="Y787" s="1732"/>
      <c r="Z787" s="1732"/>
    </row>
    <row r="788" spans="1:26" ht="18" customHeight="1">
      <c r="A788" s="1732"/>
      <c r="B788" s="1732"/>
      <c r="C788" s="1776"/>
      <c r="D788" s="1732"/>
      <c r="E788" s="1732"/>
      <c r="F788" s="1732"/>
      <c r="G788" s="1732"/>
      <c r="H788" s="1732"/>
      <c r="I788" s="1732"/>
      <c r="J788" s="1732"/>
      <c r="K788" s="1732"/>
      <c r="L788" s="1732"/>
      <c r="M788" s="1732"/>
      <c r="N788" s="1732"/>
      <c r="O788" s="1732"/>
      <c r="P788" s="1732"/>
      <c r="Q788" s="1732"/>
      <c r="R788" s="1732"/>
      <c r="S788" s="1732"/>
      <c r="T788" s="1732"/>
      <c r="U788" s="1732"/>
      <c r="V788" s="1732"/>
      <c r="W788" s="1732"/>
      <c r="X788" s="1732"/>
      <c r="Y788" s="1732"/>
      <c r="Z788" s="1732"/>
    </row>
    <row r="789" spans="1:26" ht="18" customHeight="1">
      <c r="A789" s="1732"/>
      <c r="B789" s="1732"/>
      <c r="C789" s="1776"/>
      <c r="D789" s="1732"/>
      <c r="E789" s="1732"/>
      <c r="F789" s="1732"/>
      <c r="G789" s="1732"/>
      <c r="H789" s="1732"/>
      <c r="I789" s="1732"/>
      <c r="J789" s="1732"/>
      <c r="K789" s="1732"/>
      <c r="L789" s="1732"/>
      <c r="M789" s="1732"/>
      <c r="N789" s="1732"/>
      <c r="O789" s="1732"/>
      <c r="P789" s="1732"/>
      <c r="Q789" s="1732"/>
      <c r="R789" s="1732"/>
      <c r="S789" s="1732"/>
      <c r="T789" s="1732"/>
      <c r="U789" s="1732"/>
      <c r="V789" s="1732"/>
      <c r="W789" s="1732"/>
      <c r="X789" s="1732"/>
      <c r="Y789" s="1732"/>
      <c r="Z789" s="1732"/>
    </row>
    <row r="790" spans="1:26" ht="18" customHeight="1">
      <c r="A790" s="1732"/>
      <c r="B790" s="1732"/>
      <c r="C790" s="1776"/>
      <c r="D790" s="1732"/>
      <c r="E790" s="1732"/>
      <c r="F790" s="1732"/>
      <c r="G790" s="1732"/>
      <c r="H790" s="1732"/>
      <c r="I790" s="1732"/>
      <c r="J790" s="1732"/>
      <c r="K790" s="1732"/>
      <c r="L790" s="1732"/>
      <c r="M790" s="1732"/>
      <c r="N790" s="1732"/>
      <c r="O790" s="1732"/>
      <c r="P790" s="1732"/>
      <c r="Q790" s="1732"/>
      <c r="R790" s="1732"/>
      <c r="S790" s="1732"/>
      <c r="T790" s="1732"/>
      <c r="U790" s="1732"/>
      <c r="V790" s="1732"/>
      <c r="W790" s="1732"/>
      <c r="X790" s="1732"/>
      <c r="Y790" s="1732"/>
      <c r="Z790" s="1732"/>
    </row>
    <row r="791" spans="1:26" ht="18" customHeight="1">
      <c r="A791" s="1732"/>
      <c r="B791" s="1732"/>
      <c r="C791" s="1776"/>
      <c r="D791" s="1732"/>
      <c r="E791" s="1732"/>
      <c r="F791" s="1732"/>
      <c r="G791" s="1732"/>
      <c r="H791" s="1732"/>
      <c r="I791" s="1732"/>
      <c r="J791" s="1732"/>
      <c r="K791" s="1732"/>
      <c r="L791" s="1732"/>
      <c r="M791" s="1732"/>
      <c r="N791" s="1732"/>
      <c r="O791" s="1732"/>
      <c r="P791" s="1732"/>
      <c r="Q791" s="1732"/>
      <c r="R791" s="1732"/>
      <c r="S791" s="1732"/>
      <c r="T791" s="1732"/>
      <c r="U791" s="1732"/>
      <c r="V791" s="1732"/>
      <c r="W791" s="1732"/>
      <c r="X791" s="1732"/>
      <c r="Y791" s="1732"/>
      <c r="Z791" s="1732"/>
    </row>
    <row r="792" spans="1:26" ht="18" customHeight="1">
      <c r="A792" s="1732"/>
      <c r="B792" s="1732"/>
      <c r="C792" s="1776"/>
      <c r="D792" s="1732"/>
      <c r="E792" s="1732"/>
      <c r="F792" s="1732"/>
      <c r="G792" s="1732"/>
      <c r="H792" s="1732"/>
      <c r="I792" s="1732"/>
      <c r="J792" s="1732"/>
      <c r="K792" s="1732"/>
      <c r="L792" s="1732"/>
      <c r="M792" s="1732"/>
      <c r="N792" s="1732"/>
      <c r="O792" s="1732"/>
      <c r="P792" s="1732"/>
      <c r="Q792" s="1732"/>
      <c r="R792" s="1732"/>
      <c r="S792" s="1732"/>
      <c r="T792" s="1732"/>
      <c r="U792" s="1732"/>
      <c r="V792" s="1732"/>
      <c r="W792" s="1732"/>
      <c r="X792" s="1732"/>
      <c r="Y792" s="1732"/>
      <c r="Z792" s="1732"/>
    </row>
    <row r="793" spans="1:26" ht="18" customHeight="1">
      <c r="A793" s="1732"/>
      <c r="B793" s="1732"/>
      <c r="C793" s="1776"/>
      <c r="D793" s="1732"/>
      <c r="E793" s="1732"/>
      <c r="F793" s="1732"/>
      <c r="G793" s="1732"/>
      <c r="H793" s="1732"/>
      <c r="I793" s="1732"/>
      <c r="J793" s="1732"/>
      <c r="K793" s="1732"/>
      <c r="L793" s="1732"/>
      <c r="M793" s="1732"/>
      <c r="N793" s="1732"/>
      <c r="O793" s="1732"/>
      <c r="P793" s="1732"/>
      <c r="Q793" s="1732"/>
      <c r="R793" s="1732"/>
      <c r="S793" s="1732"/>
      <c r="T793" s="1732"/>
      <c r="U793" s="1732"/>
      <c r="V793" s="1732"/>
      <c r="W793" s="1732"/>
      <c r="X793" s="1732"/>
      <c r="Y793" s="1732"/>
      <c r="Z793" s="1732"/>
    </row>
    <row r="794" spans="1:26" ht="18" customHeight="1">
      <c r="A794" s="1732"/>
      <c r="B794" s="1732"/>
      <c r="C794" s="1776"/>
      <c r="D794" s="1732"/>
      <c r="E794" s="1732"/>
      <c r="F794" s="1732"/>
      <c r="G794" s="1732"/>
      <c r="H794" s="1732"/>
      <c r="I794" s="1732"/>
      <c r="J794" s="1732"/>
      <c r="K794" s="1732"/>
      <c r="L794" s="1732"/>
      <c r="M794" s="1732"/>
      <c r="N794" s="1732"/>
      <c r="O794" s="1732"/>
      <c r="P794" s="1732"/>
      <c r="Q794" s="1732"/>
      <c r="R794" s="1732"/>
      <c r="S794" s="1732"/>
      <c r="T794" s="1732"/>
      <c r="U794" s="1732"/>
      <c r="V794" s="1732"/>
      <c r="W794" s="1732"/>
      <c r="X794" s="1732"/>
      <c r="Y794" s="1732"/>
      <c r="Z794" s="1732"/>
    </row>
    <row r="795" spans="1:26" ht="18" customHeight="1">
      <c r="A795" s="1732"/>
      <c r="B795" s="1732"/>
      <c r="C795" s="1776"/>
      <c r="D795" s="1732"/>
      <c r="E795" s="1732"/>
      <c r="F795" s="1732"/>
      <c r="G795" s="1732"/>
      <c r="H795" s="1732"/>
      <c r="I795" s="1732"/>
      <c r="J795" s="1732"/>
      <c r="K795" s="1732"/>
      <c r="L795" s="1732"/>
      <c r="M795" s="1732"/>
      <c r="N795" s="1732"/>
      <c r="O795" s="1732"/>
      <c r="P795" s="1732"/>
      <c r="Q795" s="1732"/>
      <c r="R795" s="1732"/>
      <c r="S795" s="1732"/>
      <c r="T795" s="1732"/>
      <c r="U795" s="1732"/>
      <c r="V795" s="1732"/>
      <c r="W795" s="1732"/>
      <c r="X795" s="1732"/>
      <c r="Y795" s="1732"/>
      <c r="Z795" s="1732"/>
    </row>
    <row r="796" spans="1:26" ht="18" customHeight="1">
      <c r="A796" s="1732"/>
      <c r="B796" s="1732"/>
      <c r="C796" s="1776"/>
      <c r="D796" s="1732"/>
      <c r="E796" s="1732"/>
      <c r="F796" s="1732"/>
      <c r="G796" s="1732"/>
      <c r="H796" s="1732"/>
      <c r="I796" s="1732"/>
      <c r="J796" s="1732"/>
      <c r="K796" s="1732"/>
      <c r="L796" s="1732"/>
      <c r="M796" s="1732"/>
      <c r="N796" s="1732"/>
      <c r="O796" s="1732"/>
      <c r="P796" s="1732"/>
      <c r="Q796" s="1732"/>
      <c r="R796" s="1732"/>
      <c r="S796" s="1732"/>
      <c r="T796" s="1732"/>
      <c r="U796" s="1732"/>
      <c r="V796" s="1732"/>
      <c r="W796" s="1732"/>
      <c r="X796" s="1732"/>
      <c r="Y796" s="1732"/>
      <c r="Z796" s="1732"/>
    </row>
    <row r="797" spans="1:26" ht="18" customHeight="1">
      <c r="A797" s="1732"/>
      <c r="B797" s="1732"/>
      <c r="C797" s="1776"/>
      <c r="D797" s="1732"/>
      <c r="E797" s="1732"/>
      <c r="F797" s="1732"/>
      <c r="G797" s="1732"/>
      <c r="H797" s="1732"/>
      <c r="I797" s="1732"/>
      <c r="J797" s="1732"/>
      <c r="K797" s="1732"/>
      <c r="L797" s="1732"/>
      <c r="M797" s="1732"/>
      <c r="N797" s="1732"/>
      <c r="O797" s="1732"/>
      <c r="P797" s="1732"/>
      <c r="Q797" s="1732"/>
      <c r="R797" s="1732"/>
      <c r="S797" s="1732"/>
      <c r="T797" s="1732"/>
      <c r="U797" s="1732"/>
      <c r="V797" s="1732"/>
      <c r="W797" s="1732"/>
      <c r="X797" s="1732"/>
      <c r="Y797" s="1732"/>
      <c r="Z797" s="1732"/>
    </row>
    <row r="798" spans="1:26" ht="18" customHeight="1">
      <c r="A798" s="1732"/>
      <c r="B798" s="1732"/>
      <c r="C798" s="1776"/>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row>
    <row r="799" spans="1:26" ht="18" customHeight="1">
      <c r="A799" s="1732"/>
      <c r="B799" s="1732"/>
      <c r="C799" s="1776"/>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row>
    <row r="800" spans="1:26" ht="18" customHeight="1">
      <c r="A800" s="1732"/>
      <c r="B800" s="1732"/>
      <c r="C800" s="1776"/>
      <c r="D800" s="1732"/>
      <c r="E800" s="1732"/>
      <c r="F800" s="1732"/>
      <c r="G800" s="1732"/>
      <c r="H800" s="1732"/>
      <c r="I800" s="1732"/>
      <c r="J800" s="1732"/>
      <c r="K800" s="1732"/>
      <c r="L800" s="1732"/>
      <c r="M800" s="1732"/>
      <c r="N800" s="1732"/>
      <c r="O800" s="1732"/>
      <c r="P800" s="1732"/>
      <c r="Q800" s="1732"/>
      <c r="R800" s="1732"/>
      <c r="S800" s="1732"/>
      <c r="T800" s="1732"/>
      <c r="U800" s="1732"/>
      <c r="V800" s="1732"/>
      <c r="W800" s="1732"/>
      <c r="X800" s="1732"/>
      <c r="Y800" s="1732"/>
      <c r="Z800" s="1732"/>
    </row>
    <row r="801" spans="1:26" ht="18" customHeight="1">
      <c r="A801" s="1732"/>
      <c r="B801" s="1732"/>
      <c r="C801" s="1776"/>
      <c r="D801" s="1732"/>
      <c r="E801" s="1732"/>
      <c r="F801" s="1732"/>
      <c r="G801" s="1732"/>
      <c r="H801" s="1732"/>
      <c r="I801" s="1732"/>
      <c r="J801" s="1732"/>
      <c r="K801" s="1732"/>
      <c r="L801" s="1732"/>
      <c r="M801" s="1732"/>
      <c r="N801" s="1732"/>
      <c r="O801" s="1732"/>
      <c r="P801" s="1732"/>
      <c r="Q801" s="1732"/>
      <c r="R801" s="1732"/>
      <c r="S801" s="1732"/>
      <c r="T801" s="1732"/>
      <c r="U801" s="1732"/>
      <c r="V801" s="1732"/>
      <c r="W801" s="1732"/>
      <c r="X801" s="1732"/>
      <c r="Y801" s="1732"/>
      <c r="Z801" s="1732"/>
    </row>
    <row r="802" spans="1:26" ht="18" customHeight="1">
      <c r="A802" s="1732"/>
      <c r="B802" s="1732"/>
      <c r="C802" s="1776"/>
      <c r="D802" s="1732"/>
      <c r="E802" s="1732"/>
      <c r="F802" s="1732"/>
      <c r="G802" s="1732"/>
      <c r="H802" s="1732"/>
      <c r="I802" s="1732"/>
      <c r="J802" s="1732"/>
      <c r="K802" s="1732"/>
      <c r="L802" s="1732"/>
      <c r="M802" s="1732"/>
      <c r="N802" s="1732"/>
      <c r="O802" s="1732"/>
      <c r="P802" s="1732"/>
      <c r="Q802" s="1732"/>
      <c r="R802" s="1732"/>
      <c r="S802" s="1732"/>
      <c r="T802" s="1732"/>
      <c r="U802" s="1732"/>
      <c r="V802" s="1732"/>
      <c r="W802" s="1732"/>
      <c r="X802" s="1732"/>
      <c r="Y802" s="1732"/>
      <c r="Z802" s="1732"/>
    </row>
    <row r="803" spans="1:26" ht="18" customHeight="1">
      <c r="A803" s="1732"/>
      <c r="B803" s="1732"/>
      <c r="C803" s="1776"/>
      <c r="D803" s="1732"/>
      <c r="E803" s="1732"/>
      <c r="F803" s="1732"/>
      <c r="G803" s="1732"/>
      <c r="H803" s="1732"/>
      <c r="I803" s="1732"/>
      <c r="J803" s="1732"/>
      <c r="K803" s="1732"/>
      <c r="L803" s="1732"/>
      <c r="M803" s="1732"/>
      <c r="N803" s="1732"/>
      <c r="O803" s="1732"/>
      <c r="P803" s="1732"/>
      <c r="Q803" s="1732"/>
      <c r="R803" s="1732"/>
      <c r="S803" s="1732"/>
      <c r="T803" s="1732"/>
      <c r="U803" s="1732"/>
      <c r="V803" s="1732"/>
      <c r="W803" s="1732"/>
      <c r="X803" s="1732"/>
      <c r="Y803" s="1732"/>
      <c r="Z803" s="1732"/>
    </row>
    <row r="804" spans="1:26" ht="18" customHeight="1">
      <c r="A804" s="1732"/>
      <c r="B804" s="1732"/>
      <c r="C804" s="1776"/>
      <c r="D804" s="1732"/>
      <c r="E804" s="1732"/>
      <c r="F804" s="1732"/>
      <c r="G804" s="1732"/>
      <c r="H804" s="1732"/>
      <c r="I804" s="1732"/>
      <c r="J804" s="1732"/>
      <c r="K804" s="1732"/>
      <c r="L804" s="1732"/>
      <c r="M804" s="1732"/>
      <c r="N804" s="1732"/>
      <c r="O804" s="1732"/>
      <c r="P804" s="1732"/>
      <c r="Q804" s="1732"/>
      <c r="R804" s="1732"/>
      <c r="S804" s="1732"/>
      <c r="T804" s="1732"/>
      <c r="U804" s="1732"/>
      <c r="V804" s="1732"/>
      <c r="W804" s="1732"/>
      <c r="X804" s="1732"/>
      <c r="Y804" s="1732"/>
      <c r="Z804" s="1732"/>
    </row>
    <row r="805" spans="1:26" ht="18" customHeight="1">
      <c r="A805" s="1732"/>
      <c r="B805" s="1732"/>
      <c r="C805" s="1776"/>
      <c r="D805" s="1732"/>
      <c r="E805" s="1732"/>
      <c r="F805" s="1732"/>
      <c r="G805" s="1732"/>
      <c r="H805" s="1732"/>
      <c r="I805" s="1732"/>
      <c r="J805" s="1732"/>
      <c r="K805" s="1732"/>
      <c r="L805" s="1732"/>
      <c r="M805" s="1732"/>
      <c r="N805" s="1732"/>
      <c r="O805" s="1732"/>
      <c r="P805" s="1732"/>
      <c r="Q805" s="1732"/>
      <c r="R805" s="1732"/>
      <c r="S805" s="1732"/>
      <c r="T805" s="1732"/>
      <c r="U805" s="1732"/>
      <c r="V805" s="1732"/>
      <c r="W805" s="1732"/>
      <c r="X805" s="1732"/>
      <c r="Y805" s="1732"/>
      <c r="Z805" s="1732"/>
    </row>
    <row r="806" spans="1:26" ht="18" customHeight="1">
      <c r="A806" s="1732"/>
      <c r="B806" s="1732"/>
      <c r="C806" s="1776"/>
      <c r="D806" s="1732"/>
      <c r="E806" s="1732"/>
      <c r="F806" s="1732"/>
      <c r="G806" s="1732"/>
      <c r="H806" s="1732"/>
      <c r="I806" s="1732"/>
      <c r="J806" s="1732"/>
      <c r="K806" s="1732"/>
      <c r="L806" s="1732"/>
      <c r="M806" s="1732"/>
      <c r="N806" s="1732"/>
      <c r="O806" s="1732"/>
      <c r="P806" s="1732"/>
      <c r="Q806" s="1732"/>
      <c r="R806" s="1732"/>
      <c r="S806" s="1732"/>
      <c r="T806" s="1732"/>
      <c r="U806" s="1732"/>
      <c r="V806" s="1732"/>
      <c r="W806" s="1732"/>
      <c r="X806" s="1732"/>
      <c r="Y806" s="1732"/>
      <c r="Z806" s="1732"/>
    </row>
    <row r="807" spans="1:26" ht="18" customHeight="1">
      <c r="A807" s="1732"/>
      <c r="B807" s="1732"/>
      <c r="C807" s="1776"/>
      <c r="D807" s="1732"/>
      <c r="E807" s="1732"/>
      <c r="F807" s="1732"/>
      <c r="G807" s="1732"/>
      <c r="H807" s="1732"/>
      <c r="I807" s="1732"/>
      <c r="J807" s="1732"/>
      <c r="K807" s="1732"/>
      <c r="L807" s="1732"/>
      <c r="M807" s="1732"/>
      <c r="N807" s="1732"/>
      <c r="O807" s="1732"/>
      <c r="P807" s="1732"/>
      <c r="Q807" s="1732"/>
      <c r="R807" s="1732"/>
      <c r="S807" s="1732"/>
      <c r="T807" s="1732"/>
      <c r="U807" s="1732"/>
      <c r="V807" s="1732"/>
      <c r="W807" s="1732"/>
      <c r="X807" s="1732"/>
      <c r="Y807" s="1732"/>
      <c r="Z807" s="1732"/>
    </row>
    <row r="808" spans="1:26" ht="18" customHeight="1">
      <c r="A808" s="1732"/>
      <c r="B808" s="1732"/>
      <c r="C808" s="1776"/>
      <c r="D808" s="1732"/>
      <c r="E808" s="1732"/>
      <c r="F808" s="1732"/>
      <c r="G808" s="1732"/>
      <c r="H808" s="1732"/>
      <c r="I808" s="1732"/>
      <c r="J808" s="1732"/>
      <c r="K808" s="1732"/>
      <c r="L808" s="1732"/>
      <c r="M808" s="1732"/>
      <c r="N808" s="1732"/>
      <c r="O808" s="1732"/>
      <c r="P808" s="1732"/>
      <c r="Q808" s="1732"/>
      <c r="R808" s="1732"/>
      <c r="S808" s="1732"/>
      <c r="T808" s="1732"/>
      <c r="U808" s="1732"/>
      <c r="V808" s="1732"/>
      <c r="W808" s="1732"/>
      <c r="X808" s="1732"/>
      <c r="Y808" s="1732"/>
      <c r="Z808" s="1732"/>
    </row>
    <row r="809" spans="1:26" ht="18" customHeight="1">
      <c r="A809" s="1732"/>
      <c r="B809" s="1732"/>
      <c r="C809" s="1776"/>
      <c r="D809" s="1732"/>
      <c r="E809" s="1732"/>
      <c r="F809" s="1732"/>
      <c r="G809" s="1732"/>
      <c r="H809" s="1732"/>
      <c r="I809" s="1732"/>
      <c r="J809" s="1732"/>
      <c r="K809" s="1732"/>
      <c r="L809" s="1732"/>
      <c r="M809" s="1732"/>
      <c r="N809" s="1732"/>
      <c r="O809" s="1732"/>
      <c r="P809" s="1732"/>
      <c r="Q809" s="1732"/>
      <c r="R809" s="1732"/>
      <c r="S809" s="1732"/>
      <c r="T809" s="1732"/>
      <c r="U809" s="1732"/>
      <c r="V809" s="1732"/>
      <c r="W809" s="1732"/>
      <c r="X809" s="1732"/>
      <c r="Y809" s="1732"/>
      <c r="Z809" s="1732"/>
    </row>
    <row r="810" spans="1:26" ht="18" customHeight="1">
      <c r="A810" s="1732"/>
      <c r="B810" s="1732"/>
      <c r="C810" s="1776"/>
      <c r="D810" s="1732"/>
      <c r="E810" s="1732"/>
      <c r="F810" s="1732"/>
      <c r="G810" s="1732"/>
      <c r="H810" s="1732"/>
      <c r="I810" s="1732"/>
      <c r="J810" s="1732"/>
      <c r="K810" s="1732"/>
      <c r="L810" s="1732"/>
      <c r="M810" s="1732"/>
      <c r="N810" s="1732"/>
      <c r="O810" s="1732"/>
      <c r="P810" s="1732"/>
      <c r="Q810" s="1732"/>
      <c r="R810" s="1732"/>
      <c r="S810" s="1732"/>
      <c r="T810" s="1732"/>
      <c r="U810" s="1732"/>
      <c r="V810" s="1732"/>
      <c r="W810" s="1732"/>
      <c r="X810" s="1732"/>
      <c r="Y810" s="1732"/>
      <c r="Z810" s="1732"/>
    </row>
    <row r="811" spans="1:26" ht="18" customHeight="1">
      <c r="A811" s="1732"/>
      <c r="B811" s="1732"/>
      <c r="C811" s="1776"/>
      <c r="D811" s="1732"/>
      <c r="E811" s="1732"/>
      <c r="F811" s="1732"/>
      <c r="G811" s="1732"/>
      <c r="H811" s="1732"/>
      <c r="I811" s="1732"/>
      <c r="J811" s="1732"/>
      <c r="K811" s="1732"/>
      <c r="L811" s="1732"/>
      <c r="M811" s="1732"/>
      <c r="N811" s="1732"/>
      <c r="O811" s="1732"/>
      <c r="P811" s="1732"/>
      <c r="Q811" s="1732"/>
      <c r="R811" s="1732"/>
      <c r="S811" s="1732"/>
      <c r="T811" s="1732"/>
      <c r="U811" s="1732"/>
      <c r="V811" s="1732"/>
      <c r="W811" s="1732"/>
      <c r="X811" s="1732"/>
      <c r="Y811" s="1732"/>
      <c r="Z811" s="1732"/>
    </row>
    <row r="812" spans="1:26" ht="18" customHeight="1">
      <c r="A812" s="1732"/>
      <c r="B812" s="1732"/>
      <c r="C812" s="1776"/>
      <c r="D812" s="1732"/>
      <c r="E812" s="1732"/>
      <c r="F812" s="1732"/>
      <c r="G812" s="1732"/>
      <c r="H812" s="1732"/>
      <c r="I812" s="1732"/>
      <c r="J812" s="1732"/>
      <c r="K812" s="1732"/>
      <c r="L812" s="1732"/>
      <c r="M812" s="1732"/>
      <c r="N812" s="1732"/>
      <c r="O812" s="1732"/>
      <c r="P812" s="1732"/>
      <c r="Q812" s="1732"/>
      <c r="R812" s="1732"/>
      <c r="S812" s="1732"/>
      <c r="T812" s="1732"/>
      <c r="U812" s="1732"/>
      <c r="V812" s="1732"/>
      <c r="W812" s="1732"/>
      <c r="X812" s="1732"/>
      <c r="Y812" s="1732"/>
      <c r="Z812" s="1732"/>
    </row>
    <row r="813" spans="1:26" ht="18" customHeight="1">
      <c r="A813" s="1732"/>
      <c r="B813" s="1732"/>
      <c r="C813" s="1776"/>
      <c r="D813" s="1732"/>
      <c r="E813" s="1732"/>
      <c r="F813" s="1732"/>
      <c r="G813" s="1732"/>
      <c r="H813" s="1732"/>
      <c r="I813" s="1732"/>
      <c r="J813" s="1732"/>
      <c r="K813" s="1732"/>
      <c r="L813" s="1732"/>
      <c r="M813" s="1732"/>
      <c r="N813" s="1732"/>
      <c r="O813" s="1732"/>
      <c r="P813" s="1732"/>
      <c r="Q813" s="1732"/>
      <c r="R813" s="1732"/>
      <c r="S813" s="1732"/>
      <c r="T813" s="1732"/>
      <c r="U813" s="1732"/>
      <c r="V813" s="1732"/>
      <c r="W813" s="1732"/>
      <c r="X813" s="1732"/>
      <c r="Y813" s="1732"/>
      <c r="Z813" s="1732"/>
    </row>
    <row r="814" spans="1:26" ht="18" customHeight="1">
      <c r="A814" s="1732"/>
      <c r="B814" s="1732"/>
      <c r="C814" s="1776"/>
      <c r="D814" s="1732"/>
      <c r="E814" s="1732"/>
      <c r="F814" s="1732"/>
      <c r="G814" s="1732"/>
      <c r="H814" s="1732"/>
      <c r="I814" s="1732"/>
      <c r="J814" s="1732"/>
      <c r="K814" s="1732"/>
      <c r="L814" s="1732"/>
      <c r="M814" s="1732"/>
      <c r="N814" s="1732"/>
      <c r="O814" s="1732"/>
      <c r="P814" s="1732"/>
      <c r="Q814" s="1732"/>
      <c r="R814" s="1732"/>
      <c r="S814" s="1732"/>
      <c r="T814" s="1732"/>
      <c r="U814" s="1732"/>
      <c r="V814" s="1732"/>
      <c r="W814" s="1732"/>
      <c r="X814" s="1732"/>
      <c r="Y814" s="1732"/>
      <c r="Z814" s="1732"/>
    </row>
    <row r="815" spans="1:26" ht="18" customHeight="1">
      <c r="A815" s="1732"/>
      <c r="B815" s="1732"/>
      <c r="C815" s="1776"/>
      <c r="D815" s="1732"/>
      <c r="E815" s="1732"/>
      <c r="F815" s="1732"/>
      <c r="G815" s="1732"/>
      <c r="H815" s="1732"/>
      <c r="I815" s="1732"/>
      <c r="J815" s="1732"/>
      <c r="K815" s="1732"/>
      <c r="L815" s="1732"/>
      <c r="M815" s="1732"/>
      <c r="N815" s="1732"/>
      <c r="O815" s="1732"/>
      <c r="P815" s="1732"/>
      <c r="Q815" s="1732"/>
      <c r="R815" s="1732"/>
      <c r="S815" s="1732"/>
      <c r="T815" s="1732"/>
      <c r="U815" s="1732"/>
      <c r="V815" s="1732"/>
      <c r="W815" s="1732"/>
      <c r="X815" s="1732"/>
      <c r="Y815" s="1732"/>
      <c r="Z815" s="1732"/>
    </row>
    <row r="816" spans="1:26" ht="18" customHeight="1">
      <c r="A816" s="1732"/>
      <c r="B816" s="1732"/>
      <c r="C816" s="1776"/>
      <c r="D816" s="1732"/>
      <c r="E816" s="1732"/>
      <c r="F816" s="1732"/>
      <c r="G816" s="1732"/>
      <c r="H816" s="1732"/>
      <c r="I816" s="1732"/>
      <c r="J816" s="1732"/>
      <c r="K816" s="1732"/>
      <c r="L816" s="1732"/>
      <c r="M816" s="1732"/>
      <c r="N816" s="1732"/>
      <c r="O816" s="1732"/>
      <c r="P816" s="1732"/>
      <c r="Q816" s="1732"/>
      <c r="R816" s="1732"/>
      <c r="S816" s="1732"/>
      <c r="T816" s="1732"/>
      <c r="U816" s="1732"/>
      <c r="V816" s="1732"/>
      <c r="W816" s="1732"/>
      <c r="X816" s="1732"/>
      <c r="Y816" s="1732"/>
      <c r="Z816" s="1732"/>
    </row>
    <row r="817" spans="1:26" ht="18" customHeight="1">
      <c r="A817" s="1732"/>
      <c r="B817" s="1732"/>
      <c r="C817" s="1776"/>
      <c r="D817" s="1732"/>
      <c r="E817" s="1732"/>
      <c r="F817" s="1732"/>
      <c r="G817" s="1732"/>
      <c r="H817" s="1732"/>
      <c r="I817" s="1732"/>
      <c r="J817" s="1732"/>
      <c r="K817" s="1732"/>
      <c r="L817" s="1732"/>
      <c r="M817" s="1732"/>
      <c r="N817" s="1732"/>
      <c r="O817" s="1732"/>
      <c r="P817" s="1732"/>
      <c r="Q817" s="1732"/>
      <c r="R817" s="1732"/>
      <c r="S817" s="1732"/>
      <c r="T817" s="1732"/>
      <c r="U817" s="1732"/>
      <c r="V817" s="1732"/>
      <c r="W817" s="1732"/>
      <c r="X817" s="1732"/>
      <c r="Y817" s="1732"/>
      <c r="Z817" s="1732"/>
    </row>
    <row r="818" spans="1:26" ht="18" customHeight="1">
      <c r="A818" s="1732"/>
      <c r="B818" s="1732"/>
      <c r="C818" s="1776"/>
      <c r="D818" s="1732"/>
      <c r="E818" s="1732"/>
      <c r="F818" s="1732"/>
      <c r="G818" s="1732"/>
      <c r="H818" s="1732"/>
      <c r="I818" s="1732"/>
      <c r="J818" s="1732"/>
      <c r="K818" s="1732"/>
      <c r="L818" s="1732"/>
      <c r="M818" s="1732"/>
      <c r="N818" s="1732"/>
      <c r="O818" s="1732"/>
      <c r="P818" s="1732"/>
      <c r="Q818" s="1732"/>
      <c r="R818" s="1732"/>
      <c r="S818" s="1732"/>
      <c r="T818" s="1732"/>
      <c r="U818" s="1732"/>
      <c r="V818" s="1732"/>
      <c r="W818" s="1732"/>
      <c r="X818" s="1732"/>
      <c r="Y818" s="1732"/>
      <c r="Z818" s="1732"/>
    </row>
    <row r="819" spans="1:26" ht="18" customHeight="1">
      <c r="A819" s="1732"/>
      <c r="B819" s="1732"/>
      <c r="C819" s="1776"/>
      <c r="D819" s="1732"/>
      <c r="E819" s="1732"/>
      <c r="F819" s="1732"/>
      <c r="G819" s="1732"/>
      <c r="H819" s="1732"/>
      <c r="I819" s="1732"/>
      <c r="J819" s="1732"/>
      <c r="K819" s="1732"/>
      <c r="L819" s="1732"/>
      <c r="M819" s="1732"/>
      <c r="N819" s="1732"/>
      <c r="O819" s="1732"/>
      <c r="P819" s="1732"/>
      <c r="Q819" s="1732"/>
      <c r="R819" s="1732"/>
      <c r="S819" s="1732"/>
      <c r="T819" s="1732"/>
      <c r="U819" s="1732"/>
      <c r="V819" s="1732"/>
      <c r="W819" s="1732"/>
      <c r="X819" s="1732"/>
      <c r="Y819" s="1732"/>
      <c r="Z819" s="1732"/>
    </row>
    <row r="820" spans="1:26" ht="18" customHeight="1">
      <c r="A820" s="1732"/>
      <c r="B820" s="1732"/>
      <c r="C820" s="1776"/>
      <c r="D820" s="1732"/>
      <c r="E820" s="1732"/>
      <c r="F820" s="1732"/>
      <c r="G820" s="1732"/>
      <c r="H820" s="1732"/>
      <c r="I820" s="1732"/>
      <c r="J820" s="1732"/>
      <c r="K820" s="1732"/>
      <c r="L820" s="1732"/>
      <c r="M820" s="1732"/>
      <c r="N820" s="1732"/>
      <c r="O820" s="1732"/>
      <c r="P820" s="1732"/>
      <c r="Q820" s="1732"/>
      <c r="R820" s="1732"/>
      <c r="S820" s="1732"/>
      <c r="T820" s="1732"/>
      <c r="U820" s="1732"/>
      <c r="V820" s="1732"/>
      <c r="W820" s="1732"/>
      <c r="X820" s="1732"/>
      <c r="Y820" s="1732"/>
      <c r="Z820" s="1732"/>
    </row>
    <row r="821" spans="1:26" ht="18" customHeight="1">
      <c r="A821" s="1732"/>
      <c r="B821" s="1732"/>
      <c r="C821" s="1776"/>
      <c r="D821" s="1732"/>
      <c r="E821" s="1732"/>
      <c r="F821" s="1732"/>
      <c r="G821" s="1732"/>
      <c r="H821" s="1732"/>
      <c r="I821" s="1732"/>
      <c r="J821" s="1732"/>
      <c r="K821" s="1732"/>
      <c r="L821" s="1732"/>
      <c r="M821" s="1732"/>
      <c r="N821" s="1732"/>
      <c r="O821" s="1732"/>
      <c r="P821" s="1732"/>
      <c r="Q821" s="1732"/>
      <c r="R821" s="1732"/>
      <c r="S821" s="1732"/>
      <c r="T821" s="1732"/>
      <c r="U821" s="1732"/>
      <c r="V821" s="1732"/>
      <c r="W821" s="1732"/>
      <c r="X821" s="1732"/>
      <c r="Y821" s="1732"/>
      <c r="Z821" s="1732"/>
    </row>
    <row r="822" spans="1:26" ht="18" customHeight="1">
      <c r="A822" s="1732"/>
      <c r="B822" s="1732"/>
      <c r="C822" s="1776"/>
      <c r="D822" s="1732"/>
      <c r="E822" s="1732"/>
      <c r="F822" s="1732"/>
      <c r="G822" s="1732"/>
      <c r="H822" s="1732"/>
      <c r="I822" s="1732"/>
      <c r="J822" s="1732"/>
      <c r="K822" s="1732"/>
      <c r="L822" s="1732"/>
      <c r="M822" s="1732"/>
      <c r="N822" s="1732"/>
      <c r="O822" s="1732"/>
      <c r="P822" s="1732"/>
      <c r="Q822" s="1732"/>
      <c r="R822" s="1732"/>
      <c r="S822" s="1732"/>
      <c r="T822" s="1732"/>
      <c r="U822" s="1732"/>
      <c r="V822" s="1732"/>
      <c r="W822" s="1732"/>
      <c r="X822" s="1732"/>
      <c r="Y822" s="1732"/>
      <c r="Z822" s="1732"/>
    </row>
    <row r="823" spans="1:26" ht="18" customHeight="1">
      <c r="A823" s="1732"/>
      <c r="B823" s="1732"/>
      <c r="C823" s="1776"/>
      <c r="D823" s="1732"/>
      <c r="E823" s="1732"/>
      <c r="F823" s="1732"/>
      <c r="G823" s="1732"/>
      <c r="H823" s="1732"/>
      <c r="I823" s="1732"/>
      <c r="J823" s="1732"/>
      <c r="K823" s="1732"/>
      <c r="L823" s="1732"/>
      <c r="M823" s="1732"/>
      <c r="N823" s="1732"/>
      <c r="O823" s="1732"/>
      <c r="P823" s="1732"/>
      <c r="Q823" s="1732"/>
      <c r="R823" s="1732"/>
      <c r="S823" s="1732"/>
      <c r="T823" s="1732"/>
      <c r="U823" s="1732"/>
      <c r="V823" s="1732"/>
      <c r="W823" s="1732"/>
      <c r="X823" s="1732"/>
      <c r="Y823" s="1732"/>
      <c r="Z823" s="1732"/>
    </row>
    <row r="824" spans="1:26" ht="18" customHeight="1">
      <c r="A824" s="1732"/>
      <c r="B824" s="1732"/>
      <c r="C824" s="1776"/>
      <c r="D824" s="1732"/>
      <c r="E824" s="1732"/>
      <c r="F824" s="1732"/>
      <c r="G824" s="1732"/>
      <c r="H824" s="1732"/>
      <c r="I824" s="1732"/>
      <c r="J824" s="1732"/>
      <c r="K824" s="1732"/>
      <c r="L824" s="1732"/>
      <c r="M824" s="1732"/>
      <c r="N824" s="1732"/>
      <c r="O824" s="1732"/>
      <c r="P824" s="1732"/>
      <c r="Q824" s="1732"/>
      <c r="R824" s="1732"/>
      <c r="S824" s="1732"/>
      <c r="T824" s="1732"/>
      <c r="U824" s="1732"/>
      <c r="V824" s="1732"/>
      <c r="W824" s="1732"/>
      <c r="X824" s="1732"/>
      <c r="Y824" s="1732"/>
      <c r="Z824" s="1732"/>
    </row>
    <row r="825" spans="1:26" ht="18" customHeight="1">
      <c r="A825" s="1732"/>
      <c r="B825" s="1732"/>
      <c r="C825" s="1776"/>
      <c r="D825" s="1732"/>
      <c r="E825" s="1732"/>
      <c r="F825" s="1732"/>
      <c r="G825" s="1732"/>
      <c r="H825" s="1732"/>
      <c r="I825" s="1732"/>
      <c r="J825" s="1732"/>
      <c r="K825" s="1732"/>
      <c r="L825" s="1732"/>
      <c r="M825" s="1732"/>
      <c r="N825" s="1732"/>
      <c r="O825" s="1732"/>
      <c r="P825" s="1732"/>
      <c r="Q825" s="1732"/>
      <c r="R825" s="1732"/>
      <c r="S825" s="1732"/>
      <c r="T825" s="1732"/>
      <c r="U825" s="1732"/>
      <c r="V825" s="1732"/>
      <c r="W825" s="1732"/>
      <c r="X825" s="1732"/>
      <c r="Y825" s="1732"/>
      <c r="Z825" s="1732"/>
    </row>
    <row r="826" spans="1:26" ht="18" customHeight="1">
      <c r="A826" s="1732"/>
      <c r="B826" s="1732"/>
      <c r="C826" s="1776"/>
      <c r="D826" s="1732"/>
      <c r="E826" s="1732"/>
      <c r="F826" s="1732"/>
      <c r="G826" s="1732"/>
      <c r="H826" s="1732"/>
      <c r="I826" s="1732"/>
      <c r="J826" s="1732"/>
      <c r="K826" s="1732"/>
      <c r="L826" s="1732"/>
      <c r="M826" s="1732"/>
      <c r="N826" s="1732"/>
      <c r="O826" s="1732"/>
      <c r="P826" s="1732"/>
      <c r="Q826" s="1732"/>
      <c r="R826" s="1732"/>
      <c r="S826" s="1732"/>
      <c r="T826" s="1732"/>
      <c r="U826" s="1732"/>
      <c r="V826" s="1732"/>
      <c r="W826" s="1732"/>
      <c r="X826" s="1732"/>
      <c r="Y826" s="1732"/>
      <c r="Z826" s="1732"/>
    </row>
    <row r="827" spans="1:26" ht="18" customHeight="1">
      <c r="A827" s="1732"/>
      <c r="B827" s="1732"/>
      <c r="C827" s="1776"/>
      <c r="D827" s="1732"/>
      <c r="E827" s="1732"/>
      <c r="F827" s="1732"/>
      <c r="G827" s="1732"/>
      <c r="H827" s="1732"/>
      <c r="I827" s="1732"/>
      <c r="J827" s="1732"/>
      <c r="K827" s="1732"/>
      <c r="L827" s="1732"/>
      <c r="M827" s="1732"/>
      <c r="N827" s="1732"/>
      <c r="O827" s="1732"/>
      <c r="P827" s="1732"/>
      <c r="Q827" s="1732"/>
      <c r="R827" s="1732"/>
      <c r="S827" s="1732"/>
      <c r="T827" s="1732"/>
      <c r="U827" s="1732"/>
      <c r="V827" s="1732"/>
      <c r="W827" s="1732"/>
      <c r="X827" s="1732"/>
      <c r="Y827" s="1732"/>
      <c r="Z827" s="1732"/>
    </row>
    <row r="828" spans="1:26" ht="18" customHeight="1">
      <c r="A828" s="1732"/>
      <c r="B828" s="1732"/>
      <c r="C828" s="1776"/>
      <c r="D828" s="1732"/>
      <c r="E828" s="1732"/>
      <c r="F828" s="1732"/>
      <c r="G828" s="1732"/>
      <c r="H828" s="1732"/>
      <c r="I828" s="1732"/>
      <c r="J828" s="1732"/>
      <c r="K828" s="1732"/>
      <c r="L828" s="1732"/>
      <c r="M828" s="1732"/>
      <c r="N828" s="1732"/>
      <c r="O828" s="1732"/>
      <c r="P828" s="1732"/>
      <c r="Q828" s="1732"/>
      <c r="R828" s="1732"/>
      <c r="S828" s="1732"/>
      <c r="T828" s="1732"/>
      <c r="U828" s="1732"/>
      <c r="V828" s="1732"/>
      <c r="W828" s="1732"/>
      <c r="X828" s="1732"/>
      <c r="Y828" s="1732"/>
      <c r="Z828" s="1732"/>
    </row>
    <row r="829" spans="1:26" ht="18" customHeight="1">
      <c r="A829" s="1732"/>
      <c r="B829" s="1732"/>
      <c r="C829" s="1776"/>
      <c r="D829" s="1732"/>
      <c r="E829" s="1732"/>
      <c r="F829" s="1732"/>
      <c r="G829" s="1732"/>
      <c r="H829" s="1732"/>
      <c r="I829" s="1732"/>
      <c r="J829" s="1732"/>
      <c r="K829" s="1732"/>
      <c r="L829" s="1732"/>
      <c r="M829" s="1732"/>
      <c r="N829" s="1732"/>
      <c r="O829" s="1732"/>
      <c r="P829" s="1732"/>
      <c r="Q829" s="1732"/>
      <c r="R829" s="1732"/>
      <c r="S829" s="1732"/>
      <c r="T829" s="1732"/>
      <c r="U829" s="1732"/>
      <c r="V829" s="1732"/>
      <c r="W829" s="1732"/>
      <c r="X829" s="1732"/>
      <c r="Y829" s="1732"/>
      <c r="Z829" s="1732"/>
    </row>
    <row r="830" spans="1:26" ht="18" customHeight="1">
      <c r="A830" s="1732"/>
      <c r="B830" s="1732"/>
      <c r="C830" s="1776"/>
      <c r="D830" s="1732"/>
      <c r="E830" s="1732"/>
      <c r="F830" s="1732"/>
      <c r="G830" s="1732"/>
      <c r="H830" s="1732"/>
      <c r="I830" s="1732"/>
      <c r="J830" s="1732"/>
      <c r="K830" s="1732"/>
      <c r="L830" s="1732"/>
      <c r="M830" s="1732"/>
      <c r="N830" s="1732"/>
      <c r="O830" s="1732"/>
      <c r="P830" s="1732"/>
      <c r="Q830" s="1732"/>
      <c r="R830" s="1732"/>
      <c r="S830" s="1732"/>
      <c r="T830" s="1732"/>
      <c r="U830" s="1732"/>
      <c r="V830" s="1732"/>
      <c r="W830" s="1732"/>
      <c r="X830" s="1732"/>
      <c r="Y830" s="1732"/>
      <c r="Z830" s="1732"/>
    </row>
    <row r="831" spans="1:26" ht="18" customHeight="1">
      <c r="A831" s="1732"/>
      <c r="B831" s="1732"/>
      <c r="C831" s="1776"/>
      <c r="D831" s="1732"/>
      <c r="E831" s="1732"/>
      <c r="F831" s="1732"/>
      <c r="G831" s="1732"/>
      <c r="H831" s="1732"/>
      <c r="I831" s="1732"/>
      <c r="J831" s="1732"/>
      <c r="K831" s="1732"/>
      <c r="L831" s="1732"/>
      <c r="M831" s="1732"/>
      <c r="N831" s="1732"/>
      <c r="O831" s="1732"/>
      <c r="P831" s="1732"/>
      <c r="Q831" s="1732"/>
      <c r="R831" s="1732"/>
      <c r="S831" s="1732"/>
      <c r="T831" s="1732"/>
      <c r="U831" s="1732"/>
      <c r="V831" s="1732"/>
      <c r="W831" s="1732"/>
      <c r="X831" s="1732"/>
      <c r="Y831" s="1732"/>
      <c r="Z831" s="1732"/>
    </row>
    <row r="832" spans="1:26" ht="18" customHeight="1">
      <c r="A832" s="1732"/>
      <c r="B832" s="1732"/>
      <c r="C832" s="1776"/>
      <c r="D832" s="1732"/>
      <c r="E832" s="1732"/>
      <c r="F832" s="1732"/>
      <c r="G832" s="1732"/>
      <c r="H832" s="1732"/>
      <c r="I832" s="1732"/>
      <c r="J832" s="1732"/>
      <c r="K832" s="1732"/>
      <c r="L832" s="1732"/>
      <c r="M832" s="1732"/>
      <c r="N832" s="1732"/>
      <c r="O832" s="1732"/>
      <c r="P832" s="1732"/>
      <c r="Q832" s="1732"/>
      <c r="R832" s="1732"/>
      <c r="S832" s="1732"/>
      <c r="T832" s="1732"/>
      <c r="U832" s="1732"/>
      <c r="V832" s="1732"/>
      <c r="W832" s="1732"/>
      <c r="X832" s="1732"/>
      <c r="Y832" s="1732"/>
      <c r="Z832" s="1732"/>
    </row>
    <row r="833" spans="1:26" ht="18" customHeight="1">
      <c r="A833" s="1732"/>
      <c r="B833" s="1732"/>
      <c r="C833" s="1776"/>
      <c r="D833" s="1732"/>
      <c r="E833" s="1732"/>
      <c r="F833" s="1732"/>
      <c r="G833" s="1732"/>
      <c r="H833" s="1732"/>
      <c r="I833" s="1732"/>
      <c r="J833" s="1732"/>
      <c r="K833" s="1732"/>
      <c r="L833" s="1732"/>
      <c r="M833" s="1732"/>
      <c r="N833" s="1732"/>
      <c r="O833" s="1732"/>
      <c r="P833" s="1732"/>
      <c r="Q833" s="1732"/>
      <c r="R833" s="1732"/>
      <c r="S833" s="1732"/>
      <c r="T833" s="1732"/>
      <c r="U833" s="1732"/>
      <c r="V833" s="1732"/>
      <c r="W833" s="1732"/>
      <c r="X833" s="1732"/>
      <c r="Y833" s="1732"/>
      <c r="Z833" s="1732"/>
    </row>
    <row r="834" spans="1:26" ht="18" customHeight="1">
      <c r="A834" s="1732"/>
      <c r="B834" s="1732"/>
      <c r="C834" s="1776"/>
      <c r="D834" s="1732"/>
      <c r="E834" s="1732"/>
      <c r="F834" s="1732"/>
      <c r="G834" s="1732"/>
      <c r="H834" s="1732"/>
      <c r="I834" s="1732"/>
      <c r="J834" s="1732"/>
      <c r="K834" s="1732"/>
      <c r="L834" s="1732"/>
      <c r="M834" s="1732"/>
      <c r="N834" s="1732"/>
      <c r="O834" s="1732"/>
      <c r="P834" s="1732"/>
      <c r="Q834" s="1732"/>
      <c r="R834" s="1732"/>
      <c r="S834" s="1732"/>
      <c r="T834" s="1732"/>
      <c r="U834" s="1732"/>
      <c r="V834" s="1732"/>
      <c r="W834" s="1732"/>
      <c r="X834" s="1732"/>
      <c r="Y834" s="1732"/>
      <c r="Z834" s="1732"/>
    </row>
    <row r="835" spans="1:26" ht="18" customHeight="1">
      <c r="A835" s="1732"/>
      <c r="B835" s="1732"/>
      <c r="C835" s="1776"/>
      <c r="D835" s="1732"/>
      <c r="E835" s="1732"/>
      <c r="F835" s="1732"/>
      <c r="G835" s="1732"/>
      <c r="H835" s="1732"/>
      <c r="I835" s="1732"/>
      <c r="J835" s="1732"/>
      <c r="K835" s="1732"/>
      <c r="L835" s="1732"/>
      <c r="M835" s="1732"/>
      <c r="N835" s="1732"/>
      <c r="O835" s="1732"/>
      <c r="P835" s="1732"/>
      <c r="Q835" s="1732"/>
      <c r="R835" s="1732"/>
      <c r="S835" s="1732"/>
      <c r="T835" s="1732"/>
      <c r="U835" s="1732"/>
      <c r="V835" s="1732"/>
      <c r="W835" s="1732"/>
      <c r="X835" s="1732"/>
      <c r="Y835" s="1732"/>
      <c r="Z835" s="1732"/>
    </row>
    <row r="836" spans="1:26" ht="18" customHeight="1">
      <c r="A836" s="1732"/>
      <c r="B836" s="1732"/>
      <c r="C836" s="1776"/>
      <c r="D836" s="1732"/>
      <c r="E836" s="1732"/>
      <c r="F836" s="1732"/>
      <c r="G836" s="1732"/>
      <c r="H836" s="1732"/>
      <c r="I836" s="1732"/>
      <c r="J836" s="1732"/>
      <c r="K836" s="1732"/>
      <c r="L836" s="1732"/>
      <c r="M836" s="1732"/>
      <c r="N836" s="1732"/>
      <c r="O836" s="1732"/>
      <c r="P836" s="1732"/>
      <c r="Q836" s="1732"/>
      <c r="R836" s="1732"/>
      <c r="S836" s="1732"/>
      <c r="T836" s="1732"/>
      <c r="U836" s="1732"/>
      <c r="V836" s="1732"/>
      <c r="W836" s="1732"/>
      <c r="X836" s="1732"/>
      <c r="Y836" s="1732"/>
      <c r="Z836" s="1732"/>
    </row>
    <row r="837" spans="1:26" ht="18" customHeight="1">
      <c r="A837" s="1732"/>
      <c r="B837" s="1732"/>
      <c r="C837" s="1776"/>
      <c r="D837" s="1732"/>
      <c r="E837" s="1732"/>
      <c r="F837" s="1732"/>
      <c r="G837" s="1732"/>
      <c r="H837" s="1732"/>
      <c r="I837" s="1732"/>
      <c r="J837" s="1732"/>
      <c r="K837" s="1732"/>
      <c r="L837" s="1732"/>
      <c r="M837" s="1732"/>
      <c r="N837" s="1732"/>
      <c r="O837" s="1732"/>
      <c r="P837" s="1732"/>
      <c r="Q837" s="1732"/>
      <c r="R837" s="1732"/>
      <c r="S837" s="1732"/>
      <c r="T837" s="1732"/>
      <c r="U837" s="1732"/>
      <c r="V837" s="1732"/>
      <c r="W837" s="1732"/>
      <c r="X837" s="1732"/>
      <c r="Y837" s="1732"/>
      <c r="Z837" s="1732"/>
    </row>
    <row r="838" spans="1:26" ht="18" customHeight="1">
      <c r="A838" s="1732"/>
      <c r="B838" s="1732"/>
      <c r="C838" s="1776"/>
      <c r="D838" s="1732"/>
      <c r="E838" s="1732"/>
      <c r="F838" s="1732"/>
      <c r="G838" s="1732"/>
      <c r="H838" s="1732"/>
      <c r="I838" s="1732"/>
      <c r="J838" s="1732"/>
      <c r="K838" s="1732"/>
      <c r="L838" s="1732"/>
      <c r="M838" s="1732"/>
      <c r="N838" s="1732"/>
      <c r="O838" s="1732"/>
      <c r="P838" s="1732"/>
      <c r="Q838" s="1732"/>
      <c r="R838" s="1732"/>
      <c r="S838" s="1732"/>
      <c r="T838" s="1732"/>
      <c r="U838" s="1732"/>
      <c r="V838" s="1732"/>
      <c r="W838" s="1732"/>
      <c r="X838" s="1732"/>
      <c r="Y838" s="1732"/>
      <c r="Z838" s="1732"/>
    </row>
    <row r="839" spans="1:26" ht="18" customHeight="1">
      <c r="A839" s="1732"/>
      <c r="B839" s="1732"/>
      <c r="C839" s="1776"/>
      <c r="D839" s="1732"/>
      <c r="E839" s="1732"/>
      <c r="F839" s="1732"/>
      <c r="G839" s="1732"/>
      <c r="H839" s="1732"/>
      <c r="I839" s="1732"/>
      <c r="J839" s="1732"/>
      <c r="K839" s="1732"/>
      <c r="L839" s="1732"/>
      <c r="M839" s="1732"/>
      <c r="N839" s="1732"/>
      <c r="O839" s="1732"/>
      <c r="P839" s="1732"/>
      <c r="Q839" s="1732"/>
      <c r="R839" s="1732"/>
      <c r="S839" s="1732"/>
      <c r="T839" s="1732"/>
      <c r="U839" s="1732"/>
      <c r="V839" s="1732"/>
      <c r="W839" s="1732"/>
      <c r="X839" s="1732"/>
      <c r="Y839" s="1732"/>
      <c r="Z839" s="1732"/>
    </row>
    <row r="840" spans="1:26" ht="18" customHeight="1">
      <c r="A840" s="1732"/>
      <c r="B840" s="1732"/>
      <c r="C840" s="1776"/>
      <c r="D840" s="1732"/>
      <c r="E840" s="1732"/>
      <c r="F840" s="1732"/>
      <c r="G840" s="1732"/>
      <c r="H840" s="1732"/>
      <c r="I840" s="1732"/>
      <c r="J840" s="1732"/>
      <c r="K840" s="1732"/>
      <c r="L840" s="1732"/>
      <c r="M840" s="1732"/>
      <c r="N840" s="1732"/>
      <c r="O840" s="1732"/>
      <c r="P840" s="1732"/>
      <c r="Q840" s="1732"/>
      <c r="R840" s="1732"/>
      <c r="S840" s="1732"/>
      <c r="T840" s="1732"/>
      <c r="U840" s="1732"/>
      <c r="V840" s="1732"/>
      <c r="W840" s="1732"/>
      <c r="X840" s="1732"/>
      <c r="Y840" s="1732"/>
      <c r="Z840" s="1732"/>
    </row>
    <row r="841" spans="1:26" ht="18" customHeight="1">
      <c r="A841" s="1732"/>
      <c r="B841" s="1732"/>
      <c r="C841" s="1776"/>
      <c r="D841" s="1732"/>
      <c r="E841" s="1732"/>
      <c r="F841" s="1732"/>
      <c r="G841" s="1732"/>
      <c r="H841" s="1732"/>
      <c r="I841" s="1732"/>
      <c r="J841" s="1732"/>
      <c r="K841" s="1732"/>
      <c r="L841" s="1732"/>
      <c r="M841" s="1732"/>
      <c r="N841" s="1732"/>
      <c r="O841" s="1732"/>
      <c r="P841" s="1732"/>
      <c r="Q841" s="1732"/>
      <c r="R841" s="1732"/>
      <c r="S841" s="1732"/>
      <c r="T841" s="1732"/>
      <c r="U841" s="1732"/>
      <c r="V841" s="1732"/>
      <c r="W841" s="1732"/>
      <c r="X841" s="1732"/>
      <c r="Y841" s="1732"/>
      <c r="Z841" s="1732"/>
    </row>
    <row r="842" spans="1:26" ht="18" customHeight="1">
      <c r="A842" s="1732"/>
      <c r="B842" s="1732"/>
      <c r="C842" s="1776"/>
      <c r="D842" s="1732"/>
      <c r="E842" s="1732"/>
      <c r="F842" s="1732"/>
      <c r="G842" s="1732"/>
      <c r="H842" s="1732"/>
      <c r="I842" s="1732"/>
      <c r="J842" s="1732"/>
      <c r="K842" s="1732"/>
      <c r="L842" s="1732"/>
      <c r="M842" s="1732"/>
      <c r="N842" s="1732"/>
      <c r="O842" s="1732"/>
      <c r="P842" s="1732"/>
      <c r="Q842" s="1732"/>
      <c r="R842" s="1732"/>
      <c r="S842" s="1732"/>
      <c r="T842" s="1732"/>
      <c r="U842" s="1732"/>
      <c r="V842" s="1732"/>
      <c r="W842" s="1732"/>
      <c r="X842" s="1732"/>
      <c r="Y842" s="1732"/>
      <c r="Z842" s="1732"/>
    </row>
    <row r="843" spans="1:26" ht="18" customHeight="1">
      <c r="A843" s="1732"/>
      <c r="B843" s="1732"/>
      <c r="C843" s="1776"/>
      <c r="D843" s="1732"/>
      <c r="E843" s="1732"/>
      <c r="F843" s="1732"/>
      <c r="G843" s="1732"/>
      <c r="H843" s="1732"/>
      <c r="I843" s="1732"/>
      <c r="J843" s="1732"/>
      <c r="K843" s="1732"/>
      <c r="L843" s="1732"/>
      <c r="M843" s="1732"/>
      <c r="N843" s="1732"/>
      <c r="O843" s="1732"/>
      <c r="P843" s="1732"/>
      <c r="Q843" s="1732"/>
      <c r="R843" s="1732"/>
      <c r="S843" s="1732"/>
      <c r="T843" s="1732"/>
      <c r="U843" s="1732"/>
      <c r="V843" s="1732"/>
      <c r="W843" s="1732"/>
      <c r="X843" s="1732"/>
      <c r="Y843" s="1732"/>
      <c r="Z843" s="1732"/>
    </row>
    <row r="844" spans="1:26" ht="18" customHeight="1">
      <c r="A844" s="1732"/>
      <c r="B844" s="1732"/>
      <c r="C844" s="1776"/>
      <c r="D844" s="1732"/>
      <c r="E844" s="1732"/>
      <c r="F844" s="1732"/>
      <c r="G844" s="1732"/>
      <c r="H844" s="1732"/>
      <c r="I844" s="1732"/>
      <c r="J844" s="1732"/>
      <c r="K844" s="1732"/>
      <c r="L844" s="1732"/>
      <c r="M844" s="1732"/>
      <c r="N844" s="1732"/>
      <c r="O844" s="1732"/>
      <c r="P844" s="1732"/>
      <c r="Q844" s="1732"/>
      <c r="R844" s="1732"/>
      <c r="S844" s="1732"/>
      <c r="T844" s="1732"/>
      <c r="U844" s="1732"/>
      <c r="V844" s="1732"/>
      <c r="W844" s="1732"/>
      <c r="X844" s="1732"/>
      <c r="Y844" s="1732"/>
      <c r="Z844" s="1732"/>
    </row>
    <row r="845" spans="1:26" ht="18" customHeight="1">
      <c r="A845" s="1732"/>
      <c r="B845" s="1732"/>
      <c r="C845" s="1776"/>
      <c r="D845" s="1732"/>
      <c r="E845" s="1732"/>
      <c r="F845" s="1732"/>
      <c r="G845" s="1732"/>
      <c r="H845" s="1732"/>
      <c r="I845" s="1732"/>
      <c r="J845" s="1732"/>
      <c r="K845" s="1732"/>
      <c r="L845" s="1732"/>
      <c r="M845" s="1732"/>
      <c r="N845" s="1732"/>
      <c r="O845" s="1732"/>
      <c r="P845" s="1732"/>
      <c r="Q845" s="1732"/>
      <c r="R845" s="1732"/>
      <c r="S845" s="1732"/>
      <c r="T845" s="1732"/>
      <c r="U845" s="1732"/>
      <c r="V845" s="1732"/>
      <c r="W845" s="1732"/>
      <c r="X845" s="1732"/>
      <c r="Y845" s="1732"/>
      <c r="Z845" s="1732"/>
    </row>
    <row r="846" spans="1:26" ht="18" customHeight="1">
      <c r="A846" s="1732"/>
      <c r="B846" s="1732"/>
      <c r="C846" s="1776"/>
      <c r="D846" s="1732"/>
      <c r="E846" s="1732"/>
      <c r="F846" s="1732"/>
      <c r="G846" s="1732"/>
      <c r="H846" s="1732"/>
      <c r="I846" s="1732"/>
      <c r="J846" s="1732"/>
      <c r="K846" s="1732"/>
      <c r="L846" s="1732"/>
      <c r="M846" s="1732"/>
      <c r="N846" s="1732"/>
      <c r="O846" s="1732"/>
      <c r="P846" s="1732"/>
      <c r="Q846" s="1732"/>
      <c r="R846" s="1732"/>
      <c r="S846" s="1732"/>
      <c r="T846" s="1732"/>
      <c r="U846" s="1732"/>
      <c r="V846" s="1732"/>
      <c r="W846" s="1732"/>
      <c r="X846" s="1732"/>
      <c r="Y846" s="1732"/>
      <c r="Z846" s="1732"/>
    </row>
    <row r="847" spans="1:26" ht="18" customHeight="1">
      <c r="A847" s="1732"/>
      <c r="B847" s="1732"/>
      <c r="C847" s="1776"/>
      <c r="D847" s="1732"/>
      <c r="E847" s="1732"/>
      <c r="F847" s="1732"/>
      <c r="G847" s="1732"/>
      <c r="H847" s="1732"/>
      <c r="I847" s="1732"/>
      <c r="J847" s="1732"/>
      <c r="K847" s="1732"/>
      <c r="L847" s="1732"/>
      <c r="M847" s="1732"/>
      <c r="N847" s="1732"/>
      <c r="O847" s="1732"/>
      <c r="P847" s="1732"/>
      <c r="Q847" s="1732"/>
      <c r="R847" s="1732"/>
      <c r="S847" s="1732"/>
      <c r="T847" s="1732"/>
      <c r="U847" s="1732"/>
      <c r="V847" s="1732"/>
      <c r="W847" s="1732"/>
      <c r="X847" s="1732"/>
      <c r="Y847" s="1732"/>
      <c r="Z847" s="1732"/>
    </row>
    <row r="848" spans="1:26" ht="18" customHeight="1">
      <c r="A848" s="1732"/>
      <c r="B848" s="1732"/>
      <c r="C848" s="1776"/>
      <c r="D848" s="1732"/>
      <c r="E848" s="1732"/>
      <c r="F848" s="1732"/>
      <c r="G848" s="1732"/>
      <c r="H848" s="1732"/>
      <c r="I848" s="1732"/>
      <c r="J848" s="1732"/>
      <c r="K848" s="1732"/>
      <c r="L848" s="1732"/>
      <c r="M848" s="1732"/>
      <c r="N848" s="1732"/>
      <c r="O848" s="1732"/>
      <c r="P848" s="1732"/>
      <c r="Q848" s="1732"/>
      <c r="R848" s="1732"/>
      <c r="S848" s="1732"/>
      <c r="T848" s="1732"/>
      <c r="U848" s="1732"/>
      <c r="V848" s="1732"/>
      <c r="W848" s="1732"/>
      <c r="X848" s="1732"/>
      <c r="Y848" s="1732"/>
      <c r="Z848" s="1732"/>
    </row>
    <row r="849" spans="1:26" ht="18" customHeight="1">
      <c r="A849" s="1732"/>
      <c r="B849" s="1732"/>
      <c r="C849" s="1776"/>
      <c r="D849" s="1732"/>
      <c r="E849" s="1732"/>
      <c r="F849" s="1732"/>
      <c r="G849" s="1732"/>
      <c r="H849" s="1732"/>
      <c r="I849" s="1732"/>
      <c r="J849" s="1732"/>
      <c r="K849" s="1732"/>
      <c r="L849" s="1732"/>
      <c r="M849" s="1732"/>
      <c r="N849" s="1732"/>
      <c r="O849" s="1732"/>
      <c r="P849" s="1732"/>
      <c r="Q849" s="1732"/>
      <c r="R849" s="1732"/>
      <c r="S849" s="1732"/>
      <c r="T849" s="1732"/>
      <c r="U849" s="1732"/>
      <c r="V849" s="1732"/>
      <c r="W849" s="1732"/>
      <c r="X849" s="1732"/>
      <c r="Y849" s="1732"/>
      <c r="Z849" s="1732"/>
    </row>
    <row r="850" spans="1:26" ht="18" customHeight="1">
      <c r="A850" s="1732"/>
      <c r="B850" s="1732"/>
      <c r="C850" s="1776"/>
      <c r="D850" s="1732"/>
      <c r="E850" s="1732"/>
      <c r="F850" s="1732"/>
      <c r="G850" s="1732"/>
      <c r="H850" s="1732"/>
      <c r="I850" s="1732"/>
      <c r="J850" s="1732"/>
      <c r="K850" s="1732"/>
      <c r="L850" s="1732"/>
      <c r="M850" s="1732"/>
      <c r="N850" s="1732"/>
      <c r="O850" s="1732"/>
      <c r="P850" s="1732"/>
      <c r="Q850" s="1732"/>
      <c r="R850" s="1732"/>
      <c r="S850" s="1732"/>
      <c r="T850" s="1732"/>
      <c r="U850" s="1732"/>
      <c r="V850" s="1732"/>
      <c r="W850" s="1732"/>
      <c r="X850" s="1732"/>
      <c r="Y850" s="1732"/>
      <c r="Z850" s="1732"/>
    </row>
    <row r="851" spans="1:26" ht="18" customHeight="1">
      <c r="A851" s="1732"/>
      <c r="B851" s="1732"/>
      <c r="C851" s="1776"/>
      <c r="D851" s="1732"/>
      <c r="E851" s="1732"/>
      <c r="F851" s="1732"/>
      <c r="G851" s="1732"/>
      <c r="H851" s="1732"/>
      <c r="I851" s="1732"/>
      <c r="J851" s="1732"/>
      <c r="K851" s="1732"/>
      <c r="L851" s="1732"/>
      <c r="M851" s="1732"/>
      <c r="N851" s="1732"/>
      <c r="O851" s="1732"/>
      <c r="P851" s="1732"/>
      <c r="Q851" s="1732"/>
      <c r="R851" s="1732"/>
      <c r="S851" s="1732"/>
      <c r="T851" s="1732"/>
      <c r="U851" s="1732"/>
      <c r="V851" s="1732"/>
      <c r="W851" s="1732"/>
      <c r="X851" s="1732"/>
      <c r="Y851" s="1732"/>
      <c r="Z851" s="1732"/>
    </row>
    <row r="852" spans="1:26" ht="18" customHeight="1">
      <c r="A852" s="1732"/>
      <c r="B852" s="1732"/>
      <c r="C852" s="1776"/>
      <c r="D852" s="1732"/>
      <c r="E852" s="1732"/>
      <c r="F852" s="1732"/>
      <c r="G852" s="1732"/>
      <c r="H852" s="1732"/>
      <c r="I852" s="1732"/>
      <c r="J852" s="1732"/>
      <c r="K852" s="1732"/>
      <c r="L852" s="1732"/>
      <c r="M852" s="1732"/>
      <c r="N852" s="1732"/>
      <c r="O852" s="1732"/>
      <c r="P852" s="1732"/>
      <c r="Q852" s="1732"/>
      <c r="R852" s="1732"/>
      <c r="S852" s="1732"/>
      <c r="T852" s="1732"/>
      <c r="U852" s="1732"/>
      <c r="V852" s="1732"/>
      <c r="W852" s="1732"/>
      <c r="X852" s="1732"/>
      <c r="Y852" s="1732"/>
      <c r="Z852" s="1732"/>
    </row>
    <row r="853" spans="1:26" ht="18" customHeight="1">
      <c r="A853" s="1732"/>
      <c r="B853" s="1732"/>
      <c r="C853" s="1776"/>
      <c r="D853" s="1732"/>
      <c r="E853" s="1732"/>
      <c r="F853" s="1732"/>
      <c r="G853" s="1732"/>
      <c r="H853" s="1732"/>
      <c r="I853" s="1732"/>
      <c r="J853" s="1732"/>
      <c r="K853" s="1732"/>
      <c r="L853" s="1732"/>
      <c r="M853" s="1732"/>
      <c r="N853" s="1732"/>
      <c r="O853" s="1732"/>
      <c r="P853" s="1732"/>
      <c r="Q853" s="1732"/>
      <c r="R853" s="1732"/>
      <c r="S853" s="1732"/>
      <c r="T853" s="1732"/>
      <c r="U853" s="1732"/>
      <c r="V853" s="1732"/>
      <c r="W853" s="1732"/>
      <c r="X853" s="1732"/>
      <c r="Y853" s="1732"/>
      <c r="Z853" s="1732"/>
    </row>
    <row r="854" spans="1:26" ht="18" customHeight="1">
      <c r="A854" s="1732"/>
      <c r="B854" s="1732"/>
      <c r="C854" s="1776"/>
      <c r="D854" s="1732"/>
      <c r="E854" s="1732"/>
      <c r="F854" s="1732"/>
      <c r="G854" s="1732"/>
      <c r="H854" s="1732"/>
      <c r="I854" s="1732"/>
      <c r="J854" s="1732"/>
      <c r="K854" s="1732"/>
      <c r="L854" s="1732"/>
      <c r="M854" s="1732"/>
      <c r="N854" s="1732"/>
      <c r="O854" s="1732"/>
      <c r="P854" s="1732"/>
      <c r="Q854" s="1732"/>
      <c r="R854" s="1732"/>
      <c r="S854" s="1732"/>
      <c r="T854" s="1732"/>
      <c r="U854" s="1732"/>
      <c r="V854" s="1732"/>
      <c r="W854" s="1732"/>
      <c r="X854" s="1732"/>
      <c r="Y854" s="1732"/>
      <c r="Z854" s="1732"/>
    </row>
    <row r="855" spans="1:26" ht="18" customHeight="1">
      <c r="A855" s="1732"/>
      <c r="B855" s="1732"/>
      <c r="C855" s="1776"/>
      <c r="D855" s="1732"/>
      <c r="E855" s="1732"/>
      <c r="F855" s="1732"/>
      <c r="G855" s="1732"/>
      <c r="H855" s="1732"/>
      <c r="I855" s="1732"/>
      <c r="J855" s="1732"/>
      <c r="K855" s="1732"/>
      <c r="L855" s="1732"/>
      <c r="M855" s="1732"/>
      <c r="N855" s="1732"/>
      <c r="O855" s="1732"/>
      <c r="P855" s="1732"/>
      <c r="Q855" s="1732"/>
      <c r="R855" s="1732"/>
      <c r="S855" s="1732"/>
      <c r="T855" s="1732"/>
      <c r="U855" s="1732"/>
      <c r="V855" s="1732"/>
      <c r="W855" s="1732"/>
      <c r="X855" s="1732"/>
      <c r="Y855" s="1732"/>
      <c r="Z855" s="1732"/>
    </row>
    <row r="856" spans="1:26" ht="18" customHeight="1">
      <c r="A856" s="1732"/>
      <c r="B856" s="1732"/>
      <c r="C856" s="1776"/>
      <c r="D856" s="1732"/>
      <c r="E856" s="1732"/>
      <c r="F856" s="1732"/>
      <c r="G856" s="1732"/>
      <c r="H856" s="1732"/>
      <c r="I856" s="1732"/>
      <c r="J856" s="1732"/>
      <c r="K856" s="1732"/>
      <c r="L856" s="1732"/>
      <c r="M856" s="1732"/>
      <c r="N856" s="1732"/>
      <c r="O856" s="1732"/>
      <c r="P856" s="1732"/>
      <c r="Q856" s="1732"/>
      <c r="R856" s="1732"/>
      <c r="S856" s="1732"/>
      <c r="T856" s="1732"/>
      <c r="U856" s="1732"/>
      <c r="V856" s="1732"/>
      <c r="W856" s="1732"/>
      <c r="X856" s="1732"/>
      <c r="Y856" s="1732"/>
      <c r="Z856" s="1732"/>
    </row>
    <row r="857" spans="1:26" ht="18" customHeight="1">
      <c r="A857" s="1732"/>
      <c r="B857" s="1732"/>
      <c r="C857" s="1776"/>
      <c r="D857" s="1732"/>
      <c r="E857" s="1732"/>
      <c r="F857" s="1732"/>
      <c r="G857" s="1732"/>
      <c r="H857" s="1732"/>
      <c r="I857" s="1732"/>
      <c r="J857" s="1732"/>
      <c r="K857" s="1732"/>
      <c r="L857" s="1732"/>
      <c r="M857" s="1732"/>
      <c r="N857" s="1732"/>
      <c r="O857" s="1732"/>
      <c r="P857" s="1732"/>
      <c r="Q857" s="1732"/>
      <c r="R857" s="1732"/>
      <c r="S857" s="1732"/>
      <c r="T857" s="1732"/>
      <c r="U857" s="1732"/>
      <c r="V857" s="1732"/>
      <c r="W857" s="1732"/>
      <c r="X857" s="1732"/>
      <c r="Y857" s="1732"/>
      <c r="Z857" s="1732"/>
    </row>
    <row r="858" spans="1:26" ht="18" customHeight="1">
      <c r="A858" s="1732"/>
      <c r="B858" s="1732"/>
      <c r="C858" s="1776"/>
      <c r="D858" s="1732"/>
      <c r="E858" s="1732"/>
      <c r="F858" s="1732"/>
      <c r="G858" s="1732"/>
      <c r="H858" s="1732"/>
      <c r="I858" s="1732"/>
      <c r="J858" s="1732"/>
      <c r="K858" s="1732"/>
      <c r="L858" s="1732"/>
      <c r="M858" s="1732"/>
      <c r="N858" s="1732"/>
      <c r="O858" s="1732"/>
      <c r="P858" s="1732"/>
      <c r="Q858" s="1732"/>
      <c r="R858" s="1732"/>
      <c r="S858" s="1732"/>
      <c r="T858" s="1732"/>
      <c r="U858" s="1732"/>
      <c r="V858" s="1732"/>
      <c r="W858" s="1732"/>
      <c r="X858" s="1732"/>
      <c r="Y858" s="1732"/>
      <c r="Z858" s="1732"/>
    </row>
    <row r="859" spans="1:26" ht="18" customHeight="1">
      <c r="A859" s="1732"/>
      <c r="B859" s="1732"/>
      <c r="C859" s="1776"/>
      <c r="D859" s="1732"/>
      <c r="E859" s="1732"/>
      <c r="F859" s="1732"/>
      <c r="G859" s="1732"/>
      <c r="H859" s="1732"/>
      <c r="I859" s="1732"/>
      <c r="J859" s="1732"/>
      <c r="K859" s="1732"/>
      <c r="L859" s="1732"/>
      <c r="M859" s="1732"/>
      <c r="N859" s="1732"/>
      <c r="O859" s="1732"/>
      <c r="P859" s="1732"/>
      <c r="Q859" s="1732"/>
      <c r="R859" s="1732"/>
      <c r="S859" s="1732"/>
      <c r="T859" s="1732"/>
      <c r="U859" s="1732"/>
      <c r="V859" s="1732"/>
      <c r="W859" s="1732"/>
      <c r="X859" s="1732"/>
      <c r="Y859" s="1732"/>
      <c r="Z859" s="1732"/>
    </row>
    <row r="860" spans="1:26" ht="18" customHeight="1">
      <c r="A860" s="1732"/>
      <c r="B860" s="1732"/>
      <c r="C860" s="1776"/>
      <c r="D860" s="1732"/>
      <c r="E860" s="1732"/>
      <c r="F860" s="1732"/>
      <c r="G860" s="1732"/>
      <c r="H860" s="1732"/>
      <c r="I860" s="1732"/>
      <c r="J860" s="1732"/>
      <c r="K860" s="1732"/>
      <c r="L860" s="1732"/>
      <c r="M860" s="1732"/>
      <c r="N860" s="1732"/>
      <c r="O860" s="1732"/>
      <c r="P860" s="1732"/>
      <c r="Q860" s="1732"/>
      <c r="R860" s="1732"/>
      <c r="S860" s="1732"/>
      <c r="T860" s="1732"/>
      <c r="U860" s="1732"/>
      <c r="V860" s="1732"/>
      <c r="W860" s="1732"/>
      <c r="X860" s="1732"/>
      <c r="Y860" s="1732"/>
      <c r="Z860" s="1732"/>
    </row>
    <row r="861" spans="1:26" ht="18" customHeight="1">
      <c r="A861" s="1732"/>
      <c r="B861" s="1732"/>
      <c r="C861" s="1776"/>
      <c r="D861" s="1732"/>
      <c r="E861" s="1732"/>
      <c r="F861" s="1732"/>
      <c r="G861" s="1732"/>
      <c r="H861" s="1732"/>
      <c r="I861" s="1732"/>
      <c r="J861" s="1732"/>
      <c r="K861" s="1732"/>
      <c r="L861" s="1732"/>
      <c r="M861" s="1732"/>
      <c r="N861" s="1732"/>
      <c r="O861" s="1732"/>
      <c r="P861" s="1732"/>
      <c r="Q861" s="1732"/>
      <c r="R861" s="1732"/>
      <c r="S861" s="1732"/>
      <c r="T861" s="1732"/>
      <c r="U861" s="1732"/>
      <c r="V861" s="1732"/>
      <c r="W861" s="1732"/>
      <c r="X861" s="1732"/>
      <c r="Y861" s="1732"/>
      <c r="Z861" s="1732"/>
    </row>
    <row r="862" spans="1:26" ht="18" customHeight="1">
      <c r="A862" s="1732"/>
      <c r="B862" s="1732"/>
      <c r="C862" s="1776"/>
      <c r="D862" s="1732"/>
      <c r="E862" s="1732"/>
      <c r="F862" s="1732"/>
      <c r="G862" s="1732"/>
      <c r="H862" s="1732"/>
      <c r="I862" s="1732"/>
      <c r="J862" s="1732"/>
      <c r="K862" s="1732"/>
      <c r="L862" s="1732"/>
      <c r="M862" s="1732"/>
      <c r="N862" s="1732"/>
      <c r="O862" s="1732"/>
      <c r="P862" s="1732"/>
      <c r="Q862" s="1732"/>
      <c r="R862" s="1732"/>
      <c r="S862" s="1732"/>
      <c r="T862" s="1732"/>
      <c r="U862" s="1732"/>
      <c r="V862" s="1732"/>
      <c r="W862" s="1732"/>
      <c r="X862" s="1732"/>
      <c r="Y862" s="1732"/>
      <c r="Z862" s="1732"/>
    </row>
    <row r="863" spans="1:26" ht="18" customHeight="1">
      <c r="A863" s="1732"/>
      <c r="B863" s="1732"/>
      <c r="C863" s="1776"/>
      <c r="D863" s="1732"/>
      <c r="E863" s="1732"/>
      <c r="F863" s="1732"/>
      <c r="G863" s="1732"/>
      <c r="H863" s="1732"/>
      <c r="I863" s="1732"/>
      <c r="J863" s="1732"/>
      <c r="K863" s="1732"/>
      <c r="L863" s="1732"/>
      <c r="M863" s="1732"/>
      <c r="N863" s="1732"/>
      <c r="O863" s="1732"/>
      <c r="P863" s="1732"/>
      <c r="Q863" s="1732"/>
      <c r="R863" s="1732"/>
      <c r="S863" s="1732"/>
      <c r="T863" s="1732"/>
      <c r="U863" s="1732"/>
      <c r="V863" s="1732"/>
      <c r="W863" s="1732"/>
      <c r="X863" s="1732"/>
      <c r="Y863" s="1732"/>
      <c r="Z863" s="1732"/>
    </row>
    <row r="864" spans="1:26" ht="18" customHeight="1">
      <c r="A864" s="1732"/>
      <c r="B864" s="1732"/>
      <c r="C864" s="1776"/>
      <c r="D864" s="1732"/>
      <c r="E864" s="1732"/>
      <c r="F864" s="1732"/>
      <c r="G864" s="1732"/>
      <c r="H864" s="1732"/>
      <c r="I864" s="1732"/>
      <c r="J864" s="1732"/>
      <c r="K864" s="1732"/>
      <c r="L864" s="1732"/>
      <c r="M864" s="1732"/>
      <c r="N864" s="1732"/>
      <c r="O864" s="1732"/>
      <c r="P864" s="1732"/>
      <c r="Q864" s="1732"/>
      <c r="R864" s="1732"/>
      <c r="S864" s="1732"/>
      <c r="T864" s="1732"/>
      <c r="U864" s="1732"/>
      <c r="V864" s="1732"/>
      <c r="W864" s="1732"/>
      <c r="X864" s="1732"/>
      <c r="Y864" s="1732"/>
      <c r="Z864" s="1732"/>
    </row>
    <row r="865" spans="1:26" ht="18" customHeight="1">
      <c r="A865" s="1732"/>
      <c r="B865" s="1732"/>
      <c r="C865" s="1776"/>
      <c r="D865" s="1732"/>
      <c r="E865" s="1732"/>
      <c r="F865" s="1732"/>
      <c r="G865" s="1732"/>
      <c r="H865" s="1732"/>
      <c r="I865" s="1732"/>
      <c r="J865" s="1732"/>
      <c r="K865" s="1732"/>
      <c r="L865" s="1732"/>
      <c r="M865" s="1732"/>
      <c r="N865" s="1732"/>
      <c r="O865" s="1732"/>
      <c r="P865" s="1732"/>
      <c r="Q865" s="1732"/>
      <c r="R865" s="1732"/>
      <c r="S865" s="1732"/>
      <c r="T865" s="1732"/>
      <c r="U865" s="1732"/>
      <c r="V865" s="1732"/>
      <c r="W865" s="1732"/>
      <c r="X865" s="1732"/>
      <c r="Y865" s="1732"/>
      <c r="Z865" s="1732"/>
    </row>
    <row r="866" spans="1:26" ht="18" customHeight="1">
      <c r="A866" s="1732"/>
      <c r="B866" s="1732"/>
      <c r="C866" s="1776"/>
      <c r="D866" s="1732"/>
      <c r="E866" s="1732"/>
      <c r="F866" s="1732"/>
      <c r="G866" s="1732"/>
      <c r="H866" s="1732"/>
      <c r="I866" s="1732"/>
      <c r="J866" s="1732"/>
      <c r="K866" s="1732"/>
      <c r="L866" s="1732"/>
      <c r="M866" s="1732"/>
      <c r="N866" s="1732"/>
      <c r="O866" s="1732"/>
      <c r="P866" s="1732"/>
      <c r="Q866" s="1732"/>
      <c r="R866" s="1732"/>
      <c r="S866" s="1732"/>
      <c r="T866" s="1732"/>
      <c r="U866" s="1732"/>
      <c r="V866" s="1732"/>
      <c r="W866" s="1732"/>
      <c r="X866" s="1732"/>
      <c r="Y866" s="1732"/>
      <c r="Z866" s="1732"/>
    </row>
    <row r="867" spans="1:26" ht="18" customHeight="1">
      <c r="A867" s="1732"/>
      <c r="B867" s="1732"/>
      <c r="C867" s="1776"/>
      <c r="D867" s="1732"/>
      <c r="E867" s="1732"/>
      <c r="F867" s="1732"/>
      <c r="G867" s="1732"/>
      <c r="H867" s="1732"/>
      <c r="I867" s="1732"/>
      <c r="J867" s="1732"/>
      <c r="K867" s="1732"/>
      <c r="L867" s="1732"/>
      <c r="M867" s="1732"/>
      <c r="N867" s="1732"/>
      <c r="O867" s="1732"/>
      <c r="P867" s="1732"/>
      <c r="Q867" s="1732"/>
      <c r="R867" s="1732"/>
      <c r="S867" s="1732"/>
      <c r="T867" s="1732"/>
      <c r="U867" s="1732"/>
      <c r="V867" s="1732"/>
      <c r="W867" s="1732"/>
      <c r="X867" s="1732"/>
      <c r="Y867" s="1732"/>
      <c r="Z867" s="1732"/>
    </row>
    <row r="868" spans="1:26" ht="18" customHeight="1">
      <c r="A868" s="1732"/>
      <c r="B868" s="1732"/>
      <c r="C868" s="1776"/>
      <c r="D868" s="1732"/>
      <c r="E868" s="1732"/>
      <c r="F868" s="1732"/>
      <c r="G868" s="1732"/>
      <c r="H868" s="1732"/>
      <c r="I868" s="1732"/>
      <c r="J868" s="1732"/>
      <c r="K868" s="1732"/>
      <c r="L868" s="1732"/>
      <c r="M868" s="1732"/>
      <c r="N868" s="1732"/>
      <c r="O868" s="1732"/>
      <c r="P868" s="1732"/>
      <c r="Q868" s="1732"/>
      <c r="R868" s="1732"/>
      <c r="S868" s="1732"/>
      <c r="T868" s="1732"/>
      <c r="U868" s="1732"/>
      <c r="V868" s="1732"/>
      <c r="W868" s="1732"/>
      <c r="X868" s="1732"/>
      <c r="Y868" s="1732"/>
      <c r="Z868" s="1732"/>
    </row>
    <row r="869" spans="1:26" ht="18" customHeight="1">
      <c r="A869" s="1732"/>
      <c r="B869" s="1732"/>
      <c r="C869" s="1776"/>
      <c r="D869" s="1732"/>
      <c r="E869" s="1732"/>
      <c r="F869" s="1732"/>
      <c r="G869" s="1732"/>
      <c r="H869" s="1732"/>
      <c r="I869" s="1732"/>
      <c r="J869" s="1732"/>
      <c r="K869" s="1732"/>
      <c r="L869" s="1732"/>
      <c r="M869" s="1732"/>
      <c r="N869" s="1732"/>
      <c r="O869" s="1732"/>
      <c r="P869" s="1732"/>
      <c r="Q869" s="1732"/>
      <c r="R869" s="1732"/>
      <c r="S869" s="1732"/>
      <c r="T869" s="1732"/>
      <c r="U869" s="1732"/>
      <c r="V869" s="1732"/>
      <c r="W869" s="1732"/>
      <c r="X869" s="1732"/>
      <c r="Y869" s="1732"/>
      <c r="Z869" s="1732"/>
    </row>
    <row r="870" spans="1:26" ht="18" customHeight="1">
      <c r="A870" s="1732"/>
      <c r="B870" s="1732"/>
      <c r="C870" s="1776"/>
      <c r="D870" s="1732"/>
      <c r="E870" s="1732"/>
      <c r="F870" s="1732"/>
      <c r="G870" s="1732"/>
      <c r="H870" s="1732"/>
      <c r="I870" s="1732"/>
      <c r="J870" s="1732"/>
      <c r="K870" s="1732"/>
      <c r="L870" s="1732"/>
      <c r="M870" s="1732"/>
      <c r="N870" s="1732"/>
      <c r="O870" s="1732"/>
      <c r="P870" s="1732"/>
      <c r="Q870" s="1732"/>
      <c r="R870" s="1732"/>
      <c r="S870" s="1732"/>
      <c r="T870" s="1732"/>
      <c r="U870" s="1732"/>
      <c r="V870" s="1732"/>
      <c r="W870" s="1732"/>
      <c r="X870" s="1732"/>
      <c r="Y870" s="1732"/>
      <c r="Z870" s="1732"/>
    </row>
    <row r="871" spans="1:26" ht="18" customHeight="1">
      <c r="A871" s="1732"/>
      <c r="B871" s="1732"/>
      <c r="C871" s="1776"/>
      <c r="D871" s="1732"/>
      <c r="E871" s="1732"/>
      <c r="F871" s="1732"/>
      <c r="G871" s="1732"/>
      <c r="H871" s="1732"/>
      <c r="I871" s="1732"/>
      <c r="J871" s="1732"/>
      <c r="K871" s="1732"/>
      <c r="L871" s="1732"/>
      <c r="M871" s="1732"/>
      <c r="N871" s="1732"/>
      <c r="O871" s="1732"/>
      <c r="P871" s="1732"/>
      <c r="Q871" s="1732"/>
      <c r="R871" s="1732"/>
      <c r="S871" s="1732"/>
      <c r="T871" s="1732"/>
      <c r="U871" s="1732"/>
      <c r="V871" s="1732"/>
      <c r="W871" s="1732"/>
      <c r="X871" s="1732"/>
      <c r="Y871" s="1732"/>
      <c r="Z871" s="1732"/>
    </row>
    <row r="872" spans="1:26" ht="18" customHeight="1">
      <c r="A872" s="1732"/>
      <c r="B872" s="1732"/>
      <c r="C872" s="1776"/>
      <c r="D872" s="1732"/>
      <c r="E872" s="1732"/>
      <c r="F872" s="1732"/>
      <c r="G872" s="1732"/>
      <c r="H872" s="1732"/>
      <c r="I872" s="1732"/>
      <c r="J872" s="1732"/>
      <c r="K872" s="1732"/>
      <c r="L872" s="1732"/>
      <c r="M872" s="1732"/>
      <c r="N872" s="1732"/>
      <c r="O872" s="1732"/>
      <c r="P872" s="1732"/>
      <c r="Q872" s="1732"/>
      <c r="R872" s="1732"/>
      <c r="S872" s="1732"/>
      <c r="T872" s="1732"/>
      <c r="U872" s="1732"/>
      <c r="V872" s="1732"/>
      <c r="W872" s="1732"/>
      <c r="X872" s="1732"/>
      <c r="Y872" s="1732"/>
      <c r="Z872" s="1732"/>
    </row>
    <row r="873" spans="1:26" ht="18" customHeight="1">
      <c r="A873" s="1732"/>
      <c r="B873" s="1732"/>
      <c r="C873" s="1776"/>
      <c r="D873" s="1732"/>
      <c r="E873" s="1732"/>
      <c r="F873" s="1732"/>
      <c r="G873" s="1732"/>
      <c r="H873" s="1732"/>
      <c r="I873" s="1732"/>
      <c r="J873" s="1732"/>
      <c r="K873" s="1732"/>
      <c r="L873" s="1732"/>
      <c r="M873" s="1732"/>
      <c r="N873" s="1732"/>
      <c r="O873" s="1732"/>
      <c r="P873" s="1732"/>
      <c r="Q873" s="1732"/>
      <c r="R873" s="1732"/>
      <c r="S873" s="1732"/>
      <c r="T873" s="1732"/>
      <c r="U873" s="1732"/>
      <c r="V873" s="1732"/>
      <c r="W873" s="1732"/>
      <c r="X873" s="1732"/>
      <c r="Y873" s="1732"/>
      <c r="Z873" s="1732"/>
    </row>
    <row r="874" spans="1:26" ht="18" customHeight="1">
      <c r="A874" s="1732"/>
      <c r="B874" s="1732"/>
      <c r="C874" s="1776"/>
      <c r="D874" s="1732"/>
      <c r="E874" s="1732"/>
      <c r="F874" s="1732"/>
      <c r="G874" s="1732"/>
      <c r="H874" s="1732"/>
      <c r="I874" s="1732"/>
      <c r="J874" s="1732"/>
      <c r="K874" s="1732"/>
      <c r="L874" s="1732"/>
      <c r="M874" s="1732"/>
      <c r="N874" s="1732"/>
      <c r="O874" s="1732"/>
      <c r="P874" s="1732"/>
      <c r="Q874" s="1732"/>
      <c r="R874" s="1732"/>
      <c r="S874" s="1732"/>
      <c r="T874" s="1732"/>
      <c r="U874" s="1732"/>
      <c r="V874" s="1732"/>
      <c r="W874" s="1732"/>
      <c r="X874" s="1732"/>
      <c r="Y874" s="1732"/>
      <c r="Z874" s="1732"/>
    </row>
    <row r="875" spans="1:26" ht="18" customHeight="1">
      <c r="A875" s="1732"/>
      <c r="B875" s="1732"/>
      <c r="C875" s="1776"/>
      <c r="D875" s="1732"/>
      <c r="E875" s="1732"/>
      <c r="F875" s="1732"/>
      <c r="G875" s="1732"/>
      <c r="H875" s="1732"/>
      <c r="I875" s="1732"/>
      <c r="J875" s="1732"/>
      <c r="K875" s="1732"/>
      <c r="L875" s="1732"/>
      <c r="M875" s="1732"/>
      <c r="N875" s="1732"/>
      <c r="O875" s="1732"/>
      <c r="P875" s="1732"/>
      <c r="Q875" s="1732"/>
      <c r="R875" s="1732"/>
      <c r="S875" s="1732"/>
      <c r="T875" s="1732"/>
      <c r="U875" s="1732"/>
      <c r="V875" s="1732"/>
      <c r="W875" s="1732"/>
      <c r="X875" s="1732"/>
      <c r="Y875" s="1732"/>
      <c r="Z875" s="1732"/>
    </row>
    <row r="876" spans="1:26" ht="18" customHeight="1">
      <c r="A876" s="1732"/>
      <c r="B876" s="1732"/>
      <c r="C876" s="1776"/>
      <c r="D876" s="1732"/>
      <c r="E876" s="1732"/>
      <c r="F876" s="1732"/>
      <c r="G876" s="1732"/>
      <c r="H876" s="1732"/>
      <c r="I876" s="1732"/>
      <c r="J876" s="1732"/>
      <c r="K876" s="1732"/>
      <c r="L876" s="1732"/>
      <c r="M876" s="1732"/>
      <c r="N876" s="1732"/>
      <c r="O876" s="1732"/>
      <c r="P876" s="1732"/>
      <c r="Q876" s="1732"/>
      <c r="R876" s="1732"/>
      <c r="S876" s="1732"/>
      <c r="T876" s="1732"/>
      <c r="U876" s="1732"/>
      <c r="V876" s="1732"/>
      <c r="W876" s="1732"/>
      <c r="X876" s="1732"/>
      <c r="Y876" s="1732"/>
      <c r="Z876" s="1732"/>
    </row>
    <row r="877" spans="1:26" ht="18" customHeight="1">
      <c r="A877" s="1732"/>
      <c r="B877" s="1732"/>
      <c r="C877" s="1776"/>
      <c r="D877" s="1732"/>
      <c r="E877" s="1732"/>
      <c r="F877" s="1732"/>
      <c r="G877" s="1732"/>
      <c r="H877" s="1732"/>
      <c r="I877" s="1732"/>
      <c r="J877" s="1732"/>
      <c r="K877" s="1732"/>
      <c r="L877" s="1732"/>
      <c r="M877" s="1732"/>
      <c r="N877" s="1732"/>
      <c r="O877" s="1732"/>
      <c r="P877" s="1732"/>
      <c r="Q877" s="1732"/>
      <c r="R877" s="1732"/>
      <c r="S877" s="1732"/>
      <c r="T877" s="1732"/>
      <c r="U877" s="1732"/>
      <c r="V877" s="1732"/>
      <c r="W877" s="1732"/>
      <c r="X877" s="1732"/>
      <c r="Y877" s="1732"/>
      <c r="Z877" s="1732"/>
    </row>
    <row r="878" spans="1:26" ht="18" customHeight="1">
      <c r="A878" s="1732"/>
      <c r="B878" s="1732"/>
      <c r="C878" s="1776"/>
      <c r="D878" s="1732"/>
      <c r="E878" s="1732"/>
      <c r="F878" s="1732"/>
      <c r="G878" s="1732"/>
      <c r="H878" s="1732"/>
      <c r="I878" s="1732"/>
      <c r="J878" s="1732"/>
      <c r="K878" s="1732"/>
      <c r="L878" s="1732"/>
      <c r="M878" s="1732"/>
      <c r="N878" s="1732"/>
      <c r="O878" s="1732"/>
      <c r="P878" s="1732"/>
      <c r="Q878" s="1732"/>
      <c r="R878" s="1732"/>
      <c r="S878" s="1732"/>
      <c r="T878" s="1732"/>
      <c r="U878" s="1732"/>
      <c r="V878" s="1732"/>
      <c r="W878" s="1732"/>
      <c r="X878" s="1732"/>
      <c r="Y878" s="1732"/>
      <c r="Z878" s="1732"/>
    </row>
    <row r="879" spans="1:26" ht="18" customHeight="1">
      <c r="A879" s="1732"/>
      <c r="B879" s="1732"/>
      <c r="C879" s="1776"/>
      <c r="D879" s="1732"/>
      <c r="E879" s="1732"/>
      <c r="F879" s="1732"/>
      <c r="G879" s="1732"/>
      <c r="H879" s="1732"/>
      <c r="I879" s="1732"/>
      <c r="J879" s="1732"/>
      <c r="K879" s="1732"/>
      <c r="L879" s="1732"/>
      <c r="M879" s="1732"/>
      <c r="N879" s="1732"/>
      <c r="O879" s="1732"/>
      <c r="P879" s="1732"/>
      <c r="Q879" s="1732"/>
      <c r="R879" s="1732"/>
      <c r="S879" s="1732"/>
      <c r="T879" s="1732"/>
      <c r="U879" s="1732"/>
      <c r="V879" s="1732"/>
      <c r="W879" s="1732"/>
      <c r="X879" s="1732"/>
      <c r="Y879" s="1732"/>
      <c r="Z879" s="1732"/>
    </row>
    <row r="880" spans="1:26" ht="18" customHeight="1">
      <c r="A880" s="1732"/>
      <c r="B880" s="1732"/>
      <c r="C880" s="1776"/>
      <c r="D880" s="1732"/>
      <c r="E880" s="1732"/>
      <c r="F880" s="1732"/>
      <c r="G880" s="1732"/>
      <c r="H880" s="1732"/>
      <c r="I880" s="1732"/>
      <c r="J880" s="1732"/>
      <c r="K880" s="1732"/>
      <c r="L880" s="1732"/>
      <c r="M880" s="1732"/>
      <c r="N880" s="1732"/>
      <c r="O880" s="1732"/>
      <c r="P880" s="1732"/>
      <c r="Q880" s="1732"/>
      <c r="R880" s="1732"/>
      <c r="S880" s="1732"/>
      <c r="T880" s="1732"/>
      <c r="U880" s="1732"/>
      <c r="V880" s="1732"/>
      <c r="W880" s="1732"/>
      <c r="X880" s="1732"/>
      <c r="Y880" s="1732"/>
      <c r="Z880" s="1732"/>
    </row>
    <row r="881" spans="1:26" ht="18" customHeight="1">
      <c r="A881" s="1732"/>
      <c r="B881" s="1732"/>
      <c r="C881" s="1776"/>
      <c r="D881" s="1732"/>
      <c r="E881" s="1732"/>
      <c r="F881" s="1732"/>
      <c r="G881" s="1732"/>
      <c r="H881" s="1732"/>
      <c r="I881" s="1732"/>
      <c r="J881" s="1732"/>
      <c r="K881" s="1732"/>
      <c r="L881" s="1732"/>
      <c r="M881" s="1732"/>
      <c r="N881" s="1732"/>
      <c r="O881" s="1732"/>
      <c r="P881" s="1732"/>
      <c r="Q881" s="1732"/>
      <c r="R881" s="1732"/>
      <c r="S881" s="1732"/>
      <c r="T881" s="1732"/>
      <c r="U881" s="1732"/>
      <c r="V881" s="1732"/>
      <c r="W881" s="1732"/>
      <c r="X881" s="1732"/>
      <c r="Y881" s="1732"/>
      <c r="Z881" s="1732"/>
    </row>
    <row r="882" spans="1:26" ht="18" customHeight="1">
      <c r="A882" s="1732"/>
      <c r="B882" s="1732"/>
      <c r="C882" s="1776"/>
      <c r="D882" s="1732"/>
      <c r="E882" s="1732"/>
      <c r="F882" s="1732"/>
      <c r="G882" s="1732"/>
      <c r="H882" s="1732"/>
      <c r="I882" s="1732"/>
      <c r="J882" s="1732"/>
      <c r="K882" s="1732"/>
      <c r="L882" s="1732"/>
      <c r="M882" s="1732"/>
      <c r="N882" s="1732"/>
      <c r="O882" s="1732"/>
      <c r="P882" s="1732"/>
      <c r="Q882" s="1732"/>
      <c r="R882" s="1732"/>
      <c r="S882" s="1732"/>
      <c r="T882" s="1732"/>
      <c r="U882" s="1732"/>
      <c r="V882" s="1732"/>
      <c r="W882" s="1732"/>
      <c r="X882" s="1732"/>
      <c r="Y882" s="1732"/>
      <c r="Z882" s="1732"/>
    </row>
    <row r="883" spans="1:26" ht="18" customHeight="1">
      <c r="A883" s="1732"/>
      <c r="B883" s="1732"/>
      <c r="C883" s="1776"/>
      <c r="D883" s="1732"/>
      <c r="E883" s="1732"/>
      <c r="F883" s="1732"/>
      <c r="G883" s="1732"/>
      <c r="H883" s="1732"/>
      <c r="I883" s="1732"/>
      <c r="J883" s="1732"/>
      <c r="K883" s="1732"/>
      <c r="L883" s="1732"/>
      <c r="M883" s="1732"/>
      <c r="N883" s="1732"/>
      <c r="O883" s="1732"/>
      <c r="P883" s="1732"/>
      <c r="Q883" s="1732"/>
      <c r="R883" s="1732"/>
      <c r="S883" s="1732"/>
      <c r="T883" s="1732"/>
      <c r="U883" s="1732"/>
      <c r="V883" s="1732"/>
      <c r="W883" s="1732"/>
      <c r="X883" s="1732"/>
      <c r="Y883" s="1732"/>
      <c r="Z883" s="1732"/>
    </row>
    <row r="884" spans="1:26" ht="18" customHeight="1">
      <c r="A884" s="1732"/>
      <c r="B884" s="1732"/>
      <c r="C884" s="1776"/>
      <c r="D884" s="1732"/>
      <c r="E884" s="1732"/>
      <c r="F884" s="1732"/>
      <c r="G884" s="1732"/>
      <c r="H884" s="1732"/>
      <c r="I884" s="1732"/>
      <c r="J884" s="1732"/>
      <c r="K884" s="1732"/>
      <c r="L884" s="1732"/>
      <c r="M884" s="1732"/>
      <c r="N884" s="1732"/>
      <c r="O884" s="1732"/>
      <c r="P884" s="1732"/>
      <c r="Q884" s="1732"/>
      <c r="R884" s="1732"/>
      <c r="S884" s="1732"/>
      <c r="T884" s="1732"/>
      <c r="U884" s="1732"/>
      <c r="V884" s="1732"/>
      <c r="W884" s="1732"/>
      <c r="X884" s="1732"/>
      <c r="Y884" s="1732"/>
      <c r="Z884" s="1732"/>
    </row>
    <row r="885" spans="1:26" ht="18" customHeight="1">
      <c r="A885" s="1732"/>
      <c r="B885" s="1732"/>
      <c r="C885" s="1776"/>
      <c r="D885" s="1732"/>
      <c r="E885" s="1732"/>
      <c r="F885" s="1732"/>
      <c r="G885" s="1732"/>
      <c r="H885" s="1732"/>
      <c r="I885" s="1732"/>
      <c r="J885" s="1732"/>
      <c r="K885" s="1732"/>
      <c r="L885" s="1732"/>
      <c r="M885" s="1732"/>
      <c r="N885" s="1732"/>
      <c r="O885" s="1732"/>
      <c r="P885" s="1732"/>
      <c r="Q885" s="1732"/>
      <c r="R885" s="1732"/>
      <c r="S885" s="1732"/>
      <c r="T885" s="1732"/>
      <c r="U885" s="1732"/>
      <c r="V885" s="1732"/>
      <c r="W885" s="1732"/>
      <c r="X885" s="1732"/>
      <c r="Y885" s="1732"/>
      <c r="Z885" s="1732"/>
    </row>
    <row r="886" spans="1:26" ht="18" customHeight="1">
      <c r="A886" s="1732"/>
      <c r="B886" s="1732"/>
      <c r="C886" s="1776"/>
      <c r="D886" s="1732"/>
      <c r="E886" s="1732"/>
      <c r="F886" s="1732"/>
      <c r="G886" s="1732"/>
      <c r="H886" s="1732"/>
      <c r="I886" s="1732"/>
      <c r="J886" s="1732"/>
      <c r="K886" s="1732"/>
      <c r="L886" s="1732"/>
      <c r="M886" s="1732"/>
      <c r="N886" s="1732"/>
      <c r="O886" s="1732"/>
      <c r="P886" s="1732"/>
      <c r="Q886" s="1732"/>
      <c r="R886" s="1732"/>
      <c r="S886" s="1732"/>
      <c r="T886" s="1732"/>
      <c r="U886" s="1732"/>
      <c r="V886" s="1732"/>
      <c r="W886" s="1732"/>
      <c r="X886" s="1732"/>
      <c r="Y886" s="1732"/>
      <c r="Z886" s="1732"/>
    </row>
    <row r="887" spans="1:26" ht="18" customHeight="1">
      <c r="A887" s="1732"/>
      <c r="B887" s="1732"/>
      <c r="C887" s="1776"/>
      <c r="D887" s="1732"/>
      <c r="E887" s="1732"/>
      <c r="F887" s="1732"/>
      <c r="G887" s="1732"/>
      <c r="H887" s="1732"/>
      <c r="I887" s="1732"/>
      <c r="J887" s="1732"/>
      <c r="K887" s="1732"/>
      <c r="L887" s="1732"/>
      <c r="M887" s="1732"/>
      <c r="N887" s="1732"/>
      <c r="O887" s="1732"/>
      <c r="P887" s="1732"/>
      <c r="Q887" s="1732"/>
      <c r="R887" s="1732"/>
      <c r="S887" s="1732"/>
      <c r="T887" s="1732"/>
      <c r="U887" s="1732"/>
      <c r="V887" s="1732"/>
      <c r="W887" s="1732"/>
      <c r="X887" s="1732"/>
      <c r="Y887" s="1732"/>
      <c r="Z887" s="1732"/>
    </row>
    <row r="888" spans="1:26" ht="18" customHeight="1">
      <c r="A888" s="1732"/>
      <c r="B888" s="1732"/>
      <c r="C888" s="1776"/>
      <c r="D888" s="1732"/>
      <c r="E888" s="1732"/>
      <c r="F888" s="1732"/>
      <c r="G888" s="1732"/>
      <c r="H888" s="1732"/>
      <c r="I888" s="1732"/>
      <c r="J888" s="1732"/>
      <c r="K888" s="1732"/>
      <c r="L888" s="1732"/>
      <c r="M888" s="1732"/>
      <c r="N888" s="1732"/>
      <c r="O888" s="1732"/>
      <c r="P888" s="1732"/>
      <c r="Q888" s="1732"/>
      <c r="R888" s="1732"/>
      <c r="S888" s="1732"/>
      <c r="T888" s="1732"/>
      <c r="U888" s="1732"/>
      <c r="V888" s="1732"/>
      <c r="W888" s="1732"/>
      <c r="X888" s="1732"/>
      <c r="Y888" s="1732"/>
      <c r="Z888" s="1732"/>
    </row>
    <row r="889" spans="1:26" ht="18" customHeight="1">
      <c r="A889" s="1732"/>
      <c r="B889" s="1732"/>
      <c r="C889" s="1776"/>
      <c r="D889" s="1732"/>
      <c r="E889" s="1732"/>
      <c r="F889" s="1732"/>
      <c r="G889" s="1732"/>
      <c r="H889" s="1732"/>
      <c r="I889" s="1732"/>
      <c r="J889" s="1732"/>
      <c r="K889" s="1732"/>
      <c r="L889" s="1732"/>
      <c r="M889" s="1732"/>
      <c r="N889" s="1732"/>
      <c r="O889" s="1732"/>
      <c r="P889" s="1732"/>
      <c r="Q889" s="1732"/>
      <c r="R889" s="1732"/>
      <c r="S889" s="1732"/>
      <c r="T889" s="1732"/>
      <c r="U889" s="1732"/>
      <c r="V889" s="1732"/>
      <c r="W889" s="1732"/>
      <c r="X889" s="1732"/>
      <c r="Y889" s="1732"/>
      <c r="Z889" s="1732"/>
    </row>
    <row r="890" spans="1:26" ht="18" customHeight="1">
      <c r="A890" s="1732"/>
      <c r="B890" s="1732"/>
      <c r="C890" s="1776"/>
      <c r="D890" s="1732"/>
      <c r="E890" s="1732"/>
      <c r="F890" s="1732"/>
      <c r="G890" s="1732"/>
      <c r="H890" s="1732"/>
      <c r="I890" s="1732"/>
      <c r="J890" s="1732"/>
      <c r="K890" s="1732"/>
      <c r="L890" s="1732"/>
      <c r="M890" s="1732"/>
      <c r="N890" s="1732"/>
      <c r="O890" s="1732"/>
      <c r="P890" s="1732"/>
      <c r="Q890" s="1732"/>
      <c r="R890" s="1732"/>
      <c r="S890" s="1732"/>
      <c r="T890" s="1732"/>
      <c r="U890" s="1732"/>
      <c r="V890" s="1732"/>
      <c r="W890" s="1732"/>
      <c r="X890" s="1732"/>
      <c r="Y890" s="1732"/>
      <c r="Z890" s="1732"/>
    </row>
    <row r="891" spans="1:26" ht="18" customHeight="1">
      <c r="A891" s="1732"/>
      <c r="B891" s="1732"/>
      <c r="C891" s="1776"/>
      <c r="D891" s="1732"/>
      <c r="E891" s="1732"/>
      <c r="F891" s="1732"/>
      <c r="G891" s="1732"/>
      <c r="H891" s="1732"/>
      <c r="I891" s="1732"/>
      <c r="J891" s="1732"/>
      <c r="K891" s="1732"/>
      <c r="L891" s="1732"/>
      <c r="M891" s="1732"/>
      <c r="N891" s="1732"/>
      <c r="O891" s="1732"/>
      <c r="P891" s="1732"/>
      <c r="Q891" s="1732"/>
      <c r="R891" s="1732"/>
      <c r="S891" s="1732"/>
      <c r="T891" s="1732"/>
      <c r="U891" s="1732"/>
      <c r="V891" s="1732"/>
      <c r="W891" s="1732"/>
      <c r="X891" s="1732"/>
      <c r="Y891" s="1732"/>
      <c r="Z891" s="1732"/>
    </row>
    <row r="892" spans="1:26" ht="18" customHeight="1">
      <c r="A892" s="1732"/>
      <c r="B892" s="1732"/>
      <c r="C892" s="1776"/>
      <c r="D892" s="1732"/>
      <c r="E892" s="1732"/>
      <c r="F892" s="1732"/>
      <c r="G892" s="1732"/>
      <c r="H892" s="1732"/>
      <c r="I892" s="1732"/>
      <c r="J892" s="1732"/>
      <c r="K892" s="1732"/>
      <c r="L892" s="1732"/>
      <c r="M892" s="1732"/>
      <c r="N892" s="1732"/>
      <c r="O892" s="1732"/>
      <c r="P892" s="1732"/>
      <c r="Q892" s="1732"/>
      <c r="R892" s="1732"/>
      <c r="S892" s="1732"/>
      <c r="T892" s="1732"/>
      <c r="U892" s="1732"/>
      <c r="V892" s="1732"/>
      <c r="W892" s="1732"/>
      <c r="X892" s="1732"/>
      <c r="Y892" s="1732"/>
      <c r="Z892" s="1732"/>
    </row>
    <row r="893" spans="1:26" ht="18" customHeight="1">
      <c r="A893" s="1732"/>
      <c r="B893" s="1732"/>
      <c r="C893" s="1776"/>
      <c r="D893" s="1732"/>
      <c r="E893" s="1732"/>
      <c r="F893" s="1732"/>
      <c r="G893" s="1732"/>
      <c r="H893" s="1732"/>
      <c r="I893" s="1732"/>
      <c r="J893" s="1732"/>
      <c r="K893" s="1732"/>
      <c r="L893" s="1732"/>
      <c r="M893" s="1732"/>
      <c r="N893" s="1732"/>
      <c r="O893" s="1732"/>
      <c r="P893" s="1732"/>
      <c r="Q893" s="1732"/>
      <c r="R893" s="1732"/>
      <c r="S893" s="1732"/>
      <c r="T893" s="1732"/>
      <c r="U893" s="1732"/>
      <c r="V893" s="1732"/>
      <c r="W893" s="1732"/>
      <c r="X893" s="1732"/>
      <c r="Y893" s="1732"/>
      <c r="Z893" s="1732"/>
    </row>
    <row r="894" spans="1:26" ht="18" customHeight="1">
      <c r="A894" s="1732"/>
      <c r="B894" s="1732"/>
      <c r="C894" s="1776"/>
      <c r="D894" s="1732"/>
      <c r="E894" s="1732"/>
      <c r="F894" s="1732"/>
      <c r="G894" s="1732"/>
      <c r="H894" s="1732"/>
      <c r="I894" s="1732"/>
      <c r="J894" s="1732"/>
      <c r="K894" s="1732"/>
      <c r="L894" s="1732"/>
      <c r="M894" s="1732"/>
      <c r="N894" s="1732"/>
      <c r="O894" s="1732"/>
      <c r="P894" s="1732"/>
      <c r="Q894" s="1732"/>
      <c r="R894" s="1732"/>
      <c r="S894" s="1732"/>
      <c r="T894" s="1732"/>
      <c r="U894" s="1732"/>
      <c r="V894" s="1732"/>
      <c r="W894" s="1732"/>
      <c r="X894" s="1732"/>
      <c r="Y894" s="1732"/>
      <c r="Z894" s="1732"/>
    </row>
    <row r="895" spans="1:26" ht="18" customHeight="1">
      <c r="A895" s="1732"/>
      <c r="B895" s="1732"/>
      <c r="C895" s="1776"/>
      <c r="D895" s="1732"/>
      <c r="E895" s="1732"/>
      <c r="F895" s="1732"/>
      <c r="G895" s="1732"/>
      <c r="H895" s="1732"/>
      <c r="I895" s="1732"/>
      <c r="J895" s="1732"/>
      <c r="K895" s="1732"/>
      <c r="L895" s="1732"/>
      <c r="M895" s="1732"/>
      <c r="N895" s="1732"/>
      <c r="O895" s="1732"/>
      <c r="P895" s="1732"/>
      <c r="Q895" s="1732"/>
      <c r="R895" s="1732"/>
      <c r="S895" s="1732"/>
      <c r="T895" s="1732"/>
      <c r="U895" s="1732"/>
      <c r="V895" s="1732"/>
      <c r="W895" s="1732"/>
      <c r="X895" s="1732"/>
      <c r="Y895" s="1732"/>
      <c r="Z895" s="1732"/>
    </row>
    <row r="896" spans="1:26" ht="18" customHeight="1">
      <c r="A896" s="1732"/>
      <c r="B896" s="1732"/>
      <c r="C896" s="1776"/>
      <c r="D896" s="1732"/>
      <c r="E896" s="1732"/>
      <c r="F896" s="1732"/>
      <c r="G896" s="1732"/>
      <c r="H896" s="1732"/>
      <c r="I896" s="1732"/>
      <c r="J896" s="1732"/>
      <c r="K896" s="1732"/>
      <c r="L896" s="1732"/>
      <c r="M896" s="1732"/>
      <c r="N896" s="1732"/>
      <c r="O896" s="1732"/>
      <c r="P896" s="1732"/>
      <c r="Q896" s="1732"/>
      <c r="R896" s="1732"/>
      <c r="S896" s="1732"/>
      <c r="T896" s="1732"/>
      <c r="U896" s="1732"/>
      <c r="V896" s="1732"/>
      <c r="W896" s="1732"/>
      <c r="X896" s="1732"/>
      <c r="Y896" s="1732"/>
      <c r="Z896" s="1732"/>
    </row>
    <row r="897" spans="1:26" ht="18" customHeight="1">
      <c r="A897" s="1732"/>
      <c r="B897" s="1732"/>
      <c r="C897" s="1776"/>
      <c r="D897" s="1732"/>
      <c r="E897" s="1732"/>
      <c r="F897" s="1732"/>
      <c r="G897" s="1732"/>
      <c r="H897" s="1732"/>
      <c r="I897" s="1732"/>
      <c r="J897" s="1732"/>
      <c r="K897" s="1732"/>
      <c r="L897" s="1732"/>
      <c r="M897" s="1732"/>
      <c r="N897" s="1732"/>
      <c r="O897" s="1732"/>
      <c r="P897" s="1732"/>
      <c r="Q897" s="1732"/>
      <c r="R897" s="1732"/>
      <c r="S897" s="1732"/>
      <c r="T897" s="1732"/>
      <c r="U897" s="1732"/>
      <c r="V897" s="1732"/>
      <c r="W897" s="1732"/>
      <c r="X897" s="1732"/>
      <c r="Y897" s="1732"/>
      <c r="Z897" s="1732"/>
    </row>
    <row r="898" spans="1:26" ht="18" customHeight="1">
      <c r="A898" s="1732"/>
      <c r="B898" s="1732"/>
      <c r="C898" s="1776"/>
      <c r="D898" s="1732"/>
      <c r="E898" s="1732"/>
      <c r="F898" s="1732"/>
      <c r="G898" s="1732"/>
      <c r="H898" s="1732"/>
      <c r="I898" s="1732"/>
      <c r="J898" s="1732"/>
      <c r="K898" s="1732"/>
      <c r="L898" s="1732"/>
      <c r="M898" s="1732"/>
      <c r="N898" s="1732"/>
      <c r="O898" s="1732"/>
      <c r="P898" s="1732"/>
      <c r="Q898" s="1732"/>
      <c r="R898" s="1732"/>
      <c r="S898" s="1732"/>
      <c r="T898" s="1732"/>
      <c r="U898" s="1732"/>
      <c r="V898" s="1732"/>
      <c r="W898" s="1732"/>
      <c r="X898" s="1732"/>
      <c r="Y898" s="1732"/>
      <c r="Z898" s="1732"/>
    </row>
    <row r="899" spans="1:26" ht="18" customHeight="1">
      <c r="A899" s="1732"/>
      <c r="B899" s="1732"/>
      <c r="C899" s="1776"/>
      <c r="D899" s="1732"/>
      <c r="E899" s="1732"/>
      <c r="F899" s="1732"/>
      <c r="G899" s="1732"/>
      <c r="H899" s="1732"/>
      <c r="I899" s="1732"/>
      <c r="J899" s="1732"/>
      <c r="K899" s="1732"/>
      <c r="L899" s="1732"/>
      <c r="M899" s="1732"/>
      <c r="N899" s="1732"/>
      <c r="O899" s="1732"/>
      <c r="P899" s="1732"/>
      <c r="Q899" s="1732"/>
      <c r="R899" s="1732"/>
      <c r="S899" s="1732"/>
      <c r="T899" s="1732"/>
      <c r="U899" s="1732"/>
      <c r="V899" s="1732"/>
      <c r="W899" s="1732"/>
      <c r="X899" s="1732"/>
      <c r="Y899" s="1732"/>
      <c r="Z899" s="1732"/>
    </row>
    <row r="900" spans="1:26" ht="18" customHeight="1">
      <c r="A900" s="1732"/>
      <c r="B900" s="1732"/>
      <c r="C900" s="1776"/>
      <c r="D900" s="1732"/>
      <c r="E900" s="1732"/>
      <c r="F900" s="1732"/>
      <c r="G900" s="1732"/>
      <c r="H900" s="1732"/>
      <c r="I900" s="1732"/>
      <c r="J900" s="1732"/>
      <c r="K900" s="1732"/>
      <c r="L900" s="1732"/>
      <c r="M900" s="1732"/>
      <c r="N900" s="1732"/>
      <c r="O900" s="1732"/>
      <c r="P900" s="1732"/>
      <c r="Q900" s="1732"/>
      <c r="R900" s="1732"/>
      <c r="S900" s="1732"/>
      <c r="T900" s="1732"/>
      <c r="U900" s="1732"/>
      <c r="V900" s="1732"/>
      <c r="W900" s="1732"/>
      <c r="X900" s="1732"/>
      <c r="Y900" s="1732"/>
      <c r="Z900" s="1732"/>
    </row>
    <row r="901" spans="1:26" ht="18" customHeight="1">
      <c r="A901" s="1732"/>
      <c r="B901" s="1732"/>
      <c r="C901" s="1776"/>
      <c r="D901" s="1732"/>
      <c r="E901" s="1732"/>
      <c r="F901" s="1732"/>
      <c r="G901" s="1732"/>
      <c r="H901" s="1732"/>
      <c r="I901" s="1732"/>
      <c r="J901" s="1732"/>
      <c r="K901" s="1732"/>
      <c r="L901" s="1732"/>
      <c r="M901" s="1732"/>
      <c r="N901" s="1732"/>
      <c r="O901" s="1732"/>
      <c r="P901" s="1732"/>
      <c r="Q901" s="1732"/>
      <c r="R901" s="1732"/>
      <c r="S901" s="1732"/>
      <c r="T901" s="1732"/>
      <c r="U901" s="1732"/>
      <c r="V901" s="1732"/>
      <c r="W901" s="1732"/>
      <c r="X901" s="1732"/>
      <c r="Y901" s="1732"/>
      <c r="Z901" s="1732"/>
    </row>
    <row r="902" spans="1:26" ht="18" customHeight="1">
      <c r="A902" s="1732"/>
      <c r="B902" s="1732"/>
      <c r="C902" s="1776"/>
      <c r="D902" s="1732"/>
      <c r="E902" s="1732"/>
      <c r="F902" s="1732"/>
      <c r="G902" s="1732"/>
      <c r="H902" s="1732"/>
      <c r="I902" s="1732"/>
      <c r="J902" s="1732"/>
      <c r="K902" s="1732"/>
      <c r="L902" s="1732"/>
      <c r="M902" s="1732"/>
      <c r="N902" s="1732"/>
      <c r="O902" s="1732"/>
      <c r="P902" s="1732"/>
      <c r="Q902" s="1732"/>
      <c r="R902" s="1732"/>
      <c r="S902" s="1732"/>
      <c r="T902" s="1732"/>
      <c r="U902" s="1732"/>
      <c r="V902" s="1732"/>
      <c r="W902" s="1732"/>
      <c r="X902" s="1732"/>
      <c r="Y902" s="1732"/>
      <c r="Z902" s="1732"/>
    </row>
    <row r="903" spans="1:26" ht="18" customHeight="1">
      <c r="A903" s="1732"/>
      <c r="B903" s="1732"/>
      <c r="C903" s="1776"/>
      <c r="D903" s="1732"/>
      <c r="E903" s="1732"/>
      <c r="F903" s="1732"/>
      <c r="G903" s="1732"/>
      <c r="H903" s="1732"/>
      <c r="I903" s="1732"/>
      <c r="J903" s="1732"/>
      <c r="K903" s="1732"/>
      <c r="L903" s="1732"/>
      <c r="M903" s="1732"/>
      <c r="N903" s="1732"/>
      <c r="O903" s="1732"/>
      <c r="P903" s="1732"/>
      <c r="Q903" s="1732"/>
      <c r="R903" s="1732"/>
      <c r="S903" s="1732"/>
      <c r="T903" s="1732"/>
      <c r="U903" s="1732"/>
      <c r="V903" s="1732"/>
      <c r="W903" s="1732"/>
      <c r="X903" s="1732"/>
      <c r="Y903" s="1732"/>
      <c r="Z903" s="1732"/>
    </row>
    <row r="904" spans="1:26" ht="18" customHeight="1">
      <c r="A904" s="1732"/>
      <c r="B904" s="1732"/>
      <c r="C904" s="1776"/>
      <c r="D904" s="1732"/>
      <c r="E904" s="1732"/>
      <c r="F904" s="1732"/>
      <c r="G904" s="1732"/>
      <c r="H904" s="1732"/>
      <c r="I904" s="1732"/>
      <c r="J904" s="1732"/>
      <c r="K904" s="1732"/>
      <c r="L904" s="1732"/>
      <c r="M904" s="1732"/>
      <c r="N904" s="1732"/>
      <c r="O904" s="1732"/>
      <c r="P904" s="1732"/>
      <c r="Q904" s="1732"/>
      <c r="R904" s="1732"/>
      <c r="S904" s="1732"/>
      <c r="T904" s="1732"/>
      <c r="U904" s="1732"/>
      <c r="V904" s="1732"/>
      <c r="W904" s="1732"/>
      <c r="X904" s="1732"/>
      <c r="Y904" s="1732"/>
      <c r="Z904" s="1732"/>
    </row>
    <row r="905" spans="1:26" ht="18" customHeight="1">
      <c r="A905" s="1732"/>
      <c r="B905" s="1732"/>
      <c r="C905" s="1776"/>
      <c r="D905" s="1732"/>
      <c r="E905" s="1732"/>
      <c r="F905" s="1732"/>
      <c r="G905" s="1732"/>
      <c r="H905" s="1732"/>
      <c r="I905" s="1732"/>
      <c r="J905" s="1732"/>
      <c r="K905" s="1732"/>
      <c r="L905" s="1732"/>
      <c r="M905" s="1732"/>
      <c r="N905" s="1732"/>
      <c r="O905" s="1732"/>
      <c r="P905" s="1732"/>
      <c r="Q905" s="1732"/>
      <c r="R905" s="1732"/>
      <c r="S905" s="1732"/>
      <c r="T905" s="1732"/>
      <c r="U905" s="1732"/>
      <c r="V905" s="1732"/>
      <c r="W905" s="1732"/>
      <c r="X905" s="1732"/>
      <c r="Y905" s="1732"/>
      <c r="Z905" s="1732"/>
    </row>
    <row r="906" spans="1:26" ht="18" customHeight="1">
      <c r="A906" s="1732"/>
      <c r="B906" s="1732"/>
      <c r="C906" s="1776"/>
      <c r="D906" s="1732"/>
      <c r="E906" s="1732"/>
      <c r="F906" s="1732"/>
      <c r="G906" s="1732"/>
      <c r="H906" s="1732"/>
      <c r="I906" s="1732"/>
      <c r="J906" s="1732"/>
      <c r="K906" s="1732"/>
      <c r="L906" s="1732"/>
      <c r="M906" s="1732"/>
      <c r="N906" s="1732"/>
      <c r="O906" s="1732"/>
      <c r="P906" s="1732"/>
      <c r="Q906" s="1732"/>
      <c r="R906" s="1732"/>
      <c r="S906" s="1732"/>
      <c r="T906" s="1732"/>
      <c r="U906" s="1732"/>
      <c r="V906" s="1732"/>
      <c r="W906" s="1732"/>
      <c r="X906" s="1732"/>
      <c r="Y906" s="1732"/>
      <c r="Z906" s="1732"/>
    </row>
    <row r="907" spans="1:26" ht="18" customHeight="1">
      <c r="A907" s="1732"/>
      <c r="B907" s="1732"/>
      <c r="C907" s="1776"/>
      <c r="D907" s="1732"/>
      <c r="E907" s="1732"/>
      <c r="F907" s="1732"/>
      <c r="G907" s="1732"/>
      <c r="H907" s="1732"/>
      <c r="I907" s="1732"/>
      <c r="J907" s="1732"/>
      <c r="K907" s="1732"/>
      <c r="L907" s="1732"/>
      <c r="M907" s="1732"/>
      <c r="N907" s="1732"/>
      <c r="O907" s="1732"/>
      <c r="P907" s="1732"/>
      <c r="Q907" s="1732"/>
      <c r="R907" s="1732"/>
      <c r="S907" s="1732"/>
      <c r="T907" s="1732"/>
      <c r="U907" s="1732"/>
      <c r="V907" s="1732"/>
      <c r="W907" s="1732"/>
      <c r="X907" s="1732"/>
      <c r="Y907" s="1732"/>
      <c r="Z907" s="1732"/>
    </row>
    <row r="908" spans="1:26" ht="18" customHeight="1">
      <c r="A908" s="1732"/>
      <c r="B908" s="1732"/>
      <c r="C908" s="1776"/>
      <c r="D908" s="1732"/>
      <c r="E908" s="1732"/>
      <c r="F908" s="1732"/>
      <c r="G908" s="1732"/>
      <c r="H908" s="1732"/>
      <c r="I908" s="1732"/>
      <c r="J908" s="1732"/>
      <c r="K908" s="1732"/>
      <c r="L908" s="1732"/>
      <c r="M908" s="1732"/>
      <c r="N908" s="1732"/>
      <c r="O908" s="1732"/>
      <c r="P908" s="1732"/>
      <c r="Q908" s="1732"/>
      <c r="R908" s="1732"/>
      <c r="S908" s="1732"/>
      <c r="T908" s="1732"/>
      <c r="U908" s="1732"/>
      <c r="V908" s="1732"/>
      <c r="W908" s="1732"/>
      <c r="X908" s="1732"/>
      <c r="Y908" s="1732"/>
      <c r="Z908" s="1732"/>
    </row>
    <row r="909" spans="1:26" ht="18" customHeight="1">
      <c r="A909" s="1732"/>
      <c r="B909" s="1732"/>
      <c r="C909" s="1776"/>
      <c r="D909" s="1732"/>
      <c r="E909" s="1732"/>
      <c r="F909" s="1732"/>
      <c r="G909" s="1732"/>
      <c r="H909" s="1732"/>
      <c r="I909" s="1732"/>
      <c r="J909" s="1732"/>
      <c r="K909" s="1732"/>
      <c r="L909" s="1732"/>
      <c r="M909" s="1732"/>
      <c r="N909" s="1732"/>
      <c r="O909" s="1732"/>
      <c r="P909" s="1732"/>
      <c r="Q909" s="1732"/>
      <c r="R909" s="1732"/>
      <c r="S909" s="1732"/>
      <c r="T909" s="1732"/>
      <c r="U909" s="1732"/>
      <c r="V909" s="1732"/>
      <c r="W909" s="1732"/>
      <c r="X909" s="1732"/>
      <c r="Y909" s="1732"/>
      <c r="Z909" s="1732"/>
    </row>
    <row r="910" spans="1:26" ht="18" customHeight="1">
      <c r="A910" s="1732"/>
      <c r="B910" s="1732"/>
      <c r="C910" s="1776"/>
      <c r="D910" s="1732"/>
      <c r="E910" s="1732"/>
      <c r="F910" s="1732"/>
      <c r="G910" s="1732"/>
      <c r="H910" s="1732"/>
      <c r="I910" s="1732"/>
      <c r="J910" s="1732"/>
      <c r="K910" s="1732"/>
      <c r="L910" s="1732"/>
      <c r="M910" s="1732"/>
      <c r="N910" s="1732"/>
      <c r="O910" s="1732"/>
      <c r="P910" s="1732"/>
      <c r="Q910" s="1732"/>
      <c r="R910" s="1732"/>
      <c r="S910" s="1732"/>
      <c r="T910" s="1732"/>
      <c r="U910" s="1732"/>
      <c r="V910" s="1732"/>
      <c r="W910" s="1732"/>
      <c r="X910" s="1732"/>
      <c r="Y910" s="1732"/>
      <c r="Z910" s="1732"/>
    </row>
    <row r="911" spans="1:26" ht="18" customHeight="1">
      <c r="A911" s="1732"/>
      <c r="B911" s="1732"/>
      <c r="C911" s="1776"/>
      <c r="D911" s="1732"/>
      <c r="E911" s="1732"/>
      <c r="F911" s="1732"/>
      <c r="G911" s="1732"/>
      <c r="H911" s="1732"/>
      <c r="I911" s="1732"/>
      <c r="J911" s="1732"/>
      <c r="K911" s="1732"/>
      <c r="L911" s="1732"/>
      <c r="M911" s="1732"/>
      <c r="N911" s="1732"/>
      <c r="O911" s="1732"/>
      <c r="P911" s="1732"/>
      <c r="Q911" s="1732"/>
      <c r="R911" s="1732"/>
      <c r="S911" s="1732"/>
      <c r="T911" s="1732"/>
      <c r="U911" s="1732"/>
      <c r="V911" s="1732"/>
      <c r="W911" s="1732"/>
      <c r="X911" s="1732"/>
      <c r="Y911" s="1732"/>
      <c r="Z911" s="1732"/>
    </row>
    <row r="912" spans="1:26" ht="18" customHeight="1">
      <c r="A912" s="1732"/>
      <c r="B912" s="1732"/>
      <c r="C912" s="1776"/>
      <c r="D912" s="1732"/>
      <c r="E912" s="1732"/>
      <c r="F912" s="1732"/>
      <c r="G912" s="1732"/>
      <c r="H912" s="1732"/>
      <c r="I912" s="1732"/>
      <c r="J912" s="1732"/>
      <c r="K912" s="1732"/>
      <c r="L912" s="1732"/>
      <c r="M912" s="1732"/>
      <c r="N912" s="1732"/>
      <c r="O912" s="1732"/>
      <c r="P912" s="1732"/>
      <c r="Q912" s="1732"/>
      <c r="R912" s="1732"/>
      <c r="S912" s="1732"/>
      <c r="T912" s="1732"/>
      <c r="U912" s="1732"/>
      <c r="V912" s="1732"/>
      <c r="W912" s="1732"/>
      <c r="X912" s="1732"/>
      <c r="Y912" s="1732"/>
      <c r="Z912" s="1732"/>
    </row>
    <row r="913" spans="1:26" ht="18" customHeight="1">
      <c r="A913" s="1732"/>
      <c r="B913" s="1732"/>
      <c r="C913" s="1776"/>
      <c r="D913" s="1732"/>
      <c r="E913" s="1732"/>
      <c r="F913" s="1732"/>
      <c r="G913" s="1732"/>
      <c r="H913" s="1732"/>
      <c r="I913" s="1732"/>
      <c r="J913" s="1732"/>
      <c r="K913" s="1732"/>
      <c r="L913" s="1732"/>
      <c r="M913" s="1732"/>
      <c r="N913" s="1732"/>
      <c r="O913" s="1732"/>
      <c r="P913" s="1732"/>
      <c r="Q913" s="1732"/>
      <c r="R913" s="1732"/>
      <c r="S913" s="1732"/>
      <c r="T913" s="1732"/>
      <c r="U913" s="1732"/>
      <c r="V913" s="1732"/>
      <c r="W913" s="1732"/>
      <c r="X913" s="1732"/>
      <c r="Y913" s="1732"/>
      <c r="Z913" s="1732"/>
    </row>
    <row r="914" spans="1:26" ht="18" customHeight="1">
      <c r="A914" s="1732"/>
      <c r="B914" s="1732"/>
      <c r="C914" s="1776"/>
      <c r="D914" s="1732"/>
      <c r="E914" s="1732"/>
      <c r="F914" s="1732"/>
      <c r="G914" s="1732"/>
      <c r="H914" s="1732"/>
      <c r="I914" s="1732"/>
      <c r="J914" s="1732"/>
      <c r="K914" s="1732"/>
      <c r="L914" s="1732"/>
      <c r="M914" s="1732"/>
      <c r="N914" s="1732"/>
      <c r="O914" s="1732"/>
      <c r="P914" s="1732"/>
      <c r="Q914" s="1732"/>
      <c r="R914" s="1732"/>
      <c r="S914" s="1732"/>
      <c r="T914" s="1732"/>
      <c r="U914" s="1732"/>
      <c r="V914" s="1732"/>
      <c r="W914" s="1732"/>
      <c r="X914" s="1732"/>
      <c r="Y914" s="1732"/>
      <c r="Z914" s="1732"/>
    </row>
    <row r="915" spans="1:26" ht="18" customHeight="1">
      <c r="A915" s="1732"/>
      <c r="B915" s="1732"/>
      <c r="C915" s="1776"/>
      <c r="D915" s="1732"/>
      <c r="E915" s="1732"/>
      <c r="F915" s="1732"/>
      <c r="G915" s="1732"/>
      <c r="H915" s="1732"/>
      <c r="I915" s="1732"/>
      <c r="J915" s="1732"/>
      <c r="K915" s="1732"/>
      <c r="L915" s="1732"/>
      <c r="M915" s="1732"/>
      <c r="N915" s="1732"/>
      <c r="O915" s="1732"/>
      <c r="P915" s="1732"/>
      <c r="Q915" s="1732"/>
      <c r="R915" s="1732"/>
      <c r="S915" s="1732"/>
      <c r="T915" s="1732"/>
      <c r="U915" s="1732"/>
      <c r="V915" s="1732"/>
      <c r="W915" s="1732"/>
      <c r="X915" s="1732"/>
      <c r="Y915" s="1732"/>
      <c r="Z915" s="1732"/>
    </row>
    <row r="916" spans="1:26" ht="18" customHeight="1">
      <c r="A916" s="1732"/>
      <c r="B916" s="1732"/>
      <c r="C916" s="1776"/>
      <c r="D916" s="1732"/>
      <c r="E916" s="1732"/>
      <c r="F916" s="1732"/>
      <c r="G916" s="1732"/>
      <c r="H916" s="1732"/>
      <c r="I916" s="1732"/>
      <c r="J916" s="1732"/>
      <c r="K916" s="1732"/>
      <c r="L916" s="1732"/>
      <c r="M916" s="1732"/>
      <c r="N916" s="1732"/>
      <c r="O916" s="1732"/>
      <c r="P916" s="1732"/>
      <c r="Q916" s="1732"/>
      <c r="R916" s="1732"/>
      <c r="S916" s="1732"/>
      <c r="T916" s="1732"/>
      <c r="U916" s="1732"/>
      <c r="V916" s="1732"/>
      <c r="W916" s="1732"/>
      <c r="X916" s="1732"/>
      <c r="Y916" s="1732"/>
      <c r="Z916" s="1732"/>
    </row>
    <row r="917" spans="1:26" ht="18" customHeight="1">
      <c r="A917" s="1732"/>
      <c r="B917" s="1732"/>
      <c r="C917" s="1776"/>
      <c r="D917" s="1732"/>
      <c r="E917" s="1732"/>
      <c r="F917" s="1732"/>
      <c r="G917" s="1732"/>
      <c r="H917" s="1732"/>
      <c r="I917" s="1732"/>
      <c r="J917" s="1732"/>
      <c r="K917" s="1732"/>
      <c r="L917" s="1732"/>
      <c r="M917" s="1732"/>
      <c r="N917" s="1732"/>
      <c r="O917" s="1732"/>
      <c r="P917" s="1732"/>
      <c r="Q917" s="1732"/>
      <c r="R917" s="1732"/>
      <c r="S917" s="1732"/>
      <c r="T917" s="1732"/>
      <c r="U917" s="1732"/>
      <c r="V917" s="1732"/>
      <c r="W917" s="1732"/>
      <c r="X917" s="1732"/>
      <c r="Y917" s="1732"/>
      <c r="Z917" s="1732"/>
    </row>
    <row r="918" spans="1:26" ht="18" customHeight="1">
      <c r="A918" s="1732"/>
      <c r="B918" s="1732"/>
      <c r="C918" s="1776"/>
      <c r="D918" s="1732"/>
      <c r="E918" s="1732"/>
      <c r="F918" s="1732"/>
      <c r="G918" s="1732"/>
      <c r="H918" s="1732"/>
      <c r="I918" s="1732"/>
      <c r="J918" s="1732"/>
      <c r="K918" s="1732"/>
      <c r="L918" s="1732"/>
      <c r="M918" s="1732"/>
      <c r="N918" s="1732"/>
      <c r="O918" s="1732"/>
      <c r="P918" s="1732"/>
      <c r="Q918" s="1732"/>
      <c r="R918" s="1732"/>
      <c r="S918" s="1732"/>
      <c r="T918" s="1732"/>
      <c r="U918" s="1732"/>
      <c r="V918" s="1732"/>
      <c r="W918" s="1732"/>
      <c r="X918" s="1732"/>
      <c r="Y918" s="1732"/>
      <c r="Z918" s="1732"/>
    </row>
    <row r="919" spans="1:26" ht="18" customHeight="1">
      <c r="A919" s="1732"/>
      <c r="B919" s="1732"/>
      <c r="C919" s="1776"/>
      <c r="D919" s="1732"/>
      <c r="E919" s="1732"/>
      <c r="F919" s="1732"/>
      <c r="G919" s="1732"/>
      <c r="H919" s="1732"/>
      <c r="I919" s="1732"/>
      <c r="J919" s="1732"/>
      <c r="K919" s="1732"/>
      <c r="L919" s="1732"/>
      <c r="M919" s="1732"/>
      <c r="N919" s="1732"/>
      <c r="O919" s="1732"/>
      <c r="P919" s="1732"/>
      <c r="Q919" s="1732"/>
      <c r="R919" s="1732"/>
      <c r="S919" s="1732"/>
      <c r="T919" s="1732"/>
      <c r="U919" s="1732"/>
      <c r="V919" s="1732"/>
      <c r="W919" s="1732"/>
      <c r="X919" s="1732"/>
      <c r="Y919" s="1732"/>
      <c r="Z919" s="1732"/>
    </row>
    <row r="920" spans="1:26" ht="18" customHeight="1">
      <c r="A920" s="1732"/>
      <c r="B920" s="1732"/>
      <c r="C920" s="1776"/>
      <c r="D920" s="1732"/>
      <c r="E920" s="1732"/>
      <c r="F920" s="1732"/>
      <c r="G920" s="1732"/>
      <c r="H920" s="1732"/>
      <c r="I920" s="1732"/>
      <c r="J920" s="1732"/>
      <c r="K920" s="1732"/>
      <c r="L920" s="1732"/>
      <c r="M920" s="1732"/>
      <c r="N920" s="1732"/>
      <c r="O920" s="1732"/>
      <c r="P920" s="1732"/>
      <c r="Q920" s="1732"/>
      <c r="R920" s="1732"/>
      <c r="S920" s="1732"/>
      <c r="T920" s="1732"/>
      <c r="U920" s="1732"/>
      <c r="V920" s="1732"/>
      <c r="W920" s="1732"/>
      <c r="X920" s="1732"/>
      <c r="Y920" s="1732"/>
      <c r="Z920" s="1732"/>
    </row>
    <row r="921" spans="1:26" ht="18" customHeight="1">
      <c r="A921" s="1732"/>
      <c r="B921" s="1732"/>
      <c r="C921" s="1776"/>
      <c r="D921" s="1732"/>
      <c r="E921" s="1732"/>
      <c r="F921" s="1732"/>
      <c r="G921" s="1732"/>
      <c r="H921" s="1732"/>
      <c r="I921" s="1732"/>
      <c r="J921" s="1732"/>
      <c r="K921" s="1732"/>
      <c r="L921" s="1732"/>
      <c r="M921" s="1732"/>
      <c r="N921" s="1732"/>
      <c r="O921" s="1732"/>
      <c r="P921" s="1732"/>
      <c r="Q921" s="1732"/>
      <c r="R921" s="1732"/>
      <c r="S921" s="1732"/>
      <c r="T921" s="1732"/>
      <c r="U921" s="1732"/>
      <c r="V921" s="1732"/>
      <c r="W921" s="1732"/>
      <c r="X921" s="1732"/>
      <c r="Y921" s="1732"/>
      <c r="Z921" s="1732"/>
    </row>
    <row r="922" spans="1:26" ht="18" customHeight="1">
      <c r="A922" s="1732"/>
      <c r="B922" s="1732"/>
      <c r="C922" s="1776"/>
      <c r="D922" s="1732"/>
      <c r="E922" s="1732"/>
      <c r="F922" s="1732"/>
      <c r="G922" s="1732"/>
      <c r="H922" s="1732"/>
      <c r="I922" s="1732"/>
      <c r="J922" s="1732"/>
      <c r="K922" s="1732"/>
      <c r="L922" s="1732"/>
      <c r="M922" s="1732"/>
      <c r="N922" s="1732"/>
      <c r="O922" s="1732"/>
      <c r="P922" s="1732"/>
      <c r="Q922" s="1732"/>
      <c r="R922" s="1732"/>
      <c r="S922" s="1732"/>
      <c r="T922" s="1732"/>
      <c r="U922" s="1732"/>
      <c r="V922" s="1732"/>
      <c r="W922" s="1732"/>
      <c r="X922" s="1732"/>
      <c r="Y922" s="1732"/>
      <c r="Z922" s="1732"/>
    </row>
    <row r="923" spans="1:26" ht="18" customHeight="1">
      <c r="A923" s="1732"/>
      <c r="B923" s="1732"/>
      <c r="C923" s="1776"/>
      <c r="D923" s="1732"/>
      <c r="E923" s="1732"/>
      <c r="F923" s="1732"/>
      <c r="G923" s="1732"/>
      <c r="H923" s="1732"/>
      <c r="I923" s="1732"/>
      <c r="J923" s="1732"/>
      <c r="K923" s="1732"/>
      <c r="L923" s="1732"/>
      <c r="M923" s="1732"/>
      <c r="N923" s="1732"/>
      <c r="O923" s="1732"/>
      <c r="P923" s="1732"/>
      <c r="Q923" s="1732"/>
      <c r="R923" s="1732"/>
      <c r="S923" s="1732"/>
      <c r="T923" s="1732"/>
      <c r="U923" s="1732"/>
      <c r="V923" s="1732"/>
      <c r="W923" s="1732"/>
      <c r="X923" s="1732"/>
      <c r="Y923" s="1732"/>
      <c r="Z923" s="1732"/>
    </row>
    <row r="924" spans="1:26" ht="18" customHeight="1">
      <c r="A924" s="1732"/>
      <c r="B924" s="1732"/>
      <c r="C924" s="1776"/>
      <c r="D924" s="1732"/>
      <c r="E924" s="1732"/>
      <c r="F924" s="1732"/>
      <c r="G924" s="1732"/>
      <c r="H924" s="1732"/>
      <c r="I924" s="1732"/>
      <c r="J924" s="1732"/>
      <c r="K924" s="1732"/>
      <c r="L924" s="1732"/>
      <c r="M924" s="1732"/>
      <c r="N924" s="1732"/>
      <c r="O924" s="1732"/>
      <c r="P924" s="1732"/>
      <c r="Q924" s="1732"/>
      <c r="R924" s="1732"/>
      <c r="S924" s="1732"/>
      <c r="T924" s="1732"/>
      <c r="U924" s="1732"/>
      <c r="V924" s="1732"/>
      <c r="W924" s="1732"/>
      <c r="X924" s="1732"/>
      <c r="Y924" s="1732"/>
      <c r="Z924" s="1732"/>
    </row>
    <row r="925" spans="1:26" ht="18" customHeight="1">
      <c r="A925" s="1732"/>
      <c r="B925" s="1732"/>
      <c r="C925" s="1776"/>
      <c r="D925" s="1732"/>
      <c r="E925" s="1732"/>
      <c r="F925" s="1732"/>
      <c r="G925" s="1732"/>
      <c r="H925" s="1732"/>
      <c r="I925" s="1732"/>
      <c r="J925" s="1732"/>
      <c r="K925" s="1732"/>
      <c r="L925" s="1732"/>
      <c r="M925" s="1732"/>
      <c r="N925" s="1732"/>
      <c r="O925" s="1732"/>
      <c r="P925" s="1732"/>
      <c r="Q925" s="1732"/>
      <c r="R925" s="1732"/>
      <c r="S925" s="1732"/>
      <c r="T925" s="1732"/>
      <c r="U925" s="1732"/>
      <c r="V925" s="1732"/>
      <c r="W925" s="1732"/>
      <c r="X925" s="1732"/>
      <c r="Y925" s="1732"/>
      <c r="Z925" s="1732"/>
    </row>
    <row r="926" spans="1:26" ht="18" customHeight="1">
      <c r="A926" s="1732"/>
      <c r="B926" s="1732"/>
      <c r="C926" s="1776"/>
      <c r="D926" s="1732"/>
      <c r="E926" s="1732"/>
      <c r="F926" s="1732"/>
      <c r="G926" s="1732"/>
      <c r="H926" s="1732"/>
      <c r="I926" s="1732"/>
      <c r="J926" s="1732"/>
      <c r="K926" s="1732"/>
      <c r="L926" s="1732"/>
      <c r="M926" s="1732"/>
      <c r="N926" s="1732"/>
      <c r="O926" s="1732"/>
      <c r="P926" s="1732"/>
      <c r="Q926" s="1732"/>
      <c r="R926" s="1732"/>
      <c r="S926" s="1732"/>
      <c r="T926" s="1732"/>
      <c r="U926" s="1732"/>
      <c r="V926" s="1732"/>
      <c r="W926" s="1732"/>
      <c r="X926" s="1732"/>
      <c r="Y926" s="1732"/>
      <c r="Z926" s="1732"/>
    </row>
    <row r="927" spans="1:26" ht="18" customHeight="1">
      <c r="A927" s="1732"/>
      <c r="B927" s="1732"/>
      <c r="C927" s="1776"/>
      <c r="D927" s="1732"/>
      <c r="E927" s="1732"/>
      <c r="F927" s="1732"/>
      <c r="G927" s="1732"/>
      <c r="H927" s="1732"/>
      <c r="I927" s="1732"/>
      <c r="J927" s="1732"/>
      <c r="K927" s="1732"/>
      <c r="L927" s="1732"/>
      <c r="M927" s="1732"/>
      <c r="N927" s="1732"/>
      <c r="O927" s="1732"/>
      <c r="P927" s="1732"/>
      <c r="Q927" s="1732"/>
      <c r="R927" s="1732"/>
      <c r="S927" s="1732"/>
      <c r="T927" s="1732"/>
      <c r="U927" s="1732"/>
      <c r="V927" s="1732"/>
      <c r="W927" s="1732"/>
      <c r="X927" s="1732"/>
      <c r="Y927" s="1732"/>
      <c r="Z927" s="1732"/>
    </row>
    <row r="928" spans="1:26" ht="18" customHeight="1">
      <c r="A928" s="1732"/>
      <c r="B928" s="1732"/>
      <c r="C928" s="1776"/>
      <c r="D928" s="1732"/>
      <c r="E928" s="1732"/>
      <c r="F928" s="1732"/>
      <c r="G928" s="1732"/>
      <c r="H928" s="1732"/>
      <c r="I928" s="1732"/>
      <c r="J928" s="1732"/>
      <c r="K928" s="1732"/>
      <c r="L928" s="1732"/>
      <c r="M928" s="1732"/>
      <c r="N928" s="1732"/>
      <c r="O928" s="1732"/>
      <c r="P928" s="1732"/>
      <c r="Q928" s="1732"/>
      <c r="R928" s="1732"/>
      <c r="S928" s="1732"/>
      <c r="T928" s="1732"/>
      <c r="U928" s="1732"/>
      <c r="V928" s="1732"/>
      <c r="W928" s="1732"/>
      <c r="X928" s="1732"/>
      <c r="Y928" s="1732"/>
      <c r="Z928" s="1732"/>
    </row>
    <row r="929" spans="1:26" ht="18" customHeight="1">
      <c r="A929" s="1732"/>
      <c r="B929" s="1732"/>
      <c r="C929" s="1776"/>
      <c r="D929" s="1732"/>
      <c r="E929" s="1732"/>
      <c r="F929" s="1732"/>
      <c r="G929" s="1732"/>
      <c r="H929" s="1732"/>
      <c r="I929" s="1732"/>
      <c r="J929" s="1732"/>
      <c r="K929" s="1732"/>
      <c r="L929" s="1732"/>
      <c r="M929" s="1732"/>
      <c r="N929" s="1732"/>
      <c r="O929" s="1732"/>
      <c r="P929" s="1732"/>
      <c r="Q929" s="1732"/>
      <c r="R929" s="1732"/>
      <c r="S929" s="1732"/>
      <c r="T929" s="1732"/>
      <c r="U929" s="1732"/>
      <c r="V929" s="1732"/>
      <c r="W929" s="1732"/>
      <c r="X929" s="1732"/>
      <c r="Y929" s="1732"/>
      <c r="Z929" s="1732"/>
    </row>
    <row r="930" spans="1:26" ht="18" customHeight="1">
      <c r="A930" s="1732"/>
      <c r="B930" s="1732"/>
      <c r="C930" s="1776"/>
      <c r="D930" s="1732"/>
      <c r="E930" s="1732"/>
      <c r="F930" s="1732"/>
      <c r="G930" s="1732"/>
      <c r="H930" s="1732"/>
      <c r="I930" s="1732"/>
      <c r="J930" s="1732"/>
      <c r="K930" s="1732"/>
      <c r="L930" s="1732"/>
      <c r="M930" s="1732"/>
      <c r="N930" s="1732"/>
      <c r="O930" s="1732"/>
      <c r="P930" s="1732"/>
      <c r="Q930" s="1732"/>
      <c r="R930" s="1732"/>
      <c r="S930" s="1732"/>
      <c r="T930" s="1732"/>
      <c r="U930" s="1732"/>
      <c r="V930" s="1732"/>
      <c r="W930" s="1732"/>
      <c r="X930" s="1732"/>
      <c r="Y930" s="1732"/>
      <c r="Z930" s="1732"/>
    </row>
    <row r="931" spans="1:26" ht="18" customHeight="1">
      <c r="A931" s="1732"/>
      <c r="B931" s="1732"/>
      <c r="C931" s="1776"/>
      <c r="D931" s="1732"/>
      <c r="E931" s="1732"/>
      <c r="F931" s="1732"/>
      <c r="G931" s="1732"/>
      <c r="H931" s="1732"/>
      <c r="I931" s="1732"/>
      <c r="J931" s="1732"/>
      <c r="K931" s="1732"/>
      <c r="L931" s="1732"/>
      <c r="M931" s="1732"/>
      <c r="N931" s="1732"/>
      <c r="O931" s="1732"/>
      <c r="P931" s="1732"/>
      <c r="Q931" s="1732"/>
      <c r="R931" s="1732"/>
      <c r="S931" s="1732"/>
      <c r="T931" s="1732"/>
      <c r="U931" s="1732"/>
      <c r="V931" s="1732"/>
      <c r="W931" s="1732"/>
      <c r="X931" s="1732"/>
      <c r="Y931" s="1732"/>
      <c r="Z931" s="1732"/>
    </row>
    <row r="932" spans="1:26" ht="18" customHeight="1">
      <c r="A932" s="1732"/>
      <c r="B932" s="1732"/>
      <c r="C932" s="1776"/>
      <c r="D932" s="1732"/>
      <c r="E932" s="1732"/>
      <c r="F932" s="1732"/>
      <c r="G932" s="1732"/>
      <c r="H932" s="1732"/>
      <c r="I932" s="1732"/>
      <c r="J932" s="1732"/>
      <c r="K932" s="1732"/>
      <c r="L932" s="1732"/>
      <c r="M932" s="1732"/>
      <c r="N932" s="1732"/>
      <c r="O932" s="1732"/>
      <c r="P932" s="1732"/>
      <c r="Q932" s="1732"/>
      <c r="R932" s="1732"/>
      <c r="S932" s="1732"/>
      <c r="T932" s="1732"/>
      <c r="U932" s="1732"/>
      <c r="V932" s="1732"/>
      <c r="W932" s="1732"/>
      <c r="X932" s="1732"/>
      <c r="Y932" s="1732"/>
      <c r="Z932" s="1732"/>
    </row>
    <row r="933" spans="1:26" ht="18" customHeight="1">
      <c r="A933" s="1732"/>
      <c r="B933" s="1732"/>
      <c r="C933" s="1776"/>
      <c r="D933" s="1732"/>
      <c r="E933" s="1732"/>
      <c r="F933" s="1732"/>
      <c r="G933" s="1732"/>
      <c r="H933" s="1732"/>
      <c r="I933" s="1732"/>
      <c r="J933" s="1732"/>
      <c r="K933" s="1732"/>
      <c r="L933" s="1732"/>
      <c r="M933" s="1732"/>
      <c r="N933" s="1732"/>
      <c r="O933" s="1732"/>
      <c r="P933" s="1732"/>
      <c r="Q933" s="1732"/>
      <c r="R933" s="1732"/>
      <c r="S933" s="1732"/>
      <c r="T933" s="1732"/>
      <c r="U933" s="1732"/>
      <c r="V933" s="1732"/>
      <c r="W933" s="1732"/>
      <c r="X933" s="1732"/>
      <c r="Y933" s="1732"/>
      <c r="Z933" s="1732"/>
    </row>
    <row r="934" spans="1:26" ht="18" customHeight="1">
      <c r="A934" s="1732"/>
      <c r="B934" s="1732"/>
      <c r="C934" s="1776"/>
      <c r="D934" s="1732"/>
      <c r="E934" s="1732"/>
      <c r="F934" s="1732"/>
      <c r="G934" s="1732"/>
      <c r="H934" s="1732"/>
      <c r="I934" s="1732"/>
      <c r="J934" s="1732"/>
      <c r="K934" s="1732"/>
      <c r="L934" s="1732"/>
      <c r="M934" s="1732"/>
      <c r="N934" s="1732"/>
      <c r="O934" s="1732"/>
      <c r="P934" s="1732"/>
      <c r="Q934" s="1732"/>
      <c r="R934" s="1732"/>
      <c r="S934" s="1732"/>
      <c r="T934" s="1732"/>
      <c r="U934" s="1732"/>
      <c r="V934" s="1732"/>
      <c r="W934" s="1732"/>
      <c r="X934" s="1732"/>
      <c r="Y934" s="1732"/>
      <c r="Z934" s="1732"/>
    </row>
    <row r="935" spans="1:26" ht="18" customHeight="1">
      <c r="A935" s="1732"/>
      <c r="B935" s="1732"/>
      <c r="C935" s="1776"/>
      <c r="D935" s="1732"/>
      <c r="E935" s="1732"/>
      <c r="F935" s="1732"/>
      <c r="G935" s="1732"/>
      <c r="H935" s="1732"/>
      <c r="I935" s="1732"/>
      <c r="J935" s="1732"/>
      <c r="K935" s="1732"/>
      <c r="L935" s="1732"/>
      <c r="M935" s="1732"/>
      <c r="N935" s="1732"/>
      <c r="O935" s="1732"/>
      <c r="P935" s="1732"/>
      <c r="Q935" s="1732"/>
      <c r="R935" s="1732"/>
      <c r="S935" s="1732"/>
      <c r="T935" s="1732"/>
      <c r="U935" s="1732"/>
      <c r="V935" s="1732"/>
      <c r="W935" s="1732"/>
      <c r="X935" s="1732"/>
      <c r="Y935" s="1732"/>
      <c r="Z935" s="1732"/>
    </row>
    <row r="936" spans="1:26" ht="18" customHeight="1">
      <c r="A936" s="1732"/>
      <c r="B936" s="1732"/>
      <c r="C936" s="1776"/>
      <c r="D936" s="1732"/>
      <c r="E936" s="1732"/>
      <c r="F936" s="1732"/>
      <c r="G936" s="1732"/>
      <c r="H936" s="1732"/>
      <c r="I936" s="1732"/>
      <c r="J936" s="1732"/>
      <c r="K936" s="1732"/>
      <c r="L936" s="1732"/>
      <c r="M936" s="1732"/>
      <c r="N936" s="1732"/>
      <c r="O936" s="1732"/>
      <c r="P936" s="1732"/>
      <c r="Q936" s="1732"/>
      <c r="R936" s="1732"/>
      <c r="S936" s="1732"/>
      <c r="T936" s="1732"/>
      <c r="U936" s="1732"/>
      <c r="V936" s="1732"/>
      <c r="W936" s="1732"/>
      <c r="X936" s="1732"/>
      <c r="Y936" s="1732"/>
      <c r="Z936" s="1732"/>
    </row>
    <row r="937" spans="1:26" ht="18" customHeight="1">
      <c r="A937" s="1732"/>
      <c r="B937" s="1732"/>
      <c r="C937" s="1776"/>
      <c r="D937" s="1732"/>
      <c r="E937" s="1732"/>
      <c r="F937" s="1732"/>
      <c r="G937" s="1732"/>
      <c r="H937" s="1732"/>
      <c r="I937" s="1732"/>
      <c r="J937" s="1732"/>
      <c r="K937" s="1732"/>
      <c r="L937" s="1732"/>
      <c r="M937" s="1732"/>
      <c r="N937" s="1732"/>
      <c r="O937" s="1732"/>
      <c r="P937" s="1732"/>
      <c r="Q937" s="1732"/>
      <c r="R937" s="1732"/>
      <c r="S937" s="1732"/>
      <c r="T937" s="1732"/>
      <c r="U937" s="1732"/>
      <c r="V937" s="1732"/>
      <c r="W937" s="1732"/>
      <c r="X937" s="1732"/>
      <c r="Y937" s="1732"/>
      <c r="Z937" s="1732"/>
    </row>
    <row r="938" spans="1:26" ht="18" customHeight="1">
      <c r="A938" s="1732"/>
      <c r="B938" s="1732"/>
      <c r="C938" s="1776"/>
      <c r="D938" s="1732"/>
      <c r="E938" s="1732"/>
      <c r="F938" s="1732"/>
      <c r="G938" s="1732"/>
      <c r="H938" s="1732"/>
      <c r="I938" s="1732"/>
      <c r="J938" s="1732"/>
      <c r="K938" s="1732"/>
      <c r="L938" s="1732"/>
      <c r="M938" s="1732"/>
      <c r="N938" s="1732"/>
      <c r="O938" s="1732"/>
      <c r="P938" s="1732"/>
      <c r="Q938" s="1732"/>
      <c r="R938" s="1732"/>
      <c r="S938" s="1732"/>
      <c r="T938" s="1732"/>
      <c r="U938" s="1732"/>
      <c r="V938" s="1732"/>
      <c r="W938" s="1732"/>
      <c r="X938" s="1732"/>
      <c r="Y938" s="1732"/>
      <c r="Z938" s="1732"/>
    </row>
    <row r="939" spans="1:26" ht="18" customHeight="1">
      <c r="A939" s="1732"/>
      <c r="B939" s="1732"/>
      <c r="C939" s="1776"/>
      <c r="D939" s="1732"/>
      <c r="E939" s="1732"/>
      <c r="F939" s="1732"/>
      <c r="G939" s="1732"/>
      <c r="H939" s="1732"/>
      <c r="I939" s="1732"/>
      <c r="J939" s="1732"/>
      <c r="K939" s="1732"/>
      <c r="L939" s="1732"/>
      <c r="M939" s="1732"/>
      <c r="N939" s="1732"/>
      <c r="O939" s="1732"/>
      <c r="P939" s="1732"/>
      <c r="Q939" s="1732"/>
      <c r="R939" s="1732"/>
      <c r="S939" s="1732"/>
      <c r="T939" s="1732"/>
      <c r="U939" s="1732"/>
      <c r="V939" s="1732"/>
      <c r="W939" s="1732"/>
      <c r="X939" s="1732"/>
      <c r="Y939" s="1732"/>
      <c r="Z939" s="1732"/>
    </row>
    <row r="940" spans="1:26" ht="18" customHeight="1">
      <c r="A940" s="1732"/>
      <c r="B940" s="1732"/>
      <c r="C940" s="1776"/>
      <c r="D940" s="1732"/>
      <c r="E940" s="1732"/>
      <c r="F940" s="1732"/>
      <c r="G940" s="1732"/>
      <c r="H940" s="1732"/>
      <c r="I940" s="1732"/>
      <c r="J940" s="1732"/>
      <c r="K940" s="1732"/>
      <c r="L940" s="1732"/>
      <c r="M940" s="1732"/>
      <c r="N940" s="1732"/>
      <c r="O940" s="1732"/>
      <c r="P940" s="1732"/>
      <c r="Q940" s="1732"/>
      <c r="R940" s="1732"/>
      <c r="S940" s="1732"/>
      <c r="T940" s="1732"/>
      <c r="U940" s="1732"/>
      <c r="V940" s="1732"/>
      <c r="W940" s="1732"/>
      <c r="X940" s="1732"/>
      <c r="Y940" s="1732"/>
      <c r="Z940" s="1732"/>
    </row>
    <row r="941" spans="1:26" ht="18" customHeight="1">
      <c r="A941" s="1732"/>
      <c r="B941" s="1732"/>
      <c r="C941" s="1776"/>
      <c r="D941" s="1732"/>
      <c r="E941" s="1732"/>
      <c r="F941" s="1732"/>
      <c r="G941" s="1732"/>
      <c r="H941" s="1732"/>
      <c r="I941" s="1732"/>
      <c r="J941" s="1732"/>
      <c r="K941" s="1732"/>
      <c r="L941" s="1732"/>
      <c r="M941" s="1732"/>
      <c r="N941" s="1732"/>
      <c r="O941" s="1732"/>
      <c r="P941" s="1732"/>
      <c r="Q941" s="1732"/>
      <c r="R941" s="1732"/>
      <c r="S941" s="1732"/>
      <c r="T941" s="1732"/>
      <c r="U941" s="1732"/>
      <c r="V941" s="1732"/>
      <c r="W941" s="1732"/>
      <c r="X941" s="1732"/>
      <c r="Y941" s="1732"/>
      <c r="Z941" s="1732"/>
    </row>
    <row r="942" spans="1:26" ht="18" customHeight="1">
      <c r="A942" s="1732"/>
      <c r="B942" s="1732"/>
      <c r="C942" s="1776"/>
      <c r="D942" s="1732"/>
      <c r="E942" s="1732"/>
      <c r="F942" s="1732"/>
      <c r="G942" s="1732"/>
      <c r="H942" s="1732"/>
      <c r="I942" s="1732"/>
      <c r="J942" s="1732"/>
      <c r="K942" s="1732"/>
      <c r="L942" s="1732"/>
      <c r="M942" s="1732"/>
      <c r="N942" s="1732"/>
      <c r="O942" s="1732"/>
      <c r="P942" s="1732"/>
      <c r="Q942" s="1732"/>
      <c r="R942" s="1732"/>
      <c r="S942" s="1732"/>
      <c r="T942" s="1732"/>
      <c r="U942" s="1732"/>
      <c r="V942" s="1732"/>
      <c r="W942" s="1732"/>
      <c r="X942" s="1732"/>
      <c r="Y942" s="1732"/>
      <c r="Z942" s="1732"/>
    </row>
    <row r="943" spans="1:26" ht="18" customHeight="1">
      <c r="A943" s="1732"/>
      <c r="B943" s="1732"/>
      <c r="C943" s="1776"/>
      <c r="D943" s="1732"/>
      <c r="E943" s="1732"/>
      <c r="F943" s="1732"/>
      <c r="G943" s="1732"/>
      <c r="H943" s="1732"/>
      <c r="I943" s="1732"/>
      <c r="J943" s="1732"/>
      <c r="K943" s="1732"/>
      <c r="L943" s="1732"/>
      <c r="M943" s="1732"/>
      <c r="N943" s="1732"/>
      <c r="O943" s="1732"/>
      <c r="P943" s="1732"/>
      <c r="Q943" s="1732"/>
      <c r="R943" s="1732"/>
      <c r="S943" s="1732"/>
      <c r="T943" s="1732"/>
      <c r="U943" s="1732"/>
      <c r="V943" s="1732"/>
      <c r="W943" s="1732"/>
      <c r="X943" s="1732"/>
      <c r="Y943" s="1732"/>
      <c r="Z943" s="1732"/>
    </row>
    <row r="944" spans="1:26" ht="18" customHeight="1">
      <c r="A944" s="1732"/>
      <c r="B944" s="1732"/>
      <c r="C944" s="1776"/>
      <c r="D944" s="1732"/>
      <c r="E944" s="1732"/>
      <c r="F944" s="1732"/>
      <c r="G944" s="1732"/>
      <c r="H944" s="1732"/>
      <c r="I944" s="1732"/>
      <c r="J944" s="1732"/>
      <c r="K944" s="1732"/>
      <c r="L944" s="1732"/>
      <c r="M944" s="1732"/>
      <c r="N944" s="1732"/>
      <c r="O944" s="1732"/>
      <c r="P944" s="1732"/>
      <c r="Q944" s="1732"/>
      <c r="R944" s="1732"/>
      <c r="S944" s="1732"/>
      <c r="T944" s="1732"/>
      <c r="U944" s="1732"/>
      <c r="V944" s="1732"/>
      <c r="W944" s="1732"/>
      <c r="X944" s="1732"/>
      <c r="Y944" s="1732"/>
      <c r="Z944" s="1732"/>
    </row>
    <row r="945" spans="1:26" ht="18" customHeight="1">
      <c r="A945" s="1732"/>
      <c r="B945" s="1732"/>
      <c r="C945" s="1776"/>
      <c r="D945" s="1732"/>
      <c r="E945" s="1732"/>
      <c r="F945" s="1732"/>
      <c r="G945" s="1732"/>
      <c r="H945" s="1732"/>
      <c r="I945" s="1732"/>
      <c r="J945" s="1732"/>
      <c r="K945" s="1732"/>
      <c r="L945" s="1732"/>
      <c r="M945" s="1732"/>
      <c r="N945" s="1732"/>
      <c r="O945" s="1732"/>
      <c r="P945" s="1732"/>
      <c r="Q945" s="1732"/>
      <c r="R945" s="1732"/>
      <c r="S945" s="1732"/>
      <c r="T945" s="1732"/>
      <c r="U945" s="1732"/>
      <c r="V945" s="1732"/>
      <c r="W945" s="1732"/>
      <c r="X945" s="1732"/>
      <c r="Y945" s="1732"/>
      <c r="Z945" s="1732"/>
    </row>
    <row r="946" spans="1:26" ht="18" customHeight="1">
      <c r="A946" s="1732"/>
      <c r="B946" s="1732"/>
      <c r="C946" s="1776"/>
      <c r="D946" s="1732"/>
      <c r="E946" s="1732"/>
      <c r="F946" s="1732"/>
      <c r="G946" s="1732"/>
      <c r="H946" s="1732"/>
      <c r="I946" s="1732"/>
      <c r="J946" s="1732"/>
      <c r="K946" s="1732"/>
      <c r="L946" s="1732"/>
      <c r="M946" s="1732"/>
      <c r="N946" s="1732"/>
      <c r="O946" s="1732"/>
      <c r="P946" s="1732"/>
      <c r="Q946" s="1732"/>
      <c r="R946" s="1732"/>
      <c r="S946" s="1732"/>
      <c r="T946" s="1732"/>
      <c r="U946" s="1732"/>
      <c r="V946" s="1732"/>
      <c r="W946" s="1732"/>
      <c r="X946" s="1732"/>
      <c r="Y946" s="1732"/>
      <c r="Z946" s="1732"/>
    </row>
    <row r="947" spans="1:26" ht="18" customHeight="1">
      <c r="A947" s="1732"/>
      <c r="B947" s="1732"/>
      <c r="C947" s="1776"/>
      <c r="D947" s="1732"/>
      <c r="E947" s="1732"/>
      <c r="F947" s="1732"/>
      <c r="G947" s="1732"/>
      <c r="H947" s="1732"/>
      <c r="I947" s="1732"/>
      <c r="J947" s="1732"/>
      <c r="K947" s="1732"/>
      <c r="L947" s="1732"/>
      <c r="M947" s="1732"/>
      <c r="N947" s="1732"/>
      <c r="O947" s="1732"/>
      <c r="P947" s="1732"/>
      <c r="Q947" s="1732"/>
      <c r="R947" s="1732"/>
      <c r="S947" s="1732"/>
      <c r="T947" s="1732"/>
      <c r="U947" s="1732"/>
      <c r="V947" s="1732"/>
      <c r="W947" s="1732"/>
      <c r="X947" s="1732"/>
      <c r="Y947" s="1732"/>
      <c r="Z947" s="1732"/>
    </row>
    <row r="948" spans="1:26" ht="18" customHeight="1">
      <c r="A948" s="1732"/>
      <c r="B948" s="1732"/>
      <c r="C948" s="1776"/>
      <c r="D948" s="1732"/>
      <c r="E948" s="1732"/>
      <c r="F948" s="1732"/>
      <c r="G948" s="1732"/>
      <c r="H948" s="1732"/>
      <c r="I948" s="1732"/>
      <c r="J948" s="1732"/>
      <c r="K948" s="1732"/>
      <c r="L948" s="1732"/>
      <c r="M948" s="1732"/>
      <c r="N948" s="1732"/>
      <c r="O948" s="1732"/>
      <c r="P948" s="1732"/>
      <c r="Q948" s="1732"/>
      <c r="R948" s="1732"/>
      <c r="S948" s="1732"/>
      <c r="T948" s="1732"/>
      <c r="U948" s="1732"/>
      <c r="V948" s="1732"/>
      <c r="W948" s="1732"/>
      <c r="X948" s="1732"/>
      <c r="Y948" s="1732"/>
      <c r="Z948" s="1732"/>
    </row>
    <row r="949" spans="1:26" ht="18" customHeight="1">
      <c r="A949" s="1732"/>
      <c r="B949" s="1732"/>
      <c r="C949" s="1776"/>
      <c r="D949" s="1732"/>
      <c r="E949" s="1732"/>
      <c r="F949" s="1732"/>
      <c r="G949" s="1732"/>
      <c r="H949" s="1732"/>
      <c r="I949" s="1732"/>
      <c r="J949" s="1732"/>
      <c r="K949" s="1732"/>
      <c r="L949" s="1732"/>
      <c r="M949" s="1732"/>
      <c r="N949" s="1732"/>
      <c r="O949" s="1732"/>
      <c r="P949" s="1732"/>
      <c r="Q949" s="1732"/>
      <c r="R949" s="1732"/>
      <c r="S949" s="1732"/>
      <c r="T949" s="1732"/>
      <c r="U949" s="1732"/>
      <c r="V949" s="1732"/>
      <c r="W949" s="1732"/>
      <c r="X949" s="1732"/>
      <c r="Y949" s="1732"/>
      <c r="Z949" s="1732"/>
    </row>
    <row r="950" spans="1:26" ht="18" customHeight="1">
      <c r="A950" s="1732"/>
      <c r="B950" s="1732"/>
      <c r="C950" s="1776"/>
      <c r="D950" s="1732"/>
      <c r="E950" s="1732"/>
      <c r="F950" s="1732"/>
      <c r="G950" s="1732"/>
      <c r="H950" s="1732"/>
      <c r="I950" s="1732"/>
      <c r="J950" s="1732"/>
      <c r="K950" s="1732"/>
      <c r="L950" s="1732"/>
      <c r="M950" s="1732"/>
      <c r="N950" s="1732"/>
      <c r="O950" s="1732"/>
      <c r="P950" s="1732"/>
      <c r="Q950" s="1732"/>
      <c r="R950" s="1732"/>
      <c r="S950" s="1732"/>
      <c r="T950" s="1732"/>
      <c r="U950" s="1732"/>
      <c r="V950" s="1732"/>
      <c r="W950" s="1732"/>
      <c r="X950" s="1732"/>
      <c r="Y950" s="1732"/>
      <c r="Z950" s="1732"/>
    </row>
    <row r="951" spans="1:26" ht="18" customHeight="1">
      <c r="A951" s="1732"/>
      <c r="B951" s="1732"/>
      <c r="C951" s="1776"/>
      <c r="D951" s="1732"/>
      <c r="E951" s="1732"/>
      <c r="F951" s="1732"/>
      <c r="G951" s="1732"/>
      <c r="H951" s="1732"/>
      <c r="I951" s="1732"/>
      <c r="J951" s="1732"/>
      <c r="K951" s="1732"/>
      <c r="L951" s="1732"/>
      <c r="M951" s="1732"/>
      <c r="N951" s="1732"/>
      <c r="O951" s="1732"/>
      <c r="P951" s="1732"/>
      <c r="Q951" s="1732"/>
      <c r="R951" s="1732"/>
      <c r="S951" s="1732"/>
      <c r="T951" s="1732"/>
      <c r="U951" s="1732"/>
      <c r="V951" s="1732"/>
      <c r="W951" s="1732"/>
      <c r="X951" s="1732"/>
      <c r="Y951" s="1732"/>
      <c r="Z951" s="1732"/>
    </row>
    <row r="952" spans="1:26" ht="18" customHeight="1">
      <c r="A952" s="1732"/>
      <c r="B952" s="1732"/>
      <c r="C952" s="1776"/>
      <c r="D952" s="1732"/>
      <c r="E952" s="1732"/>
      <c r="F952" s="1732"/>
      <c r="G952" s="1732"/>
      <c r="H952" s="1732"/>
      <c r="I952" s="1732"/>
      <c r="J952" s="1732"/>
      <c r="K952" s="1732"/>
      <c r="L952" s="1732"/>
      <c r="M952" s="1732"/>
      <c r="N952" s="1732"/>
      <c r="O952" s="1732"/>
      <c r="P952" s="1732"/>
      <c r="Q952" s="1732"/>
      <c r="R952" s="1732"/>
      <c r="S952" s="1732"/>
      <c r="T952" s="1732"/>
      <c r="U952" s="1732"/>
      <c r="V952" s="1732"/>
      <c r="W952" s="1732"/>
      <c r="X952" s="1732"/>
      <c r="Y952" s="1732"/>
      <c r="Z952" s="1732"/>
    </row>
    <row r="953" spans="1:26" ht="18" customHeight="1">
      <c r="A953" s="1732"/>
      <c r="B953" s="1732"/>
      <c r="C953" s="1776"/>
      <c r="D953" s="1732"/>
      <c r="E953" s="1732"/>
      <c r="F953" s="1732"/>
      <c r="G953" s="1732"/>
      <c r="H953" s="1732"/>
      <c r="I953" s="1732"/>
      <c r="J953" s="1732"/>
      <c r="K953" s="1732"/>
      <c r="L953" s="1732"/>
      <c r="M953" s="1732"/>
      <c r="N953" s="1732"/>
      <c r="O953" s="1732"/>
      <c r="P953" s="1732"/>
      <c r="Q953" s="1732"/>
      <c r="R953" s="1732"/>
      <c r="S953" s="1732"/>
      <c r="T953" s="1732"/>
      <c r="U953" s="1732"/>
      <c r="V953" s="1732"/>
      <c r="W953" s="1732"/>
      <c r="X953" s="1732"/>
      <c r="Y953" s="1732"/>
      <c r="Z953" s="1732"/>
    </row>
    <row r="954" spans="1:26" ht="18" customHeight="1">
      <c r="A954" s="1732"/>
      <c r="B954" s="1732"/>
      <c r="C954" s="1776"/>
      <c r="D954" s="1732"/>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row>
    <row r="955" spans="1:26" ht="18" customHeight="1">
      <c r="A955" s="1732"/>
      <c r="B955" s="1732"/>
      <c r="C955" s="1776"/>
      <c r="D955" s="1732"/>
      <c r="E955" s="1732"/>
      <c r="F955" s="1732"/>
      <c r="G955" s="1732"/>
      <c r="H955" s="1732"/>
      <c r="I955" s="1732"/>
      <c r="J955" s="1732"/>
      <c r="K955" s="1732"/>
      <c r="L955" s="1732"/>
      <c r="M955" s="1732"/>
      <c r="N955" s="1732"/>
      <c r="O955" s="1732"/>
      <c r="P955" s="1732"/>
      <c r="Q955" s="1732"/>
      <c r="R955" s="1732"/>
      <c r="S955" s="1732"/>
      <c r="T955" s="1732"/>
      <c r="U955" s="1732"/>
      <c r="V955" s="1732"/>
      <c r="W955" s="1732"/>
      <c r="X955" s="1732"/>
      <c r="Y955" s="1732"/>
      <c r="Z955" s="1732"/>
    </row>
    <row r="956" spans="1:26" ht="18" customHeight="1">
      <c r="A956" s="1732"/>
      <c r="B956" s="1732"/>
      <c r="C956" s="1776"/>
      <c r="D956" s="1732"/>
      <c r="E956" s="1732"/>
      <c r="F956" s="1732"/>
      <c r="G956" s="1732"/>
      <c r="H956" s="1732"/>
      <c r="I956" s="1732"/>
      <c r="J956" s="1732"/>
      <c r="K956" s="1732"/>
      <c r="L956" s="1732"/>
      <c r="M956" s="1732"/>
      <c r="N956" s="1732"/>
      <c r="O956" s="1732"/>
      <c r="P956" s="1732"/>
      <c r="Q956" s="1732"/>
      <c r="R956" s="1732"/>
      <c r="S956" s="1732"/>
      <c r="T956" s="1732"/>
      <c r="U956" s="1732"/>
      <c r="V956" s="1732"/>
      <c r="W956" s="1732"/>
      <c r="X956" s="1732"/>
      <c r="Y956" s="1732"/>
      <c r="Z956" s="1732"/>
    </row>
    <row r="957" spans="1:26" ht="18" customHeight="1">
      <c r="A957" s="1732"/>
      <c r="B957" s="1732"/>
      <c r="C957" s="1776"/>
      <c r="D957" s="1732"/>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row>
    <row r="958" spans="1:26" ht="18" customHeight="1">
      <c r="A958" s="1732"/>
      <c r="B958" s="1732"/>
      <c r="C958" s="1776"/>
      <c r="D958" s="1732"/>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row>
    <row r="959" spans="1:26" ht="18" customHeight="1">
      <c r="A959" s="1732"/>
      <c r="B959" s="1732"/>
      <c r="C959" s="1776"/>
      <c r="D959" s="1732"/>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row>
    <row r="960" spans="1:26" ht="18" customHeight="1">
      <c r="A960" s="1732"/>
      <c r="B960" s="1732"/>
      <c r="C960" s="1776"/>
      <c r="D960" s="1732"/>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row>
    <row r="961" spans="1:26" ht="18" customHeight="1">
      <c r="A961" s="1732"/>
      <c r="B961" s="1732"/>
      <c r="C961" s="1776"/>
      <c r="D961" s="1732"/>
      <c r="E961" s="1732"/>
      <c r="F961" s="1732"/>
      <c r="G961" s="1732"/>
      <c r="H961" s="1732"/>
      <c r="I961" s="1732"/>
      <c r="J961" s="1732"/>
      <c r="K961" s="1732"/>
      <c r="L961" s="1732"/>
      <c r="M961" s="1732"/>
      <c r="N961" s="1732"/>
      <c r="O961" s="1732"/>
      <c r="P961" s="1732"/>
      <c r="Q961" s="1732"/>
      <c r="R961" s="1732"/>
      <c r="S961" s="1732"/>
      <c r="T961" s="1732"/>
      <c r="U961" s="1732"/>
      <c r="V961" s="1732"/>
      <c r="W961" s="1732"/>
      <c r="X961" s="1732"/>
      <c r="Y961" s="1732"/>
      <c r="Z961" s="1732"/>
    </row>
    <row r="962" spans="1:26" ht="18" customHeight="1">
      <c r="A962" s="1732"/>
      <c r="B962" s="1732"/>
      <c r="C962" s="1776"/>
      <c r="D962" s="1732"/>
      <c r="E962" s="1732"/>
      <c r="F962" s="1732"/>
      <c r="G962" s="1732"/>
      <c r="H962" s="1732"/>
      <c r="I962" s="1732"/>
      <c r="J962" s="1732"/>
      <c r="K962" s="1732"/>
      <c r="L962" s="1732"/>
      <c r="M962" s="1732"/>
      <c r="N962" s="1732"/>
      <c r="O962" s="1732"/>
      <c r="P962" s="1732"/>
      <c r="Q962" s="1732"/>
      <c r="R962" s="1732"/>
      <c r="S962" s="1732"/>
      <c r="T962" s="1732"/>
      <c r="U962" s="1732"/>
      <c r="V962" s="1732"/>
      <c r="W962" s="1732"/>
      <c r="X962" s="1732"/>
      <c r="Y962" s="1732"/>
      <c r="Z962" s="1732"/>
    </row>
    <row r="963" spans="1:26" ht="18" customHeight="1">
      <c r="A963" s="1732"/>
      <c r="B963" s="1732"/>
      <c r="C963" s="1776"/>
      <c r="D963" s="1732"/>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row>
    <row r="964" spans="1:26" ht="18" customHeight="1">
      <c r="A964" s="1732"/>
      <c r="B964" s="1732"/>
      <c r="C964" s="1776"/>
      <c r="D964" s="1732"/>
      <c r="E964" s="1732"/>
      <c r="F964" s="1732"/>
      <c r="G964" s="1732"/>
      <c r="H964" s="1732"/>
      <c r="I964" s="1732"/>
      <c r="J964" s="1732"/>
      <c r="K964" s="1732"/>
      <c r="L964" s="1732"/>
      <c r="M964" s="1732"/>
      <c r="N964" s="1732"/>
      <c r="O964" s="1732"/>
      <c r="P964" s="1732"/>
      <c r="Q964" s="1732"/>
      <c r="R964" s="1732"/>
      <c r="S964" s="1732"/>
      <c r="T964" s="1732"/>
      <c r="U964" s="1732"/>
      <c r="V964" s="1732"/>
      <c r="W964" s="1732"/>
      <c r="X964" s="1732"/>
      <c r="Y964" s="1732"/>
      <c r="Z964" s="1732"/>
    </row>
    <row r="965" spans="1:26" ht="18" customHeight="1">
      <c r="A965" s="1732"/>
      <c r="B965" s="1732"/>
      <c r="C965" s="1776"/>
      <c r="D965" s="1732"/>
      <c r="E965" s="1732"/>
      <c r="F965" s="1732"/>
      <c r="G965" s="1732"/>
      <c r="H965" s="1732"/>
      <c r="I965" s="1732"/>
      <c r="J965" s="1732"/>
      <c r="K965" s="1732"/>
      <c r="L965" s="1732"/>
      <c r="M965" s="1732"/>
      <c r="N965" s="1732"/>
      <c r="O965" s="1732"/>
      <c r="P965" s="1732"/>
      <c r="Q965" s="1732"/>
      <c r="R965" s="1732"/>
      <c r="S965" s="1732"/>
      <c r="T965" s="1732"/>
      <c r="U965" s="1732"/>
      <c r="V965" s="1732"/>
      <c r="W965" s="1732"/>
      <c r="X965" s="1732"/>
      <c r="Y965" s="1732"/>
      <c r="Z965" s="1732"/>
    </row>
    <row r="966" spans="1:26" ht="18" customHeight="1">
      <c r="A966" s="1732"/>
      <c r="B966" s="1732"/>
      <c r="C966" s="1776"/>
      <c r="D966" s="1732"/>
      <c r="E966" s="1732"/>
      <c r="F966" s="1732"/>
      <c r="G966" s="1732"/>
      <c r="H966" s="1732"/>
      <c r="I966" s="1732"/>
      <c r="J966" s="1732"/>
      <c r="K966" s="1732"/>
      <c r="L966" s="1732"/>
      <c r="M966" s="1732"/>
      <c r="N966" s="1732"/>
      <c r="O966" s="1732"/>
      <c r="P966" s="1732"/>
      <c r="Q966" s="1732"/>
      <c r="R966" s="1732"/>
      <c r="S966" s="1732"/>
      <c r="T966" s="1732"/>
      <c r="U966" s="1732"/>
      <c r="V966" s="1732"/>
      <c r="W966" s="1732"/>
      <c r="X966" s="1732"/>
      <c r="Y966" s="1732"/>
      <c r="Z966" s="1732"/>
    </row>
    <row r="967" spans="1:26" ht="18" customHeight="1">
      <c r="A967" s="1732"/>
      <c r="B967" s="1732"/>
      <c r="C967" s="1776"/>
      <c r="D967" s="1732"/>
      <c r="E967" s="1732"/>
      <c r="F967" s="1732"/>
      <c r="G967" s="1732"/>
      <c r="H967" s="1732"/>
      <c r="I967" s="1732"/>
      <c r="J967" s="1732"/>
      <c r="K967" s="1732"/>
      <c r="L967" s="1732"/>
      <c r="M967" s="1732"/>
      <c r="N967" s="1732"/>
      <c r="O967" s="1732"/>
      <c r="P967" s="1732"/>
      <c r="Q967" s="1732"/>
      <c r="R967" s="1732"/>
      <c r="S967" s="1732"/>
      <c r="T967" s="1732"/>
      <c r="U967" s="1732"/>
      <c r="V967" s="1732"/>
      <c r="W967" s="1732"/>
      <c r="X967" s="1732"/>
      <c r="Y967" s="1732"/>
      <c r="Z967" s="1732"/>
    </row>
    <row r="968" spans="1:26" ht="18" customHeight="1">
      <c r="A968" s="1732"/>
      <c r="B968" s="1732"/>
      <c r="C968" s="1776"/>
      <c r="D968" s="1732"/>
      <c r="E968" s="1732"/>
      <c r="F968" s="1732"/>
      <c r="G968" s="1732"/>
      <c r="H968" s="1732"/>
      <c r="I968" s="1732"/>
      <c r="J968" s="1732"/>
      <c r="K968" s="1732"/>
      <c r="L968" s="1732"/>
      <c r="M968" s="1732"/>
      <c r="N968" s="1732"/>
      <c r="O968" s="1732"/>
      <c r="P968" s="1732"/>
      <c r="Q968" s="1732"/>
      <c r="R968" s="1732"/>
      <c r="S968" s="1732"/>
      <c r="T968" s="1732"/>
      <c r="U968" s="1732"/>
      <c r="V968" s="1732"/>
      <c r="W968" s="1732"/>
      <c r="X968" s="1732"/>
      <c r="Y968" s="1732"/>
      <c r="Z968" s="1732"/>
    </row>
    <row r="969" spans="1:26" ht="18" customHeight="1">
      <c r="A969" s="1732"/>
      <c r="B969" s="1732"/>
      <c r="C969" s="1776"/>
      <c r="D969" s="1732"/>
      <c r="E969" s="1732"/>
      <c r="F969" s="1732"/>
      <c r="G969" s="1732"/>
      <c r="H969" s="1732"/>
      <c r="I969" s="1732"/>
      <c r="J969" s="1732"/>
      <c r="K969" s="1732"/>
      <c r="L969" s="1732"/>
      <c r="M969" s="1732"/>
      <c r="N969" s="1732"/>
      <c r="O969" s="1732"/>
      <c r="P969" s="1732"/>
      <c r="Q969" s="1732"/>
      <c r="R969" s="1732"/>
      <c r="S969" s="1732"/>
      <c r="T969" s="1732"/>
      <c r="U969" s="1732"/>
      <c r="V969" s="1732"/>
      <c r="W969" s="1732"/>
      <c r="X969" s="1732"/>
      <c r="Y969" s="1732"/>
      <c r="Z969" s="1732"/>
    </row>
    <row r="970" spans="1:26" ht="18" customHeight="1">
      <c r="A970" s="1732"/>
      <c r="B970" s="1732"/>
      <c r="C970" s="1776"/>
      <c r="D970" s="1732"/>
      <c r="E970" s="1732"/>
      <c r="F970" s="1732"/>
      <c r="G970" s="1732"/>
      <c r="H970" s="1732"/>
      <c r="I970" s="1732"/>
      <c r="J970" s="1732"/>
      <c r="K970" s="1732"/>
      <c r="L970" s="1732"/>
      <c r="M970" s="1732"/>
      <c r="N970" s="1732"/>
      <c r="O970" s="1732"/>
      <c r="P970" s="1732"/>
      <c r="Q970" s="1732"/>
      <c r="R970" s="1732"/>
      <c r="S970" s="1732"/>
      <c r="T970" s="1732"/>
      <c r="U970" s="1732"/>
      <c r="V970" s="1732"/>
      <c r="W970" s="1732"/>
      <c r="X970" s="1732"/>
      <c r="Y970" s="1732"/>
      <c r="Z970" s="1732"/>
    </row>
    <row r="971" spans="1:26" ht="18" customHeight="1">
      <c r="A971" s="1732"/>
      <c r="B971" s="1732"/>
      <c r="C971" s="1776"/>
      <c r="D971" s="1732"/>
      <c r="E971" s="1732"/>
      <c r="F971" s="1732"/>
      <c r="G971" s="1732"/>
      <c r="H971" s="1732"/>
      <c r="I971" s="1732"/>
      <c r="J971" s="1732"/>
      <c r="K971" s="1732"/>
      <c r="L971" s="1732"/>
      <c r="M971" s="1732"/>
      <c r="N971" s="1732"/>
      <c r="O971" s="1732"/>
      <c r="P971" s="1732"/>
      <c r="Q971" s="1732"/>
      <c r="R971" s="1732"/>
      <c r="S971" s="1732"/>
      <c r="T971" s="1732"/>
      <c r="U971" s="1732"/>
      <c r="V971" s="1732"/>
      <c r="W971" s="1732"/>
      <c r="X971" s="1732"/>
      <c r="Y971" s="1732"/>
      <c r="Z971" s="1732"/>
    </row>
    <row r="972" spans="1:26" ht="18" customHeight="1">
      <c r="A972" s="1732"/>
      <c r="B972" s="1732"/>
      <c r="C972" s="1776"/>
      <c r="D972" s="1732"/>
      <c r="E972" s="1732"/>
      <c r="F972" s="1732"/>
      <c r="G972" s="1732"/>
      <c r="H972" s="1732"/>
      <c r="I972" s="1732"/>
      <c r="J972" s="1732"/>
      <c r="K972" s="1732"/>
      <c r="L972" s="1732"/>
      <c r="M972" s="1732"/>
      <c r="N972" s="1732"/>
      <c r="O972" s="1732"/>
      <c r="P972" s="1732"/>
      <c r="Q972" s="1732"/>
      <c r="R972" s="1732"/>
      <c r="S972" s="1732"/>
      <c r="T972" s="1732"/>
      <c r="U972" s="1732"/>
      <c r="V972" s="1732"/>
      <c r="W972" s="1732"/>
      <c r="X972" s="1732"/>
      <c r="Y972" s="1732"/>
      <c r="Z972" s="1732"/>
    </row>
    <row r="973" spans="1:26" ht="18" customHeight="1">
      <c r="A973" s="1732"/>
      <c r="B973" s="1732"/>
      <c r="C973" s="1776"/>
      <c r="D973" s="1732"/>
      <c r="E973" s="1732"/>
      <c r="F973" s="1732"/>
      <c r="G973" s="1732"/>
      <c r="H973" s="1732"/>
      <c r="I973" s="1732"/>
      <c r="J973" s="1732"/>
      <c r="K973" s="1732"/>
      <c r="L973" s="1732"/>
      <c r="M973" s="1732"/>
      <c r="N973" s="1732"/>
      <c r="O973" s="1732"/>
      <c r="P973" s="1732"/>
      <c r="Q973" s="1732"/>
      <c r="R973" s="1732"/>
      <c r="S973" s="1732"/>
      <c r="T973" s="1732"/>
      <c r="U973" s="1732"/>
      <c r="V973" s="1732"/>
      <c r="W973" s="1732"/>
      <c r="X973" s="1732"/>
      <c r="Y973" s="1732"/>
      <c r="Z973" s="1732"/>
    </row>
    <row r="974" spans="1:26" ht="18" customHeight="1">
      <c r="A974" s="1732"/>
      <c r="B974" s="1732"/>
      <c r="C974" s="1776"/>
      <c r="D974" s="1732"/>
      <c r="E974" s="1732"/>
      <c r="F974" s="1732"/>
      <c r="G974" s="1732"/>
      <c r="H974" s="1732"/>
      <c r="I974" s="1732"/>
      <c r="J974" s="1732"/>
      <c r="K974" s="1732"/>
      <c r="L974" s="1732"/>
      <c r="M974" s="1732"/>
      <c r="N974" s="1732"/>
      <c r="O974" s="1732"/>
      <c r="P974" s="1732"/>
      <c r="Q974" s="1732"/>
      <c r="R974" s="1732"/>
      <c r="S974" s="1732"/>
      <c r="T974" s="1732"/>
      <c r="U974" s="1732"/>
      <c r="V974" s="1732"/>
      <c r="W974" s="1732"/>
      <c r="X974" s="1732"/>
      <c r="Y974" s="1732"/>
      <c r="Z974" s="1732"/>
    </row>
    <row r="975" spans="1:26" ht="18" customHeight="1">
      <c r="A975" s="1732"/>
      <c r="B975" s="1732"/>
      <c r="C975" s="1776"/>
      <c r="D975" s="1732"/>
      <c r="E975" s="1732"/>
      <c r="F975" s="1732"/>
      <c r="G975" s="1732"/>
      <c r="H975" s="1732"/>
      <c r="I975" s="1732"/>
      <c r="J975" s="1732"/>
      <c r="K975" s="1732"/>
      <c r="L975" s="1732"/>
      <c r="M975" s="1732"/>
      <c r="N975" s="1732"/>
      <c r="O975" s="1732"/>
      <c r="P975" s="1732"/>
      <c r="Q975" s="1732"/>
      <c r="R975" s="1732"/>
      <c r="S975" s="1732"/>
      <c r="T975" s="1732"/>
      <c r="U975" s="1732"/>
      <c r="V975" s="1732"/>
      <c r="W975" s="1732"/>
      <c r="X975" s="1732"/>
      <c r="Y975" s="1732"/>
      <c r="Z975" s="1732"/>
    </row>
    <row r="976" spans="1:26" ht="18" customHeight="1">
      <c r="A976" s="1732"/>
      <c r="B976" s="1732"/>
      <c r="C976" s="1776"/>
      <c r="D976" s="1732"/>
      <c r="E976" s="1732"/>
      <c r="F976" s="1732"/>
      <c r="G976" s="1732"/>
      <c r="H976" s="1732"/>
      <c r="I976" s="1732"/>
      <c r="J976" s="1732"/>
      <c r="K976" s="1732"/>
      <c r="L976" s="1732"/>
      <c r="M976" s="1732"/>
      <c r="N976" s="1732"/>
      <c r="O976" s="1732"/>
      <c r="P976" s="1732"/>
      <c r="Q976" s="1732"/>
      <c r="R976" s="1732"/>
      <c r="S976" s="1732"/>
      <c r="T976" s="1732"/>
      <c r="U976" s="1732"/>
      <c r="V976" s="1732"/>
      <c r="W976" s="1732"/>
      <c r="X976" s="1732"/>
      <c r="Y976" s="1732"/>
      <c r="Z976" s="1732"/>
    </row>
    <row r="977" spans="1:26" ht="18" customHeight="1">
      <c r="A977" s="1732"/>
      <c r="B977" s="1732"/>
      <c r="C977" s="1776"/>
      <c r="D977" s="1732"/>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row>
    <row r="978" spans="1:26" ht="18" customHeight="1">
      <c r="A978" s="1732"/>
      <c r="B978" s="1732"/>
      <c r="C978" s="1776"/>
      <c r="D978" s="1732"/>
      <c r="E978" s="1732"/>
      <c r="F978" s="1732"/>
      <c r="G978" s="1732"/>
      <c r="H978" s="1732"/>
      <c r="I978" s="1732"/>
      <c r="J978" s="1732"/>
      <c r="K978" s="1732"/>
      <c r="L978" s="1732"/>
      <c r="M978" s="1732"/>
      <c r="N978" s="1732"/>
      <c r="O978" s="1732"/>
      <c r="P978" s="1732"/>
      <c r="Q978" s="1732"/>
      <c r="R978" s="1732"/>
      <c r="S978" s="1732"/>
      <c r="T978" s="1732"/>
      <c r="U978" s="1732"/>
      <c r="V978" s="1732"/>
      <c r="W978" s="1732"/>
      <c r="X978" s="1732"/>
      <c r="Y978" s="1732"/>
      <c r="Z978" s="1732"/>
    </row>
    <row r="979" spans="1:26" ht="18" customHeight="1">
      <c r="A979" s="1732"/>
      <c r="B979" s="1732"/>
      <c r="C979" s="1776"/>
      <c r="D979" s="1732"/>
      <c r="E979" s="1732"/>
      <c r="F979" s="1732"/>
      <c r="G979" s="1732"/>
      <c r="H979" s="1732"/>
      <c r="I979" s="1732"/>
      <c r="J979" s="1732"/>
      <c r="K979" s="1732"/>
      <c r="L979" s="1732"/>
      <c r="M979" s="1732"/>
      <c r="N979" s="1732"/>
      <c r="O979" s="1732"/>
      <c r="P979" s="1732"/>
      <c r="Q979" s="1732"/>
      <c r="R979" s="1732"/>
      <c r="S979" s="1732"/>
      <c r="T979" s="1732"/>
      <c r="U979" s="1732"/>
      <c r="V979" s="1732"/>
      <c r="W979" s="1732"/>
      <c r="X979" s="1732"/>
      <c r="Y979" s="1732"/>
      <c r="Z979" s="1732"/>
    </row>
    <row r="980" spans="1:26" ht="18" customHeight="1">
      <c r="A980" s="1732"/>
      <c r="B980" s="1732"/>
      <c r="C980" s="1776"/>
      <c r="D980" s="1732"/>
      <c r="E980" s="1732"/>
      <c r="F980" s="1732"/>
      <c r="G980" s="1732"/>
      <c r="H980" s="1732"/>
      <c r="I980" s="1732"/>
      <c r="J980" s="1732"/>
      <c r="K980" s="1732"/>
      <c r="L980" s="1732"/>
      <c r="M980" s="1732"/>
      <c r="N980" s="1732"/>
      <c r="O980" s="1732"/>
      <c r="P980" s="1732"/>
      <c r="Q980" s="1732"/>
      <c r="R980" s="1732"/>
      <c r="S980" s="1732"/>
      <c r="T980" s="1732"/>
      <c r="U980" s="1732"/>
      <c r="V980" s="1732"/>
      <c r="W980" s="1732"/>
      <c r="X980" s="1732"/>
      <c r="Y980" s="1732"/>
      <c r="Z980" s="1732"/>
    </row>
    <row r="981" spans="1:26" ht="18" customHeight="1">
      <c r="A981" s="1732"/>
      <c r="B981" s="1732"/>
      <c r="C981" s="1776"/>
      <c r="D981" s="1732"/>
      <c r="E981" s="1732"/>
      <c r="F981" s="1732"/>
      <c r="G981" s="1732"/>
      <c r="H981" s="1732"/>
      <c r="I981" s="1732"/>
      <c r="J981" s="1732"/>
      <c r="K981" s="1732"/>
      <c r="L981" s="1732"/>
      <c r="M981" s="1732"/>
      <c r="N981" s="1732"/>
      <c r="O981" s="1732"/>
      <c r="P981" s="1732"/>
      <c r="Q981" s="1732"/>
      <c r="R981" s="1732"/>
      <c r="S981" s="1732"/>
      <c r="T981" s="1732"/>
      <c r="U981" s="1732"/>
      <c r="V981" s="1732"/>
      <c r="W981" s="1732"/>
      <c r="X981" s="1732"/>
      <c r="Y981" s="1732"/>
      <c r="Z981" s="1732"/>
    </row>
    <row r="982" spans="1:26" ht="18" customHeight="1">
      <c r="A982" s="1732"/>
      <c r="B982" s="1732"/>
      <c r="C982" s="1776"/>
      <c r="D982" s="1732"/>
      <c r="E982" s="1732"/>
      <c r="F982" s="1732"/>
      <c r="G982" s="1732"/>
      <c r="H982" s="1732"/>
      <c r="I982" s="1732"/>
      <c r="J982" s="1732"/>
      <c r="K982" s="1732"/>
      <c r="L982" s="1732"/>
      <c r="M982" s="1732"/>
      <c r="N982" s="1732"/>
      <c r="O982" s="1732"/>
      <c r="P982" s="1732"/>
      <c r="Q982" s="1732"/>
      <c r="R982" s="1732"/>
      <c r="S982" s="1732"/>
      <c r="T982" s="1732"/>
      <c r="U982" s="1732"/>
      <c r="V982" s="1732"/>
      <c r="W982" s="1732"/>
      <c r="X982" s="1732"/>
      <c r="Y982" s="1732"/>
      <c r="Z982" s="1732"/>
    </row>
    <row r="983" spans="1:26" ht="18" customHeight="1">
      <c r="A983" s="1732"/>
      <c r="B983" s="1732"/>
      <c r="C983" s="1776"/>
      <c r="D983" s="1732"/>
      <c r="E983" s="1732"/>
      <c r="F983" s="1732"/>
      <c r="G983" s="1732"/>
      <c r="H983" s="1732"/>
      <c r="I983" s="1732"/>
      <c r="J983" s="1732"/>
      <c r="K983" s="1732"/>
      <c r="L983" s="1732"/>
      <c r="M983" s="1732"/>
      <c r="N983" s="1732"/>
      <c r="O983" s="1732"/>
      <c r="P983" s="1732"/>
      <c r="Q983" s="1732"/>
      <c r="R983" s="1732"/>
      <c r="S983" s="1732"/>
      <c r="T983" s="1732"/>
      <c r="U983" s="1732"/>
      <c r="V983" s="1732"/>
      <c r="W983" s="1732"/>
      <c r="X983" s="1732"/>
      <c r="Y983" s="1732"/>
      <c r="Z983" s="1732"/>
    </row>
    <row r="984" spans="1:26" ht="18" customHeight="1">
      <c r="A984" s="1732"/>
      <c r="B984" s="1732"/>
      <c r="C984" s="1776"/>
      <c r="D984" s="1732"/>
      <c r="E984" s="1732"/>
      <c r="F984" s="1732"/>
      <c r="G984" s="1732"/>
      <c r="H984" s="1732"/>
      <c r="I984" s="1732"/>
      <c r="J984" s="1732"/>
      <c r="K984" s="1732"/>
      <c r="L984" s="1732"/>
      <c r="M984" s="1732"/>
      <c r="N984" s="1732"/>
      <c r="O984" s="1732"/>
      <c r="P984" s="1732"/>
      <c r="Q984" s="1732"/>
      <c r="R984" s="1732"/>
      <c r="S984" s="1732"/>
      <c r="T984" s="1732"/>
      <c r="U984" s="1732"/>
      <c r="V984" s="1732"/>
      <c r="W984" s="1732"/>
      <c r="X984" s="1732"/>
      <c r="Y984" s="1732"/>
      <c r="Z984" s="1732"/>
    </row>
    <row r="985" spans="1:26" ht="18" customHeight="1">
      <c r="A985" s="1732"/>
      <c r="B985" s="1732"/>
      <c r="C985" s="1776"/>
      <c r="D985" s="1732"/>
      <c r="E985" s="1732"/>
      <c r="F985" s="1732"/>
      <c r="G985" s="1732"/>
      <c r="H985" s="1732"/>
      <c r="I985" s="1732"/>
      <c r="J985" s="1732"/>
      <c r="K985" s="1732"/>
      <c r="L985" s="1732"/>
      <c r="M985" s="1732"/>
      <c r="N985" s="1732"/>
      <c r="O985" s="1732"/>
      <c r="P985" s="1732"/>
      <c r="Q985" s="1732"/>
      <c r="R985" s="1732"/>
      <c r="S985" s="1732"/>
      <c r="T985" s="1732"/>
      <c r="U985" s="1732"/>
      <c r="V985" s="1732"/>
      <c r="W985" s="1732"/>
      <c r="X985" s="1732"/>
      <c r="Y985" s="1732"/>
      <c r="Z985" s="1732"/>
    </row>
    <row r="986" spans="1:26" ht="18" customHeight="1">
      <c r="A986" s="1732"/>
      <c r="B986" s="1732"/>
      <c r="C986" s="1776"/>
      <c r="D986" s="1732"/>
      <c r="E986" s="1732"/>
      <c r="F986" s="1732"/>
      <c r="G986" s="1732"/>
      <c r="H986" s="1732"/>
      <c r="I986" s="1732"/>
      <c r="J986" s="1732"/>
      <c r="K986" s="1732"/>
      <c r="L986" s="1732"/>
      <c r="M986" s="1732"/>
      <c r="N986" s="1732"/>
      <c r="O986" s="1732"/>
      <c r="P986" s="1732"/>
      <c r="Q986" s="1732"/>
      <c r="R986" s="1732"/>
      <c r="S986" s="1732"/>
      <c r="T986" s="1732"/>
      <c r="U986" s="1732"/>
      <c r="V986" s="1732"/>
      <c r="W986" s="1732"/>
      <c r="X986" s="1732"/>
      <c r="Y986" s="1732"/>
      <c r="Z986" s="1732"/>
    </row>
    <row r="987" spans="1:26" ht="18" customHeight="1">
      <c r="A987" s="1732"/>
      <c r="B987" s="1732"/>
      <c r="C987" s="1776"/>
      <c r="D987" s="1732"/>
      <c r="E987" s="1732"/>
      <c r="F987" s="1732"/>
      <c r="G987" s="1732"/>
      <c r="H987" s="1732"/>
      <c r="I987" s="1732"/>
      <c r="J987" s="1732"/>
      <c r="K987" s="1732"/>
      <c r="L987" s="1732"/>
      <c r="M987" s="1732"/>
      <c r="N987" s="1732"/>
      <c r="O987" s="1732"/>
      <c r="P987" s="1732"/>
      <c r="Q987" s="1732"/>
      <c r="R987" s="1732"/>
      <c r="S987" s="1732"/>
      <c r="T987" s="1732"/>
      <c r="U987" s="1732"/>
      <c r="V987" s="1732"/>
      <c r="W987" s="1732"/>
      <c r="X987" s="1732"/>
      <c r="Y987" s="1732"/>
      <c r="Z987" s="1732"/>
    </row>
    <row r="988" spans="1:26" ht="18" customHeight="1">
      <c r="A988" s="1732"/>
      <c r="B988" s="1732"/>
      <c r="C988" s="1776"/>
      <c r="D988" s="1732"/>
      <c r="E988" s="1732"/>
      <c r="F988" s="1732"/>
      <c r="G988" s="1732"/>
      <c r="H988" s="1732"/>
      <c r="I988" s="1732"/>
      <c r="J988" s="1732"/>
      <c r="K988" s="1732"/>
      <c r="L988" s="1732"/>
      <c r="M988" s="1732"/>
      <c r="N988" s="1732"/>
      <c r="O988" s="1732"/>
      <c r="P988" s="1732"/>
      <c r="Q988" s="1732"/>
      <c r="R988" s="1732"/>
      <c r="S988" s="1732"/>
      <c r="T988" s="1732"/>
      <c r="U988" s="1732"/>
      <c r="V988" s="1732"/>
      <c r="W988" s="1732"/>
      <c r="X988" s="1732"/>
      <c r="Y988" s="1732"/>
      <c r="Z988" s="1732"/>
    </row>
    <row r="989" spans="1:26" ht="18" customHeight="1">
      <c r="A989" s="1732"/>
      <c r="B989" s="1732"/>
      <c r="C989" s="1776"/>
      <c r="D989" s="1732"/>
      <c r="E989" s="1732"/>
      <c r="F989" s="1732"/>
      <c r="G989" s="1732"/>
      <c r="H989" s="1732"/>
      <c r="I989" s="1732"/>
      <c r="J989" s="1732"/>
      <c r="K989" s="1732"/>
      <c r="L989" s="1732"/>
      <c r="M989" s="1732"/>
      <c r="N989" s="1732"/>
      <c r="O989" s="1732"/>
      <c r="P989" s="1732"/>
      <c r="Q989" s="1732"/>
      <c r="R989" s="1732"/>
      <c r="S989" s="1732"/>
      <c r="T989" s="1732"/>
      <c r="U989" s="1732"/>
      <c r="V989" s="1732"/>
      <c r="W989" s="1732"/>
      <c r="X989" s="1732"/>
      <c r="Y989" s="1732"/>
      <c r="Z989" s="1732"/>
    </row>
    <row r="990" spans="1:26" ht="18" customHeight="1">
      <c r="A990" s="1732"/>
      <c r="B990" s="1732"/>
      <c r="C990" s="1776"/>
      <c r="D990" s="1732"/>
      <c r="E990" s="1732"/>
      <c r="F990" s="1732"/>
      <c r="G990" s="1732"/>
      <c r="H990" s="1732"/>
      <c r="I990" s="1732"/>
      <c r="J990" s="1732"/>
      <c r="K990" s="1732"/>
      <c r="L990" s="1732"/>
      <c r="M990" s="1732"/>
      <c r="N990" s="1732"/>
      <c r="O990" s="1732"/>
      <c r="P990" s="1732"/>
      <c r="Q990" s="1732"/>
      <c r="R990" s="1732"/>
      <c r="S990" s="1732"/>
      <c r="T990" s="1732"/>
      <c r="U990" s="1732"/>
      <c r="V990" s="1732"/>
      <c r="W990" s="1732"/>
      <c r="X990" s="1732"/>
      <c r="Y990" s="1732"/>
      <c r="Z990" s="1732"/>
    </row>
  </sheetData>
  <sheetProtection algorithmName="SHA-512" hashValue="3OqXLlvNnWYNpHI/yDn4zaAAnQmEJQOOEUggnDM1yvjvf3HHssKRIBieh3wvFbGctsrGKfUcYQ8ewNuvkuObfw==" saltValue="/GLdweM/Dp7GGLod1ejxGg==" spinCount="100000" sheet="1" objects="1" scenarios="1"/>
  <protectedRanges>
    <protectedRange sqref="E7:E57" name="Vàng"/>
  </protectedRanges>
  <mergeCells count="9">
    <mergeCell ref="C64:D64"/>
    <mergeCell ref="B66:D66"/>
    <mergeCell ref="A1:B1"/>
    <mergeCell ref="C1:D1"/>
    <mergeCell ref="A2:B2"/>
    <mergeCell ref="A4:D4"/>
    <mergeCell ref="C5:D5"/>
    <mergeCell ref="D55:D57"/>
    <mergeCell ref="A59:D59"/>
  </mergeCells>
  <pageMargins left="0.68" right="0.17" top="0.41" bottom="0.17" header="0" footer="0"/>
  <pageSetup paperSize="9" fitToHeight="0"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020"/>
  <sheetViews>
    <sheetView workbookViewId="0">
      <pane xSplit="2" ySplit="137" topLeftCell="C555" activePane="bottomRight" state="frozen"/>
      <selection pane="topRight" activeCell="C1" sqref="C1"/>
      <selection pane="bottomLeft" activeCell="A138" sqref="A138"/>
      <selection pane="bottomRight" activeCell="C1" sqref="C1"/>
    </sheetView>
  </sheetViews>
  <sheetFormatPr defaultColWidth="14.42578125" defaultRowHeight="15" customHeight="1"/>
  <cols>
    <col min="1" max="1" width="5" customWidth="1"/>
    <col min="2" max="2" width="23.140625" customWidth="1"/>
    <col min="3" max="3" width="18.140625" customWidth="1"/>
    <col min="4" max="4" width="23.28515625" customWidth="1"/>
    <col min="5" max="5" width="5.7109375" customWidth="1"/>
    <col min="6" max="6" width="9.28515625" customWidth="1"/>
    <col min="7" max="7" width="12.7109375" customWidth="1"/>
    <col min="8" max="8" width="13.28515625" customWidth="1"/>
    <col min="9" max="9" width="8.42578125" customWidth="1"/>
    <col min="10" max="10" width="13" customWidth="1"/>
    <col min="11" max="11" width="11.140625" customWidth="1"/>
    <col min="12" max="12" width="26.140625" customWidth="1"/>
    <col min="13" max="13" width="38" customWidth="1"/>
    <col min="14" max="14" width="9" customWidth="1"/>
    <col min="15" max="15" width="37" customWidth="1"/>
    <col min="16" max="16" width="9" customWidth="1"/>
    <col min="17" max="17" width="22.28515625" customWidth="1"/>
    <col min="18" max="18" width="19.7109375" customWidth="1"/>
    <col min="19" max="19" width="25.7109375" customWidth="1"/>
    <col min="20" max="20" width="7.28515625" customWidth="1"/>
    <col min="21" max="21" width="32" customWidth="1"/>
    <col min="22" max="22" width="8.140625" customWidth="1"/>
    <col min="23" max="23" width="19.140625" customWidth="1"/>
    <col min="24" max="24" width="27.28515625" customWidth="1"/>
    <col min="25" max="25" width="10.28515625" customWidth="1"/>
    <col min="26" max="26" width="11.42578125" customWidth="1"/>
    <col min="27" max="27" width="10" customWidth="1"/>
    <col min="28" max="28" width="68" hidden="1" customWidth="1"/>
    <col min="29" max="29" width="13.140625" hidden="1" customWidth="1"/>
    <col min="30" max="30" width="10.7109375" hidden="1" customWidth="1"/>
  </cols>
  <sheetData>
    <row r="1" spans="1:30" ht="15.75" customHeight="1">
      <c r="A1" s="3025" t="s">
        <v>1565</v>
      </c>
      <c r="B1" s="2796"/>
      <c r="C1" s="2796"/>
      <c r="D1" s="2796"/>
      <c r="E1" s="2431"/>
      <c r="F1" s="2431"/>
      <c r="G1" s="2432"/>
      <c r="H1" s="2433"/>
      <c r="I1" s="2434"/>
      <c r="J1" s="2431"/>
      <c r="K1" s="2431"/>
      <c r="L1" s="2435"/>
      <c r="M1" s="2435"/>
      <c r="N1" s="2435"/>
      <c r="O1" s="2435"/>
      <c r="P1" s="2436"/>
      <c r="Q1" s="2435"/>
      <c r="R1" s="2437"/>
      <c r="S1" s="2437"/>
      <c r="T1" s="2437"/>
      <c r="U1" s="2437"/>
      <c r="V1" s="2437"/>
      <c r="W1" s="2437"/>
      <c r="X1" s="2437"/>
      <c r="Y1" s="2433"/>
      <c r="Z1" s="2433"/>
      <c r="AA1" s="2431"/>
      <c r="AB1" s="2438"/>
      <c r="AC1" s="2438"/>
      <c r="AD1" s="2438"/>
    </row>
    <row r="2" spans="1:30" ht="15.75" customHeight="1">
      <c r="A2" s="3026" t="s">
        <v>23</v>
      </c>
      <c r="B2" s="2796"/>
      <c r="C2" s="2796"/>
      <c r="D2" s="2796"/>
      <c r="E2" s="2431"/>
      <c r="F2" s="2431"/>
      <c r="G2" s="2432"/>
      <c r="H2" s="2433"/>
      <c r="I2" s="2434"/>
      <c r="J2" s="2431"/>
      <c r="K2" s="2431"/>
      <c r="L2" s="2435"/>
      <c r="M2" s="2435"/>
      <c r="N2" s="2435"/>
      <c r="O2" s="2435"/>
      <c r="P2" s="2436"/>
      <c r="Q2" s="2435"/>
      <c r="R2" s="2437"/>
      <c r="S2" s="2437"/>
      <c r="T2" s="2437"/>
      <c r="U2" s="2437"/>
      <c r="V2" s="2437"/>
      <c r="W2" s="2437"/>
      <c r="X2" s="2437"/>
      <c r="Y2" s="2433"/>
      <c r="Z2" s="2433"/>
      <c r="AA2" s="2431"/>
      <c r="AB2" s="2438"/>
      <c r="AC2" s="2438"/>
      <c r="AD2" s="2438"/>
    </row>
    <row r="3" spans="1:30" ht="15.75" customHeight="1">
      <c r="A3" s="2439" t="s">
        <v>258</v>
      </c>
      <c r="B3" s="3027" t="s">
        <v>3601</v>
      </c>
      <c r="C3" s="2796"/>
      <c r="D3" s="2796"/>
      <c r="E3" s="2439"/>
      <c r="F3" s="2439"/>
      <c r="G3" s="2441"/>
      <c r="H3" s="2442"/>
      <c r="I3" s="2440"/>
      <c r="J3" s="2439"/>
      <c r="K3" s="2439"/>
      <c r="L3" s="2430"/>
      <c r="M3" s="2430"/>
      <c r="N3" s="2430"/>
      <c r="O3" s="2430"/>
      <c r="P3" s="2443"/>
      <c r="Q3" s="2430"/>
      <c r="R3" s="2438"/>
      <c r="S3" s="2438"/>
      <c r="T3" s="2438"/>
      <c r="U3" s="2438"/>
      <c r="V3" s="2438"/>
      <c r="W3" s="2438"/>
      <c r="X3" s="2438"/>
      <c r="Y3" s="2442"/>
      <c r="Z3" s="2442"/>
      <c r="AA3" s="2439"/>
      <c r="AB3" s="2438"/>
      <c r="AC3" s="2438"/>
      <c r="AD3" s="2438"/>
    </row>
    <row r="4" spans="1:30" ht="65.25" customHeight="1">
      <c r="A4" s="1639" t="s">
        <v>27</v>
      </c>
      <c r="B4" s="1639" t="s">
        <v>1531</v>
      </c>
      <c r="C4" s="1639" t="s">
        <v>3602</v>
      </c>
      <c r="D4" s="1639" t="s">
        <v>3603</v>
      </c>
      <c r="E4" s="1639" t="s">
        <v>3604</v>
      </c>
      <c r="F4" s="1639" t="s">
        <v>2928</v>
      </c>
      <c r="G4" s="1640" t="s">
        <v>3605</v>
      </c>
      <c r="H4" s="1641" t="s">
        <v>3606</v>
      </c>
      <c r="I4" s="1641" t="s">
        <v>3607</v>
      </c>
      <c r="J4" s="1639" t="s">
        <v>3608</v>
      </c>
      <c r="K4" s="1639" t="s">
        <v>3609</v>
      </c>
      <c r="L4" s="3028" t="s">
        <v>3610</v>
      </c>
      <c r="M4" s="2782"/>
      <c r="N4" s="2782"/>
      <c r="O4" s="2782"/>
      <c r="P4" s="2783"/>
      <c r="Q4" s="1639" t="s">
        <v>3611</v>
      </c>
      <c r="R4" s="1641" t="s">
        <v>3612</v>
      </c>
      <c r="S4" s="1641" t="s">
        <v>3613</v>
      </c>
      <c r="T4" s="1641" t="s">
        <v>3614</v>
      </c>
      <c r="U4" s="1641" t="s">
        <v>3615</v>
      </c>
      <c r="V4" s="1641" t="s">
        <v>3616</v>
      </c>
      <c r="W4" s="1641" t="s">
        <v>3617</v>
      </c>
      <c r="X4" s="1641" t="s">
        <v>3618</v>
      </c>
      <c r="Y4" s="3029" t="s">
        <v>3619</v>
      </c>
      <c r="Z4" s="2783"/>
      <c r="AA4" s="1639" t="s">
        <v>3620</v>
      </c>
      <c r="AB4" s="2438"/>
      <c r="AC4" s="2438"/>
      <c r="AD4" s="2438"/>
    </row>
    <row r="5" spans="1:30" ht="15.75" hidden="1" customHeight="1">
      <c r="A5" s="1639"/>
      <c r="B5" s="1639"/>
      <c r="C5" s="1639"/>
      <c r="D5" s="1639"/>
      <c r="E5" s="1639"/>
      <c r="F5" s="1639"/>
      <c r="G5" s="1640"/>
      <c r="H5" s="1641"/>
      <c r="I5" s="1641"/>
      <c r="J5" s="1639"/>
      <c r="K5" s="1639"/>
      <c r="L5" s="1639" t="s">
        <v>201</v>
      </c>
      <c r="M5" s="1639" t="s">
        <v>37</v>
      </c>
      <c r="N5" s="1639" t="s">
        <v>3621</v>
      </c>
      <c r="O5" s="1639" t="s">
        <v>38</v>
      </c>
      <c r="P5" s="1642" t="s">
        <v>3622</v>
      </c>
      <c r="Q5" s="1639"/>
      <c r="R5" s="1641"/>
      <c r="S5" s="1641"/>
      <c r="T5" s="1641"/>
      <c r="U5" s="1641"/>
      <c r="V5" s="1641"/>
      <c r="W5" s="1641"/>
      <c r="X5" s="1641"/>
      <c r="Y5" s="1643" t="s">
        <v>3623</v>
      </c>
      <c r="Z5" s="1643" t="s">
        <v>3624</v>
      </c>
      <c r="AA5" s="1639"/>
      <c r="AB5" s="1867"/>
      <c r="AC5" s="1867"/>
      <c r="AD5" s="1867"/>
    </row>
    <row r="6" spans="1:30" ht="15.75" hidden="1" customHeight="1">
      <c r="A6" s="1644">
        <f t="shared" ref="A6:A260" si="0">+SUBTOTAL(3,$C$6:C6)</f>
        <v>0</v>
      </c>
      <c r="B6" s="1645" t="s">
        <v>3625</v>
      </c>
      <c r="C6" s="1645" t="s">
        <v>3626</v>
      </c>
      <c r="D6" s="1645" t="s">
        <v>3627</v>
      </c>
      <c r="E6" s="1646" t="s">
        <v>2797</v>
      </c>
      <c r="F6" s="1645">
        <f t="shared" ref="F6:F168" si="1">YEAR(G6)</f>
        <v>1964</v>
      </c>
      <c r="G6" s="1647">
        <v>23663</v>
      </c>
      <c r="H6" s="1644" t="s">
        <v>3628</v>
      </c>
      <c r="I6" s="1648" t="s">
        <v>3629</v>
      </c>
      <c r="J6" s="1645" t="s">
        <v>38</v>
      </c>
      <c r="K6" s="1645">
        <v>0</v>
      </c>
      <c r="L6" s="1645" t="s">
        <v>2671</v>
      </c>
      <c r="M6" s="1645" t="s">
        <v>3630</v>
      </c>
      <c r="N6" s="1645"/>
      <c r="O6" s="1645" t="s">
        <v>3630</v>
      </c>
      <c r="P6" s="1649"/>
      <c r="Q6" s="1645"/>
      <c r="R6" s="1644"/>
      <c r="S6" s="1644"/>
      <c r="T6" s="1644"/>
      <c r="U6" s="1644" t="s">
        <v>3631</v>
      </c>
      <c r="V6" s="1644"/>
      <c r="W6" s="1650" t="s">
        <v>3632</v>
      </c>
      <c r="X6" s="1644" t="s">
        <v>3633</v>
      </c>
      <c r="Y6" s="1647"/>
      <c r="Z6" s="1647" t="s">
        <v>936</v>
      </c>
      <c r="AA6" s="1650">
        <f t="shared" ref="AA6:AA86" ca="1" si="2">IF(E6="nữ",660-DATEDIF(G6,TODAY(),"m"),720-DATEDIF(G6,TODAY(),"m"))/12</f>
        <v>0</v>
      </c>
      <c r="AB6" s="2444" t="s">
        <v>3629</v>
      </c>
      <c r="AC6" s="2445"/>
      <c r="AD6" s="2438"/>
    </row>
    <row r="7" spans="1:30" ht="15.75" hidden="1" customHeight="1">
      <c r="A7" s="1644">
        <f t="shared" si="0"/>
        <v>0</v>
      </c>
      <c r="B7" s="1645" t="s">
        <v>3634</v>
      </c>
      <c r="C7" s="1645" t="s">
        <v>3626</v>
      </c>
      <c r="D7" s="1645" t="s">
        <v>3635</v>
      </c>
      <c r="E7" s="1644" t="s">
        <v>2797</v>
      </c>
      <c r="F7" s="1645">
        <f t="shared" si="1"/>
        <v>1979</v>
      </c>
      <c r="G7" s="1647">
        <v>29148</v>
      </c>
      <c r="H7" s="1644" t="s">
        <v>3636</v>
      </c>
      <c r="I7" s="1648" t="s">
        <v>3629</v>
      </c>
      <c r="J7" s="1645" t="s">
        <v>38</v>
      </c>
      <c r="K7" s="1645">
        <v>0</v>
      </c>
      <c r="L7" s="1645" t="s">
        <v>3637</v>
      </c>
      <c r="M7" s="1645" t="s">
        <v>3638</v>
      </c>
      <c r="N7" s="1645"/>
      <c r="O7" s="1645" t="s">
        <v>3638</v>
      </c>
      <c r="P7" s="1649"/>
      <c r="Q7" s="1645"/>
      <c r="R7" s="1647" t="s">
        <v>3639</v>
      </c>
      <c r="S7" s="1644"/>
      <c r="T7" s="1644">
        <v>2018</v>
      </c>
      <c r="U7" s="1644"/>
      <c r="V7" s="1644"/>
      <c r="W7" s="1644">
        <v>0</v>
      </c>
      <c r="X7" s="1644"/>
      <c r="Y7" s="1647">
        <v>40742</v>
      </c>
      <c r="Z7" s="1647">
        <v>41108</v>
      </c>
      <c r="AA7" s="1650">
        <f t="shared" ca="1" si="2"/>
        <v>15</v>
      </c>
      <c r="AB7" s="2444" t="s">
        <v>3629</v>
      </c>
      <c r="AC7" s="2445"/>
      <c r="AD7" s="2438"/>
    </row>
    <row r="8" spans="1:30" ht="15.75" hidden="1" customHeight="1">
      <c r="A8" s="1644">
        <f t="shared" si="0"/>
        <v>0</v>
      </c>
      <c r="B8" s="1645" t="s">
        <v>3640</v>
      </c>
      <c r="C8" s="1645" t="s">
        <v>3626</v>
      </c>
      <c r="D8" s="1645" t="s">
        <v>3641</v>
      </c>
      <c r="E8" s="1644" t="s">
        <v>2797</v>
      </c>
      <c r="F8" s="1645">
        <f t="shared" si="1"/>
        <v>1978</v>
      </c>
      <c r="G8" s="1647">
        <v>28557</v>
      </c>
      <c r="H8" s="1644" t="s">
        <v>3642</v>
      </c>
      <c r="I8" s="1648" t="s">
        <v>3629</v>
      </c>
      <c r="J8" s="1645" t="s">
        <v>37</v>
      </c>
      <c r="K8" s="1645">
        <v>0</v>
      </c>
      <c r="L8" s="1645" t="s">
        <v>3643</v>
      </c>
      <c r="M8" s="1645" t="s">
        <v>3644</v>
      </c>
      <c r="N8" s="1645"/>
      <c r="O8" s="1645" t="s">
        <v>3645</v>
      </c>
      <c r="P8" s="1649"/>
      <c r="Q8" s="1645"/>
      <c r="R8" s="1644"/>
      <c r="S8" s="1644"/>
      <c r="T8" s="1644"/>
      <c r="U8" s="1644"/>
      <c r="V8" s="1644"/>
      <c r="W8" s="1650" t="s">
        <v>3646</v>
      </c>
      <c r="X8" s="1644"/>
      <c r="Y8" s="1647">
        <v>39326</v>
      </c>
      <c r="Z8" s="1647">
        <v>39692</v>
      </c>
      <c r="AA8" s="1650">
        <f t="shared" ca="1" si="2"/>
        <v>13.416666666666666</v>
      </c>
      <c r="AB8" s="2444" t="s">
        <v>3629</v>
      </c>
      <c r="AC8" s="2445"/>
      <c r="AD8" s="2438"/>
    </row>
    <row r="9" spans="1:30" ht="15.75" hidden="1" customHeight="1">
      <c r="A9" s="1644">
        <f t="shared" si="0"/>
        <v>0</v>
      </c>
      <c r="B9" s="1645" t="s">
        <v>3647</v>
      </c>
      <c r="C9" s="1645" t="s">
        <v>3626</v>
      </c>
      <c r="D9" s="1645" t="s">
        <v>3641</v>
      </c>
      <c r="E9" s="1646" t="s">
        <v>2798</v>
      </c>
      <c r="F9" s="1645">
        <f t="shared" si="1"/>
        <v>1980</v>
      </c>
      <c r="G9" s="1647">
        <v>29448</v>
      </c>
      <c r="H9" s="1644" t="s">
        <v>3648</v>
      </c>
      <c r="I9" s="1648" t="s">
        <v>3629</v>
      </c>
      <c r="J9" s="1645" t="s">
        <v>37</v>
      </c>
      <c r="K9" s="1645">
        <v>0</v>
      </c>
      <c r="L9" s="1645" t="s">
        <v>3637</v>
      </c>
      <c r="M9" s="1645" t="s">
        <v>3644</v>
      </c>
      <c r="N9" s="1645"/>
      <c r="O9" s="1645" t="s">
        <v>3645</v>
      </c>
      <c r="P9" s="1649"/>
      <c r="Q9" s="1645"/>
      <c r="R9" s="1644"/>
      <c r="S9" s="1644"/>
      <c r="T9" s="1644"/>
      <c r="U9" s="1644"/>
      <c r="V9" s="1644" t="s">
        <v>3649</v>
      </c>
      <c r="W9" s="1644">
        <v>0</v>
      </c>
      <c r="X9" s="1644"/>
      <c r="Y9" s="1647"/>
      <c r="Z9" s="1647"/>
      <c r="AA9" s="1650">
        <f t="shared" ca="1" si="2"/>
        <v>10.833333333333334</v>
      </c>
      <c r="AB9" s="2444" t="s">
        <v>3629</v>
      </c>
      <c r="AC9" s="2445"/>
      <c r="AD9" s="2438"/>
    </row>
    <row r="10" spans="1:30" ht="15.75" hidden="1" customHeight="1">
      <c r="A10" s="1644">
        <f t="shared" si="0"/>
        <v>0</v>
      </c>
      <c r="B10" s="1645" t="s">
        <v>3650</v>
      </c>
      <c r="C10" s="1645" t="s">
        <v>3626</v>
      </c>
      <c r="D10" s="1645" t="s">
        <v>3641</v>
      </c>
      <c r="E10" s="1646" t="s">
        <v>2797</v>
      </c>
      <c r="F10" s="1645">
        <f t="shared" si="1"/>
        <v>1975</v>
      </c>
      <c r="G10" s="1647">
        <v>27721</v>
      </c>
      <c r="H10" s="1644" t="s">
        <v>3651</v>
      </c>
      <c r="I10" s="1648" t="s">
        <v>3629</v>
      </c>
      <c r="J10" s="1645" t="s">
        <v>37</v>
      </c>
      <c r="K10" s="1645">
        <v>0</v>
      </c>
      <c r="L10" s="1645" t="s">
        <v>3652</v>
      </c>
      <c r="M10" s="1645" t="s">
        <v>3652</v>
      </c>
      <c r="N10" s="1645"/>
      <c r="O10" s="1645" t="s">
        <v>3645</v>
      </c>
      <c r="P10" s="1649"/>
      <c r="Q10" s="1645"/>
      <c r="R10" s="1644"/>
      <c r="S10" s="1644"/>
      <c r="T10" s="1644"/>
      <c r="U10" s="1644"/>
      <c r="V10" s="1644"/>
      <c r="W10" s="1650" t="s">
        <v>3653</v>
      </c>
      <c r="X10" s="1644"/>
      <c r="Y10" s="1647"/>
      <c r="Z10" s="1647"/>
      <c r="AA10" s="1650">
        <f t="shared" ca="1" si="2"/>
        <v>11.083333333333334</v>
      </c>
      <c r="AB10" s="2444" t="s">
        <v>3629</v>
      </c>
      <c r="AC10" s="2445"/>
      <c r="AD10" s="2438"/>
    </row>
    <row r="11" spans="1:30" ht="15.75" hidden="1" customHeight="1">
      <c r="A11" s="1644">
        <f t="shared" si="0"/>
        <v>0</v>
      </c>
      <c r="B11" s="1645" t="s">
        <v>3654</v>
      </c>
      <c r="C11" s="1645" t="s">
        <v>3626</v>
      </c>
      <c r="D11" s="1645"/>
      <c r="E11" s="1644" t="s">
        <v>2798</v>
      </c>
      <c r="F11" s="1645">
        <f t="shared" si="1"/>
        <v>1983</v>
      </c>
      <c r="G11" s="1647">
        <v>30355</v>
      </c>
      <c r="H11" s="1644" t="s">
        <v>3642</v>
      </c>
      <c r="I11" s="1648" t="s">
        <v>3629</v>
      </c>
      <c r="J11" s="1645" t="s">
        <v>37</v>
      </c>
      <c r="K11" s="1645">
        <v>0</v>
      </c>
      <c r="L11" s="1645" t="s">
        <v>3655</v>
      </c>
      <c r="M11" s="1645" t="s">
        <v>3655</v>
      </c>
      <c r="N11" s="1645"/>
      <c r="O11" s="1645" t="s">
        <v>3645</v>
      </c>
      <c r="P11" s="1649"/>
      <c r="Q11" s="1645"/>
      <c r="R11" s="1647" t="s">
        <v>3656</v>
      </c>
      <c r="S11" s="1644"/>
      <c r="T11" s="1644"/>
      <c r="U11" s="1644"/>
      <c r="V11" s="1644" t="s">
        <v>3657</v>
      </c>
      <c r="W11" s="1644" t="s">
        <v>3658</v>
      </c>
      <c r="X11" s="1644"/>
      <c r="Y11" s="1647"/>
      <c r="Z11" s="1647"/>
      <c r="AA11" s="1650">
        <f t="shared" ca="1" si="2"/>
        <v>13.333333333333334</v>
      </c>
      <c r="AB11" s="2444" t="s">
        <v>3629</v>
      </c>
      <c r="AC11" s="2445"/>
      <c r="AD11" s="2438"/>
    </row>
    <row r="12" spans="1:30" ht="15.75" hidden="1" customHeight="1">
      <c r="A12" s="1644">
        <f t="shared" si="0"/>
        <v>0</v>
      </c>
      <c r="B12" s="1645" t="s">
        <v>3659</v>
      </c>
      <c r="C12" s="1645" t="s">
        <v>3626</v>
      </c>
      <c r="D12" s="1645" t="s">
        <v>3660</v>
      </c>
      <c r="E12" s="1646" t="s">
        <v>2798</v>
      </c>
      <c r="F12" s="1645">
        <f t="shared" si="1"/>
        <v>1973</v>
      </c>
      <c r="G12" s="1647">
        <v>26986</v>
      </c>
      <c r="H12" s="1644" t="s">
        <v>3661</v>
      </c>
      <c r="I12" s="1648" t="s">
        <v>3662</v>
      </c>
      <c r="J12" s="1645" t="s">
        <v>201</v>
      </c>
      <c r="K12" s="1645">
        <v>0</v>
      </c>
      <c r="L12" s="1645" t="s">
        <v>3652</v>
      </c>
      <c r="M12" s="1645">
        <v>0</v>
      </c>
      <c r="N12" s="1645"/>
      <c r="O12" s="1645" t="s">
        <v>3645</v>
      </c>
      <c r="P12" s="1649"/>
      <c r="Q12" s="1645"/>
      <c r="R12" s="1644"/>
      <c r="S12" s="1644"/>
      <c r="T12" s="1644"/>
      <c r="U12" s="1644"/>
      <c r="V12" s="1644"/>
      <c r="W12" s="1650" t="s">
        <v>3653</v>
      </c>
      <c r="X12" s="1644"/>
      <c r="Y12" s="1647"/>
      <c r="Z12" s="1647"/>
      <c r="AA12" s="1650">
        <f t="shared" ca="1" si="2"/>
        <v>4.083333333333333</v>
      </c>
      <c r="AB12" s="2444" t="s">
        <v>3629</v>
      </c>
      <c r="AC12" s="2445"/>
      <c r="AD12" s="2438"/>
    </row>
    <row r="13" spans="1:30" ht="15.75" hidden="1" customHeight="1">
      <c r="A13" s="1644">
        <f t="shared" si="0"/>
        <v>0</v>
      </c>
      <c r="B13" s="1645" t="s">
        <v>3663</v>
      </c>
      <c r="C13" s="1645" t="s">
        <v>3626</v>
      </c>
      <c r="D13" s="1645" t="s">
        <v>3664</v>
      </c>
      <c r="E13" s="1646" t="s">
        <v>2797</v>
      </c>
      <c r="F13" s="1645">
        <f t="shared" si="1"/>
        <v>1977</v>
      </c>
      <c r="G13" s="1647">
        <v>28363</v>
      </c>
      <c r="H13" s="1644" t="s">
        <v>3665</v>
      </c>
      <c r="I13" s="1648" t="s">
        <v>3629</v>
      </c>
      <c r="J13" s="1645" t="s">
        <v>201</v>
      </c>
      <c r="K13" s="1645">
        <v>0</v>
      </c>
      <c r="L13" s="1651" t="s">
        <v>3666</v>
      </c>
      <c r="M13" s="1645">
        <v>0</v>
      </c>
      <c r="N13" s="1645"/>
      <c r="O13" s="1645">
        <v>0</v>
      </c>
      <c r="P13" s="1649"/>
      <c r="Q13" s="1645"/>
      <c r="R13" s="1647" t="s">
        <v>3667</v>
      </c>
      <c r="S13" s="1644"/>
      <c r="T13" s="1644"/>
      <c r="U13" s="1644"/>
      <c r="V13" s="1644"/>
      <c r="W13" s="1644">
        <v>0</v>
      </c>
      <c r="X13" s="1644"/>
      <c r="Y13" s="1647">
        <v>40913</v>
      </c>
      <c r="Z13" s="1647">
        <v>41279</v>
      </c>
      <c r="AA13" s="1650">
        <f t="shared" ca="1" si="2"/>
        <v>12.833333333333334</v>
      </c>
      <c r="AB13" s="2444" t="s">
        <v>3629</v>
      </c>
      <c r="AC13" s="2445"/>
      <c r="AD13" s="2438"/>
    </row>
    <row r="14" spans="1:30" ht="15.75" hidden="1" customHeight="1">
      <c r="A14" s="1644">
        <f t="shared" si="0"/>
        <v>0</v>
      </c>
      <c r="B14" s="1645" t="s">
        <v>3668</v>
      </c>
      <c r="C14" s="1645" t="s">
        <v>3626</v>
      </c>
      <c r="D14" s="1645" t="s">
        <v>3664</v>
      </c>
      <c r="E14" s="1646" t="s">
        <v>2797</v>
      </c>
      <c r="F14" s="1645">
        <f t="shared" si="1"/>
        <v>1983</v>
      </c>
      <c r="G14" s="1647">
        <v>30340</v>
      </c>
      <c r="H14" s="1644" t="s">
        <v>3669</v>
      </c>
      <c r="I14" s="1648" t="s">
        <v>3629</v>
      </c>
      <c r="J14" s="1645" t="s">
        <v>3670</v>
      </c>
      <c r="K14" s="1645">
        <v>0</v>
      </c>
      <c r="L14" s="1651" t="s">
        <v>3671</v>
      </c>
      <c r="M14" s="1645">
        <v>0</v>
      </c>
      <c r="N14" s="1645"/>
      <c r="O14" s="1645">
        <v>0</v>
      </c>
      <c r="P14" s="1649"/>
      <c r="Q14" s="1645"/>
      <c r="R14" s="1647" t="s">
        <v>3667</v>
      </c>
      <c r="S14" s="1644"/>
      <c r="T14" s="1644"/>
      <c r="U14" s="1644"/>
      <c r="V14" s="1644"/>
      <c r="W14" s="1644">
        <v>0</v>
      </c>
      <c r="X14" s="1644"/>
      <c r="Y14" s="1647"/>
      <c r="Z14" s="1647"/>
      <c r="AA14" s="1650">
        <f t="shared" ca="1" si="2"/>
        <v>18.25</v>
      </c>
      <c r="AB14" s="2444" t="s">
        <v>3629</v>
      </c>
      <c r="AC14" s="2445"/>
      <c r="AD14" s="2438"/>
    </row>
    <row r="15" spans="1:30" ht="15.75" hidden="1" customHeight="1">
      <c r="A15" s="1644">
        <f t="shared" si="0"/>
        <v>0</v>
      </c>
      <c r="B15" s="1645" t="s">
        <v>3672</v>
      </c>
      <c r="C15" s="1645" t="s">
        <v>3626</v>
      </c>
      <c r="D15" s="1645" t="s">
        <v>3664</v>
      </c>
      <c r="E15" s="1646" t="s">
        <v>2798</v>
      </c>
      <c r="F15" s="1645">
        <f t="shared" si="1"/>
        <v>1976</v>
      </c>
      <c r="G15" s="1647">
        <v>27958</v>
      </c>
      <c r="H15" s="1644" t="s">
        <v>3642</v>
      </c>
      <c r="I15" s="1648" t="s">
        <v>3629</v>
      </c>
      <c r="J15" s="1645" t="s">
        <v>37</v>
      </c>
      <c r="K15" s="1645">
        <v>0</v>
      </c>
      <c r="L15" s="1645" t="s">
        <v>3673</v>
      </c>
      <c r="M15" s="1645" t="s">
        <v>3674</v>
      </c>
      <c r="N15" s="1645"/>
      <c r="O15" s="1645" t="s">
        <v>3645</v>
      </c>
      <c r="P15" s="1649"/>
      <c r="Q15" s="1645"/>
      <c r="R15" s="1644"/>
      <c r="S15" s="1644"/>
      <c r="T15" s="1644"/>
      <c r="U15" s="1644"/>
      <c r="V15" s="1644"/>
      <c r="W15" s="1644">
        <v>0</v>
      </c>
      <c r="X15" s="1644"/>
      <c r="Y15" s="1647"/>
      <c r="Z15" s="1647"/>
      <c r="AA15" s="1650">
        <f t="shared" ca="1" si="2"/>
        <v>6.75</v>
      </c>
      <c r="AB15" s="2444" t="s">
        <v>3629</v>
      </c>
      <c r="AC15" s="2445"/>
      <c r="AD15" s="2438"/>
    </row>
    <row r="16" spans="1:30" ht="15.75" hidden="1" customHeight="1">
      <c r="A16" s="1644">
        <f t="shared" si="0"/>
        <v>0</v>
      </c>
      <c r="B16" s="1645" t="s">
        <v>3675</v>
      </c>
      <c r="C16" s="1645" t="s">
        <v>3626</v>
      </c>
      <c r="D16" s="1645" t="s">
        <v>3664</v>
      </c>
      <c r="E16" s="1644" t="s">
        <v>2797</v>
      </c>
      <c r="F16" s="1645">
        <f t="shared" si="1"/>
        <v>1983</v>
      </c>
      <c r="G16" s="1647">
        <v>30487</v>
      </c>
      <c r="H16" s="1644" t="s">
        <v>3642</v>
      </c>
      <c r="I16" s="1648" t="s">
        <v>3629</v>
      </c>
      <c r="J16" s="1652" t="s">
        <v>201</v>
      </c>
      <c r="K16" s="1645">
        <v>0</v>
      </c>
      <c r="L16" s="1645" t="s">
        <v>3676</v>
      </c>
      <c r="M16" s="1645">
        <v>0</v>
      </c>
      <c r="N16" s="1645"/>
      <c r="O16" s="1645">
        <v>0</v>
      </c>
      <c r="P16" s="1649"/>
      <c r="Q16" s="1645"/>
      <c r="R16" s="1644"/>
      <c r="S16" s="1644"/>
      <c r="T16" s="1644"/>
      <c r="U16" s="1644"/>
      <c r="V16" s="1644"/>
      <c r="W16" s="1650" t="s">
        <v>3653</v>
      </c>
      <c r="X16" s="1644" t="s">
        <v>3633</v>
      </c>
      <c r="Y16" s="1647">
        <v>41413</v>
      </c>
      <c r="Z16" s="1647">
        <v>41778</v>
      </c>
      <c r="AA16" s="1650">
        <f t="shared" ca="1" si="2"/>
        <v>18.666666666666668</v>
      </c>
      <c r="AB16" s="2444" t="s">
        <v>3629</v>
      </c>
      <c r="AC16" s="2445"/>
      <c r="AD16" s="2438"/>
    </row>
    <row r="17" spans="1:30" ht="15.75" hidden="1" customHeight="1">
      <c r="A17" s="1644">
        <f t="shared" si="0"/>
        <v>0</v>
      </c>
      <c r="B17" s="1645" t="s">
        <v>3677</v>
      </c>
      <c r="C17" s="1645" t="s">
        <v>3626</v>
      </c>
      <c r="D17" s="1645" t="s">
        <v>3664</v>
      </c>
      <c r="E17" s="1646" t="s">
        <v>2797</v>
      </c>
      <c r="F17" s="1645">
        <f t="shared" si="1"/>
        <v>1972</v>
      </c>
      <c r="G17" s="1647">
        <v>26466</v>
      </c>
      <c r="H17" s="1644" t="s">
        <v>3648</v>
      </c>
      <c r="I17" s="1648" t="s">
        <v>3629</v>
      </c>
      <c r="J17" s="1645" t="s">
        <v>3678</v>
      </c>
      <c r="K17" s="1645">
        <v>0</v>
      </c>
      <c r="L17" s="1651" t="s">
        <v>3671</v>
      </c>
      <c r="M17" s="1645">
        <v>0</v>
      </c>
      <c r="N17" s="1645"/>
      <c r="O17" s="1645">
        <v>0</v>
      </c>
      <c r="P17" s="1649"/>
      <c r="Q17" s="1645"/>
      <c r="R17" s="1647" t="s">
        <v>3667</v>
      </c>
      <c r="S17" s="1644"/>
      <c r="T17" s="1644"/>
      <c r="U17" s="1644"/>
      <c r="V17" s="1644"/>
      <c r="W17" s="1644" t="s">
        <v>3679</v>
      </c>
      <c r="X17" s="1644"/>
      <c r="Y17" s="1647">
        <v>42580</v>
      </c>
      <c r="Z17" s="1647">
        <v>42945</v>
      </c>
      <c r="AA17" s="1650">
        <f t="shared" ca="1" si="2"/>
        <v>7.666666666666667</v>
      </c>
      <c r="AB17" s="2444" t="s">
        <v>3629</v>
      </c>
      <c r="AC17" s="2445"/>
      <c r="AD17" s="2438"/>
    </row>
    <row r="18" spans="1:30" ht="15.75" hidden="1" customHeight="1">
      <c r="A18" s="1644">
        <f t="shared" si="0"/>
        <v>0</v>
      </c>
      <c r="B18" s="1645" t="s">
        <v>3680</v>
      </c>
      <c r="C18" s="1645" t="s">
        <v>3626</v>
      </c>
      <c r="D18" s="1645" t="s">
        <v>3641</v>
      </c>
      <c r="E18" s="1646" t="s">
        <v>2797</v>
      </c>
      <c r="F18" s="1645">
        <f t="shared" si="1"/>
        <v>1978</v>
      </c>
      <c r="G18" s="1647">
        <v>28782</v>
      </c>
      <c r="H18" s="1644" t="s">
        <v>3642</v>
      </c>
      <c r="I18" s="1648" t="s">
        <v>3629</v>
      </c>
      <c r="J18" s="1645" t="s">
        <v>37</v>
      </c>
      <c r="K18" s="1645">
        <v>0</v>
      </c>
      <c r="L18" s="1645" t="s">
        <v>3681</v>
      </c>
      <c r="M18" s="1645" t="s">
        <v>3682</v>
      </c>
      <c r="N18" s="1645"/>
      <c r="O18" s="1645" t="s">
        <v>3645</v>
      </c>
      <c r="P18" s="1649"/>
      <c r="Q18" s="1645"/>
      <c r="R18" s="1644" t="s">
        <v>3683</v>
      </c>
      <c r="S18" s="1644"/>
      <c r="T18" s="1644"/>
      <c r="U18" s="1644"/>
      <c r="V18" s="1644"/>
      <c r="W18" s="1650" t="s">
        <v>3653</v>
      </c>
      <c r="X18" s="1644" t="s">
        <v>3633</v>
      </c>
      <c r="Y18" s="1647">
        <v>38001</v>
      </c>
      <c r="Z18" s="1647">
        <v>38367</v>
      </c>
      <c r="AA18" s="1650">
        <f t="shared" ca="1" si="2"/>
        <v>14</v>
      </c>
      <c r="AB18" s="2444" t="s">
        <v>3629</v>
      </c>
      <c r="AC18" s="2445"/>
      <c r="AD18" s="2438"/>
    </row>
    <row r="19" spans="1:30" ht="15.75" hidden="1" customHeight="1">
      <c r="A19" s="1644">
        <f t="shared" si="0"/>
        <v>0</v>
      </c>
      <c r="B19" s="1645" t="s">
        <v>3684</v>
      </c>
      <c r="C19" s="1645" t="s">
        <v>3626</v>
      </c>
      <c r="D19" s="1645" t="s">
        <v>3664</v>
      </c>
      <c r="E19" s="1644" t="s">
        <v>2797</v>
      </c>
      <c r="F19" s="1645">
        <f t="shared" si="1"/>
        <v>1981</v>
      </c>
      <c r="G19" s="1647">
        <v>29938</v>
      </c>
      <c r="H19" s="1644" t="s">
        <v>3685</v>
      </c>
      <c r="I19" s="1648" t="s">
        <v>3629</v>
      </c>
      <c r="J19" s="1645" t="s">
        <v>201</v>
      </c>
      <c r="K19" s="1645">
        <v>0</v>
      </c>
      <c r="L19" s="1645" t="s">
        <v>3686</v>
      </c>
      <c r="M19" s="1645">
        <v>0</v>
      </c>
      <c r="N19" s="1645"/>
      <c r="O19" s="1645">
        <v>0</v>
      </c>
      <c r="P19" s="1649"/>
      <c r="Q19" s="1645"/>
      <c r="R19" s="1644"/>
      <c r="S19" s="1644"/>
      <c r="T19" s="1644"/>
      <c r="U19" s="1644"/>
      <c r="V19" s="1644"/>
      <c r="W19" s="1644" t="s">
        <v>3687</v>
      </c>
      <c r="X19" s="1644"/>
      <c r="Y19" s="1647"/>
      <c r="Z19" s="1647"/>
      <c r="AA19" s="1650">
        <f t="shared" ca="1" si="2"/>
        <v>17.166666666666668</v>
      </c>
      <c r="AB19" s="2444" t="s">
        <v>3629</v>
      </c>
      <c r="AC19" s="2445"/>
      <c r="AD19" s="2438"/>
    </row>
    <row r="20" spans="1:30" ht="31.5" hidden="1" customHeight="1">
      <c r="A20" s="1644">
        <f t="shared" si="0"/>
        <v>0</v>
      </c>
      <c r="B20" s="1645" t="s">
        <v>3688</v>
      </c>
      <c r="C20" s="1645" t="s">
        <v>3626</v>
      </c>
      <c r="D20" s="1645" t="s">
        <v>3660</v>
      </c>
      <c r="E20" s="1644" t="s">
        <v>2797</v>
      </c>
      <c r="F20" s="1645">
        <f t="shared" si="1"/>
        <v>1971</v>
      </c>
      <c r="G20" s="1647">
        <v>26117</v>
      </c>
      <c r="H20" s="1644" t="s">
        <v>3685</v>
      </c>
      <c r="I20" s="1648" t="s">
        <v>3629</v>
      </c>
      <c r="J20" s="1645" t="s">
        <v>3670</v>
      </c>
      <c r="K20" s="1645">
        <v>0</v>
      </c>
      <c r="L20" s="1651">
        <v>0</v>
      </c>
      <c r="M20" s="1645">
        <v>0</v>
      </c>
      <c r="N20" s="1645"/>
      <c r="O20" s="1645">
        <v>0</v>
      </c>
      <c r="P20" s="1649"/>
      <c r="Q20" s="1645"/>
      <c r="R20" s="1647" t="s">
        <v>3683</v>
      </c>
      <c r="S20" s="1644"/>
      <c r="T20" s="1644" t="s">
        <v>936</v>
      </c>
      <c r="U20" s="1644"/>
      <c r="V20" s="1644"/>
      <c r="W20" s="1644">
        <v>0</v>
      </c>
      <c r="X20" s="1644"/>
      <c r="Y20" s="1647"/>
      <c r="Z20" s="1647"/>
      <c r="AA20" s="1650">
        <f t="shared" ca="1" si="2"/>
        <v>6.75</v>
      </c>
      <c r="AB20" s="2444" t="s">
        <v>3629</v>
      </c>
      <c r="AC20" s="2445"/>
      <c r="AD20" s="2438"/>
    </row>
    <row r="21" spans="1:30" ht="15.75" hidden="1" customHeight="1">
      <c r="A21" s="1644">
        <f t="shared" si="0"/>
        <v>0</v>
      </c>
      <c r="B21" s="1645" t="s">
        <v>3689</v>
      </c>
      <c r="C21" s="1645" t="s">
        <v>1587</v>
      </c>
      <c r="D21" s="1645" t="s">
        <v>3690</v>
      </c>
      <c r="E21" s="1646" t="s">
        <v>2797</v>
      </c>
      <c r="F21" s="1645">
        <f t="shared" si="1"/>
        <v>1971</v>
      </c>
      <c r="G21" s="1647">
        <v>26145</v>
      </c>
      <c r="H21" s="1644" t="s">
        <v>3628</v>
      </c>
      <c r="I21" s="1648" t="s">
        <v>3629</v>
      </c>
      <c r="J21" s="1645" t="s">
        <v>37</v>
      </c>
      <c r="K21" s="1645">
        <v>0</v>
      </c>
      <c r="L21" s="1645" t="s">
        <v>3691</v>
      </c>
      <c r="M21" s="1645" t="s">
        <v>3692</v>
      </c>
      <c r="N21" s="1645"/>
      <c r="O21" s="1645" t="s">
        <v>3645</v>
      </c>
      <c r="P21" s="1649"/>
      <c r="Q21" s="1645" t="s">
        <v>3693</v>
      </c>
      <c r="R21" s="1644" t="s">
        <v>3683</v>
      </c>
      <c r="S21" s="1644"/>
      <c r="T21" s="1644" t="s">
        <v>936</v>
      </c>
      <c r="U21" s="1644" t="s">
        <v>3631</v>
      </c>
      <c r="V21" s="1644"/>
      <c r="W21" s="1644" t="s">
        <v>936</v>
      </c>
      <c r="X21" s="1644"/>
      <c r="Y21" s="1647">
        <v>36612</v>
      </c>
      <c r="Z21" s="1647">
        <v>36977</v>
      </c>
      <c r="AA21" s="1650">
        <f t="shared" ca="1" si="2"/>
        <v>6.75</v>
      </c>
      <c r="AB21" s="2444" t="s">
        <v>3629</v>
      </c>
      <c r="AC21" s="2445"/>
      <c r="AD21" s="2438"/>
    </row>
    <row r="22" spans="1:30" ht="15.75" hidden="1" customHeight="1">
      <c r="A22" s="1644">
        <f t="shared" si="0"/>
        <v>0</v>
      </c>
      <c r="B22" s="1645" t="s">
        <v>3694</v>
      </c>
      <c r="C22" s="1645" t="s">
        <v>1587</v>
      </c>
      <c r="D22" s="1645" t="s">
        <v>3690</v>
      </c>
      <c r="E22" s="1644" t="s">
        <v>2797</v>
      </c>
      <c r="F22" s="1645">
        <f t="shared" si="1"/>
        <v>1962</v>
      </c>
      <c r="G22" s="1647">
        <v>22914</v>
      </c>
      <c r="H22" s="1644" t="s">
        <v>3628</v>
      </c>
      <c r="I22" s="1648" t="s">
        <v>3629</v>
      </c>
      <c r="J22" s="1645" t="s">
        <v>37</v>
      </c>
      <c r="K22" s="1645">
        <v>0</v>
      </c>
      <c r="L22" s="1645" t="s">
        <v>3691</v>
      </c>
      <c r="M22" s="1645" t="s">
        <v>3692</v>
      </c>
      <c r="N22" s="1645"/>
      <c r="O22" s="1645" t="s">
        <v>3645</v>
      </c>
      <c r="P22" s="1649"/>
      <c r="Q22" s="1645" t="s">
        <v>3693</v>
      </c>
      <c r="R22" s="1647" t="s">
        <v>3683</v>
      </c>
      <c r="S22" s="1644"/>
      <c r="T22" s="1644" t="s">
        <v>936</v>
      </c>
      <c r="U22" s="1644" t="s">
        <v>3631</v>
      </c>
      <c r="V22" s="1644"/>
      <c r="W22" s="1644" t="s">
        <v>3679</v>
      </c>
      <c r="X22" s="1644"/>
      <c r="Y22" s="1647">
        <v>37733</v>
      </c>
      <c r="Z22" s="1647">
        <v>38097</v>
      </c>
      <c r="AA22" s="1650">
        <f t="shared" ca="1" si="2"/>
        <v>-2.0833333333333335</v>
      </c>
      <c r="AB22" s="2444" t="s">
        <v>3629</v>
      </c>
      <c r="AC22" s="2445"/>
      <c r="AD22" s="2438"/>
    </row>
    <row r="23" spans="1:30" ht="15.75" hidden="1" customHeight="1">
      <c r="A23" s="1644">
        <f t="shared" si="0"/>
        <v>0</v>
      </c>
      <c r="B23" s="1645" t="s">
        <v>3695</v>
      </c>
      <c r="C23" s="1645" t="s">
        <v>1587</v>
      </c>
      <c r="D23" s="1645" t="s">
        <v>3690</v>
      </c>
      <c r="E23" s="1646" t="s">
        <v>2797</v>
      </c>
      <c r="F23" s="1645">
        <f t="shared" si="1"/>
        <v>1974</v>
      </c>
      <c r="G23" s="1647">
        <v>27075</v>
      </c>
      <c r="H23" s="1644" t="s">
        <v>3636</v>
      </c>
      <c r="I23" s="1648" t="s">
        <v>3629</v>
      </c>
      <c r="J23" s="1645" t="s">
        <v>37</v>
      </c>
      <c r="K23" s="1645">
        <v>0</v>
      </c>
      <c r="L23" s="1645" t="s">
        <v>3691</v>
      </c>
      <c r="M23" s="1645" t="s">
        <v>3692</v>
      </c>
      <c r="N23" s="1645"/>
      <c r="O23" s="1645" t="s">
        <v>3691</v>
      </c>
      <c r="P23" s="1649"/>
      <c r="Q23" s="1645" t="s">
        <v>3693</v>
      </c>
      <c r="R23" s="1647" t="s">
        <v>3683</v>
      </c>
      <c r="S23" s="1644" t="s">
        <v>3696</v>
      </c>
      <c r="T23" s="1644" t="s">
        <v>936</v>
      </c>
      <c r="U23" s="1644" t="s">
        <v>3697</v>
      </c>
      <c r="V23" s="1644"/>
      <c r="W23" s="1644" t="s">
        <v>936</v>
      </c>
      <c r="X23" s="1644"/>
      <c r="Y23" s="1647">
        <v>39897</v>
      </c>
      <c r="Z23" s="1647">
        <v>36610</v>
      </c>
      <c r="AA23" s="1650">
        <f t="shared" ca="1" si="2"/>
        <v>9.3333333333333339</v>
      </c>
      <c r="AB23" s="2444" t="s">
        <v>3629</v>
      </c>
      <c r="AC23" s="2445"/>
      <c r="AD23" s="2438"/>
    </row>
    <row r="24" spans="1:30" ht="15.75" hidden="1" customHeight="1">
      <c r="A24" s="1644">
        <f t="shared" si="0"/>
        <v>0</v>
      </c>
      <c r="B24" s="1645" t="s">
        <v>3698</v>
      </c>
      <c r="C24" s="1645" t="s">
        <v>1587</v>
      </c>
      <c r="D24" s="1645" t="s">
        <v>3690</v>
      </c>
      <c r="E24" s="1644" t="s">
        <v>2798</v>
      </c>
      <c r="F24" s="1645">
        <f t="shared" si="1"/>
        <v>1975</v>
      </c>
      <c r="G24" s="1647">
        <v>27629</v>
      </c>
      <c r="H24" s="1644" t="s">
        <v>3636</v>
      </c>
      <c r="I24" s="1648" t="s">
        <v>3629</v>
      </c>
      <c r="J24" s="1645" t="s">
        <v>37</v>
      </c>
      <c r="K24" s="1645">
        <v>0</v>
      </c>
      <c r="L24" s="1645" t="s">
        <v>3691</v>
      </c>
      <c r="M24" s="1645" t="s">
        <v>3692</v>
      </c>
      <c r="N24" s="1645"/>
      <c r="O24" s="1645" t="s">
        <v>3645</v>
      </c>
      <c r="P24" s="1649"/>
      <c r="Q24" s="1645" t="s">
        <v>3693</v>
      </c>
      <c r="R24" s="1647" t="s">
        <v>3699</v>
      </c>
      <c r="S24" s="1644"/>
      <c r="T24" s="1644" t="s">
        <v>936</v>
      </c>
      <c r="U24" s="1644"/>
      <c r="V24" s="1644"/>
      <c r="W24" s="1650" t="s">
        <v>3653</v>
      </c>
      <c r="X24" s="1644"/>
      <c r="Y24" s="1647"/>
      <c r="Z24" s="1647"/>
      <c r="AA24" s="1650">
        <f t="shared" ca="1" si="2"/>
        <v>5.833333333333333</v>
      </c>
      <c r="AB24" s="2444" t="s">
        <v>3629</v>
      </c>
      <c r="AC24" s="2445"/>
      <c r="AD24" s="2438"/>
    </row>
    <row r="25" spans="1:30" ht="15.75" hidden="1" customHeight="1">
      <c r="A25" s="1644">
        <f t="shared" si="0"/>
        <v>0</v>
      </c>
      <c r="B25" s="1645" t="s">
        <v>3700</v>
      </c>
      <c r="C25" s="1645" t="s">
        <v>1587</v>
      </c>
      <c r="D25" s="1645" t="s">
        <v>3690</v>
      </c>
      <c r="E25" s="1646" t="s">
        <v>2797</v>
      </c>
      <c r="F25" s="1645">
        <f t="shared" si="1"/>
        <v>1974</v>
      </c>
      <c r="G25" s="1647">
        <v>27230</v>
      </c>
      <c r="H25" s="1644" t="s">
        <v>3628</v>
      </c>
      <c r="I25" s="1648" t="s">
        <v>3629</v>
      </c>
      <c r="J25" s="1645" t="s">
        <v>38</v>
      </c>
      <c r="K25" s="1645">
        <v>0</v>
      </c>
      <c r="L25" s="1645" t="s">
        <v>3691</v>
      </c>
      <c r="M25" s="1645" t="s">
        <v>3692</v>
      </c>
      <c r="N25" s="1645"/>
      <c r="O25" s="1645" t="s">
        <v>3701</v>
      </c>
      <c r="P25" s="1649"/>
      <c r="Q25" s="1645" t="s">
        <v>3693</v>
      </c>
      <c r="R25" s="1647" t="s">
        <v>3702</v>
      </c>
      <c r="S25" s="1644" t="s">
        <v>3696</v>
      </c>
      <c r="T25" s="1644" t="s">
        <v>936</v>
      </c>
      <c r="U25" s="1644" t="s">
        <v>3631</v>
      </c>
      <c r="V25" s="1644"/>
      <c r="W25" s="1650" t="s">
        <v>3653</v>
      </c>
      <c r="X25" s="1644" t="s">
        <v>3633</v>
      </c>
      <c r="Y25" s="1647">
        <v>36605</v>
      </c>
      <c r="Z25" s="1647">
        <v>36970</v>
      </c>
      <c r="AA25" s="1650">
        <f t="shared" ca="1" si="2"/>
        <v>9.75</v>
      </c>
      <c r="AB25" s="2444" t="s">
        <v>3629</v>
      </c>
      <c r="AC25" s="2445"/>
      <c r="AD25" s="2438"/>
    </row>
    <row r="26" spans="1:30" ht="15.75" hidden="1" customHeight="1">
      <c r="A26" s="1644">
        <f t="shared" si="0"/>
        <v>0</v>
      </c>
      <c r="B26" s="1645" t="s">
        <v>3703</v>
      </c>
      <c r="C26" s="1645" t="s">
        <v>1587</v>
      </c>
      <c r="D26" s="1645" t="s">
        <v>3690</v>
      </c>
      <c r="E26" s="1644" t="s">
        <v>2797</v>
      </c>
      <c r="F26" s="1645">
        <f t="shared" si="1"/>
        <v>1990</v>
      </c>
      <c r="G26" s="1647">
        <v>32951</v>
      </c>
      <c r="H26" s="1644" t="s">
        <v>3636</v>
      </c>
      <c r="I26" s="1648" t="s">
        <v>3629</v>
      </c>
      <c r="J26" s="1645" t="s">
        <v>37</v>
      </c>
      <c r="K26" s="1645">
        <v>0</v>
      </c>
      <c r="L26" s="1645" t="s">
        <v>3704</v>
      </c>
      <c r="M26" s="1645" t="s">
        <v>3705</v>
      </c>
      <c r="N26" s="1645"/>
      <c r="O26" s="1645" t="s">
        <v>3645</v>
      </c>
      <c r="P26" s="1649"/>
      <c r="Q26" s="1645" t="s">
        <v>3693</v>
      </c>
      <c r="R26" s="1647" t="s">
        <v>3706</v>
      </c>
      <c r="S26" s="1644"/>
      <c r="T26" s="1644" t="s">
        <v>936</v>
      </c>
      <c r="U26" s="1644"/>
      <c r="V26" s="1644"/>
      <c r="W26" s="1650" t="s">
        <v>3653</v>
      </c>
      <c r="X26" s="1644" t="s">
        <v>3707</v>
      </c>
      <c r="Y26" s="1647">
        <v>40010</v>
      </c>
      <c r="Z26" s="1647">
        <v>40375</v>
      </c>
      <c r="AA26" s="1650">
        <f t="shared" ca="1" si="2"/>
        <v>25.416666666666668</v>
      </c>
      <c r="AB26" s="2444" t="s">
        <v>3629</v>
      </c>
      <c r="AC26" s="2445"/>
      <c r="AD26" s="2438"/>
    </row>
    <row r="27" spans="1:30" ht="15.75" hidden="1" customHeight="1">
      <c r="A27" s="1644">
        <f t="shared" si="0"/>
        <v>0</v>
      </c>
      <c r="B27" s="1645" t="s">
        <v>3708</v>
      </c>
      <c r="C27" s="1645" t="s">
        <v>1587</v>
      </c>
      <c r="D27" s="1645" t="s">
        <v>3690</v>
      </c>
      <c r="E27" s="1646" t="s">
        <v>2797</v>
      </c>
      <c r="F27" s="1645">
        <f t="shared" si="1"/>
        <v>1974</v>
      </c>
      <c r="G27" s="1647">
        <v>27121</v>
      </c>
      <c r="H27" s="1644" t="s">
        <v>3636</v>
      </c>
      <c r="I27" s="1648" t="s">
        <v>3629</v>
      </c>
      <c r="J27" s="1645" t="s">
        <v>37</v>
      </c>
      <c r="K27" s="1645">
        <v>0</v>
      </c>
      <c r="L27" s="1645" t="s">
        <v>3691</v>
      </c>
      <c r="M27" s="1645" t="s">
        <v>3692</v>
      </c>
      <c r="N27" s="1645"/>
      <c r="O27" s="1645" t="s">
        <v>3645</v>
      </c>
      <c r="P27" s="1649"/>
      <c r="Q27" s="1645" t="s">
        <v>3693</v>
      </c>
      <c r="R27" s="1644"/>
      <c r="S27" s="1644" t="s">
        <v>3696</v>
      </c>
      <c r="T27" s="1644" t="s">
        <v>936</v>
      </c>
      <c r="U27" s="1644"/>
      <c r="V27" s="1644"/>
      <c r="W27" s="1650" t="s">
        <v>3646</v>
      </c>
      <c r="X27" s="1644"/>
      <c r="Y27" s="1647">
        <v>38234</v>
      </c>
      <c r="Z27" s="1647">
        <v>38599</v>
      </c>
      <c r="AA27" s="1650">
        <f t="shared" ca="1" si="2"/>
        <v>9.4166666666666661</v>
      </c>
      <c r="AB27" s="2444" t="s">
        <v>3629</v>
      </c>
      <c r="AC27" s="2445"/>
      <c r="AD27" s="2438"/>
    </row>
    <row r="28" spans="1:30" ht="15.75" hidden="1" customHeight="1">
      <c r="A28" s="1644">
        <f t="shared" si="0"/>
        <v>0</v>
      </c>
      <c r="B28" s="1645" t="s">
        <v>3709</v>
      </c>
      <c r="C28" s="1645" t="s">
        <v>1587</v>
      </c>
      <c r="D28" s="1645" t="s">
        <v>3690</v>
      </c>
      <c r="E28" s="1644" t="s">
        <v>2797</v>
      </c>
      <c r="F28" s="1645">
        <f t="shared" si="1"/>
        <v>1981</v>
      </c>
      <c r="G28" s="1647">
        <v>29673</v>
      </c>
      <c r="H28" s="1644" t="s">
        <v>3636</v>
      </c>
      <c r="I28" s="1648" t="s">
        <v>3629</v>
      </c>
      <c r="J28" s="1645" t="s">
        <v>37</v>
      </c>
      <c r="K28" s="1645">
        <v>0</v>
      </c>
      <c r="L28" s="1645" t="s">
        <v>3686</v>
      </c>
      <c r="M28" s="1645" t="s">
        <v>3692</v>
      </c>
      <c r="N28" s="1645"/>
      <c r="O28" s="1645" t="s">
        <v>3645</v>
      </c>
      <c r="P28" s="1649"/>
      <c r="Q28" s="1645" t="s">
        <v>3693</v>
      </c>
      <c r="R28" s="1644" t="s">
        <v>3710</v>
      </c>
      <c r="S28" s="1644"/>
      <c r="T28" s="1644" t="s">
        <v>936</v>
      </c>
      <c r="U28" s="1644" t="s">
        <v>3711</v>
      </c>
      <c r="V28" s="1644"/>
      <c r="W28" s="1650" t="s">
        <v>3653</v>
      </c>
      <c r="X28" s="1644" t="s">
        <v>3712</v>
      </c>
      <c r="Y28" s="1647">
        <v>37694</v>
      </c>
      <c r="Z28" s="1647">
        <v>38060</v>
      </c>
      <c r="AA28" s="1650">
        <f t="shared" ca="1" si="2"/>
        <v>16.416666666666668</v>
      </c>
      <c r="AB28" s="2444" t="s">
        <v>3629</v>
      </c>
      <c r="AC28" s="2445"/>
      <c r="AD28" s="2438"/>
    </row>
    <row r="29" spans="1:30" ht="15.75" hidden="1" customHeight="1">
      <c r="A29" s="1644">
        <f t="shared" si="0"/>
        <v>0</v>
      </c>
      <c r="B29" s="1645" t="s">
        <v>3713</v>
      </c>
      <c r="C29" s="1645" t="s">
        <v>1587</v>
      </c>
      <c r="D29" s="1645" t="s">
        <v>3714</v>
      </c>
      <c r="E29" s="1646" t="s">
        <v>2798</v>
      </c>
      <c r="F29" s="1645">
        <f t="shared" si="1"/>
        <v>1973</v>
      </c>
      <c r="G29" s="1647">
        <v>26782</v>
      </c>
      <c r="H29" s="1644" t="s">
        <v>3628</v>
      </c>
      <c r="I29" s="1648" t="s">
        <v>3629</v>
      </c>
      <c r="J29" s="1645" t="s">
        <v>37</v>
      </c>
      <c r="K29" s="1645">
        <v>0</v>
      </c>
      <c r="L29" s="1645" t="s">
        <v>3686</v>
      </c>
      <c r="M29" s="1645" t="s">
        <v>3692</v>
      </c>
      <c r="N29" s="1645"/>
      <c r="O29" s="1645" t="s">
        <v>3645</v>
      </c>
      <c r="P29" s="1649"/>
      <c r="Q29" s="1645" t="s">
        <v>3693</v>
      </c>
      <c r="R29" s="1647" t="s">
        <v>3710</v>
      </c>
      <c r="S29" s="1644"/>
      <c r="T29" s="1644" t="s">
        <v>936</v>
      </c>
      <c r="U29" s="1644" t="s">
        <v>3631</v>
      </c>
      <c r="V29" s="1644"/>
      <c r="W29" s="1644" t="s">
        <v>936</v>
      </c>
      <c r="X29" s="1644"/>
      <c r="Y29" s="1647">
        <v>39574</v>
      </c>
      <c r="Z29" s="1647">
        <v>39939</v>
      </c>
      <c r="AA29" s="1650">
        <f t="shared" ca="1" si="2"/>
        <v>3.5</v>
      </c>
      <c r="AB29" s="2444" t="s">
        <v>3629</v>
      </c>
      <c r="AC29" s="2445"/>
      <c r="AD29" s="2438"/>
    </row>
    <row r="30" spans="1:30" ht="15.75" hidden="1" customHeight="1">
      <c r="A30" s="1644">
        <f t="shared" si="0"/>
        <v>0</v>
      </c>
      <c r="B30" s="1645" t="s">
        <v>3715</v>
      </c>
      <c r="C30" s="1645" t="s">
        <v>1587</v>
      </c>
      <c r="D30" s="1645" t="s">
        <v>3714</v>
      </c>
      <c r="E30" s="1646" t="s">
        <v>2798</v>
      </c>
      <c r="F30" s="1645">
        <f t="shared" si="1"/>
        <v>1986</v>
      </c>
      <c r="G30" s="1647">
        <v>31627</v>
      </c>
      <c r="H30" s="1644" t="s">
        <v>3636</v>
      </c>
      <c r="I30" s="1648" t="s">
        <v>3629</v>
      </c>
      <c r="J30" s="1645" t="s">
        <v>38</v>
      </c>
      <c r="K30" s="1645">
        <v>0</v>
      </c>
      <c r="L30" s="1645" t="s">
        <v>3716</v>
      </c>
      <c r="M30" s="1645" t="s">
        <v>3717</v>
      </c>
      <c r="N30" s="1645"/>
      <c r="O30" s="1645" t="s">
        <v>3645</v>
      </c>
      <c r="P30" s="1653" t="s">
        <v>3718</v>
      </c>
      <c r="Q30" s="1645" t="s">
        <v>3693</v>
      </c>
      <c r="R30" s="1647" t="s">
        <v>3683</v>
      </c>
      <c r="S30" s="1644"/>
      <c r="T30" s="1644" t="s">
        <v>936</v>
      </c>
      <c r="U30" s="1644" t="s">
        <v>3711</v>
      </c>
      <c r="V30" s="1644"/>
      <c r="W30" s="1650" t="s">
        <v>3646</v>
      </c>
      <c r="X30" s="1644" t="s">
        <v>3707</v>
      </c>
      <c r="Y30" s="1647">
        <v>38908</v>
      </c>
      <c r="Z30" s="1647">
        <v>38908</v>
      </c>
      <c r="AA30" s="1650">
        <f t="shared" ca="1" si="2"/>
        <v>16.833333333333332</v>
      </c>
      <c r="AB30" s="2444" t="s">
        <v>3629</v>
      </c>
      <c r="AC30" s="2445"/>
      <c r="AD30" s="2438"/>
    </row>
    <row r="31" spans="1:30" ht="15.75" hidden="1" customHeight="1">
      <c r="A31" s="1644">
        <f t="shared" si="0"/>
        <v>0</v>
      </c>
      <c r="B31" s="1645" t="s">
        <v>3719</v>
      </c>
      <c r="C31" s="1645" t="s">
        <v>1587</v>
      </c>
      <c r="D31" s="1645" t="s">
        <v>3714</v>
      </c>
      <c r="E31" s="1644" t="s">
        <v>2797</v>
      </c>
      <c r="F31" s="1645">
        <f t="shared" si="1"/>
        <v>1963</v>
      </c>
      <c r="G31" s="1647">
        <v>23073</v>
      </c>
      <c r="H31" s="1644" t="s">
        <v>3628</v>
      </c>
      <c r="I31" s="1648" t="s">
        <v>3629</v>
      </c>
      <c r="J31" s="1645" t="s">
        <v>38</v>
      </c>
      <c r="K31" s="1645">
        <v>0</v>
      </c>
      <c r="L31" s="1645" t="s">
        <v>3720</v>
      </c>
      <c r="M31" s="1645" t="s">
        <v>3692</v>
      </c>
      <c r="N31" s="1645"/>
      <c r="O31" s="1645" t="s">
        <v>3692</v>
      </c>
      <c r="P31" s="1649"/>
      <c r="Q31" s="1645" t="s">
        <v>3693</v>
      </c>
      <c r="R31" s="1647" t="s">
        <v>3699</v>
      </c>
      <c r="S31" s="1644" t="s">
        <v>3696</v>
      </c>
      <c r="T31" s="1644" t="s">
        <v>936</v>
      </c>
      <c r="U31" s="1644" t="s">
        <v>3631</v>
      </c>
      <c r="V31" s="1644"/>
      <c r="W31" s="1650" t="s">
        <v>3632</v>
      </c>
      <c r="X31" s="1644" t="s">
        <v>3633</v>
      </c>
      <c r="Y31" s="1647">
        <v>37877</v>
      </c>
      <c r="Z31" s="1647">
        <v>38243</v>
      </c>
      <c r="AA31" s="1650">
        <f t="shared" ca="1" si="2"/>
        <v>-1.5833333333333333</v>
      </c>
      <c r="AB31" s="2444" t="s">
        <v>3629</v>
      </c>
      <c r="AC31" s="2445"/>
      <c r="AD31" s="2438"/>
    </row>
    <row r="32" spans="1:30" ht="15.75" hidden="1" customHeight="1">
      <c r="A32" s="1644">
        <f t="shared" si="0"/>
        <v>0</v>
      </c>
      <c r="B32" s="1645" t="s">
        <v>3721</v>
      </c>
      <c r="C32" s="1645" t="s">
        <v>1587</v>
      </c>
      <c r="D32" s="1645" t="s">
        <v>3714</v>
      </c>
      <c r="E32" s="1644" t="s">
        <v>2797</v>
      </c>
      <c r="F32" s="1645">
        <f t="shared" si="1"/>
        <v>1982</v>
      </c>
      <c r="G32" s="1647">
        <v>29984</v>
      </c>
      <c r="H32" s="1644" t="s">
        <v>3628</v>
      </c>
      <c r="I32" s="1648" t="s">
        <v>3629</v>
      </c>
      <c r="J32" s="1645" t="s">
        <v>38</v>
      </c>
      <c r="K32" s="1645">
        <v>0</v>
      </c>
      <c r="L32" s="1645" t="s">
        <v>3704</v>
      </c>
      <c r="M32" s="1645" t="s">
        <v>3692</v>
      </c>
      <c r="N32" s="1645"/>
      <c r="O32" s="1645" t="s">
        <v>3705</v>
      </c>
      <c r="P32" s="1649"/>
      <c r="Q32" s="1645" t="s">
        <v>3693</v>
      </c>
      <c r="R32" s="1647" t="s">
        <v>3722</v>
      </c>
      <c r="S32" s="1644" t="s">
        <v>3696</v>
      </c>
      <c r="T32" s="1644" t="s">
        <v>936</v>
      </c>
      <c r="U32" s="1644" t="s">
        <v>3631</v>
      </c>
      <c r="V32" s="1644"/>
      <c r="W32" s="1650" t="s">
        <v>3653</v>
      </c>
      <c r="X32" s="1644" t="s">
        <v>3633</v>
      </c>
      <c r="Y32" s="1647">
        <v>39886</v>
      </c>
      <c r="Z32" s="1647">
        <v>36599</v>
      </c>
      <c r="AA32" s="1650">
        <f t="shared" ca="1" si="2"/>
        <v>17.25</v>
      </c>
      <c r="AB32" s="2444" t="s">
        <v>3629</v>
      </c>
      <c r="AC32" s="2445"/>
      <c r="AD32" s="2438"/>
    </row>
    <row r="33" spans="1:30" ht="15.75" hidden="1" customHeight="1">
      <c r="A33" s="1644">
        <f t="shared" si="0"/>
        <v>0</v>
      </c>
      <c r="B33" s="1645" t="s">
        <v>3723</v>
      </c>
      <c r="C33" s="1645" t="s">
        <v>1587</v>
      </c>
      <c r="D33" s="1645" t="s">
        <v>3724</v>
      </c>
      <c r="E33" s="1646" t="s">
        <v>2797</v>
      </c>
      <c r="F33" s="1645">
        <f t="shared" si="1"/>
        <v>1971</v>
      </c>
      <c r="G33" s="1647">
        <v>26284</v>
      </c>
      <c r="H33" s="1644" t="s">
        <v>3636</v>
      </c>
      <c r="I33" s="1648" t="s">
        <v>3629</v>
      </c>
      <c r="J33" s="1645" t="s">
        <v>37</v>
      </c>
      <c r="K33" s="1645">
        <v>0</v>
      </c>
      <c r="L33" s="1645" t="s">
        <v>3691</v>
      </c>
      <c r="M33" s="1645" t="s">
        <v>3692</v>
      </c>
      <c r="N33" s="1645"/>
      <c r="O33" s="1645" t="s">
        <v>3645</v>
      </c>
      <c r="P33" s="1649"/>
      <c r="Q33" s="1645" t="s">
        <v>3693</v>
      </c>
      <c r="R33" s="1644"/>
      <c r="S33" s="1644" t="s">
        <v>3696</v>
      </c>
      <c r="T33" s="1644" t="s">
        <v>936</v>
      </c>
      <c r="U33" s="1644"/>
      <c r="V33" s="1644"/>
      <c r="W33" s="1650" t="s">
        <v>3653</v>
      </c>
      <c r="X33" s="1644"/>
      <c r="Y33" s="1647">
        <v>36246</v>
      </c>
      <c r="Z33" s="1647">
        <v>36612</v>
      </c>
      <c r="AA33" s="1650">
        <f t="shared" ca="1" si="2"/>
        <v>7.166666666666667</v>
      </c>
      <c r="AB33" s="2444" t="s">
        <v>3629</v>
      </c>
      <c r="AC33" s="2445"/>
      <c r="AD33" s="2438"/>
    </row>
    <row r="34" spans="1:30" ht="15.75" hidden="1" customHeight="1">
      <c r="A34" s="1644">
        <f t="shared" si="0"/>
        <v>0</v>
      </c>
      <c r="B34" s="1645" t="s">
        <v>3725</v>
      </c>
      <c r="C34" s="1645" t="s">
        <v>1587</v>
      </c>
      <c r="D34" s="1645" t="s">
        <v>3724</v>
      </c>
      <c r="E34" s="1644" t="s">
        <v>2797</v>
      </c>
      <c r="F34" s="1645">
        <f t="shared" si="1"/>
        <v>1980</v>
      </c>
      <c r="G34" s="1647">
        <v>29400</v>
      </c>
      <c r="H34" s="1644" t="s">
        <v>3636</v>
      </c>
      <c r="I34" s="1648" t="s">
        <v>3629</v>
      </c>
      <c r="J34" s="1645" t="s">
        <v>37</v>
      </c>
      <c r="K34" s="1645">
        <v>0</v>
      </c>
      <c r="L34" s="1645" t="s">
        <v>3716</v>
      </c>
      <c r="M34" s="1645" t="s">
        <v>3717</v>
      </c>
      <c r="N34" s="1645"/>
      <c r="O34" s="1645" t="s">
        <v>3645</v>
      </c>
      <c r="P34" s="1649"/>
      <c r="Q34" s="1645" t="s">
        <v>3693</v>
      </c>
      <c r="R34" s="1644"/>
      <c r="S34" s="1644"/>
      <c r="T34" s="1644" t="s">
        <v>936</v>
      </c>
      <c r="U34" s="1644"/>
      <c r="V34" s="1644"/>
      <c r="W34" s="1650" t="s">
        <v>3653</v>
      </c>
      <c r="X34" s="1644"/>
      <c r="Y34" s="1647">
        <v>39122</v>
      </c>
      <c r="Z34" s="1647">
        <v>39487</v>
      </c>
      <c r="AA34" s="1650">
        <f t="shared" ca="1" si="2"/>
        <v>15.666666666666666</v>
      </c>
      <c r="AB34" s="2444" t="s">
        <v>3629</v>
      </c>
      <c r="AC34" s="2445"/>
      <c r="AD34" s="2438"/>
    </row>
    <row r="35" spans="1:30" ht="15.75" hidden="1" customHeight="1">
      <c r="A35" s="1644">
        <f t="shared" si="0"/>
        <v>0</v>
      </c>
      <c r="B35" s="1645" t="s">
        <v>3726</v>
      </c>
      <c r="C35" s="1645" t="s">
        <v>1587</v>
      </c>
      <c r="D35" s="1645" t="s">
        <v>3724</v>
      </c>
      <c r="E35" s="1644" t="s">
        <v>2798</v>
      </c>
      <c r="F35" s="1645">
        <f t="shared" si="1"/>
        <v>1990</v>
      </c>
      <c r="G35" s="1647">
        <v>33223</v>
      </c>
      <c r="H35" s="1644" t="s">
        <v>3636</v>
      </c>
      <c r="I35" s="1648" t="s">
        <v>3629</v>
      </c>
      <c r="J35" s="1645" t="s">
        <v>37</v>
      </c>
      <c r="K35" s="1645"/>
      <c r="L35" s="1645" t="s">
        <v>3716</v>
      </c>
      <c r="M35" s="1645" t="s">
        <v>3717</v>
      </c>
      <c r="N35" s="1645"/>
      <c r="O35" s="1645">
        <v>0</v>
      </c>
      <c r="P35" s="1649"/>
      <c r="Q35" s="1645" t="s">
        <v>3693</v>
      </c>
      <c r="R35" s="1647" t="s">
        <v>3727</v>
      </c>
      <c r="S35" s="1644" t="s">
        <v>3696</v>
      </c>
      <c r="T35" s="1644">
        <v>2018</v>
      </c>
      <c r="U35" s="1644"/>
      <c r="V35" s="1644"/>
      <c r="W35" s="1650" t="s">
        <v>3646</v>
      </c>
      <c r="X35" s="1644"/>
      <c r="Y35" s="1647">
        <v>40283</v>
      </c>
      <c r="Z35" s="1647">
        <v>40648</v>
      </c>
      <c r="AA35" s="1650">
        <f t="shared" ca="1" si="2"/>
        <v>21.166666666666668</v>
      </c>
      <c r="AB35" s="2444" t="s">
        <v>3629</v>
      </c>
      <c r="AC35" s="2445"/>
      <c r="AD35" s="2438"/>
    </row>
    <row r="36" spans="1:30" ht="15.75" hidden="1" customHeight="1">
      <c r="A36" s="1644">
        <f t="shared" si="0"/>
        <v>0</v>
      </c>
      <c r="B36" s="1645" t="s">
        <v>3728</v>
      </c>
      <c r="C36" s="1645" t="s">
        <v>1587</v>
      </c>
      <c r="D36" s="1645" t="s">
        <v>3724</v>
      </c>
      <c r="E36" s="1646" t="s">
        <v>2797</v>
      </c>
      <c r="F36" s="1645">
        <f t="shared" si="1"/>
        <v>1975</v>
      </c>
      <c r="G36" s="1647">
        <v>27734</v>
      </c>
      <c r="H36" s="1644" t="s">
        <v>3628</v>
      </c>
      <c r="I36" s="1648" t="s">
        <v>3629</v>
      </c>
      <c r="J36" s="1645" t="s">
        <v>38</v>
      </c>
      <c r="K36" s="1645">
        <v>0</v>
      </c>
      <c r="L36" s="1645" t="s">
        <v>3686</v>
      </c>
      <c r="M36" s="1645" t="s">
        <v>3729</v>
      </c>
      <c r="N36" s="1645"/>
      <c r="O36" s="1645" t="s">
        <v>3729</v>
      </c>
      <c r="P36" s="1649"/>
      <c r="Q36" s="1645" t="s">
        <v>3693</v>
      </c>
      <c r="R36" s="1647" t="s">
        <v>3730</v>
      </c>
      <c r="S36" s="1644" t="s">
        <v>3696</v>
      </c>
      <c r="T36" s="1644">
        <v>0</v>
      </c>
      <c r="U36" s="1644" t="s">
        <v>3697</v>
      </c>
      <c r="V36" s="1644"/>
      <c r="W36" s="1650" t="s">
        <v>3653</v>
      </c>
      <c r="X36" s="1644" t="s">
        <v>3633</v>
      </c>
      <c r="Y36" s="1647">
        <v>38877</v>
      </c>
      <c r="Z36" s="1647">
        <v>39242</v>
      </c>
      <c r="AA36" s="1650">
        <f t="shared" ca="1" si="2"/>
        <v>11.166666666666666</v>
      </c>
      <c r="AB36" s="2444" t="s">
        <v>3629</v>
      </c>
      <c r="AC36" s="2445"/>
      <c r="AD36" s="2438"/>
    </row>
    <row r="37" spans="1:30" ht="15.75" hidden="1" customHeight="1">
      <c r="A37" s="1644">
        <f t="shared" si="0"/>
        <v>0</v>
      </c>
      <c r="B37" s="1645" t="s">
        <v>3731</v>
      </c>
      <c r="C37" s="1645" t="s">
        <v>1587</v>
      </c>
      <c r="D37" s="1645" t="s">
        <v>3724</v>
      </c>
      <c r="E37" s="1644" t="s">
        <v>2798</v>
      </c>
      <c r="F37" s="1645">
        <f t="shared" si="1"/>
        <v>1987</v>
      </c>
      <c r="G37" s="1647">
        <v>32129</v>
      </c>
      <c r="H37" s="1644" t="s">
        <v>3636</v>
      </c>
      <c r="I37" s="1648" t="s">
        <v>3629</v>
      </c>
      <c r="J37" s="1645" t="s">
        <v>37</v>
      </c>
      <c r="K37" s="1645">
        <v>0</v>
      </c>
      <c r="L37" s="1645" t="s">
        <v>3686</v>
      </c>
      <c r="M37" s="1645" t="s">
        <v>3692</v>
      </c>
      <c r="N37" s="1645"/>
      <c r="O37" s="1645" t="s">
        <v>3645</v>
      </c>
      <c r="P37" s="1649"/>
      <c r="Q37" s="1645"/>
      <c r="R37" s="1647" t="s">
        <v>3683</v>
      </c>
      <c r="S37" s="1644"/>
      <c r="T37" s="1644" t="s">
        <v>936</v>
      </c>
      <c r="U37" s="1644"/>
      <c r="V37" s="1644"/>
      <c r="W37" s="1644">
        <v>0</v>
      </c>
      <c r="X37" s="1644"/>
      <c r="Y37" s="1647"/>
      <c r="Z37" s="1647"/>
      <c r="AA37" s="1650">
        <f t="shared" ca="1" si="2"/>
        <v>18.166666666666668</v>
      </c>
      <c r="AB37" s="2444" t="s">
        <v>3629</v>
      </c>
      <c r="AC37" s="2445"/>
      <c r="AD37" s="2438"/>
    </row>
    <row r="38" spans="1:30" ht="15.75" hidden="1" customHeight="1">
      <c r="A38" s="1644">
        <f t="shared" si="0"/>
        <v>0</v>
      </c>
      <c r="B38" s="1645" t="s">
        <v>3732</v>
      </c>
      <c r="C38" s="1645" t="s">
        <v>1587</v>
      </c>
      <c r="D38" s="1645" t="s">
        <v>3724</v>
      </c>
      <c r="E38" s="1646" t="s">
        <v>2798</v>
      </c>
      <c r="F38" s="1645">
        <f t="shared" si="1"/>
        <v>1976</v>
      </c>
      <c r="G38" s="1647">
        <v>27841</v>
      </c>
      <c r="H38" s="1644" t="s">
        <v>3636</v>
      </c>
      <c r="I38" s="1648" t="s">
        <v>3629</v>
      </c>
      <c r="J38" s="1645" t="s">
        <v>37</v>
      </c>
      <c r="K38" s="1645">
        <v>0</v>
      </c>
      <c r="L38" s="1645" t="s">
        <v>3691</v>
      </c>
      <c r="M38" s="1645" t="s">
        <v>3692</v>
      </c>
      <c r="N38" s="1645"/>
      <c r="O38" s="1645" t="s">
        <v>3645</v>
      </c>
      <c r="P38" s="1649"/>
      <c r="Q38" s="1645" t="s">
        <v>3693</v>
      </c>
      <c r="R38" s="1647" t="s">
        <v>3683</v>
      </c>
      <c r="S38" s="1644" t="s">
        <v>3696</v>
      </c>
      <c r="T38" s="1644" t="s">
        <v>936</v>
      </c>
      <c r="U38" s="1644"/>
      <c r="V38" s="1644"/>
      <c r="W38" s="1650" t="s">
        <v>3646</v>
      </c>
      <c r="X38" s="1644"/>
      <c r="Y38" s="1647">
        <v>40637</v>
      </c>
      <c r="Z38" s="1647">
        <v>41003</v>
      </c>
      <c r="AA38" s="1650">
        <f t="shared" ca="1" si="2"/>
        <v>6.416666666666667</v>
      </c>
      <c r="AB38" s="2444" t="s">
        <v>3629</v>
      </c>
      <c r="AC38" s="2445"/>
      <c r="AD38" s="2438"/>
    </row>
    <row r="39" spans="1:30" ht="15.75" hidden="1" customHeight="1">
      <c r="A39" s="1644">
        <f t="shared" si="0"/>
        <v>0</v>
      </c>
      <c r="B39" s="1645" t="s">
        <v>3733</v>
      </c>
      <c r="C39" s="1645" t="s">
        <v>1587</v>
      </c>
      <c r="D39" s="1645" t="s">
        <v>3724</v>
      </c>
      <c r="E39" s="1644" t="s">
        <v>2797</v>
      </c>
      <c r="F39" s="1645">
        <f t="shared" si="1"/>
        <v>1980</v>
      </c>
      <c r="G39" s="1647">
        <v>29347</v>
      </c>
      <c r="H39" s="1644" t="s">
        <v>3628</v>
      </c>
      <c r="I39" s="1648" t="s">
        <v>3629</v>
      </c>
      <c r="J39" s="1645" t="s">
        <v>38</v>
      </c>
      <c r="K39" s="1645">
        <v>0</v>
      </c>
      <c r="L39" s="1645" t="s">
        <v>3704</v>
      </c>
      <c r="M39" s="1645" t="s">
        <v>3717</v>
      </c>
      <c r="N39" s="1645"/>
      <c r="O39" s="1645" t="s">
        <v>3645</v>
      </c>
      <c r="P39" s="1649">
        <v>44136</v>
      </c>
      <c r="Q39" s="1645" t="s">
        <v>3693</v>
      </c>
      <c r="R39" s="1647" t="s">
        <v>3734</v>
      </c>
      <c r="S39" s="1644"/>
      <c r="T39" s="1644" t="s">
        <v>936</v>
      </c>
      <c r="U39" s="1644" t="s">
        <v>3711</v>
      </c>
      <c r="V39" s="1644"/>
      <c r="W39" s="1650" t="s">
        <v>3646</v>
      </c>
      <c r="X39" s="1644" t="s">
        <v>3707</v>
      </c>
      <c r="Y39" s="1647">
        <v>37966</v>
      </c>
      <c r="Z39" s="1647">
        <v>38332</v>
      </c>
      <c r="AA39" s="1650">
        <f t="shared" ca="1" si="2"/>
        <v>15.583333333333334</v>
      </c>
      <c r="AB39" s="2444" t="s">
        <v>3629</v>
      </c>
      <c r="AC39" s="2445"/>
      <c r="AD39" s="2438"/>
    </row>
    <row r="40" spans="1:30" ht="15.75" hidden="1" customHeight="1">
      <c r="A40" s="1644">
        <f t="shared" si="0"/>
        <v>0</v>
      </c>
      <c r="B40" s="1645" t="s">
        <v>3735</v>
      </c>
      <c r="C40" s="1645" t="s">
        <v>3736</v>
      </c>
      <c r="D40" s="1645" t="s">
        <v>3660</v>
      </c>
      <c r="E40" s="1646" t="s">
        <v>2797</v>
      </c>
      <c r="F40" s="1645">
        <f t="shared" si="1"/>
        <v>1972</v>
      </c>
      <c r="G40" s="1647">
        <v>26427</v>
      </c>
      <c r="H40" s="1644" t="s">
        <v>3642</v>
      </c>
      <c r="I40" s="1648" t="s">
        <v>3629</v>
      </c>
      <c r="J40" s="1645" t="s">
        <v>201</v>
      </c>
      <c r="K40" s="1645">
        <v>0</v>
      </c>
      <c r="L40" s="1645" t="s">
        <v>3737</v>
      </c>
      <c r="M40" s="1645">
        <v>0</v>
      </c>
      <c r="N40" s="1645"/>
      <c r="O40" s="1645" t="s">
        <v>3645</v>
      </c>
      <c r="P40" s="1649"/>
      <c r="Q40" s="1645"/>
      <c r="R40" s="1644"/>
      <c r="S40" s="1644"/>
      <c r="T40" s="1644"/>
      <c r="U40" s="1644"/>
      <c r="V40" s="1644"/>
      <c r="W40" s="1650" t="s">
        <v>3653</v>
      </c>
      <c r="X40" s="1644"/>
      <c r="Y40" s="1647">
        <v>37903</v>
      </c>
      <c r="Z40" s="1647">
        <v>38269</v>
      </c>
      <c r="AA40" s="1650">
        <f t="shared" ca="1" si="2"/>
        <v>7.583333333333333</v>
      </c>
      <c r="AB40" s="2444" t="s">
        <v>3629</v>
      </c>
      <c r="AC40" s="2445"/>
      <c r="AD40" s="2438"/>
    </row>
    <row r="41" spans="1:30" ht="15.75" hidden="1" customHeight="1">
      <c r="A41" s="1644">
        <f t="shared" si="0"/>
        <v>0</v>
      </c>
      <c r="B41" s="1645" t="s">
        <v>3738</v>
      </c>
      <c r="C41" s="1645" t="s">
        <v>3739</v>
      </c>
      <c r="D41" s="1645" t="s">
        <v>3740</v>
      </c>
      <c r="E41" s="1644" t="s">
        <v>2798</v>
      </c>
      <c r="F41" s="1645">
        <f t="shared" si="1"/>
        <v>1986</v>
      </c>
      <c r="G41" s="1647">
        <v>31642</v>
      </c>
      <c r="H41" s="1644" t="s">
        <v>3636</v>
      </c>
      <c r="I41" s="1648" t="s">
        <v>3629</v>
      </c>
      <c r="J41" s="1645" t="s">
        <v>37</v>
      </c>
      <c r="K41" s="1645"/>
      <c r="L41" s="1645" t="s">
        <v>3741</v>
      </c>
      <c r="M41" s="1645" t="s">
        <v>3742</v>
      </c>
      <c r="N41" s="1645"/>
      <c r="O41" s="1645">
        <v>0</v>
      </c>
      <c r="P41" s="1649"/>
      <c r="Q41" s="1645"/>
      <c r="R41" s="1644"/>
      <c r="S41" s="1644" t="s">
        <v>3743</v>
      </c>
      <c r="T41" s="1644" t="s">
        <v>936</v>
      </c>
      <c r="U41" s="1644" t="s">
        <v>3744</v>
      </c>
      <c r="V41" s="1644" t="s">
        <v>3649</v>
      </c>
      <c r="W41" s="1644">
        <v>0</v>
      </c>
      <c r="X41" s="1644"/>
      <c r="Y41" s="1647"/>
      <c r="Z41" s="1647"/>
      <c r="AA41" s="1650">
        <f t="shared" ca="1" si="2"/>
        <v>16.833333333333332</v>
      </c>
      <c r="AB41" s="2444" t="s">
        <v>3629</v>
      </c>
      <c r="AC41" s="2445"/>
      <c r="AD41" s="2438"/>
    </row>
    <row r="42" spans="1:30" ht="15.75" hidden="1" customHeight="1">
      <c r="A42" s="1644">
        <f t="shared" si="0"/>
        <v>0</v>
      </c>
      <c r="B42" s="1645" t="s">
        <v>3745</v>
      </c>
      <c r="C42" s="1645" t="s">
        <v>3739</v>
      </c>
      <c r="D42" s="1645" t="s">
        <v>3740</v>
      </c>
      <c r="E42" s="1644" t="s">
        <v>2797</v>
      </c>
      <c r="F42" s="1645">
        <f t="shared" si="1"/>
        <v>1990</v>
      </c>
      <c r="G42" s="1647">
        <v>33050</v>
      </c>
      <c r="H42" s="1644" t="s">
        <v>3636</v>
      </c>
      <c r="I42" s="1648" t="s">
        <v>3746</v>
      </c>
      <c r="J42" s="1645" t="s">
        <v>37</v>
      </c>
      <c r="K42" s="1645">
        <v>0</v>
      </c>
      <c r="L42" s="1645" t="s">
        <v>1580</v>
      </c>
      <c r="M42" s="1645" t="s">
        <v>3741</v>
      </c>
      <c r="N42" s="1645"/>
      <c r="O42" s="1645">
        <v>0</v>
      </c>
      <c r="P42" s="1649"/>
      <c r="Q42" s="1645" t="s">
        <v>3693</v>
      </c>
      <c r="R42" s="1644" t="s">
        <v>3747</v>
      </c>
      <c r="S42" s="1644"/>
      <c r="T42" s="1644" t="s">
        <v>936</v>
      </c>
      <c r="U42" s="1644"/>
      <c r="V42" s="1644"/>
      <c r="W42" s="1644">
        <v>0</v>
      </c>
      <c r="X42" s="1644"/>
      <c r="Y42" s="1647"/>
      <c r="Z42" s="1647"/>
      <c r="AA42" s="1650">
        <f t="shared" ca="1" si="2"/>
        <v>25.666666666666668</v>
      </c>
      <c r="AB42" s="2444" t="s">
        <v>3629</v>
      </c>
      <c r="AC42" s="2445"/>
      <c r="AD42" s="2438"/>
    </row>
    <row r="43" spans="1:30" ht="15.75" hidden="1" customHeight="1">
      <c r="A43" s="1644">
        <f t="shared" si="0"/>
        <v>0</v>
      </c>
      <c r="B43" s="1645" t="s">
        <v>3748</v>
      </c>
      <c r="C43" s="1645" t="s">
        <v>3739</v>
      </c>
      <c r="D43" s="1645" t="s">
        <v>3740</v>
      </c>
      <c r="E43" s="1644" t="s">
        <v>2797</v>
      </c>
      <c r="F43" s="1645">
        <f t="shared" si="1"/>
        <v>1990</v>
      </c>
      <c r="G43" s="1647">
        <v>33192</v>
      </c>
      <c r="H43" s="1644" t="s">
        <v>3636</v>
      </c>
      <c r="I43" s="1648" t="s">
        <v>3629</v>
      </c>
      <c r="J43" s="1645" t="s">
        <v>37</v>
      </c>
      <c r="K43" s="1645">
        <v>0</v>
      </c>
      <c r="L43" s="1645" t="s">
        <v>3741</v>
      </c>
      <c r="M43" s="1645" t="s">
        <v>3741</v>
      </c>
      <c r="N43" s="1645"/>
      <c r="O43" s="1645" t="s">
        <v>3645</v>
      </c>
      <c r="P43" s="1649"/>
      <c r="Q43" s="1645" t="s">
        <v>3693</v>
      </c>
      <c r="R43" s="1644" t="s">
        <v>3747</v>
      </c>
      <c r="S43" s="1644"/>
      <c r="T43" s="1644" t="s">
        <v>936</v>
      </c>
      <c r="U43" s="1644"/>
      <c r="V43" s="1644"/>
      <c r="W43" s="1644">
        <v>0</v>
      </c>
      <c r="X43" s="1644"/>
      <c r="Y43" s="1647">
        <v>43006</v>
      </c>
      <c r="Z43" s="1647">
        <v>43737</v>
      </c>
      <c r="AA43" s="1650">
        <f t="shared" ca="1" si="2"/>
        <v>26.083333333333332</v>
      </c>
      <c r="AB43" s="2444" t="s">
        <v>3629</v>
      </c>
      <c r="AC43" s="2445"/>
      <c r="AD43" s="2438"/>
    </row>
    <row r="44" spans="1:30" ht="15.75" hidden="1" customHeight="1">
      <c r="A44" s="1644">
        <f t="shared" si="0"/>
        <v>0</v>
      </c>
      <c r="B44" s="1645" t="s">
        <v>3749</v>
      </c>
      <c r="C44" s="1645" t="s">
        <v>3739</v>
      </c>
      <c r="D44" s="1645" t="s">
        <v>3740</v>
      </c>
      <c r="E44" s="1646" t="s">
        <v>2798</v>
      </c>
      <c r="F44" s="1645">
        <f t="shared" si="1"/>
        <v>1975</v>
      </c>
      <c r="G44" s="1647">
        <v>27398</v>
      </c>
      <c r="H44" s="1644" t="s">
        <v>3636</v>
      </c>
      <c r="I44" s="1648" t="s">
        <v>3629</v>
      </c>
      <c r="J44" s="1645" t="s">
        <v>37</v>
      </c>
      <c r="K44" s="1645">
        <v>0</v>
      </c>
      <c r="L44" s="1645" t="s">
        <v>3741</v>
      </c>
      <c r="M44" s="1645" t="s">
        <v>3741</v>
      </c>
      <c r="N44" s="1645"/>
      <c r="O44" s="1645" t="s">
        <v>3645</v>
      </c>
      <c r="P44" s="1649"/>
      <c r="Q44" s="1645" t="s">
        <v>3693</v>
      </c>
      <c r="R44" s="1644" t="s">
        <v>3747</v>
      </c>
      <c r="S44" s="1644"/>
      <c r="T44" s="1644" t="s">
        <v>936</v>
      </c>
      <c r="U44" s="1644" t="s">
        <v>3697</v>
      </c>
      <c r="V44" s="1644"/>
      <c r="W44" s="1644">
        <v>0</v>
      </c>
      <c r="X44" s="1644"/>
      <c r="Y44" s="1647">
        <v>38848</v>
      </c>
      <c r="Z44" s="1647">
        <v>39213</v>
      </c>
      <c r="AA44" s="1650">
        <f t="shared" ca="1" si="2"/>
        <v>5.25</v>
      </c>
      <c r="AB44" s="2444" t="s">
        <v>3629</v>
      </c>
      <c r="AC44" s="2445"/>
      <c r="AD44" s="2438"/>
    </row>
    <row r="45" spans="1:30" ht="15.75" hidden="1" customHeight="1">
      <c r="A45" s="1644">
        <f t="shared" si="0"/>
        <v>0</v>
      </c>
      <c r="B45" s="1645" t="s">
        <v>3750</v>
      </c>
      <c r="C45" s="1645" t="s">
        <v>3739</v>
      </c>
      <c r="D45" s="1645" t="s">
        <v>3740</v>
      </c>
      <c r="E45" s="1644" t="s">
        <v>2797</v>
      </c>
      <c r="F45" s="1645">
        <f t="shared" si="1"/>
        <v>1975</v>
      </c>
      <c r="G45" s="1647">
        <v>27646</v>
      </c>
      <c r="H45" s="1644" t="s">
        <v>3628</v>
      </c>
      <c r="I45" s="1648" t="s">
        <v>3629</v>
      </c>
      <c r="J45" s="1645" t="s">
        <v>38</v>
      </c>
      <c r="K45" s="1645">
        <v>0</v>
      </c>
      <c r="L45" s="1645" t="s">
        <v>3751</v>
      </c>
      <c r="M45" s="1645" t="s">
        <v>3752</v>
      </c>
      <c r="N45" s="1645"/>
      <c r="O45" s="1645" t="s">
        <v>3753</v>
      </c>
      <c r="P45" s="1649"/>
      <c r="Q45" s="1645" t="s">
        <v>3693</v>
      </c>
      <c r="R45" s="1644" t="s">
        <v>3754</v>
      </c>
      <c r="S45" s="1644"/>
      <c r="T45" s="1644" t="s">
        <v>936</v>
      </c>
      <c r="U45" s="1644" t="s">
        <v>3631</v>
      </c>
      <c r="V45" s="1644"/>
      <c r="W45" s="1644">
        <v>0</v>
      </c>
      <c r="X45" s="1644" t="s">
        <v>3707</v>
      </c>
      <c r="Y45" s="1647">
        <v>38847</v>
      </c>
      <c r="Z45" s="1647">
        <v>39212</v>
      </c>
      <c r="AA45" s="1650">
        <f t="shared" ca="1" si="2"/>
        <v>10.916666666666666</v>
      </c>
      <c r="AB45" s="2444" t="s">
        <v>3629</v>
      </c>
      <c r="AC45" s="2445"/>
      <c r="AD45" s="2438"/>
    </row>
    <row r="46" spans="1:30" ht="15.75" hidden="1" customHeight="1">
      <c r="A46" s="1644">
        <f t="shared" si="0"/>
        <v>0</v>
      </c>
      <c r="B46" s="1645" t="s">
        <v>3755</v>
      </c>
      <c r="C46" s="1645" t="s">
        <v>3739</v>
      </c>
      <c r="D46" s="1645" t="s">
        <v>3740</v>
      </c>
      <c r="E46" s="1644" t="s">
        <v>2797</v>
      </c>
      <c r="F46" s="1645">
        <f t="shared" si="1"/>
        <v>1979</v>
      </c>
      <c r="G46" s="1647">
        <v>29112</v>
      </c>
      <c r="H46" s="1644" t="s">
        <v>3628</v>
      </c>
      <c r="I46" s="1648" t="s">
        <v>3629</v>
      </c>
      <c r="J46" s="1645" t="s">
        <v>38</v>
      </c>
      <c r="K46" s="1645">
        <v>0</v>
      </c>
      <c r="L46" s="1645" t="s">
        <v>3741</v>
      </c>
      <c r="M46" s="1645" t="s">
        <v>3741</v>
      </c>
      <c r="N46" s="1645"/>
      <c r="O46" s="1645" t="s">
        <v>3756</v>
      </c>
      <c r="P46" s="1649"/>
      <c r="Q46" s="1645" t="s">
        <v>3757</v>
      </c>
      <c r="R46" s="1647" t="s">
        <v>3758</v>
      </c>
      <c r="S46" s="1644"/>
      <c r="T46" s="1644" t="s">
        <v>936</v>
      </c>
      <c r="U46" s="1644" t="s">
        <v>3631</v>
      </c>
      <c r="V46" s="1644"/>
      <c r="W46" s="1650" t="s">
        <v>3653</v>
      </c>
      <c r="X46" s="1644" t="s">
        <v>3759</v>
      </c>
      <c r="Y46" s="1647">
        <v>36862</v>
      </c>
      <c r="Z46" s="1647">
        <v>37227</v>
      </c>
      <c r="AA46" s="1650">
        <f t="shared" ca="1" si="2"/>
        <v>14.916666666666666</v>
      </c>
      <c r="AB46" s="2444" t="s">
        <v>3629</v>
      </c>
      <c r="AC46" s="2445"/>
      <c r="AD46" s="2438"/>
    </row>
    <row r="47" spans="1:30" ht="15.75" hidden="1" customHeight="1">
      <c r="A47" s="1644">
        <f t="shared" si="0"/>
        <v>0</v>
      </c>
      <c r="B47" s="1645" t="s">
        <v>3760</v>
      </c>
      <c r="C47" s="1645" t="s">
        <v>3739</v>
      </c>
      <c r="D47" s="1645" t="s">
        <v>3740</v>
      </c>
      <c r="E47" s="1646" t="s">
        <v>2798</v>
      </c>
      <c r="F47" s="1645">
        <f t="shared" si="1"/>
        <v>1972</v>
      </c>
      <c r="G47" s="1647">
        <v>26616</v>
      </c>
      <c r="H47" s="1644" t="s">
        <v>3628</v>
      </c>
      <c r="I47" s="1648" t="s">
        <v>3629</v>
      </c>
      <c r="J47" s="1645" t="s">
        <v>37</v>
      </c>
      <c r="K47" s="1645">
        <v>0</v>
      </c>
      <c r="L47" s="1645" t="s">
        <v>3741</v>
      </c>
      <c r="M47" s="1645" t="s">
        <v>3741</v>
      </c>
      <c r="N47" s="1645"/>
      <c r="O47" s="1645" t="s">
        <v>3645</v>
      </c>
      <c r="P47" s="1649"/>
      <c r="Q47" s="1645" t="s">
        <v>3693</v>
      </c>
      <c r="R47" s="1644" t="s">
        <v>3747</v>
      </c>
      <c r="S47" s="1644"/>
      <c r="T47" s="1644" t="s">
        <v>936</v>
      </c>
      <c r="U47" s="1644" t="s">
        <v>3761</v>
      </c>
      <c r="V47" s="1644"/>
      <c r="W47" s="1644">
        <v>0</v>
      </c>
      <c r="X47" s="1644"/>
      <c r="Y47" s="1647">
        <v>37064</v>
      </c>
      <c r="Z47" s="1647">
        <v>37429</v>
      </c>
      <c r="AA47" s="1650">
        <f t="shared" ca="1" si="2"/>
        <v>3.0833333333333335</v>
      </c>
      <c r="AB47" s="2444" t="s">
        <v>3629</v>
      </c>
      <c r="AC47" s="2445"/>
      <c r="AD47" s="2438"/>
    </row>
    <row r="48" spans="1:30" ht="15.75" hidden="1" customHeight="1">
      <c r="A48" s="1644">
        <f t="shared" si="0"/>
        <v>0</v>
      </c>
      <c r="B48" s="1645" t="s">
        <v>3762</v>
      </c>
      <c r="C48" s="1645" t="s">
        <v>3739</v>
      </c>
      <c r="D48" s="1645" t="s">
        <v>3740</v>
      </c>
      <c r="E48" s="1644" t="s">
        <v>2798</v>
      </c>
      <c r="F48" s="1645">
        <f t="shared" si="1"/>
        <v>1980</v>
      </c>
      <c r="G48" s="1647">
        <v>29325</v>
      </c>
      <c r="H48" s="1644" t="s">
        <v>3636</v>
      </c>
      <c r="I48" s="1648" t="s">
        <v>3629</v>
      </c>
      <c r="J48" s="1645" t="s">
        <v>37</v>
      </c>
      <c r="K48" s="1645">
        <v>0</v>
      </c>
      <c r="L48" s="1645" t="s">
        <v>3741</v>
      </c>
      <c r="M48" s="1645" t="s">
        <v>3741</v>
      </c>
      <c r="N48" s="1645"/>
      <c r="O48" s="1645" t="s">
        <v>3645</v>
      </c>
      <c r="P48" s="1649"/>
      <c r="Q48" s="1645" t="s">
        <v>3693</v>
      </c>
      <c r="R48" s="1644" t="s">
        <v>3747</v>
      </c>
      <c r="S48" s="1644"/>
      <c r="T48" s="1644" t="s">
        <v>936</v>
      </c>
      <c r="U48" s="1644"/>
      <c r="V48" s="1644"/>
      <c r="W48" s="1644">
        <v>0</v>
      </c>
      <c r="X48" s="1644"/>
      <c r="Y48" s="1647"/>
      <c r="Z48" s="1647"/>
      <c r="AA48" s="1650">
        <f t="shared" ca="1" si="2"/>
        <v>10.5</v>
      </c>
      <c r="AB48" s="2444" t="s">
        <v>3629</v>
      </c>
      <c r="AC48" s="2445"/>
      <c r="AD48" s="2438"/>
    </row>
    <row r="49" spans="1:30" ht="15.75" hidden="1" customHeight="1">
      <c r="A49" s="1644">
        <f t="shared" si="0"/>
        <v>0</v>
      </c>
      <c r="B49" s="1645" t="s">
        <v>3763</v>
      </c>
      <c r="C49" s="1645" t="s">
        <v>3739</v>
      </c>
      <c r="D49" s="1645" t="s">
        <v>3740</v>
      </c>
      <c r="E49" s="1646" t="s">
        <v>2798</v>
      </c>
      <c r="F49" s="1645">
        <f t="shared" si="1"/>
        <v>1984</v>
      </c>
      <c r="G49" s="1647">
        <v>30838</v>
      </c>
      <c r="H49" s="1644" t="s">
        <v>3636</v>
      </c>
      <c r="I49" s="1648" t="s">
        <v>3629</v>
      </c>
      <c r="J49" s="1645" t="s">
        <v>37</v>
      </c>
      <c r="K49" s="1645">
        <v>0</v>
      </c>
      <c r="L49" s="1645" t="s">
        <v>3741</v>
      </c>
      <c r="M49" s="1645" t="s">
        <v>3741</v>
      </c>
      <c r="N49" s="1645"/>
      <c r="O49" s="1645" t="s">
        <v>3645</v>
      </c>
      <c r="P49" s="1649"/>
      <c r="Q49" s="1645"/>
      <c r="R49" s="1647" t="s">
        <v>3764</v>
      </c>
      <c r="S49" s="1644"/>
      <c r="T49" s="1644">
        <v>0</v>
      </c>
      <c r="U49" s="1644"/>
      <c r="V49" s="1644"/>
      <c r="W49" s="1644">
        <v>0</v>
      </c>
      <c r="X49" s="1644"/>
      <c r="Y49" s="1647"/>
      <c r="Z49" s="1647"/>
      <c r="AA49" s="1650">
        <f t="shared" ca="1" si="2"/>
        <v>14.666666666666666</v>
      </c>
      <c r="AB49" s="2444" t="s">
        <v>3629</v>
      </c>
      <c r="AC49" s="2445"/>
      <c r="AD49" s="2438"/>
    </row>
    <row r="50" spans="1:30" ht="15.75" hidden="1" customHeight="1">
      <c r="A50" s="1644">
        <f t="shared" si="0"/>
        <v>0</v>
      </c>
      <c r="B50" s="1645" t="s">
        <v>3765</v>
      </c>
      <c r="C50" s="1645" t="s">
        <v>3739</v>
      </c>
      <c r="D50" s="1645" t="s">
        <v>3766</v>
      </c>
      <c r="E50" s="1644" t="s">
        <v>2798</v>
      </c>
      <c r="F50" s="1645">
        <f t="shared" si="1"/>
        <v>1971</v>
      </c>
      <c r="G50" s="1647">
        <v>25961</v>
      </c>
      <c r="H50" s="1644" t="s">
        <v>3628</v>
      </c>
      <c r="I50" s="1648" t="s">
        <v>3629</v>
      </c>
      <c r="J50" s="1645" t="s">
        <v>37</v>
      </c>
      <c r="K50" s="1645">
        <v>0</v>
      </c>
      <c r="L50" s="1645" t="s">
        <v>3741</v>
      </c>
      <c r="M50" s="1645" t="s">
        <v>3767</v>
      </c>
      <c r="N50" s="1645"/>
      <c r="O50" s="1645" t="s">
        <v>3645</v>
      </c>
      <c r="P50" s="1649"/>
      <c r="Q50" s="1645" t="s">
        <v>3693</v>
      </c>
      <c r="R50" s="1644" t="s">
        <v>3747</v>
      </c>
      <c r="S50" s="1644"/>
      <c r="T50" s="1644" t="s">
        <v>936</v>
      </c>
      <c r="U50" s="1644" t="s">
        <v>3631</v>
      </c>
      <c r="V50" s="1644"/>
      <c r="W50" s="1644">
        <v>0</v>
      </c>
      <c r="X50" s="1644"/>
      <c r="Y50" s="1647">
        <v>36707</v>
      </c>
      <c r="Z50" s="1647">
        <v>37062</v>
      </c>
      <c r="AA50" s="1650">
        <f t="shared" ca="1" si="2"/>
        <v>1.25</v>
      </c>
      <c r="AB50" s="2444" t="s">
        <v>3629</v>
      </c>
      <c r="AC50" s="2445"/>
      <c r="AD50" s="2438"/>
    </row>
    <row r="51" spans="1:30" ht="15.75" hidden="1" customHeight="1">
      <c r="A51" s="1644">
        <f t="shared" si="0"/>
        <v>0</v>
      </c>
      <c r="B51" s="1645" t="s">
        <v>3768</v>
      </c>
      <c r="C51" s="1645" t="s">
        <v>3739</v>
      </c>
      <c r="D51" s="1645" t="s">
        <v>3766</v>
      </c>
      <c r="E51" s="1646" t="s">
        <v>2797</v>
      </c>
      <c r="F51" s="1645">
        <f t="shared" si="1"/>
        <v>1974</v>
      </c>
      <c r="G51" s="1647">
        <v>27031</v>
      </c>
      <c r="H51" s="1644" t="s">
        <v>3636</v>
      </c>
      <c r="I51" s="1648" t="s">
        <v>3629</v>
      </c>
      <c r="J51" s="1645" t="s">
        <v>37</v>
      </c>
      <c r="K51" s="1645">
        <v>0</v>
      </c>
      <c r="L51" s="1645" t="s">
        <v>3741</v>
      </c>
      <c r="M51" s="1645" t="s">
        <v>3769</v>
      </c>
      <c r="N51" s="1645"/>
      <c r="O51" s="1645" t="s">
        <v>3645</v>
      </c>
      <c r="P51" s="1649"/>
      <c r="Q51" s="1645" t="s">
        <v>3693</v>
      </c>
      <c r="R51" s="1644" t="s">
        <v>3747</v>
      </c>
      <c r="S51" s="1644"/>
      <c r="T51" s="1644" t="s">
        <v>936</v>
      </c>
      <c r="U51" s="1644" t="s">
        <v>3697</v>
      </c>
      <c r="V51" s="1644"/>
      <c r="W51" s="1650" t="s">
        <v>3653</v>
      </c>
      <c r="X51" s="1644"/>
      <c r="Y51" s="1647"/>
      <c r="Z51" s="1647"/>
      <c r="AA51" s="1650">
        <f t="shared" ca="1" si="2"/>
        <v>9.1666666666666661</v>
      </c>
      <c r="AB51" s="2444" t="s">
        <v>3629</v>
      </c>
      <c r="AC51" s="2445"/>
      <c r="AD51" s="2438"/>
    </row>
    <row r="52" spans="1:30" ht="15.75" hidden="1" customHeight="1">
      <c r="A52" s="1644">
        <f t="shared" si="0"/>
        <v>0</v>
      </c>
      <c r="B52" s="1645" t="s">
        <v>3770</v>
      </c>
      <c r="C52" s="1645" t="s">
        <v>3739</v>
      </c>
      <c r="D52" s="1645" t="s">
        <v>3766</v>
      </c>
      <c r="E52" s="1644" t="s">
        <v>2798</v>
      </c>
      <c r="F52" s="1645">
        <f t="shared" si="1"/>
        <v>1995</v>
      </c>
      <c r="G52" s="1647">
        <v>34773</v>
      </c>
      <c r="H52" s="1644" t="s">
        <v>3636</v>
      </c>
      <c r="I52" s="1648" t="s">
        <v>3629</v>
      </c>
      <c r="J52" s="1645" t="s">
        <v>37</v>
      </c>
      <c r="K52" s="1645"/>
      <c r="L52" s="1645" t="s">
        <v>3741</v>
      </c>
      <c r="M52" s="1645" t="s">
        <v>3771</v>
      </c>
      <c r="N52" s="1645"/>
      <c r="O52" s="1645">
        <v>0</v>
      </c>
      <c r="P52" s="1649"/>
      <c r="Q52" s="1645"/>
      <c r="R52" s="1647" t="s">
        <v>3772</v>
      </c>
      <c r="S52" s="1644"/>
      <c r="T52" s="1644">
        <v>2018</v>
      </c>
      <c r="U52" s="1644"/>
      <c r="V52" s="1644"/>
      <c r="W52" s="1644">
        <v>0</v>
      </c>
      <c r="X52" s="1644"/>
      <c r="Y52" s="1647"/>
      <c r="Z52" s="1647"/>
      <c r="AA52" s="1650">
        <f t="shared" ca="1" si="2"/>
        <v>25.416666666666668</v>
      </c>
      <c r="AB52" s="2444" t="s">
        <v>3629</v>
      </c>
      <c r="AC52" s="2445"/>
      <c r="AD52" s="2438"/>
    </row>
    <row r="53" spans="1:30" ht="15.75" hidden="1" customHeight="1">
      <c r="A53" s="1644">
        <f t="shared" si="0"/>
        <v>0</v>
      </c>
      <c r="B53" s="1645" t="s">
        <v>3773</v>
      </c>
      <c r="C53" s="1645" t="s">
        <v>3739</v>
      </c>
      <c r="D53" s="1645" t="s">
        <v>3766</v>
      </c>
      <c r="E53" s="1644" t="s">
        <v>2798</v>
      </c>
      <c r="F53" s="1645">
        <f t="shared" si="1"/>
        <v>1979</v>
      </c>
      <c r="G53" s="1647">
        <v>29120</v>
      </c>
      <c r="H53" s="1644" t="s">
        <v>3636</v>
      </c>
      <c r="I53" s="1648" t="s">
        <v>3629</v>
      </c>
      <c r="J53" s="1645" t="s">
        <v>37</v>
      </c>
      <c r="K53" s="1645">
        <v>0</v>
      </c>
      <c r="L53" s="1645" t="s">
        <v>3774</v>
      </c>
      <c r="M53" s="1645" t="s">
        <v>3775</v>
      </c>
      <c r="N53" s="1645"/>
      <c r="O53" s="1645" t="s">
        <v>3645</v>
      </c>
      <c r="P53" s="1649"/>
      <c r="Q53" s="1645" t="s">
        <v>3693</v>
      </c>
      <c r="R53" s="1644" t="s">
        <v>3747</v>
      </c>
      <c r="S53" s="1644" t="s">
        <v>3696</v>
      </c>
      <c r="T53" s="1644" t="s">
        <v>936</v>
      </c>
      <c r="U53" s="1644"/>
      <c r="V53" s="1644"/>
      <c r="W53" s="1644">
        <v>0</v>
      </c>
      <c r="X53" s="1644"/>
      <c r="Y53" s="1647"/>
      <c r="Z53" s="1647"/>
      <c r="AA53" s="1650">
        <f t="shared" ca="1" si="2"/>
        <v>9.9166666666666661</v>
      </c>
      <c r="AB53" s="2444" t="s">
        <v>3629</v>
      </c>
      <c r="AC53" s="2445"/>
      <c r="AD53" s="2438"/>
    </row>
    <row r="54" spans="1:30" ht="15.75" hidden="1" customHeight="1">
      <c r="A54" s="1644">
        <f t="shared" si="0"/>
        <v>0</v>
      </c>
      <c r="B54" s="1645" t="s">
        <v>3776</v>
      </c>
      <c r="C54" s="1645" t="s">
        <v>3739</v>
      </c>
      <c r="D54" s="1645" t="s">
        <v>3766</v>
      </c>
      <c r="E54" s="1646" t="s">
        <v>2798</v>
      </c>
      <c r="F54" s="1645">
        <f t="shared" si="1"/>
        <v>1988</v>
      </c>
      <c r="G54" s="1647">
        <v>32293</v>
      </c>
      <c r="H54" s="1644" t="s">
        <v>3636</v>
      </c>
      <c r="I54" s="1648" t="s">
        <v>3629</v>
      </c>
      <c r="J54" s="1645" t="s">
        <v>37</v>
      </c>
      <c r="K54" s="1645">
        <v>0</v>
      </c>
      <c r="L54" s="1645" t="s">
        <v>3741</v>
      </c>
      <c r="M54" s="1645" t="s">
        <v>3777</v>
      </c>
      <c r="N54" s="1645"/>
      <c r="O54" s="1645" t="s">
        <v>3645</v>
      </c>
      <c r="P54" s="1649"/>
      <c r="Q54" s="1645" t="s">
        <v>3693</v>
      </c>
      <c r="R54" s="1644" t="s">
        <v>3747</v>
      </c>
      <c r="S54" s="1644"/>
      <c r="T54" s="1644" t="s">
        <v>936</v>
      </c>
      <c r="U54" s="1644" t="s">
        <v>3711</v>
      </c>
      <c r="V54" s="1644"/>
      <c r="W54" s="1650" t="s">
        <v>3646</v>
      </c>
      <c r="X54" s="1644"/>
      <c r="Y54" s="1647"/>
      <c r="Z54" s="1647"/>
      <c r="AA54" s="1650">
        <f t="shared" ca="1" si="2"/>
        <v>18.583333333333332</v>
      </c>
      <c r="AB54" s="2444" t="s">
        <v>3629</v>
      </c>
      <c r="AC54" s="2445"/>
      <c r="AD54" s="2438"/>
    </row>
    <row r="55" spans="1:30" ht="15.75" hidden="1" customHeight="1">
      <c r="A55" s="1644">
        <f t="shared" si="0"/>
        <v>0</v>
      </c>
      <c r="B55" s="1645" t="s">
        <v>3778</v>
      </c>
      <c r="C55" s="1645" t="s">
        <v>3739</v>
      </c>
      <c r="D55" s="1645" t="s">
        <v>3766</v>
      </c>
      <c r="E55" s="1644" t="s">
        <v>2798</v>
      </c>
      <c r="F55" s="1645">
        <f t="shared" si="1"/>
        <v>1970</v>
      </c>
      <c r="G55" s="1647">
        <v>25811</v>
      </c>
      <c r="H55" s="1644" t="s">
        <v>3628</v>
      </c>
      <c r="I55" s="1648" t="s">
        <v>3629</v>
      </c>
      <c r="J55" s="1645" t="s">
        <v>37</v>
      </c>
      <c r="K55" s="1645">
        <v>0</v>
      </c>
      <c r="L55" s="1645" t="s">
        <v>3741</v>
      </c>
      <c r="M55" s="1645" t="s">
        <v>3767</v>
      </c>
      <c r="N55" s="1645"/>
      <c r="O55" s="1645" t="s">
        <v>3645</v>
      </c>
      <c r="P55" s="1649"/>
      <c r="Q55" s="1645" t="s">
        <v>3693</v>
      </c>
      <c r="R55" s="1644" t="s">
        <v>3747</v>
      </c>
      <c r="S55" s="1644"/>
      <c r="T55" s="1644" t="s">
        <v>936</v>
      </c>
      <c r="U55" s="1644" t="s">
        <v>3631</v>
      </c>
      <c r="V55" s="1644"/>
      <c r="W55" s="1644">
        <v>0</v>
      </c>
      <c r="X55" s="1644"/>
      <c r="Y55" s="1647">
        <v>37704</v>
      </c>
      <c r="Z55" s="1647">
        <v>38070</v>
      </c>
      <c r="AA55" s="1650">
        <f t="shared" ca="1" si="2"/>
        <v>0.83333333333333337</v>
      </c>
      <c r="AB55" s="2444" t="s">
        <v>3629</v>
      </c>
      <c r="AC55" s="2445"/>
      <c r="AD55" s="2438"/>
    </row>
    <row r="56" spans="1:30" ht="15.75" hidden="1" customHeight="1">
      <c r="A56" s="1644">
        <f t="shared" si="0"/>
        <v>0</v>
      </c>
      <c r="B56" s="1645" t="s">
        <v>3779</v>
      </c>
      <c r="C56" s="1645" t="s">
        <v>3739</v>
      </c>
      <c r="D56" s="1645" t="s">
        <v>3766</v>
      </c>
      <c r="E56" s="1644" t="s">
        <v>2798</v>
      </c>
      <c r="F56" s="1645">
        <f t="shared" si="1"/>
        <v>1972</v>
      </c>
      <c r="G56" s="1647">
        <v>26378</v>
      </c>
      <c r="H56" s="1644" t="s">
        <v>3628</v>
      </c>
      <c r="I56" s="1648" t="s">
        <v>3629</v>
      </c>
      <c r="J56" s="1645" t="s">
        <v>37</v>
      </c>
      <c r="K56" s="1645">
        <v>0</v>
      </c>
      <c r="L56" s="1645" t="s">
        <v>3741</v>
      </c>
      <c r="M56" s="1645" t="s">
        <v>3741</v>
      </c>
      <c r="N56" s="1645"/>
      <c r="O56" s="1645" t="s">
        <v>3645</v>
      </c>
      <c r="P56" s="1649"/>
      <c r="Q56" s="1645" t="s">
        <v>3693</v>
      </c>
      <c r="R56" s="1644" t="s">
        <v>3747</v>
      </c>
      <c r="S56" s="1644"/>
      <c r="T56" s="1644" t="s">
        <v>936</v>
      </c>
      <c r="U56" s="1644" t="s">
        <v>3631</v>
      </c>
      <c r="V56" s="1644"/>
      <c r="W56" s="1644" t="s">
        <v>3780</v>
      </c>
      <c r="X56" s="1644" t="s">
        <v>3633</v>
      </c>
      <c r="Y56" s="1647">
        <v>36335</v>
      </c>
      <c r="Z56" s="1647">
        <v>36701</v>
      </c>
      <c r="AA56" s="1650">
        <f t="shared" ca="1" si="2"/>
        <v>2.4166666666666665</v>
      </c>
      <c r="AB56" s="2444" t="s">
        <v>3629</v>
      </c>
      <c r="AC56" s="2445"/>
      <c r="AD56" s="2438"/>
    </row>
    <row r="57" spans="1:30" ht="15.75" hidden="1" customHeight="1">
      <c r="A57" s="1644">
        <f t="shared" si="0"/>
        <v>0</v>
      </c>
      <c r="B57" s="1645" t="s">
        <v>3781</v>
      </c>
      <c r="C57" s="1645" t="s">
        <v>3739</v>
      </c>
      <c r="D57" s="1645" t="s">
        <v>3766</v>
      </c>
      <c r="E57" s="1646" t="s">
        <v>2798</v>
      </c>
      <c r="F57" s="1645">
        <f t="shared" si="1"/>
        <v>1977</v>
      </c>
      <c r="G57" s="1647">
        <v>28253</v>
      </c>
      <c r="H57" s="1644" t="s">
        <v>3636</v>
      </c>
      <c r="I57" s="1648" t="s">
        <v>3629</v>
      </c>
      <c r="J57" s="1645" t="s">
        <v>37</v>
      </c>
      <c r="K57" s="1645">
        <v>0</v>
      </c>
      <c r="L57" s="1645" t="s">
        <v>3741</v>
      </c>
      <c r="M57" s="1645" t="s">
        <v>3782</v>
      </c>
      <c r="N57" s="1645"/>
      <c r="O57" s="1645" t="s">
        <v>3645</v>
      </c>
      <c r="P57" s="1649"/>
      <c r="Q57" s="1645" t="s">
        <v>3693</v>
      </c>
      <c r="R57" s="1647" t="s">
        <v>3783</v>
      </c>
      <c r="S57" s="1644"/>
      <c r="T57" s="1644" t="s">
        <v>936</v>
      </c>
      <c r="U57" s="1644"/>
      <c r="V57" s="1644"/>
      <c r="W57" s="1644">
        <v>0</v>
      </c>
      <c r="X57" s="1644"/>
      <c r="Y57" s="1647">
        <v>39822</v>
      </c>
      <c r="Z57" s="1647">
        <v>36534</v>
      </c>
      <c r="AA57" s="1650">
        <f t="shared" ca="1" si="2"/>
        <v>7.583333333333333</v>
      </c>
      <c r="AB57" s="2444" t="s">
        <v>3629</v>
      </c>
      <c r="AC57" s="2445"/>
      <c r="AD57" s="2438"/>
    </row>
    <row r="58" spans="1:30" ht="15.75" hidden="1" customHeight="1">
      <c r="A58" s="1644">
        <f t="shared" si="0"/>
        <v>0</v>
      </c>
      <c r="B58" s="1645" t="s">
        <v>3784</v>
      </c>
      <c r="C58" s="1645" t="s">
        <v>3739</v>
      </c>
      <c r="D58" s="1645" t="s">
        <v>3766</v>
      </c>
      <c r="E58" s="1644" t="s">
        <v>2798</v>
      </c>
      <c r="F58" s="1645">
        <f t="shared" si="1"/>
        <v>1990</v>
      </c>
      <c r="G58" s="1647">
        <v>33104</v>
      </c>
      <c r="H58" s="1644" t="s">
        <v>3636</v>
      </c>
      <c r="I58" s="1648" t="s">
        <v>3629</v>
      </c>
      <c r="J58" s="1645" t="s">
        <v>37</v>
      </c>
      <c r="K58" s="1645">
        <v>0</v>
      </c>
      <c r="L58" s="1645" t="s">
        <v>3785</v>
      </c>
      <c r="M58" s="1645" t="s">
        <v>3786</v>
      </c>
      <c r="N58" s="1645"/>
      <c r="O58" s="1645" t="s">
        <v>3645</v>
      </c>
      <c r="P58" s="1649"/>
      <c r="Q58" s="1645" t="s">
        <v>3693</v>
      </c>
      <c r="R58" s="1644" t="s">
        <v>3747</v>
      </c>
      <c r="S58" s="1644"/>
      <c r="T58" s="1644" t="s">
        <v>936</v>
      </c>
      <c r="U58" s="1644" t="s">
        <v>3711</v>
      </c>
      <c r="V58" s="1644"/>
      <c r="W58" s="1644">
        <v>0</v>
      </c>
      <c r="X58" s="1644"/>
      <c r="Y58" s="1647">
        <v>41003</v>
      </c>
      <c r="Z58" s="1647">
        <v>41368</v>
      </c>
      <c r="AA58" s="1650">
        <f t="shared" ca="1" si="2"/>
        <v>20.833333333333332</v>
      </c>
      <c r="AB58" s="2444" t="s">
        <v>3629</v>
      </c>
      <c r="AC58" s="2445"/>
      <c r="AD58" s="2438"/>
    </row>
    <row r="59" spans="1:30" ht="15.75" hidden="1" customHeight="1">
      <c r="A59" s="1644">
        <f t="shared" si="0"/>
        <v>0</v>
      </c>
      <c r="B59" s="1645" t="s">
        <v>3787</v>
      </c>
      <c r="C59" s="1645" t="s">
        <v>3739</v>
      </c>
      <c r="D59" s="1645" t="s">
        <v>3766</v>
      </c>
      <c r="E59" s="1646" t="s">
        <v>2798</v>
      </c>
      <c r="F59" s="1645">
        <f t="shared" si="1"/>
        <v>1997</v>
      </c>
      <c r="G59" s="1647">
        <v>35448</v>
      </c>
      <c r="H59" s="1646" t="s">
        <v>3636</v>
      </c>
      <c r="I59" s="1648" t="s">
        <v>3629</v>
      </c>
      <c r="J59" s="1645" t="s">
        <v>201</v>
      </c>
      <c r="K59" s="1645"/>
      <c r="L59" s="1651" t="s">
        <v>3788</v>
      </c>
      <c r="M59" s="1645"/>
      <c r="N59" s="1645"/>
      <c r="O59" s="1645"/>
      <c r="P59" s="1649"/>
      <c r="Q59" s="1645"/>
      <c r="R59" s="1644" t="s">
        <v>3789</v>
      </c>
      <c r="S59" s="1644"/>
      <c r="T59" s="1644"/>
      <c r="U59" s="1644"/>
      <c r="V59" s="1644"/>
      <c r="W59" s="1644"/>
      <c r="X59" s="1644"/>
      <c r="Y59" s="1644"/>
      <c r="Z59" s="1647"/>
      <c r="AA59" s="1654">
        <f t="shared" ca="1" si="2"/>
        <v>27.25</v>
      </c>
      <c r="AB59" s="2444" t="s">
        <v>3629</v>
      </c>
      <c r="AC59" s="2445"/>
      <c r="AD59" s="2438"/>
    </row>
    <row r="60" spans="1:30" ht="15.75" hidden="1" customHeight="1">
      <c r="A60" s="1644">
        <f t="shared" si="0"/>
        <v>0</v>
      </c>
      <c r="B60" s="1645" t="s">
        <v>3790</v>
      </c>
      <c r="C60" s="1645" t="s">
        <v>3739</v>
      </c>
      <c r="D60" s="1645" t="s">
        <v>3766</v>
      </c>
      <c r="E60" s="1646" t="s">
        <v>2798</v>
      </c>
      <c r="F60" s="1645">
        <f t="shared" si="1"/>
        <v>1970</v>
      </c>
      <c r="G60" s="1647">
        <v>25766</v>
      </c>
      <c r="H60" s="1644" t="s">
        <v>3628</v>
      </c>
      <c r="I60" s="1648" t="s">
        <v>3629</v>
      </c>
      <c r="J60" s="1645" t="s">
        <v>37</v>
      </c>
      <c r="K60" s="1645">
        <v>0</v>
      </c>
      <c r="L60" s="1645" t="s">
        <v>3741</v>
      </c>
      <c r="M60" s="1645" t="s">
        <v>3767</v>
      </c>
      <c r="N60" s="1645"/>
      <c r="O60" s="1645" t="s">
        <v>3645</v>
      </c>
      <c r="P60" s="1649"/>
      <c r="Q60" s="1645" t="s">
        <v>3693</v>
      </c>
      <c r="R60" s="1644" t="s">
        <v>3747</v>
      </c>
      <c r="S60" s="1644"/>
      <c r="T60" s="1644" t="s">
        <v>936</v>
      </c>
      <c r="U60" s="1644" t="s">
        <v>3631</v>
      </c>
      <c r="V60" s="1644"/>
      <c r="W60" s="1644">
        <v>0</v>
      </c>
      <c r="X60" s="1644"/>
      <c r="Y60" s="1647">
        <v>36245</v>
      </c>
      <c r="Z60" s="1647">
        <v>36611</v>
      </c>
      <c r="AA60" s="1650">
        <f t="shared" ca="1" si="2"/>
        <v>0.75</v>
      </c>
      <c r="AB60" s="2444" t="s">
        <v>3629</v>
      </c>
      <c r="AC60" s="2445"/>
      <c r="AD60" s="2438"/>
    </row>
    <row r="61" spans="1:30" ht="15.75" hidden="1" customHeight="1">
      <c r="A61" s="1644">
        <f t="shared" si="0"/>
        <v>0</v>
      </c>
      <c r="B61" s="1645" t="s">
        <v>3791</v>
      </c>
      <c r="C61" s="1645" t="s">
        <v>3739</v>
      </c>
      <c r="D61" s="1645" t="s">
        <v>3792</v>
      </c>
      <c r="E61" s="1644" t="s">
        <v>2798</v>
      </c>
      <c r="F61" s="1645">
        <f t="shared" si="1"/>
        <v>1990</v>
      </c>
      <c r="G61" s="1647">
        <v>33209</v>
      </c>
      <c r="H61" s="1644" t="s">
        <v>3636</v>
      </c>
      <c r="I61" s="1648" t="s">
        <v>3629</v>
      </c>
      <c r="J61" s="1645" t="s">
        <v>37</v>
      </c>
      <c r="K61" s="1645">
        <v>0</v>
      </c>
      <c r="L61" s="1645" t="s">
        <v>3741</v>
      </c>
      <c r="M61" s="1645" t="s">
        <v>3741</v>
      </c>
      <c r="N61" s="1645"/>
      <c r="O61" s="1645" t="s">
        <v>3645</v>
      </c>
      <c r="P61" s="1649"/>
      <c r="Q61" s="1645" t="s">
        <v>3693</v>
      </c>
      <c r="R61" s="1644" t="s">
        <v>3747</v>
      </c>
      <c r="S61" s="1644"/>
      <c r="T61" s="1644" t="s">
        <v>936</v>
      </c>
      <c r="U61" s="1644" t="s">
        <v>3711</v>
      </c>
      <c r="V61" s="1644"/>
      <c r="W61" s="1650" t="s">
        <v>3646</v>
      </c>
      <c r="X61" s="1644"/>
      <c r="Y61" s="1647">
        <v>0</v>
      </c>
      <c r="Z61" s="1647">
        <v>0</v>
      </c>
      <c r="AA61" s="1650">
        <f t="shared" ca="1" si="2"/>
        <v>21.083333333333332</v>
      </c>
      <c r="AB61" s="2444" t="s">
        <v>3629</v>
      </c>
      <c r="AC61" s="2445"/>
      <c r="AD61" s="2438"/>
    </row>
    <row r="62" spans="1:30" ht="15.75" hidden="1" customHeight="1">
      <c r="A62" s="1644">
        <f t="shared" si="0"/>
        <v>0</v>
      </c>
      <c r="B62" s="1645" t="s">
        <v>3793</v>
      </c>
      <c r="C62" s="1645" t="s">
        <v>3739</v>
      </c>
      <c r="D62" s="1645" t="s">
        <v>3792</v>
      </c>
      <c r="E62" s="1644" t="s">
        <v>2797</v>
      </c>
      <c r="F62" s="1645">
        <f t="shared" si="1"/>
        <v>1986</v>
      </c>
      <c r="G62" s="1647">
        <v>31500</v>
      </c>
      <c r="H62" s="1644" t="s">
        <v>3642</v>
      </c>
      <c r="I62" s="1648" t="s">
        <v>3629</v>
      </c>
      <c r="J62" s="1645" t="s">
        <v>37</v>
      </c>
      <c r="K62" s="1645">
        <v>0</v>
      </c>
      <c r="L62" s="1645" t="s">
        <v>3794</v>
      </c>
      <c r="M62" s="1645" t="s">
        <v>3794</v>
      </c>
      <c r="N62" s="1645"/>
      <c r="O62" s="1645" t="s">
        <v>3645</v>
      </c>
      <c r="P62" s="1649"/>
      <c r="Q62" s="1645"/>
      <c r="R62" s="1644" t="s">
        <v>3747</v>
      </c>
      <c r="S62" s="1644" t="s">
        <v>3795</v>
      </c>
      <c r="T62" s="1644"/>
      <c r="U62" s="1644"/>
      <c r="V62" s="1644" t="s">
        <v>3657</v>
      </c>
      <c r="W62" s="1644">
        <v>0</v>
      </c>
      <c r="X62" s="1644"/>
      <c r="Y62" s="1647"/>
      <c r="Z62" s="1647"/>
      <c r="AA62" s="1650">
        <f t="shared" ca="1" si="2"/>
        <v>21.416666666666668</v>
      </c>
      <c r="AB62" s="2444" t="s">
        <v>3629</v>
      </c>
      <c r="AC62" s="2445"/>
      <c r="AD62" s="2438"/>
    </row>
    <row r="63" spans="1:30" ht="15.75" hidden="1" customHeight="1">
      <c r="A63" s="1644">
        <f t="shared" si="0"/>
        <v>0</v>
      </c>
      <c r="B63" s="1645" t="s">
        <v>3796</v>
      </c>
      <c r="C63" s="1645" t="s">
        <v>3739</v>
      </c>
      <c r="D63" s="1648" t="s">
        <v>3792</v>
      </c>
      <c r="E63" s="1644" t="s">
        <v>2797</v>
      </c>
      <c r="F63" s="1645">
        <f t="shared" si="1"/>
        <v>1958</v>
      </c>
      <c r="G63" s="1647">
        <v>21431</v>
      </c>
      <c r="H63" s="1644" t="s">
        <v>3797</v>
      </c>
      <c r="I63" s="1648" t="s">
        <v>3629</v>
      </c>
      <c r="J63" s="1645" t="s">
        <v>38</v>
      </c>
      <c r="K63" s="1645" t="s">
        <v>3798</v>
      </c>
      <c r="L63" s="1645" t="s">
        <v>3799</v>
      </c>
      <c r="M63" s="1645" t="s">
        <v>3741</v>
      </c>
      <c r="N63" s="1645"/>
      <c r="O63" s="1645" t="s">
        <v>3741</v>
      </c>
      <c r="P63" s="1649"/>
      <c r="Q63" s="1645" t="s">
        <v>3800</v>
      </c>
      <c r="R63" s="1644" t="s">
        <v>3801</v>
      </c>
      <c r="S63" s="1644"/>
      <c r="T63" s="1644" t="s">
        <v>936</v>
      </c>
      <c r="U63" s="1644" t="s">
        <v>3802</v>
      </c>
      <c r="V63" s="1644"/>
      <c r="W63" s="1644" t="s">
        <v>3803</v>
      </c>
      <c r="X63" s="1644" t="s">
        <v>3759</v>
      </c>
      <c r="Y63" s="1647">
        <v>35024</v>
      </c>
      <c r="Z63" s="1647">
        <v>35390</v>
      </c>
      <c r="AA63" s="1650">
        <f t="shared" ca="1" si="2"/>
        <v>-6.083333333333333</v>
      </c>
      <c r="AB63" s="2444" t="s">
        <v>3629</v>
      </c>
      <c r="AC63" s="2445"/>
      <c r="AD63" s="2438"/>
    </row>
    <row r="64" spans="1:30" ht="15.75" hidden="1" customHeight="1">
      <c r="A64" s="1644">
        <f t="shared" si="0"/>
        <v>0</v>
      </c>
      <c r="B64" s="1645" t="s">
        <v>3804</v>
      </c>
      <c r="C64" s="1645" t="s">
        <v>3739</v>
      </c>
      <c r="D64" s="1645" t="s">
        <v>3792</v>
      </c>
      <c r="E64" s="1646" t="s">
        <v>2798</v>
      </c>
      <c r="F64" s="1645">
        <f t="shared" si="1"/>
        <v>1979</v>
      </c>
      <c r="G64" s="1647">
        <v>29147</v>
      </c>
      <c r="H64" s="1644" t="s">
        <v>3628</v>
      </c>
      <c r="I64" s="1648" t="s">
        <v>3629</v>
      </c>
      <c r="J64" s="1645" t="s">
        <v>38</v>
      </c>
      <c r="K64" s="1645">
        <v>0</v>
      </c>
      <c r="L64" s="1645" t="s">
        <v>3741</v>
      </c>
      <c r="M64" s="1645" t="s">
        <v>3741</v>
      </c>
      <c r="N64" s="1645"/>
      <c r="O64" s="1645" t="s">
        <v>3805</v>
      </c>
      <c r="P64" s="1649"/>
      <c r="Q64" s="1645" t="s">
        <v>3757</v>
      </c>
      <c r="R64" s="1644" t="s">
        <v>3801</v>
      </c>
      <c r="S64" s="1644"/>
      <c r="T64" s="1644" t="s">
        <v>936</v>
      </c>
      <c r="U64" s="1644" t="s">
        <v>3697</v>
      </c>
      <c r="V64" s="1644"/>
      <c r="W64" s="1650" t="s">
        <v>3653</v>
      </c>
      <c r="X64" s="1644" t="s">
        <v>3806</v>
      </c>
      <c r="Y64" s="1647">
        <v>39905</v>
      </c>
      <c r="Z64" s="1647">
        <v>40270</v>
      </c>
      <c r="AA64" s="1650">
        <f t="shared" ca="1" si="2"/>
        <v>10</v>
      </c>
      <c r="AB64" s="2444" t="s">
        <v>3629</v>
      </c>
      <c r="AC64" s="2445"/>
      <c r="AD64" s="2438"/>
    </row>
    <row r="65" spans="1:30" ht="15.75" hidden="1" customHeight="1">
      <c r="A65" s="1644">
        <f t="shared" si="0"/>
        <v>0</v>
      </c>
      <c r="B65" s="1645" t="s">
        <v>3807</v>
      </c>
      <c r="C65" s="1645" t="s">
        <v>3739</v>
      </c>
      <c r="D65" s="1645" t="s">
        <v>3792</v>
      </c>
      <c r="E65" s="1644" t="s">
        <v>2798</v>
      </c>
      <c r="F65" s="1645">
        <f t="shared" si="1"/>
        <v>1980</v>
      </c>
      <c r="G65" s="1647">
        <v>29482</v>
      </c>
      <c r="H65" s="1644" t="s">
        <v>3636</v>
      </c>
      <c r="I65" s="1648" t="s">
        <v>3629</v>
      </c>
      <c r="J65" s="1645" t="s">
        <v>37</v>
      </c>
      <c r="K65" s="1645">
        <v>0</v>
      </c>
      <c r="L65" s="1645" t="s">
        <v>3751</v>
      </c>
      <c r="M65" s="1645" t="s">
        <v>3775</v>
      </c>
      <c r="N65" s="1645"/>
      <c r="O65" s="1645" t="s">
        <v>3645</v>
      </c>
      <c r="P65" s="1649"/>
      <c r="Q65" s="1645" t="s">
        <v>3693</v>
      </c>
      <c r="R65" s="1644" t="s">
        <v>3747</v>
      </c>
      <c r="S65" s="1644"/>
      <c r="T65" s="1644" t="s">
        <v>936</v>
      </c>
      <c r="U65" s="1644"/>
      <c r="V65" s="1644"/>
      <c r="W65" s="1650" t="s">
        <v>3653</v>
      </c>
      <c r="X65" s="1644"/>
      <c r="Y65" s="1647"/>
      <c r="Z65" s="1647"/>
      <c r="AA65" s="1650">
        <f t="shared" ca="1" si="2"/>
        <v>10.916666666666666</v>
      </c>
      <c r="AB65" s="2444" t="s">
        <v>3629</v>
      </c>
      <c r="AC65" s="2445"/>
      <c r="AD65" s="2438"/>
    </row>
    <row r="66" spans="1:30" ht="15.75" hidden="1" customHeight="1">
      <c r="A66" s="1644">
        <f t="shared" si="0"/>
        <v>0</v>
      </c>
      <c r="B66" s="1645" t="s">
        <v>3808</v>
      </c>
      <c r="C66" s="1645" t="s">
        <v>3739</v>
      </c>
      <c r="D66" s="1645" t="s">
        <v>3792</v>
      </c>
      <c r="E66" s="1644" t="s">
        <v>2798</v>
      </c>
      <c r="F66" s="1645">
        <f t="shared" si="1"/>
        <v>1976</v>
      </c>
      <c r="G66" s="1647">
        <v>27806</v>
      </c>
      <c r="H66" s="1644" t="s">
        <v>3642</v>
      </c>
      <c r="I66" s="1648" t="s">
        <v>3629</v>
      </c>
      <c r="J66" s="1645" t="s">
        <v>201</v>
      </c>
      <c r="K66" s="1645">
        <v>0</v>
      </c>
      <c r="L66" s="1645" t="s">
        <v>3809</v>
      </c>
      <c r="M66" s="1645">
        <v>0</v>
      </c>
      <c r="N66" s="1645"/>
      <c r="O66" s="1645" t="s">
        <v>3645</v>
      </c>
      <c r="P66" s="1649"/>
      <c r="Q66" s="1645"/>
      <c r="R66" s="1644" t="s">
        <v>3789</v>
      </c>
      <c r="S66" s="1644"/>
      <c r="T66" s="1644"/>
      <c r="U66" s="1644"/>
      <c r="V66" s="1644"/>
      <c r="W66" s="1644">
        <v>0</v>
      </c>
      <c r="X66" s="1644"/>
      <c r="Y66" s="1647">
        <v>41432</v>
      </c>
      <c r="Z66" s="1647">
        <v>41797</v>
      </c>
      <c r="AA66" s="1650">
        <f t="shared" ca="1" si="2"/>
        <v>6.333333333333333</v>
      </c>
      <c r="AB66" s="2444" t="s">
        <v>3629</v>
      </c>
      <c r="AC66" s="2445"/>
      <c r="AD66" s="2438"/>
    </row>
    <row r="67" spans="1:30" ht="15.75" hidden="1" customHeight="1">
      <c r="A67" s="1644">
        <f t="shared" si="0"/>
        <v>0</v>
      </c>
      <c r="B67" s="1645" t="s">
        <v>3810</v>
      </c>
      <c r="C67" s="1645" t="s">
        <v>3739</v>
      </c>
      <c r="D67" s="1645" t="s">
        <v>3792</v>
      </c>
      <c r="E67" s="1646" t="s">
        <v>2798</v>
      </c>
      <c r="F67" s="1645">
        <f t="shared" si="1"/>
        <v>1985</v>
      </c>
      <c r="G67" s="1647">
        <v>31093</v>
      </c>
      <c r="H67" s="1644" t="s">
        <v>3636</v>
      </c>
      <c r="I67" s="1648" t="s">
        <v>3629</v>
      </c>
      <c r="J67" s="1645" t="s">
        <v>37</v>
      </c>
      <c r="K67" s="1645">
        <v>0</v>
      </c>
      <c r="L67" s="1645" t="s">
        <v>3741</v>
      </c>
      <c r="M67" s="1645" t="s">
        <v>3741</v>
      </c>
      <c r="N67" s="1645"/>
      <c r="O67" s="1645" t="s">
        <v>3645</v>
      </c>
      <c r="P67" s="1649"/>
      <c r="Q67" s="1645" t="s">
        <v>3693</v>
      </c>
      <c r="R67" s="1644" t="s">
        <v>3747</v>
      </c>
      <c r="S67" s="1644"/>
      <c r="T67" s="1644" t="s">
        <v>936</v>
      </c>
      <c r="U67" s="1644" t="s">
        <v>3711</v>
      </c>
      <c r="V67" s="1644"/>
      <c r="W67" s="1644">
        <v>0</v>
      </c>
      <c r="X67" s="1644"/>
      <c r="Y67" s="1647">
        <v>39083</v>
      </c>
      <c r="Z67" s="1647">
        <v>39448</v>
      </c>
      <c r="AA67" s="1650">
        <f t="shared" ca="1" si="2"/>
        <v>15.333333333333334</v>
      </c>
      <c r="AB67" s="2444" t="s">
        <v>3629</v>
      </c>
      <c r="AC67" s="2445"/>
      <c r="AD67" s="2438"/>
    </row>
    <row r="68" spans="1:30" ht="15.75" hidden="1" customHeight="1">
      <c r="A68" s="1644">
        <f t="shared" si="0"/>
        <v>0</v>
      </c>
      <c r="B68" s="1645" t="s">
        <v>3811</v>
      </c>
      <c r="C68" s="1645" t="s">
        <v>3739</v>
      </c>
      <c r="D68" s="1645" t="s">
        <v>3792</v>
      </c>
      <c r="E68" s="1646" t="s">
        <v>2798</v>
      </c>
      <c r="F68" s="1645">
        <f t="shared" si="1"/>
        <v>1985</v>
      </c>
      <c r="G68" s="1647">
        <v>31192</v>
      </c>
      <c r="H68" s="1644" t="s">
        <v>3642</v>
      </c>
      <c r="I68" s="1648" t="s">
        <v>3629</v>
      </c>
      <c r="J68" s="1645" t="s">
        <v>201</v>
      </c>
      <c r="K68" s="1645">
        <v>0</v>
      </c>
      <c r="L68" s="1645" t="s">
        <v>3799</v>
      </c>
      <c r="M68" s="1645">
        <v>0</v>
      </c>
      <c r="N68" s="1645"/>
      <c r="O68" s="1645" t="s">
        <v>3645</v>
      </c>
      <c r="P68" s="1649"/>
      <c r="Q68" s="1645"/>
      <c r="R68" s="1644" t="s">
        <v>3789</v>
      </c>
      <c r="S68" s="1644"/>
      <c r="T68" s="1644"/>
      <c r="U68" s="1644"/>
      <c r="V68" s="1644" t="s">
        <v>3657</v>
      </c>
      <c r="W68" s="1644">
        <v>0</v>
      </c>
      <c r="X68" s="1644"/>
      <c r="Y68" s="1647"/>
      <c r="Z68" s="1647"/>
      <c r="AA68" s="1650">
        <f t="shared" ca="1" si="2"/>
        <v>15.583333333333334</v>
      </c>
      <c r="AB68" s="2444" t="s">
        <v>3629</v>
      </c>
      <c r="AC68" s="2445"/>
      <c r="AD68" s="2438"/>
    </row>
    <row r="69" spans="1:30" ht="15.75" hidden="1" customHeight="1">
      <c r="A69" s="1644">
        <f t="shared" si="0"/>
        <v>0</v>
      </c>
      <c r="B69" s="1645" t="s">
        <v>3812</v>
      </c>
      <c r="C69" s="1645" t="s">
        <v>3739</v>
      </c>
      <c r="D69" s="1645" t="s">
        <v>3792</v>
      </c>
      <c r="E69" s="1646" t="s">
        <v>2798</v>
      </c>
      <c r="F69" s="1645">
        <f t="shared" si="1"/>
        <v>1994</v>
      </c>
      <c r="G69" s="1647">
        <v>34657</v>
      </c>
      <c r="H69" s="1644" t="s">
        <v>3636</v>
      </c>
      <c r="I69" s="1648" t="s">
        <v>3629</v>
      </c>
      <c r="J69" s="1645" t="s">
        <v>37</v>
      </c>
      <c r="K69" s="1645">
        <v>0</v>
      </c>
      <c r="L69" s="1645" t="s">
        <v>3785</v>
      </c>
      <c r="M69" s="1645" t="s">
        <v>3741</v>
      </c>
      <c r="N69" s="1645"/>
      <c r="O69" s="1645">
        <v>0</v>
      </c>
      <c r="P69" s="1649"/>
      <c r="Q69" s="1645"/>
      <c r="R69" s="1647" t="s">
        <v>3772</v>
      </c>
      <c r="S69" s="1644"/>
      <c r="T69" s="1644"/>
      <c r="U69" s="1644"/>
      <c r="V69" s="1644"/>
      <c r="W69" s="1644">
        <v>0</v>
      </c>
      <c r="X69" s="1644"/>
      <c r="Y69" s="1647">
        <v>0</v>
      </c>
      <c r="Z69" s="1647" t="s">
        <v>936</v>
      </c>
      <c r="AA69" s="1650">
        <f t="shared" ca="1" si="2"/>
        <v>25.083333333333332</v>
      </c>
      <c r="AB69" s="2444" t="s">
        <v>3629</v>
      </c>
      <c r="AC69" s="2445"/>
      <c r="AD69" s="2438"/>
    </row>
    <row r="70" spans="1:30" ht="15.75" hidden="1" customHeight="1">
      <c r="A70" s="1644">
        <f t="shared" si="0"/>
        <v>0</v>
      </c>
      <c r="B70" s="1645" t="s">
        <v>3813</v>
      </c>
      <c r="C70" s="1645" t="s">
        <v>3739</v>
      </c>
      <c r="D70" s="1645" t="s">
        <v>3792</v>
      </c>
      <c r="E70" s="1644" t="s">
        <v>2798</v>
      </c>
      <c r="F70" s="1645">
        <f t="shared" si="1"/>
        <v>1991</v>
      </c>
      <c r="G70" s="1647">
        <v>33417</v>
      </c>
      <c r="H70" s="1644" t="s">
        <v>3642</v>
      </c>
      <c r="I70" s="1648" t="s">
        <v>3629</v>
      </c>
      <c r="J70" s="1645" t="s">
        <v>201</v>
      </c>
      <c r="K70" s="1645"/>
      <c r="L70" s="1645" t="s">
        <v>3814</v>
      </c>
      <c r="M70" s="1645">
        <v>0</v>
      </c>
      <c r="N70" s="1645"/>
      <c r="O70" s="1645">
        <v>0</v>
      </c>
      <c r="P70" s="1649"/>
      <c r="Q70" s="1645"/>
      <c r="R70" s="1644" t="s">
        <v>3789</v>
      </c>
      <c r="S70" s="1644"/>
      <c r="T70" s="1644"/>
      <c r="U70" s="1644"/>
      <c r="V70" s="1644" t="s">
        <v>3657</v>
      </c>
      <c r="W70" s="1644"/>
      <c r="X70" s="1644"/>
      <c r="Y70" s="1647">
        <v>41460</v>
      </c>
      <c r="Z70" s="1647">
        <v>41825</v>
      </c>
      <c r="AA70" s="1650">
        <f t="shared" ca="1" si="2"/>
        <v>21.666666666666668</v>
      </c>
      <c r="AB70" s="2444" t="s">
        <v>3629</v>
      </c>
      <c r="AC70" s="2445"/>
      <c r="AD70" s="2438"/>
    </row>
    <row r="71" spans="1:30" ht="15.75" hidden="1" customHeight="1">
      <c r="A71" s="1644">
        <f t="shared" si="0"/>
        <v>0</v>
      </c>
      <c r="B71" s="1645" t="s">
        <v>3815</v>
      </c>
      <c r="C71" s="1645" t="s">
        <v>3739</v>
      </c>
      <c r="D71" s="1645" t="s">
        <v>3792</v>
      </c>
      <c r="E71" s="1646" t="s">
        <v>2798</v>
      </c>
      <c r="F71" s="1645">
        <f t="shared" si="1"/>
        <v>1971</v>
      </c>
      <c r="G71" s="1647">
        <v>26165</v>
      </c>
      <c r="H71" s="1644" t="s">
        <v>3628</v>
      </c>
      <c r="I71" s="1648" t="s">
        <v>3629</v>
      </c>
      <c r="J71" s="1645" t="s">
        <v>37</v>
      </c>
      <c r="K71" s="1645">
        <v>0</v>
      </c>
      <c r="L71" s="1645" t="s">
        <v>3741</v>
      </c>
      <c r="M71" s="1645" t="s">
        <v>3741</v>
      </c>
      <c r="N71" s="1645"/>
      <c r="O71" s="1645" t="s">
        <v>3645</v>
      </c>
      <c r="P71" s="1649"/>
      <c r="Q71" s="1645" t="s">
        <v>3693</v>
      </c>
      <c r="R71" s="1644" t="s">
        <v>3747</v>
      </c>
      <c r="S71" s="1644"/>
      <c r="T71" s="1644" t="s">
        <v>936</v>
      </c>
      <c r="U71" s="1644" t="s">
        <v>3631</v>
      </c>
      <c r="V71" s="1644"/>
      <c r="W71" s="1644">
        <v>0</v>
      </c>
      <c r="X71" s="1644"/>
      <c r="Y71" s="1647">
        <v>36420</v>
      </c>
      <c r="Z71" s="1647">
        <v>36786</v>
      </c>
      <c r="AA71" s="1650">
        <f t="shared" ca="1" si="2"/>
        <v>1.8333333333333333</v>
      </c>
      <c r="AB71" s="2444" t="s">
        <v>3629</v>
      </c>
      <c r="AC71" s="2445"/>
      <c r="AD71" s="2438"/>
    </row>
    <row r="72" spans="1:30" ht="15.75" hidden="1" customHeight="1">
      <c r="A72" s="1644">
        <f t="shared" si="0"/>
        <v>0</v>
      </c>
      <c r="B72" s="1645" t="s">
        <v>3816</v>
      </c>
      <c r="C72" s="1645" t="s">
        <v>3739</v>
      </c>
      <c r="D72" s="1645" t="s">
        <v>3817</v>
      </c>
      <c r="E72" s="1644" t="s">
        <v>2798</v>
      </c>
      <c r="F72" s="1645">
        <f t="shared" si="1"/>
        <v>1975</v>
      </c>
      <c r="G72" s="1647">
        <v>27514</v>
      </c>
      <c r="H72" s="1644" t="s">
        <v>3636</v>
      </c>
      <c r="I72" s="1648" t="s">
        <v>3629</v>
      </c>
      <c r="J72" s="1645" t="s">
        <v>37</v>
      </c>
      <c r="K72" s="1645">
        <v>0</v>
      </c>
      <c r="L72" s="1645" t="s">
        <v>3752</v>
      </c>
      <c r="M72" s="1645" t="s">
        <v>3818</v>
      </c>
      <c r="N72" s="1645"/>
      <c r="O72" s="1645" t="s">
        <v>3645</v>
      </c>
      <c r="P72" s="1649"/>
      <c r="Q72" s="1645" t="s">
        <v>3693</v>
      </c>
      <c r="R72" s="1644" t="s">
        <v>3747</v>
      </c>
      <c r="S72" s="1644"/>
      <c r="T72" s="1644" t="s">
        <v>936</v>
      </c>
      <c r="U72" s="1644"/>
      <c r="V72" s="1644"/>
      <c r="W72" s="1650" t="s">
        <v>3646</v>
      </c>
      <c r="X72" s="1644"/>
      <c r="Y72" s="1647"/>
      <c r="Z72" s="1647"/>
      <c r="AA72" s="1650">
        <f t="shared" ca="1" si="2"/>
        <v>5.5</v>
      </c>
      <c r="AB72" s="2444" t="s">
        <v>3629</v>
      </c>
      <c r="AC72" s="2445"/>
      <c r="AD72" s="2438"/>
    </row>
    <row r="73" spans="1:30" ht="15.75" hidden="1" customHeight="1">
      <c r="A73" s="1644">
        <f t="shared" si="0"/>
        <v>0</v>
      </c>
      <c r="B73" s="1645" t="s">
        <v>3819</v>
      </c>
      <c r="C73" s="1645" t="s">
        <v>3739</v>
      </c>
      <c r="D73" s="1645" t="s">
        <v>3817</v>
      </c>
      <c r="E73" s="1646" t="s">
        <v>2797</v>
      </c>
      <c r="F73" s="1645">
        <f t="shared" si="1"/>
        <v>1976</v>
      </c>
      <c r="G73" s="1647">
        <v>27760</v>
      </c>
      <c r="H73" s="1644" t="s">
        <v>3636</v>
      </c>
      <c r="I73" s="1648" t="s">
        <v>3629</v>
      </c>
      <c r="J73" s="1645" t="s">
        <v>37</v>
      </c>
      <c r="K73" s="1645">
        <v>0</v>
      </c>
      <c r="L73" s="1645" t="s">
        <v>3820</v>
      </c>
      <c r="M73" s="1645" t="s">
        <v>3818</v>
      </c>
      <c r="N73" s="1645"/>
      <c r="O73" s="1645" t="s">
        <v>3645</v>
      </c>
      <c r="P73" s="1649"/>
      <c r="Q73" s="1645" t="s">
        <v>3693</v>
      </c>
      <c r="R73" s="1644" t="s">
        <v>3747</v>
      </c>
      <c r="S73" s="1644"/>
      <c r="T73" s="1644" t="s">
        <v>936</v>
      </c>
      <c r="U73" s="1644" t="s">
        <v>3711</v>
      </c>
      <c r="V73" s="1644"/>
      <c r="W73" s="1650" t="s">
        <v>3646</v>
      </c>
      <c r="X73" s="1644"/>
      <c r="Y73" s="1647"/>
      <c r="Z73" s="1647"/>
      <c r="AA73" s="1650">
        <f t="shared" ca="1" si="2"/>
        <v>11.166666666666666</v>
      </c>
      <c r="AB73" s="2444" t="s">
        <v>3629</v>
      </c>
      <c r="AC73" s="2445"/>
      <c r="AD73" s="2438"/>
    </row>
    <row r="74" spans="1:30" ht="15.75" hidden="1" customHeight="1">
      <c r="A74" s="1644">
        <f t="shared" si="0"/>
        <v>0</v>
      </c>
      <c r="B74" s="1645" t="s">
        <v>3821</v>
      </c>
      <c r="C74" s="1645" t="s">
        <v>3739</v>
      </c>
      <c r="D74" s="1645" t="s">
        <v>3817</v>
      </c>
      <c r="E74" s="1644" t="s">
        <v>2798</v>
      </c>
      <c r="F74" s="1645">
        <f t="shared" si="1"/>
        <v>1981</v>
      </c>
      <c r="G74" s="1647">
        <v>29606</v>
      </c>
      <c r="H74" s="1644" t="s">
        <v>3628</v>
      </c>
      <c r="I74" s="1648" t="s">
        <v>3629</v>
      </c>
      <c r="J74" s="1645" t="s">
        <v>38</v>
      </c>
      <c r="K74" s="1645">
        <v>0</v>
      </c>
      <c r="L74" s="1645" t="s">
        <v>3752</v>
      </c>
      <c r="M74" s="1645" t="s">
        <v>3751</v>
      </c>
      <c r="N74" s="1645"/>
      <c r="O74" s="1645" t="s">
        <v>3741</v>
      </c>
      <c r="P74" s="1649"/>
      <c r="Q74" s="1645" t="s">
        <v>3693</v>
      </c>
      <c r="R74" s="1644" t="s">
        <v>3754</v>
      </c>
      <c r="S74" s="1644"/>
      <c r="T74" s="1644" t="s">
        <v>936</v>
      </c>
      <c r="U74" s="1644" t="s">
        <v>3697</v>
      </c>
      <c r="V74" s="1644"/>
      <c r="W74" s="1650" t="s">
        <v>3822</v>
      </c>
      <c r="X74" s="1644"/>
      <c r="Y74" s="1647">
        <v>40862</v>
      </c>
      <c r="Z74" s="1647">
        <v>41228</v>
      </c>
      <c r="AA74" s="1650">
        <f t="shared" ca="1" si="2"/>
        <v>11.25</v>
      </c>
      <c r="AB74" s="2444" t="s">
        <v>3629</v>
      </c>
      <c r="AC74" s="2445"/>
      <c r="AD74" s="2438"/>
    </row>
    <row r="75" spans="1:30" ht="15.75" hidden="1" customHeight="1">
      <c r="A75" s="1644">
        <f t="shared" si="0"/>
        <v>0</v>
      </c>
      <c r="B75" s="1645" t="s">
        <v>3823</v>
      </c>
      <c r="C75" s="1645" t="s">
        <v>3739</v>
      </c>
      <c r="D75" s="1645" t="s">
        <v>3817</v>
      </c>
      <c r="E75" s="1646" t="s">
        <v>2797</v>
      </c>
      <c r="F75" s="1645">
        <f t="shared" si="1"/>
        <v>1968</v>
      </c>
      <c r="G75" s="1647">
        <v>25156</v>
      </c>
      <c r="H75" s="1644" t="s">
        <v>3636</v>
      </c>
      <c r="I75" s="1648" t="s">
        <v>3629</v>
      </c>
      <c r="J75" s="1645" t="s">
        <v>37</v>
      </c>
      <c r="K75" s="1645">
        <v>0</v>
      </c>
      <c r="L75" s="1645" t="s">
        <v>3751</v>
      </c>
      <c r="M75" s="1645" t="s">
        <v>3752</v>
      </c>
      <c r="N75" s="1645"/>
      <c r="O75" s="1645" t="s">
        <v>3645</v>
      </c>
      <c r="P75" s="1649"/>
      <c r="Q75" s="1645" t="s">
        <v>3693</v>
      </c>
      <c r="R75" s="1644" t="s">
        <v>3824</v>
      </c>
      <c r="S75" s="1644"/>
      <c r="T75" s="1644" t="s">
        <v>936</v>
      </c>
      <c r="U75" s="1644"/>
      <c r="V75" s="1644"/>
      <c r="W75" s="1650" t="s">
        <v>3653</v>
      </c>
      <c r="X75" s="1644"/>
      <c r="Y75" s="1647"/>
      <c r="Z75" s="1647"/>
      <c r="AA75" s="1650">
        <f t="shared" ca="1" si="2"/>
        <v>4.083333333333333</v>
      </c>
      <c r="AB75" s="2444" t="s">
        <v>3629</v>
      </c>
      <c r="AC75" s="2445"/>
      <c r="AD75" s="2438"/>
    </row>
    <row r="76" spans="1:30" ht="15.75" hidden="1" customHeight="1">
      <c r="A76" s="1644">
        <f t="shared" si="0"/>
        <v>0</v>
      </c>
      <c r="B76" s="1645" t="s">
        <v>3825</v>
      </c>
      <c r="C76" s="1645" t="s">
        <v>3739</v>
      </c>
      <c r="D76" s="1645" t="s">
        <v>3817</v>
      </c>
      <c r="E76" s="1646" t="s">
        <v>2798</v>
      </c>
      <c r="F76" s="1645">
        <f t="shared" si="1"/>
        <v>1975</v>
      </c>
      <c r="G76" s="1647">
        <v>27707</v>
      </c>
      <c r="H76" s="1644" t="s">
        <v>3636</v>
      </c>
      <c r="I76" s="1648" t="s">
        <v>3629</v>
      </c>
      <c r="J76" s="1645" t="s">
        <v>37</v>
      </c>
      <c r="K76" s="1645">
        <v>0</v>
      </c>
      <c r="L76" s="1645" t="s">
        <v>3751</v>
      </c>
      <c r="M76" s="1645" t="s">
        <v>3826</v>
      </c>
      <c r="N76" s="1645"/>
      <c r="O76" s="1645" t="s">
        <v>3645</v>
      </c>
      <c r="P76" s="1649"/>
      <c r="Q76" s="1645" t="s">
        <v>3693</v>
      </c>
      <c r="R76" s="1644" t="s">
        <v>3824</v>
      </c>
      <c r="S76" s="1644"/>
      <c r="T76" s="1644" t="s">
        <v>936</v>
      </c>
      <c r="U76" s="1644"/>
      <c r="V76" s="1644"/>
      <c r="W76" s="1644">
        <v>0</v>
      </c>
      <c r="X76" s="1644"/>
      <c r="Y76" s="1647"/>
      <c r="Z76" s="1647"/>
      <c r="AA76" s="1650">
        <f t="shared" ca="1" si="2"/>
        <v>6.083333333333333</v>
      </c>
      <c r="AB76" s="2444" t="s">
        <v>3629</v>
      </c>
      <c r="AC76" s="2445"/>
      <c r="AD76" s="2438"/>
    </row>
    <row r="77" spans="1:30" ht="15.75" hidden="1" customHeight="1">
      <c r="A77" s="1644">
        <f t="shared" si="0"/>
        <v>0</v>
      </c>
      <c r="B77" s="1645" t="s">
        <v>3827</v>
      </c>
      <c r="C77" s="1645" t="s">
        <v>3739</v>
      </c>
      <c r="D77" s="1645" t="s">
        <v>3817</v>
      </c>
      <c r="E77" s="1646" t="s">
        <v>2798</v>
      </c>
      <c r="F77" s="1645">
        <f t="shared" si="1"/>
        <v>1978</v>
      </c>
      <c r="G77" s="1647">
        <v>28676</v>
      </c>
      <c r="H77" s="1644" t="s">
        <v>3636</v>
      </c>
      <c r="I77" s="1648" t="s">
        <v>3629</v>
      </c>
      <c r="J77" s="1645" t="s">
        <v>37</v>
      </c>
      <c r="K77" s="1645">
        <v>0</v>
      </c>
      <c r="L77" s="1645" t="s">
        <v>3828</v>
      </c>
      <c r="M77" s="1645" t="s">
        <v>3818</v>
      </c>
      <c r="N77" s="1645"/>
      <c r="O77" s="1645" t="s">
        <v>3645</v>
      </c>
      <c r="P77" s="1649"/>
      <c r="Q77" s="1645" t="s">
        <v>3693</v>
      </c>
      <c r="R77" s="1644" t="s">
        <v>3747</v>
      </c>
      <c r="S77" s="1644"/>
      <c r="T77" s="1644" t="s">
        <v>936</v>
      </c>
      <c r="U77" s="1644"/>
      <c r="V77" s="1644"/>
      <c r="W77" s="1644">
        <v>0</v>
      </c>
      <c r="X77" s="1644"/>
      <c r="Y77" s="1647"/>
      <c r="Z77" s="1647"/>
      <c r="AA77" s="1650">
        <f t="shared" ca="1" si="2"/>
        <v>8.75</v>
      </c>
      <c r="AB77" s="2444" t="s">
        <v>3629</v>
      </c>
      <c r="AC77" s="2445"/>
      <c r="AD77" s="2438"/>
    </row>
    <row r="78" spans="1:30" ht="15.75" hidden="1" customHeight="1">
      <c r="A78" s="1644">
        <f t="shared" si="0"/>
        <v>0</v>
      </c>
      <c r="B78" s="1645" t="s">
        <v>3829</v>
      </c>
      <c r="C78" s="1645" t="s">
        <v>3739</v>
      </c>
      <c r="D78" s="1645" t="s">
        <v>3817</v>
      </c>
      <c r="E78" s="1646" t="s">
        <v>2798</v>
      </c>
      <c r="F78" s="1645">
        <f t="shared" si="1"/>
        <v>1978</v>
      </c>
      <c r="G78" s="1647">
        <v>28743</v>
      </c>
      <c r="H78" s="1644" t="s">
        <v>3636</v>
      </c>
      <c r="I78" s="1648" t="s">
        <v>3629</v>
      </c>
      <c r="J78" s="1645" t="s">
        <v>37</v>
      </c>
      <c r="K78" s="1645">
        <v>0</v>
      </c>
      <c r="L78" s="1645" t="s">
        <v>3741</v>
      </c>
      <c r="M78" s="1645" t="s">
        <v>3741</v>
      </c>
      <c r="N78" s="1645"/>
      <c r="O78" s="1645" t="s">
        <v>3645</v>
      </c>
      <c r="P78" s="1649"/>
      <c r="Q78" s="1645" t="s">
        <v>3693</v>
      </c>
      <c r="R78" s="1644" t="s">
        <v>3747</v>
      </c>
      <c r="S78" s="1644"/>
      <c r="T78" s="1644" t="s">
        <v>936</v>
      </c>
      <c r="U78" s="1644"/>
      <c r="V78" s="1644"/>
      <c r="W78" s="1644">
        <v>0</v>
      </c>
      <c r="X78" s="1644"/>
      <c r="Y78" s="1647"/>
      <c r="Z78" s="1647"/>
      <c r="AA78" s="1650">
        <f t="shared" ca="1" si="2"/>
        <v>8.9166666666666661</v>
      </c>
      <c r="AB78" s="2444" t="s">
        <v>3629</v>
      </c>
      <c r="AC78" s="2445"/>
      <c r="AD78" s="2438"/>
    </row>
    <row r="79" spans="1:30" ht="15.75" hidden="1" customHeight="1">
      <c r="A79" s="1644">
        <f t="shared" si="0"/>
        <v>0</v>
      </c>
      <c r="B79" s="1645" t="s">
        <v>3830</v>
      </c>
      <c r="C79" s="1645" t="s">
        <v>3739</v>
      </c>
      <c r="D79" s="1645" t="s">
        <v>3817</v>
      </c>
      <c r="E79" s="1644" t="s">
        <v>2798</v>
      </c>
      <c r="F79" s="1645">
        <f t="shared" si="1"/>
        <v>1974</v>
      </c>
      <c r="G79" s="1647">
        <v>27164</v>
      </c>
      <c r="H79" s="1644" t="s">
        <v>3636</v>
      </c>
      <c r="I79" s="1648" t="s">
        <v>3629</v>
      </c>
      <c r="J79" s="1645" t="s">
        <v>37</v>
      </c>
      <c r="K79" s="1645">
        <v>0</v>
      </c>
      <c r="L79" s="1645" t="s">
        <v>3751</v>
      </c>
      <c r="M79" s="1645" t="s">
        <v>3826</v>
      </c>
      <c r="N79" s="1645"/>
      <c r="O79" s="1645" t="s">
        <v>3645</v>
      </c>
      <c r="P79" s="1649"/>
      <c r="Q79" s="1645" t="s">
        <v>3693</v>
      </c>
      <c r="R79" s="1644" t="s">
        <v>3824</v>
      </c>
      <c r="S79" s="1644"/>
      <c r="T79" s="1644" t="s">
        <v>936</v>
      </c>
      <c r="U79" s="1644"/>
      <c r="V79" s="1644"/>
      <c r="W79" s="1644">
        <v>0</v>
      </c>
      <c r="X79" s="1644"/>
      <c r="Y79" s="1647"/>
      <c r="Z79" s="1647"/>
      <c r="AA79" s="1650">
        <f t="shared" ca="1" si="2"/>
        <v>4.583333333333333</v>
      </c>
      <c r="AB79" s="2444" t="s">
        <v>3629</v>
      </c>
      <c r="AC79" s="2445"/>
      <c r="AD79" s="2438"/>
    </row>
    <row r="80" spans="1:30" ht="15.75" hidden="1" customHeight="1">
      <c r="A80" s="1644">
        <f t="shared" si="0"/>
        <v>0</v>
      </c>
      <c r="B80" s="1645" t="s">
        <v>3831</v>
      </c>
      <c r="C80" s="1645" t="s">
        <v>3739</v>
      </c>
      <c r="D80" s="1645" t="s">
        <v>3817</v>
      </c>
      <c r="E80" s="1646" t="s">
        <v>2798</v>
      </c>
      <c r="F80" s="1645">
        <f t="shared" si="1"/>
        <v>1982</v>
      </c>
      <c r="G80" s="1647">
        <v>30149</v>
      </c>
      <c r="H80" s="1644" t="s">
        <v>3636</v>
      </c>
      <c r="I80" s="1648" t="s">
        <v>3629</v>
      </c>
      <c r="J80" s="1645" t="s">
        <v>37</v>
      </c>
      <c r="K80" s="1645">
        <v>0</v>
      </c>
      <c r="L80" s="1645" t="s">
        <v>3832</v>
      </c>
      <c r="M80" s="1645" t="s">
        <v>3741</v>
      </c>
      <c r="N80" s="1645"/>
      <c r="O80" s="1645" t="s">
        <v>3645</v>
      </c>
      <c r="P80" s="1649"/>
      <c r="Q80" s="1645" t="s">
        <v>3693</v>
      </c>
      <c r="R80" s="1644" t="s">
        <v>3747</v>
      </c>
      <c r="S80" s="1644"/>
      <c r="T80" s="1644" t="s">
        <v>936</v>
      </c>
      <c r="U80" s="1644"/>
      <c r="V80" s="1644"/>
      <c r="W80" s="1650" t="s">
        <v>3646</v>
      </c>
      <c r="X80" s="1644"/>
      <c r="Y80" s="1647"/>
      <c r="Z80" s="1647"/>
      <c r="AA80" s="1650">
        <f t="shared" ca="1" si="2"/>
        <v>12.75</v>
      </c>
      <c r="AB80" s="2444" t="s">
        <v>3629</v>
      </c>
      <c r="AC80" s="2445"/>
      <c r="AD80" s="2438"/>
    </row>
    <row r="81" spans="1:30" ht="15.75" hidden="1" customHeight="1">
      <c r="A81" s="1644">
        <f t="shared" si="0"/>
        <v>0</v>
      </c>
      <c r="B81" s="1645" t="s">
        <v>3833</v>
      </c>
      <c r="C81" s="1645" t="s">
        <v>3739</v>
      </c>
      <c r="D81" s="1645" t="s">
        <v>3817</v>
      </c>
      <c r="E81" s="1644" t="s">
        <v>2797</v>
      </c>
      <c r="F81" s="1645">
        <f t="shared" si="1"/>
        <v>1973</v>
      </c>
      <c r="G81" s="1647">
        <v>26837</v>
      </c>
      <c r="H81" s="1644" t="s">
        <v>3628</v>
      </c>
      <c r="I81" s="1648" t="s">
        <v>3629</v>
      </c>
      <c r="J81" s="1645" t="s">
        <v>37</v>
      </c>
      <c r="K81" s="1645">
        <v>0</v>
      </c>
      <c r="L81" s="1645" t="s">
        <v>3751</v>
      </c>
      <c r="M81" s="1645" t="s">
        <v>3834</v>
      </c>
      <c r="N81" s="1645"/>
      <c r="O81" s="1645" t="s">
        <v>3645</v>
      </c>
      <c r="P81" s="1649"/>
      <c r="Q81" s="1645" t="s">
        <v>3693</v>
      </c>
      <c r="R81" s="1644" t="s">
        <v>3824</v>
      </c>
      <c r="S81" s="1644"/>
      <c r="T81" s="1644" t="s">
        <v>936</v>
      </c>
      <c r="U81" s="1644" t="s">
        <v>3631</v>
      </c>
      <c r="V81" s="1644"/>
      <c r="W81" s="1644">
        <v>0</v>
      </c>
      <c r="X81" s="1644"/>
      <c r="Y81" s="1647">
        <v>38456</v>
      </c>
      <c r="Z81" s="1647">
        <v>38821</v>
      </c>
      <c r="AA81" s="1650">
        <f t="shared" ca="1" si="2"/>
        <v>8.6666666666666661</v>
      </c>
      <c r="AB81" s="2444" t="s">
        <v>3629</v>
      </c>
      <c r="AC81" s="2445"/>
      <c r="AD81" s="2438"/>
    </row>
    <row r="82" spans="1:30" ht="15.75" hidden="1" customHeight="1">
      <c r="A82" s="1644">
        <f t="shared" si="0"/>
        <v>0</v>
      </c>
      <c r="B82" s="1645" t="s">
        <v>3835</v>
      </c>
      <c r="C82" s="1645" t="s">
        <v>3739</v>
      </c>
      <c r="D82" s="1645" t="s">
        <v>3817</v>
      </c>
      <c r="E82" s="1646" t="s">
        <v>2797</v>
      </c>
      <c r="F82" s="1645">
        <f t="shared" si="1"/>
        <v>1973</v>
      </c>
      <c r="G82" s="1647">
        <v>26927</v>
      </c>
      <c r="H82" s="1644" t="s">
        <v>3636</v>
      </c>
      <c r="I82" s="1648" t="s">
        <v>3629</v>
      </c>
      <c r="J82" s="1645" t="s">
        <v>37</v>
      </c>
      <c r="K82" s="1645">
        <v>0</v>
      </c>
      <c r="L82" s="1645" t="s">
        <v>3751</v>
      </c>
      <c r="M82" s="1645" t="s">
        <v>3836</v>
      </c>
      <c r="N82" s="1645"/>
      <c r="O82" s="1645" t="s">
        <v>3645</v>
      </c>
      <c r="P82" s="1649"/>
      <c r="Q82" s="1645" t="s">
        <v>3693</v>
      </c>
      <c r="R82" s="1644" t="s">
        <v>3824</v>
      </c>
      <c r="S82" s="1644"/>
      <c r="T82" s="1644" t="s">
        <v>936</v>
      </c>
      <c r="U82" s="1644"/>
      <c r="V82" s="1644"/>
      <c r="W82" s="1644">
        <v>0</v>
      </c>
      <c r="X82" s="1644"/>
      <c r="Y82" s="1647">
        <v>40150</v>
      </c>
      <c r="Z82" s="1647">
        <v>40515</v>
      </c>
      <c r="AA82" s="1650">
        <f t="shared" ca="1" si="2"/>
        <v>8.9166666666666661</v>
      </c>
      <c r="AB82" s="2444" t="s">
        <v>3629</v>
      </c>
      <c r="AC82" s="2445"/>
      <c r="AD82" s="2438"/>
    </row>
    <row r="83" spans="1:30" ht="15.75" hidden="1" customHeight="1">
      <c r="A83" s="1644">
        <f t="shared" si="0"/>
        <v>0</v>
      </c>
      <c r="B83" s="1645" t="s">
        <v>3837</v>
      </c>
      <c r="C83" s="1645" t="s">
        <v>3739</v>
      </c>
      <c r="D83" s="1645" t="s">
        <v>3817</v>
      </c>
      <c r="E83" s="1644" t="s">
        <v>2797</v>
      </c>
      <c r="F83" s="1645">
        <f t="shared" si="1"/>
        <v>1974</v>
      </c>
      <c r="G83" s="1647">
        <v>27222</v>
      </c>
      <c r="H83" s="1644" t="s">
        <v>3636</v>
      </c>
      <c r="I83" s="1648" t="s">
        <v>3629</v>
      </c>
      <c r="J83" s="1645" t="s">
        <v>37</v>
      </c>
      <c r="K83" s="1645">
        <v>0</v>
      </c>
      <c r="L83" s="1645" t="s">
        <v>3751</v>
      </c>
      <c r="M83" s="1645" t="s">
        <v>3826</v>
      </c>
      <c r="N83" s="1645"/>
      <c r="O83" s="1645" t="s">
        <v>3645</v>
      </c>
      <c r="P83" s="1649"/>
      <c r="Q83" s="1645" t="s">
        <v>3693</v>
      </c>
      <c r="R83" s="1644" t="s">
        <v>3824</v>
      </c>
      <c r="S83" s="1644"/>
      <c r="T83" s="1644" t="s">
        <v>936</v>
      </c>
      <c r="U83" s="1644"/>
      <c r="V83" s="1644"/>
      <c r="W83" s="1650" t="s">
        <v>3646</v>
      </c>
      <c r="X83" s="1644"/>
      <c r="Y83" s="1647">
        <v>37064</v>
      </c>
      <c r="Z83" s="1647">
        <v>37429</v>
      </c>
      <c r="AA83" s="1650">
        <f t="shared" ca="1" si="2"/>
        <v>9.75</v>
      </c>
      <c r="AB83" s="2444" t="s">
        <v>3629</v>
      </c>
      <c r="AC83" s="2445"/>
      <c r="AD83" s="2438"/>
    </row>
    <row r="84" spans="1:30" ht="15.75" hidden="1" customHeight="1">
      <c r="A84" s="1644">
        <f t="shared" si="0"/>
        <v>0</v>
      </c>
      <c r="B84" s="1645" t="s">
        <v>3838</v>
      </c>
      <c r="C84" s="1645" t="s">
        <v>3739</v>
      </c>
      <c r="D84" s="1645" t="s">
        <v>3817</v>
      </c>
      <c r="E84" s="1646" t="s">
        <v>2798</v>
      </c>
      <c r="F84" s="1645">
        <f t="shared" si="1"/>
        <v>1980</v>
      </c>
      <c r="G84" s="1647">
        <v>29421</v>
      </c>
      <c r="H84" s="1644" t="s">
        <v>3636</v>
      </c>
      <c r="I84" s="1648" t="s">
        <v>3629</v>
      </c>
      <c r="J84" s="1645" t="s">
        <v>37</v>
      </c>
      <c r="K84" s="1645">
        <v>0</v>
      </c>
      <c r="L84" s="1645" t="s">
        <v>3832</v>
      </c>
      <c r="M84" s="1645" t="s">
        <v>3839</v>
      </c>
      <c r="N84" s="1645"/>
      <c r="O84" s="1645" t="s">
        <v>3645</v>
      </c>
      <c r="P84" s="1649"/>
      <c r="Q84" s="1645" t="s">
        <v>3693</v>
      </c>
      <c r="R84" s="1644" t="s">
        <v>3747</v>
      </c>
      <c r="S84" s="1644"/>
      <c r="T84" s="1644" t="s">
        <v>936</v>
      </c>
      <c r="U84" s="1644"/>
      <c r="V84" s="1644"/>
      <c r="W84" s="1644" t="s">
        <v>3679</v>
      </c>
      <c r="X84" s="1644"/>
      <c r="Y84" s="1647">
        <v>40862</v>
      </c>
      <c r="Z84" s="1647">
        <v>41228</v>
      </c>
      <c r="AA84" s="1650">
        <f t="shared" ca="1" si="2"/>
        <v>10.75</v>
      </c>
      <c r="AB84" s="2444" t="s">
        <v>3629</v>
      </c>
      <c r="AC84" s="2445"/>
      <c r="AD84" s="2438"/>
    </row>
    <row r="85" spans="1:30" ht="15.75" hidden="1" customHeight="1">
      <c r="A85" s="1644">
        <f t="shared" si="0"/>
        <v>0</v>
      </c>
      <c r="B85" s="1645" t="s">
        <v>3840</v>
      </c>
      <c r="C85" s="1645" t="s">
        <v>3739</v>
      </c>
      <c r="D85" s="1645" t="s">
        <v>3817</v>
      </c>
      <c r="E85" s="1644" t="s">
        <v>2798</v>
      </c>
      <c r="F85" s="1645">
        <f t="shared" si="1"/>
        <v>1979</v>
      </c>
      <c r="G85" s="1647">
        <v>29086</v>
      </c>
      <c r="H85" s="1644" t="s">
        <v>3636</v>
      </c>
      <c r="I85" s="1648" t="s">
        <v>3629</v>
      </c>
      <c r="J85" s="1645" t="s">
        <v>37</v>
      </c>
      <c r="K85" s="1645">
        <v>0</v>
      </c>
      <c r="L85" s="1645" t="s">
        <v>3828</v>
      </c>
      <c r="M85" s="1645" t="s">
        <v>3841</v>
      </c>
      <c r="N85" s="1645"/>
      <c r="O85" s="1645" t="s">
        <v>3645</v>
      </c>
      <c r="P85" s="1649"/>
      <c r="Q85" s="1645" t="s">
        <v>3693</v>
      </c>
      <c r="R85" s="1647" t="s">
        <v>3842</v>
      </c>
      <c r="S85" s="1644"/>
      <c r="T85" s="1644" t="s">
        <v>936</v>
      </c>
      <c r="U85" s="1644"/>
      <c r="V85" s="1644"/>
      <c r="W85" s="1644">
        <v>0</v>
      </c>
      <c r="X85" s="1644"/>
      <c r="Y85" s="1647">
        <v>37741</v>
      </c>
      <c r="Z85" s="1647">
        <v>38107</v>
      </c>
      <c r="AA85" s="1650">
        <f t="shared" ca="1" si="2"/>
        <v>9.8333333333333339</v>
      </c>
      <c r="AB85" s="2444" t="s">
        <v>3629</v>
      </c>
      <c r="AC85" s="2445"/>
      <c r="AD85" s="2438"/>
    </row>
    <row r="86" spans="1:30" ht="15.75" hidden="1" customHeight="1">
      <c r="A86" s="1644">
        <f t="shared" si="0"/>
        <v>0</v>
      </c>
      <c r="B86" s="1645" t="s">
        <v>3843</v>
      </c>
      <c r="C86" s="1645" t="s">
        <v>3739</v>
      </c>
      <c r="D86" s="1645" t="s">
        <v>3817</v>
      </c>
      <c r="E86" s="1646" t="s">
        <v>2798</v>
      </c>
      <c r="F86" s="1645">
        <f t="shared" si="1"/>
        <v>1977</v>
      </c>
      <c r="G86" s="1647">
        <v>28382</v>
      </c>
      <c r="H86" s="1644" t="s">
        <v>3636</v>
      </c>
      <c r="I86" s="1648" t="s">
        <v>3629</v>
      </c>
      <c r="J86" s="1645" t="s">
        <v>37</v>
      </c>
      <c r="K86" s="1645">
        <v>0</v>
      </c>
      <c r="L86" s="1645" t="s">
        <v>3774</v>
      </c>
      <c r="M86" s="1645" t="s">
        <v>3826</v>
      </c>
      <c r="N86" s="1645"/>
      <c r="O86" s="1645" t="s">
        <v>3645</v>
      </c>
      <c r="P86" s="1649"/>
      <c r="Q86" s="1645" t="s">
        <v>3693</v>
      </c>
      <c r="R86" s="1644" t="s">
        <v>3824</v>
      </c>
      <c r="S86" s="1644"/>
      <c r="T86" s="1644" t="s">
        <v>936</v>
      </c>
      <c r="U86" s="1644"/>
      <c r="V86" s="1644"/>
      <c r="W86" s="1644" t="s">
        <v>3679</v>
      </c>
      <c r="X86" s="1644"/>
      <c r="Y86" s="1647"/>
      <c r="Z86" s="1647"/>
      <c r="AA86" s="1650">
        <f t="shared" ca="1" si="2"/>
        <v>7.916666666666667</v>
      </c>
      <c r="AB86" s="2444" t="s">
        <v>3629</v>
      </c>
      <c r="AC86" s="2445"/>
      <c r="AD86" s="2438"/>
    </row>
    <row r="87" spans="1:30" ht="15.75" hidden="1" customHeight="1">
      <c r="A87" s="1644">
        <f t="shared" si="0"/>
        <v>0</v>
      </c>
      <c r="B87" s="1645" t="s">
        <v>3844</v>
      </c>
      <c r="C87" s="1645" t="s">
        <v>3739</v>
      </c>
      <c r="D87" s="1645" t="s">
        <v>3845</v>
      </c>
      <c r="E87" s="1646" t="s">
        <v>2798</v>
      </c>
      <c r="F87" s="1645">
        <f t="shared" si="1"/>
        <v>1986</v>
      </c>
      <c r="G87" s="1647">
        <v>31715</v>
      </c>
      <c r="H87" s="1646" t="s">
        <v>3636</v>
      </c>
      <c r="I87" s="1648" t="s">
        <v>3629</v>
      </c>
      <c r="J87" s="1645" t="s">
        <v>37</v>
      </c>
      <c r="K87" s="1645"/>
      <c r="L87" s="1651" t="s">
        <v>3846</v>
      </c>
      <c r="M87" s="1645" t="s">
        <v>3846</v>
      </c>
      <c r="N87" s="1645"/>
      <c r="O87" s="1645"/>
      <c r="P87" s="1649"/>
      <c r="Q87" s="1645"/>
      <c r="R87" s="1644" t="s">
        <v>3747</v>
      </c>
      <c r="S87" s="1644"/>
      <c r="T87" s="1644"/>
      <c r="U87" s="1644"/>
      <c r="V87" s="1644"/>
      <c r="W87" s="1644"/>
      <c r="X87" s="1644"/>
      <c r="Y87" s="1644"/>
      <c r="Z87" s="1647"/>
      <c r="AA87" s="1654"/>
      <c r="AB87" s="2444" t="s">
        <v>3629</v>
      </c>
      <c r="AC87" s="2445"/>
      <c r="AD87" s="2438"/>
    </row>
    <row r="88" spans="1:30" ht="15.75" hidden="1" customHeight="1">
      <c r="A88" s="1644">
        <f t="shared" si="0"/>
        <v>0</v>
      </c>
      <c r="B88" s="1645" t="s">
        <v>3847</v>
      </c>
      <c r="C88" s="1645" t="s">
        <v>3739</v>
      </c>
      <c r="D88" s="1645" t="s">
        <v>3845</v>
      </c>
      <c r="E88" s="1646" t="s">
        <v>2798</v>
      </c>
      <c r="F88" s="1645">
        <f t="shared" si="1"/>
        <v>1987</v>
      </c>
      <c r="G88" s="1647">
        <v>32074</v>
      </c>
      <c r="H88" s="1644" t="s">
        <v>3636</v>
      </c>
      <c r="I88" s="1648" t="s">
        <v>3629</v>
      </c>
      <c r="J88" s="1645" t="s">
        <v>37</v>
      </c>
      <c r="K88" s="1645">
        <v>0</v>
      </c>
      <c r="L88" s="1645" t="s">
        <v>3741</v>
      </c>
      <c r="M88" s="1645" t="s">
        <v>3818</v>
      </c>
      <c r="N88" s="1645"/>
      <c r="O88" s="1645" t="s">
        <v>3645</v>
      </c>
      <c r="P88" s="1649"/>
      <c r="Q88" s="1645" t="s">
        <v>3693</v>
      </c>
      <c r="R88" s="1644" t="s">
        <v>3747</v>
      </c>
      <c r="S88" s="1644"/>
      <c r="T88" s="1644">
        <v>0</v>
      </c>
      <c r="U88" s="1644" t="s">
        <v>3711</v>
      </c>
      <c r="V88" s="1644"/>
      <c r="W88" s="1644">
        <v>0</v>
      </c>
      <c r="X88" s="1644"/>
      <c r="Y88" s="1647"/>
      <c r="Z88" s="1647"/>
      <c r="AA88" s="1650">
        <f t="shared" ref="AA88:AA168" ca="1" si="3">IF(E88="nữ",660-DATEDIF(G88,TODAY(),"m"),720-DATEDIF(G88,TODAY(),"m"))/12</f>
        <v>18</v>
      </c>
      <c r="AB88" s="2444" t="s">
        <v>3629</v>
      </c>
      <c r="AC88" s="2445"/>
      <c r="AD88" s="2438"/>
    </row>
    <row r="89" spans="1:30" ht="15.75" hidden="1" customHeight="1">
      <c r="A89" s="1644">
        <f t="shared" si="0"/>
        <v>0</v>
      </c>
      <c r="B89" s="1645" t="s">
        <v>3848</v>
      </c>
      <c r="C89" s="1645" t="s">
        <v>3739</v>
      </c>
      <c r="D89" s="1645" t="s">
        <v>3845</v>
      </c>
      <c r="E89" s="1646" t="s">
        <v>2798</v>
      </c>
      <c r="F89" s="1645">
        <f t="shared" si="1"/>
        <v>1997</v>
      </c>
      <c r="G89" s="1647">
        <v>35611</v>
      </c>
      <c r="H89" s="1646" t="s">
        <v>3636</v>
      </c>
      <c r="I89" s="1648" t="s">
        <v>3629</v>
      </c>
      <c r="J89" s="1645" t="s">
        <v>37</v>
      </c>
      <c r="K89" s="1645"/>
      <c r="L89" s="1645" t="s">
        <v>3785</v>
      </c>
      <c r="M89" s="1645" t="s">
        <v>3849</v>
      </c>
      <c r="N89" s="1655">
        <v>44615</v>
      </c>
      <c r="O89" s="1645"/>
      <c r="P89" s="1649"/>
      <c r="Q89" s="1645"/>
      <c r="R89" s="1647" t="s">
        <v>3772</v>
      </c>
      <c r="S89" s="1644"/>
      <c r="T89" s="1644"/>
      <c r="U89" s="1644"/>
      <c r="V89" s="1644"/>
      <c r="W89" s="1644"/>
      <c r="X89" s="1644"/>
      <c r="Y89" s="1644"/>
      <c r="Z89" s="1647"/>
      <c r="AA89" s="1654">
        <f t="shared" ca="1" si="3"/>
        <v>27.666666666666668</v>
      </c>
      <c r="AB89" s="2444" t="s">
        <v>3629</v>
      </c>
      <c r="AC89" s="2445"/>
      <c r="AD89" s="2438"/>
    </row>
    <row r="90" spans="1:30" ht="15.75" hidden="1" customHeight="1">
      <c r="A90" s="1644">
        <f t="shared" si="0"/>
        <v>0</v>
      </c>
      <c r="B90" s="1645" t="s">
        <v>3850</v>
      </c>
      <c r="C90" s="1645" t="s">
        <v>3739</v>
      </c>
      <c r="D90" s="1645" t="s">
        <v>3845</v>
      </c>
      <c r="E90" s="1646" t="s">
        <v>2798</v>
      </c>
      <c r="F90" s="1645">
        <f t="shared" si="1"/>
        <v>1974</v>
      </c>
      <c r="G90" s="1647">
        <v>27312</v>
      </c>
      <c r="H90" s="1644" t="s">
        <v>3628</v>
      </c>
      <c r="I90" s="1648" t="s">
        <v>3629</v>
      </c>
      <c r="J90" s="1645" t="s">
        <v>38</v>
      </c>
      <c r="K90" s="1645">
        <v>0</v>
      </c>
      <c r="L90" s="1645" t="s">
        <v>3741</v>
      </c>
      <c r="M90" s="1645" t="s">
        <v>3741</v>
      </c>
      <c r="N90" s="1645"/>
      <c r="O90" s="1645" t="s">
        <v>3741</v>
      </c>
      <c r="P90" s="1649"/>
      <c r="Q90" s="1645"/>
      <c r="R90" s="1644" t="s">
        <v>3801</v>
      </c>
      <c r="S90" s="1644"/>
      <c r="T90" s="1644">
        <v>0</v>
      </c>
      <c r="U90" s="1644"/>
      <c r="V90" s="1644"/>
      <c r="W90" s="1644">
        <v>0</v>
      </c>
      <c r="X90" s="1644"/>
      <c r="Y90" s="1647"/>
      <c r="Z90" s="1647" t="s">
        <v>936</v>
      </c>
      <c r="AA90" s="1650">
        <f t="shared" ca="1" si="3"/>
        <v>5</v>
      </c>
      <c r="AB90" s="2444" t="s">
        <v>3629</v>
      </c>
      <c r="AC90" s="2445"/>
      <c r="AD90" s="2438"/>
    </row>
    <row r="91" spans="1:30" ht="15.75" hidden="1" customHeight="1">
      <c r="A91" s="1644">
        <f t="shared" si="0"/>
        <v>0</v>
      </c>
      <c r="B91" s="1645" t="s">
        <v>3851</v>
      </c>
      <c r="C91" s="1645" t="s">
        <v>3739</v>
      </c>
      <c r="D91" s="1645" t="s">
        <v>3845</v>
      </c>
      <c r="E91" s="1644" t="s">
        <v>2798</v>
      </c>
      <c r="F91" s="1645">
        <f t="shared" si="1"/>
        <v>1988</v>
      </c>
      <c r="G91" s="1647">
        <v>32222</v>
      </c>
      <c r="H91" s="1644" t="s">
        <v>3636</v>
      </c>
      <c r="I91" s="1648" t="s">
        <v>3629</v>
      </c>
      <c r="J91" s="1645" t="s">
        <v>38</v>
      </c>
      <c r="K91" s="1645">
        <v>0</v>
      </c>
      <c r="L91" s="1645" t="s">
        <v>3741</v>
      </c>
      <c r="M91" s="1645" t="s">
        <v>3741</v>
      </c>
      <c r="N91" s="1645"/>
      <c r="O91" s="1645" t="s">
        <v>3645</v>
      </c>
      <c r="P91" s="1649"/>
      <c r="Q91" s="1645"/>
      <c r="R91" s="1647" t="s">
        <v>3852</v>
      </c>
      <c r="S91" s="1644"/>
      <c r="T91" s="1644">
        <v>0</v>
      </c>
      <c r="U91" s="1644"/>
      <c r="V91" s="1644"/>
      <c r="W91" s="1644">
        <v>0</v>
      </c>
      <c r="X91" s="1644"/>
      <c r="Y91" s="1647"/>
      <c r="Z91" s="1647" t="s">
        <v>936</v>
      </c>
      <c r="AA91" s="1650">
        <f t="shared" ca="1" si="3"/>
        <v>18.416666666666668</v>
      </c>
      <c r="AB91" s="2444" t="s">
        <v>3629</v>
      </c>
      <c r="AC91" s="2445"/>
      <c r="AD91" s="2438"/>
    </row>
    <row r="92" spans="1:30" ht="15.75" hidden="1" customHeight="1">
      <c r="A92" s="1644">
        <f t="shared" si="0"/>
        <v>0</v>
      </c>
      <c r="B92" s="1645" t="s">
        <v>3853</v>
      </c>
      <c r="C92" s="1645" t="s">
        <v>3739</v>
      </c>
      <c r="D92" s="1645" t="s">
        <v>3845</v>
      </c>
      <c r="E92" s="1646" t="s">
        <v>2798</v>
      </c>
      <c r="F92" s="1645">
        <f t="shared" si="1"/>
        <v>1980</v>
      </c>
      <c r="G92" s="1647">
        <v>29438</v>
      </c>
      <c r="H92" s="1644" t="s">
        <v>3797</v>
      </c>
      <c r="I92" s="1648" t="s">
        <v>3629</v>
      </c>
      <c r="J92" s="1645" t="s">
        <v>38</v>
      </c>
      <c r="K92" s="1645" t="s">
        <v>3798</v>
      </c>
      <c r="L92" s="1645" t="s">
        <v>3741</v>
      </c>
      <c r="M92" s="1645" t="s">
        <v>3741</v>
      </c>
      <c r="N92" s="1645"/>
      <c r="O92" s="1645" t="s">
        <v>3741</v>
      </c>
      <c r="P92" s="1649"/>
      <c r="Q92" s="1645" t="s">
        <v>3757</v>
      </c>
      <c r="R92" s="1647" t="s">
        <v>3854</v>
      </c>
      <c r="S92" s="1644"/>
      <c r="T92" s="1644" t="s">
        <v>936</v>
      </c>
      <c r="U92" s="1644" t="s">
        <v>3631</v>
      </c>
      <c r="V92" s="1644"/>
      <c r="W92" s="1644">
        <v>0</v>
      </c>
      <c r="X92" s="1644"/>
      <c r="Y92" s="1647">
        <v>37253</v>
      </c>
      <c r="Z92" s="1647">
        <v>37618</v>
      </c>
      <c r="AA92" s="1650">
        <f t="shared" ca="1" si="3"/>
        <v>10.833333333333334</v>
      </c>
      <c r="AB92" s="2444" t="s">
        <v>3629</v>
      </c>
      <c r="AC92" s="2445"/>
      <c r="AD92" s="2438"/>
    </row>
    <row r="93" spans="1:30" ht="15.75" hidden="1" customHeight="1">
      <c r="A93" s="1644">
        <f t="shared" si="0"/>
        <v>0</v>
      </c>
      <c r="B93" s="1645" t="s">
        <v>3855</v>
      </c>
      <c r="C93" s="1645" t="s">
        <v>3739</v>
      </c>
      <c r="D93" s="1645"/>
      <c r="E93" s="1646" t="s">
        <v>2797</v>
      </c>
      <c r="F93" s="1645">
        <f t="shared" si="1"/>
        <v>1992</v>
      </c>
      <c r="G93" s="1647">
        <v>33836</v>
      </c>
      <c r="H93" s="1644" t="s">
        <v>3648</v>
      </c>
      <c r="I93" s="1648" t="s">
        <v>3629</v>
      </c>
      <c r="J93" s="1645" t="s">
        <v>201</v>
      </c>
      <c r="K93" s="1645">
        <v>0</v>
      </c>
      <c r="L93" s="1651" t="s">
        <v>3856</v>
      </c>
      <c r="M93" s="1645">
        <v>0</v>
      </c>
      <c r="N93" s="1645"/>
      <c r="O93" s="1645">
        <v>0</v>
      </c>
      <c r="P93" s="1649"/>
      <c r="Q93" s="1645"/>
      <c r="R93" s="1644" t="s">
        <v>3789</v>
      </c>
      <c r="S93" s="1644"/>
      <c r="T93" s="1644"/>
      <c r="U93" s="1644"/>
      <c r="V93" s="1644"/>
      <c r="W93" s="1650" t="s">
        <v>3646</v>
      </c>
      <c r="X93" s="1644"/>
      <c r="Y93" s="1647"/>
      <c r="Z93" s="1647"/>
      <c r="AA93" s="1650">
        <f t="shared" ca="1" si="3"/>
        <v>27.833333333333332</v>
      </c>
      <c r="AB93" s="2444" t="s">
        <v>3629</v>
      </c>
      <c r="AC93" s="2445"/>
      <c r="AD93" s="2438"/>
    </row>
    <row r="94" spans="1:30" ht="15.75" hidden="1" customHeight="1">
      <c r="A94" s="1644">
        <f t="shared" si="0"/>
        <v>0</v>
      </c>
      <c r="B94" s="1645" t="s">
        <v>3857</v>
      </c>
      <c r="C94" s="1645" t="s">
        <v>3858</v>
      </c>
      <c r="D94" s="1645" t="s">
        <v>3859</v>
      </c>
      <c r="E94" s="1644" t="s">
        <v>2797</v>
      </c>
      <c r="F94" s="1645">
        <f t="shared" si="1"/>
        <v>1980</v>
      </c>
      <c r="G94" s="1647">
        <v>29466</v>
      </c>
      <c r="H94" s="1644" t="s">
        <v>3636</v>
      </c>
      <c r="I94" s="1648" t="s">
        <v>3629</v>
      </c>
      <c r="J94" s="1645" t="s">
        <v>37</v>
      </c>
      <c r="K94" s="1645">
        <v>0</v>
      </c>
      <c r="L94" s="1651" t="s">
        <v>3860</v>
      </c>
      <c r="M94" s="1645" t="s">
        <v>3860</v>
      </c>
      <c r="N94" s="1645"/>
      <c r="O94" s="1645">
        <v>0</v>
      </c>
      <c r="P94" s="1649"/>
      <c r="Q94" s="1645"/>
      <c r="R94" s="1644"/>
      <c r="S94" s="1644"/>
      <c r="T94" s="1644" t="s">
        <v>936</v>
      </c>
      <c r="U94" s="1644"/>
      <c r="V94" s="1644"/>
      <c r="W94" s="1650" t="s">
        <v>3646</v>
      </c>
      <c r="X94" s="1644"/>
      <c r="Y94" s="1647"/>
      <c r="Z94" s="1647" t="s">
        <v>936</v>
      </c>
      <c r="AA94" s="1650">
        <f t="shared" ca="1" si="3"/>
        <v>15.833333333333334</v>
      </c>
      <c r="AB94" s="2444" t="s">
        <v>3629</v>
      </c>
      <c r="AC94" s="2445"/>
      <c r="AD94" s="2438"/>
    </row>
    <row r="95" spans="1:30" ht="15.75" hidden="1" customHeight="1">
      <c r="A95" s="1644">
        <f t="shared" si="0"/>
        <v>0</v>
      </c>
      <c r="B95" s="1645" t="s">
        <v>3861</v>
      </c>
      <c r="C95" s="1645" t="s">
        <v>3858</v>
      </c>
      <c r="D95" s="1645" t="s">
        <v>3859</v>
      </c>
      <c r="E95" s="1646" t="s">
        <v>2798</v>
      </c>
      <c r="F95" s="1645">
        <f t="shared" si="1"/>
        <v>1994</v>
      </c>
      <c r="G95" s="1647">
        <v>34611</v>
      </c>
      <c r="H95" s="1646" t="s">
        <v>3636</v>
      </c>
      <c r="I95" s="1648" t="s">
        <v>3629</v>
      </c>
      <c r="J95" s="1645" t="s">
        <v>37</v>
      </c>
      <c r="K95" s="1645"/>
      <c r="L95" s="1651" t="s">
        <v>3862</v>
      </c>
      <c r="M95" s="1645" t="s">
        <v>3862</v>
      </c>
      <c r="N95" s="1645"/>
      <c r="O95" s="1645">
        <v>0</v>
      </c>
      <c r="P95" s="1649"/>
      <c r="Q95" s="1645"/>
      <c r="R95" s="1647" t="s">
        <v>3667</v>
      </c>
      <c r="S95" s="1644"/>
      <c r="T95" s="1644"/>
      <c r="U95" s="1644"/>
      <c r="V95" s="1644"/>
      <c r="W95" s="1644"/>
      <c r="X95" s="1644"/>
      <c r="Y95" s="1644"/>
      <c r="Z95" s="1647"/>
      <c r="AA95" s="1654">
        <f t="shared" ca="1" si="3"/>
        <v>25</v>
      </c>
      <c r="AB95" s="2444" t="s">
        <v>3629</v>
      </c>
      <c r="AC95" s="2445"/>
      <c r="AD95" s="2438"/>
    </row>
    <row r="96" spans="1:30" ht="15.75" hidden="1" customHeight="1">
      <c r="A96" s="1644">
        <f t="shared" si="0"/>
        <v>0</v>
      </c>
      <c r="B96" s="1645" t="s">
        <v>3863</v>
      </c>
      <c r="C96" s="1645" t="s">
        <v>3858</v>
      </c>
      <c r="D96" s="1645" t="s">
        <v>3859</v>
      </c>
      <c r="E96" s="1644" t="s">
        <v>2798</v>
      </c>
      <c r="F96" s="1645">
        <f t="shared" si="1"/>
        <v>1983</v>
      </c>
      <c r="G96" s="1647">
        <v>30391</v>
      </c>
      <c r="H96" s="1644" t="s">
        <v>3636</v>
      </c>
      <c r="I96" s="1648" t="s">
        <v>3629</v>
      </c>
      <c r="J96" s="1645" t="s">
        <v>37</v>
      </c>
      <c r="K96" s="1645">
        <v>0</v>
      </c>
      <c r="L96" s="1645" t="s">
        <v>3864</v>
      </c>
      <c r="M96" s="1645" t="s">
        <v>3865</v>
      </c>
      <c r="N96" s="1645"/>
      <c r="O96" s="1645" t="s">
        <v>3645</v>
      </c>
      <c r="P96" s="1649"/>
      <c r="Q96" s="1645"/>
      <c r="R96" s="1644">
        <v>0</v>
      </c>
      <c r="S96" s="1644"/>
      <c r="T96" s="1644" t="s">
        <v>936</v>
      </c>
      <c r="U96" s="1644"/>
      <c r="V96" s="1644"/>
      <c r="W96" s="1650" t="s">
        <v>3646</v>
      </c>
      <c r="X96" s="1644"/>
      <c r="Y96" s="1647"/>
      <c r="Z96" s="1647" t="s">
        <v>936</v>
      </c>
      <c r="AA96" s="1650">
        <f t="shared" ca="1" si="3"/>
        <v>13.416666666666666</v>
      </c>
      <c r="AB96" s="2444" t="s">
        <v>3629</v>
      </c>
      <c r="AC96" s="2445"/>
      <c r="AD96" s="2438"/>
    </row>
    <row r="97" spans="1:30" ht="15.75" hidden="1" customHeight="1">
      <c r="A97" s="1644">
        <f t="shared" si="0"/>
        <v>0</v>
      </c>
      <c r="B97" s="1645" t="s">
        <v>3866</v>
      </c>
      <c r="C97" s="1645" t="s">
        <v>3858</v>
      </c>
      <c r="D97" s="1645" t="s">
        <v>3859</v>
      </c>
      <c r="E97" s="1646" t="s">
        <v>2798</v>
      </c>
      <c r="F97" s="1645">
        <f t="shared" si="1"/>
        <v>1984</v>
      </c>
      <c r="G97" s="1647">
        <v>30948</v>
      </c>
      <c r="H97" s="1644" t="s">
        <v>3636</v>
      </c>
      <c r="I97" s="1648" t="s">
        <v>3629</v>
      </c>
      <c r="J97" s="1645" t="s">
        <v>37</v>
      </c>
      <c r="K97" s="1645">
        <v>0</v>
      </c>
      <c r="L97" s="1645" t="s">
        <v>3867</v>
      </c>
      <c r="M97" s="1645" t="s">
        <v>3868</v>
      </c>
      <c r="N97" s="1645"/>
      <c r="O97" s="1645" t="s">
        <v>3645</v>
      </c>
      <c r="P97" s="1649"/>
      <c r="Q97" s="1645"/>
      <c r="R97" s="1647" t="s">
        <v>3727</v>
      </c>
      <c r="S97" s="1644" t="s">
        <v>3743</v>
      </c>
      <c r="T97" s="1644">
        <v>0</v>
      </c>
      <c r="U97" s="1644" t="s">
        <v>3711</v>
      </c>
      <c r="V97" s="1644"/>
      <c r="W97" s="1644">
        <v>0</v>
      </c>
      <c r="X97" s="1644"/>
      <c r="Y97" s="1647"/>
      <c r="Z97" s="1647"/>
      <c r="AA97" s="1650">
        <f t="shared" ca="1" si="3"/>
        <v>14.916666666666666</v>
      </c>
      <c r="AB97" s="2444" t="s">
        <v>3629</v>
      </c>
      <c r="AC97" s="2445"/>
      <c r="AD97" s="2438"/>
    </row>
    <row r="98" spans="1:30" ht="15.75" hidden="1" customHeight="1">
      <c r="A98" s="1644">
        <f t="shared" si="0"/>
        <v>0</v>
      </c>
      <c r="B98" s="1645" t="s">
        <v>3869</v>
      </c>
      <c r="C98" s="1645" t="s">
        <v>3858</v>
      </c>
      <c r="D98" s="1645" t="s">
        <v>3859</v>
      </c>
      <c r="E98" s="1644" t="s">
        <v>2798</v>
      </c>
      <c r="F98" s="1645">
        <f t="shared" si="1"/>
        <v>1985</v>
      </c>
      <c r="G98" s="1647">
        <v>31207</v>
      </c>
      <c r="H98" s="1644" t="s">
        <v>3636</v>
      </c>
      <c r="I98" s="1648" t="s">
        <v>3629</v>
      </c>
      <c r="J98" s="1645" t="s">
        <v>37</v>
      </c>
      <c r="K98" s="1645">
        <v>0</v>
      </c>
      <c r="L98" s="1645" t="s">
        <v>3870</v>
      </c>
      <c r="M98" s="1645" t="s">
        <v>3871</v>
      </c>
      <c r="N98" s="1645"/>
      <c r="O98" s="1645">
        <v>0</v>
      </c>
      <c r="P98" s="1649"/>
      <c r="Q98" s="1645"/>
      <c r="R98" s="1647" t="s">
        <v>3727</v>
      </c>
      <c r="S98" s="1644" t="s">
        <v>3743</v>
      </c>
      <c r="T98" s="1644" t="s">
        <v>936</v>
      </c>
      <c r="U98" s="1644"/>
      <c r="V98" s="1644"/>
      <c r="W98" s="1644">
        <v>0</v>
      </c>
      <c r="X98" s="1644"/>
      <c r="Y98" s="1647"/>
      <c r="Z98" s="1647"/>
      <c r="AA98" s="1650">
        <f t="shared" ca="1" si="3"/>
        <v>15.666666666666666</v>
      </c>
      <c r="AB98" s="2444" t="s">
        <v>3629</v>
      </c>
      <c r="AC98" s="2445"/>
      <c r="AD98" s="2438"/>
    </row>
    <row r="99" spans="1:30" ht="15.75" hidden="1" customHeight="1">
      <c r="A99" s="1644">
        <f t="shared" si="0"/>
        <v>0</v>
      </c>
      <c r="B99" s="1645" t="s">
        <v>3872</v>
      </c>
      <c r="C99" s="1645" t="s">
        <v>3858</v>
      </c>
      <c r="D99" s="1645" t="s">
        <v>3859</v>
      </c>
      <c r="E99" s="1646" t="s">
        <v>2797</v>
      </c>
      <c r="F99" s="1645">
        <f t="shared" si="1"/>
        <v>1980</v>
      </c>
      <c r="G99" s="1647">
        <v>29336</v>
      </c>
      <c r="H99" s="1644" t="s">
        <v>3628</v>
      </c>
      <c r="I99" s="1648" t="s">
        <v>3629</v>
      </c>
      <c r="J99" s="1645" t="s">
        <v>38</v>
      </c>
      <c r="K99" s="1645">
        <v>0</v>
      </c>
      <c r="L99" s="1645" t="s">
        <v>3873</v>
      </c>
      <c r="M99" s="1645" t="s">
        <v>3874</v>
      </c>
      <c r="N99" s="1645"/>
      <c r="O99" s="1645" t="s">
        <v>3875</v>
      </c>
      <c r="P99" s="1649"/>
      <c r="Q99" s="1645"/>
      <c r="R99" s="1647" t="s">
        <v>3876</v>
      </c>
      <c r="S99" s="1644"/>
      <c r="T99" s="1644" t="s">
        <v>936</v>
      </c>
      <c r="U99" s="1644"/>
      <c r="V99" s="1644"/>
      <c r="W99" s="1650" t="s">
        <v>3653</v>
      </c>
      <c r="X99" s="1644" t="s">
        <v>3707</v>
      </c>
      <c r="Y99" s="1647">
        <v>44112</v>
      </c>
      <c r="Z99" s="1647">
        <v>0</v>
      </c>
      <c r="AA99" s="1650">
        <f t="shared" ca="1" si="3"/>
        <v>15.5</v>
      </c>
      <c r="AB99" s="2444" t="s">
        <v>3629</v>
      </c>
      <c r="AC99" s="2445"/>
      <c r="AD99" s="2438"/>
    </row>
    <row r="100" spans="1:30" ht="15.75" hidden="1" customHeight="1">
      <c r="A100" s="1644">
        <f t="shared" si="0"/>
        <v>0</v>
      </c>
      <c r="B100" s="1645" t="s">
        <v>3877</v>
      </c>
      <c r="C100" s="1645" t="s">
        <v>3858</v>
      </c>
      <c r="D100" s="1645" t="s">
        <v>3859</v>
      </c>
      <c r="E100" s="1646" t="s">
        <v>2798</v>
      </c>
      <c r="F100" s="1645">
        <f t="shared" si="1"/>
        <v>1982</v>
      </c>
      <c r="G100" s="1647">
        <v>30061</v>
      </c>
      <c r="H100" s="1644" t="s">
        <v>3636</v>
      </c>
      <c r="I100" s="1648" t="s">
        <v>3629</v>
      </c>
      <c r="J100" s="1645" t="s">
        <v>38</v>
      </c>
      <c r="K100" s="1645">
        <v>0</v>
      </c>
      <c r="L100" s="1645" t="s">
        <v>3875</v>
      </c>
      <c r="M100" s="1645" t="s">
        <v>3878</v>
      </c>
      <c r="N100" s="1645"/>
      <c r="O100" s="1645" t="s">
        <v>3879</v>
      </c>
      <c r="P100" s="1649">
        <v>44228</v>
      </c>
      <c r="Q100" s="1645"/>
      <c r="R100" s="1647" t="s">
        <v>3852</v>
      </c>
      <c r="S100" s="1644"/>
      <c r="T100" s="1644">
        <v>0</v>
      </c>
      <c r="U100" s="1644"/>
      <c r="V100" s="1644"/>
      <c r="W100" s="1644">
        <v>0</v>
      </c>
      <c r="X100" s="1644"/>
      <c r="Y100" s="1647"/>
      <c r="Z100" s="1647" t="s">
        <v>936</v>
      </c>
      <c r="AA100" s="1650">
        <f t="shared" ca="1" si="3"/>
        <v>12.5</v>
      </c>
      <c r="AB100" s="2444" t="s">
        <v>3629</v>
      </c>
      <c r="AC100" s="2445"/>
      <c r="AD100" s="2438"/>
    </row>
    <row r="101" spans="1:30" ht="15.75" hidden="1" customHeight="1">
      <c r="A101" s="1644">
        <f t="shared" si="0"/>
        <v>0</v>
      </c>
      <c r="B101" s="1645" t="s">
        <v>3880</v>
      </c>
      <c r="C101" s="1645" t="s">
        <v>3858</v>
      </c>
      <c r="D101" s="1645" t="s">
        <v>3859</v>
      </c>
      <c r="E101" s="1644" t="s">
        <v>2797</v>
      </c>
      <c r="F101" s="1645">
        <f t="shared" si="1"/>
        <v>1989</v>
      </c>
      <c r="G101" s="1647">
        <v>32628</v>
      </c>
      <c r="H101" s="1644" t="s">
        <v>3636</v>
      </c>
      <c r="I101" s="1648" t="s">
        <v>3629</v>
      </c>
      <c r="J101" s="1645" t="s">
        <v>37</v>
      </c>
      <c r="K101" s="1645">
        <v>0</v>
      </c>
      <c r="L101" s="1645" t="s">
        <v>3870</v>
      </c>
      <c r="M101" s="1645" t="s">
        <v>3881</v>
      </c>
      <c r="N101" s="1645"/>
      <c r="O101" s="1645" t="s">
        <v>3645</v>
      </c>
      <c r="P101" s="1649"/>
      <c r="Q101" s="1645"/>
      <c r="R101" s="1647" t="s">
        <v>3882</v>
      </c>
      <c r="S101" s="1644"/>
      <c r="T101" s="1644">
        <v>0</v>
      </c>
      <c r="U101" s="1644" t="s">
        <v>3711</v>
      </c>
      <c r="V101" s="1644"/>
      <c r="W101" s="1644">
        <v>0</v>
      </c>
      <c r="X101" s="1644"/>
      <c r="Y101" s="1647"/>
      <c r="Z101" s="1647"/>
      <c r="AA101" s="1650">
        <f t="shared" ca="1" si="3"/>
        <v>24.5</v>
      </c>
      <c r="AB101" s="2444" t="s">
        <v>3629</v>
      </c>
      <c r="AC101" s="2445"/>
      <c r="AD101" s="2438"/>
    </row>
    <row r="102" spans="1:30" ht="15.75" hidden="1" customHeight="1">
      <c r="A102" s="1644">
        <f t="shared" si="0"/>
        <v>0</v>
      </c>
      <c r="B102" s="1645" t="s">
        <v>3883</v>
      </c>
      <c r="C102" s="1645" t="s">
        <v>3858</v>
      </c>
      <c r="D102" s="1645" t="s">
        <v>3859</v>
      </c>
      <c r="E102" s="1646" t="s">
        <v>2797</v>
      </c>
      <c r="F102" s="1645">
        <f t="shared" si="1"/>
        <v>1977</v>
      </c>
      <c r="G102" s="1647">
        <v>28264</v>
      </c>
      <c r="H102" s="1644" t="s">
        <v>3636</v>
      </c>
      <c r="I102" s="1648" t="s">
        <v>3629</v>
      </c>
      <c r="J102" s="1645" t="s">
        <v>37</v>
      </c>
      <c r="K102" s="1645">
        <v>0</v>
      </c>
      <c r="L102" s="1645" t="s">
        <v>3875</v>
      </c>
      <c r="M102" s="1645" t="s">
        <v>3870</v>
      </c>
      <c r="N102" s="1645"/>
      <c r="O102" s="1645" t="s">
        <v>3645</v>
      </c>
      <c r="P102" s="1649"/>
      <c r="Q102" s="1645"/>
      <c r="R102" s="1647" t="s">
        <v>3699</v>
      </c>
      <c r="S102" s="1644"/>
      <c r="T102" s="1644">
        <v>0</v>
      </c>
      <c r="U102" s="1644"/>
      <c r="V102" s="1644"/>
      <c r="W102" s="1644">
        <v>0</v>
      </c>
      <c r="X102" s="1644"/>
      <c r="Y102" s="1647"/>
      <c r="Z102" s="1647"/>
      <c r="AA102" s="1650">
        <f t="shared" ca="1" si="3"/>
        <v>12.583333333333334</v>
      </c>
      <c r="AB102" s="2444" t="s">
        <v>3629</v>
      </c>
      <c r="AC102" s="2445"/>
      <c r="AD102" s="2438"/>
    </row>
    <row r="103" spans="1:30" ht="15.75" hidden="1" customHeight="1">
      <c r="A103" s="1644">
        <f t="shared" si="0"/>
        <v>0</v>
      </c>
      <c r="B103" s="1645" t="s">
        <v>3884</v>
      </c>
      <c r="C103" s="1645" t="s">
        <v>3858</v>
      </c>
      <c r="D103" s="1645" t="s">
        <v>3859</v>
      </c>
      <c r="E103" s="1646" t="s">
        <v>2797</v>
      </c>
      <c r="F103" s="1645">
        <f t="shared" si="1"/>
        <v>1989</v>
      </c>
      <c r="G103" s="1647">
        <v>32591</v>
      </c>
      <c r="H103" s="1644" t="s">
        <v>3636</v>
      </c>
      <c r="I103" s="1648" t="s">
        <v>3629</v>
      </c>
      <c r="J103" s="1645" t="s">
        <v>37</v>
      </c>
      <c r="K103" s="1645">
        <v>0</v>
      </c>
      <c r="L103" s="1645" t="s">
        <v>3870</v>
      </c>
      <c r="M103" s="1645" t="s">
        <v>3885</v>
      </c>
      <c r="N103" s="1645"/>
      <c r="O103" s="1645" t="s">
        <v>3645</v>
      </c>
      <c r="P103" s="1649"/>
      <c r="Q103" s="1645"/>
      <c r="R103" s="1647" t="s">
        <v>3727</v>
      </c>
      <c r="S103" s="1644" t="s">
        <v>3743</v>
      </c>
      <c r="T103" s="1644" t="s">
        <v>936</v>
      </c>
      <c r="U103" s="1644" t="s">
        <v>3711</v>
      </c>
      <c r="V103" s="1644"/>
      <c r="W103" s="1644">
        <v>0</v>
      </c>
      <c r="X103" s="1644"/>
      <c r="Y103" s="1647">
        <v>42775</v>
      </c>
      <c r="Z103" s="1647">
        <v>43140</v>
      </c>
      <c r="AA103" s="1650">
        <f t="shared" ca="1" si="3"/>
        <v>24.416666666666668</v>
      </c>
      <c r="AB103" s="2444" t="s">
        <v>3629</v>
      </c>
      <c r="AC103" s="2445"/>
      <c r="AD103" s="2438"/>
    </row>
    <row r="104" spans="1:30" ht="15.75" hidden="1" customHeight="1">
      <c r="A104" s="1644">
        <f t="shared" si="0"/>
        <v>0</v>
      </c>
      <c r="B104" s="1645" t="s">
        <v>3886</v>
      </c>
      <c r="C104" s="1645" t="s">
        <v>3858</v>
      </c>
      <c r="D104" s="1645" t="s">
        <v>3887</v>
      </c>
      <c r="E104" s="1644" t="s">
        <v>2798</v>
      </c>
      <c r="F104" s="1645">
        <f t="shared" si="1"/>
        <v>1990</v>
      </c>
      <c r="G104" s="1647">
        <v>32914</v>
      </c>
      <c r="H104" s="1644" t="s">
        <v>3636</v>
      </c>
      <c r="I104" s="1648" t="s">
        <v>3629</v>
      </c>
      <c r="J104" s="1645" t="s">
        <v>201</v>
      </c>
      <c r="K104" s="1645">
        <v>0</v>
      </c>
      <c r="L104" s="1645" t="s">
        <v>3888</v>
      </c>
      <c r="M104" s="1645">
        <v>0</v>
      </c>
      <c r="N104" s="1645"/>
      <c r="O104" s="1645" t="s">
        <v>3645</v>
      </c>
      <c r="P104" s="1649"/>
      <c r="Q104" s="1645"/>
      <c r="R104" s="1647" t="s">
        <v>3683</v>
      </c>
      <c r="S104" s="1644" t="s">
        <v>3743</v>
      </c>
      <c r="T104" s="1644">
        <v>0</v>
      </c>
      <c r="U104" s="1644" t="s">
        <v>3711</v>
      </c>
      <c r="V104" s="1644"/>
      <c r="W104" s="1644">
        <v>0</v>
      </c>
      <c r="X104" s="1644"/>
      <c r="Y104" s="1647"/>
      <c r="Z104" s="1647"/>
      <c r="AA104" s="1650">
        <f t="shared" ca="1" si="3"/>
        <v>20.333333333333332</v>
      </c>
      <c r="AB104" s="2444" t="s">
        <v>3629</v>
      </c>
      <c r="AC104" s="2445"/>
      <c r="AD104" s="2438"/>
    </row>
    <row r="105" spans="1:30" ht="15.75" hidden="1" customHeight="1">
      <c r="A105" s="1644">
        <f t="shared" si="0"/>
        <v>0</v>
      </c>
      <c r="B105" s="1645" t="s">
        <v>3889</v>
      </c>
      <c r="C105" s="1645" t="s">
        <v>3858</v>
      </c>
      <c r="D105" s="1645" t="s">
        <v>3887</v>
      </c>
      <c r="E105" s="1646" t="s">
        <v>2798</v>
      </c>
      <c r="F105" s="1645">
        <f t="shared" si="1"/>
        <v>1977</v>
      </c>
      <c r="G105" s="1647">
        <v>28200</v>
      </c>
      <c r="H105" s="1644" t="s">
        <v>3642</v>
      </c>
      <c r="I105" s="1648" t="s">
        <v>3629</v>
      </c>
      <c r="J105" s="1645" t="s">
        <v>201</v>
      </c>
      <c r="K105" s="1645">
        <v>0</v>
      </c>
      <c r="L105" s="1645" t="s">
        <v>3890</v>
      </c>
      <c r="M105" s="1645">
        <v>0</v>
      </c>
      <c r="N105" s="1645"/>
      <c r="O105" s="1645" t="s">
        <v>3645</v>
      </c>
      <c r="P105" s="1649"/>
      <c r="Q105" s="1645"/>
      <c r="R105" s="1644" t="s">
        <v>3683</v>
      </c>
      <c r="S105" s="1644"/>
      <c r="T105" s="1644" t="s">
        <v>936</v>
      </c>
      <c r="U105" s="1644"/>
      <c r="V105" s="1644"/>
      <c r="W105" s="1650" t="s">
        <v>3646</v>
      </c>
      <c r="X105" s="1644"/>
      <c r="Y105" s="1647"/>
      <c r="Z105" s="1647"/>
      <c r="AA105" s="1650">
        <f t="shared" ca="1" si="3"/>
        <v>7.416666666666667</v>
      </c>
      <c r="AB105" s="2444" t="s">
        <v>3629</v>
      </c>
      <c r="AC105" s="2445"/>
      <c r="AD105" s="2438"/>
    </row>
    <row r="106" spans="1:30" ht="15.75" hidden="1" customHeight="1">
      <c r="A106" s="1644">
        <f t="shared" si="0"/>
        <v>0</v>
      </c>
      <c r="B106" s="1645" t="s">
        <v>3891</v>
      </c>
      <c r="C106" s="1645" t="s">
        <v>3858</v>
      </c>
      <c r="D106" s="1645" t="s">
        <v>3887</v>
      </c>
      <c r="E106" s="1646" t="s">
        <v>2798</v>
      </c>
      <c r="F106" s="1645">
        <f t="shared" si="1"/>
        <v>1989</v>
      </c>
      <c r="G106" s="1647">
        <v>32674</v>
      </c>
      <c r="H106" s="1644" t="s">
        <v>3636</v>
      </c>
      <c r="I106" s="1648" t="s">
        <v>3629</v>
      </c>
      <c r="J106" s="1645" t="s">
        <v>37</v>
      </c>
      <c r="K106" s="1645">
        <v>0</v>
      </c>
      <c r="L106" s="1645" t="s">
        <v>3892</v>
      </c>
      <c r="M106" s="1645" t="s">
        <v>3893</v>
      </c>
      <c r="N106" s="1645"/>
      <c r="O106" s="1645" t="s">
        <v>3645</v>
      </c>
      <c r="P106" s="1649"/>
      <c r="Q106" s="1645"/>
      <c r="R106" s="1647" t="s">
        <v>3710</v>
      </c>
      <c r="S106" s="1644"/>
      <c r="T106" s="1644" t="s">
        <v>936</v>
      </c>
      <c r="U106" s="1644" t="s">
        <v>3711</v>
      </c>
      <c r="V106" s="1644"/>
      <c r="W106" s="1644">
        <v>0</v>
      </c>
      <c r="X106" s="1644"/>
      <c r="Y106" s="1647"/>
      <c r="Z106" s="1647"/>
      <c r="AA106" s="1650">
        <f t="shared" ca="1" si="3"/>
        <v>19.666666666666668</v>
      </c>
      <c r="AB106" s="2444" t="s">
        <v>3629</v>
      </c>
      <c r="AC106" s="2445"/>
      <c r="AD106" s="2438"/>
    </row>
    <row r="107" spans="1:30" ht="15.75" hidden="1" customHeight="1">
      <c r="A107" s="1644">
        <f t="shared" si="0"/>
        <v>0</v>
      </c>
      <c r="B107" s="1645" t="s">
        <v>3894</v>
      </c>
      <c r="C107" s="1645" t="s">
        <v>3858</v>
      </c>
      <c r="D107" s="1645" t="s">
        <v>3887</v>
      </c>
      <c r="E107" s="1644" t="s">
        <v>2797</v>
      </c>
      <c r="F107" s="1645">
        <f t="shared" si="1"/>
        <v>1981</v>
      </c>
      <c r="G107" s="1647">
        <v>29921</v>
      </c>
      <c r="H107" s="1644" t="s">
        <v>3636</v>
      </c>
      <c r="I107" s="1648" t="s">
        <v>3629</v>
      </c>
      <c r="J107" s="1645" t="s">
        <v>38</v>
      </c>
      <c r="K107" s="1645">
        <v>0</v>
      </c>
      <c r="L107" s="1645" t="s">
        <v>3873</v>
      </c>
      <c r="M107" s="1645" t="s">
        <v>3895</v>
      </c>
      <c r="N107" s="1645"/>
      <c r="O107" s="1645" t="s">
        <v>3895</v>
      </c>
      <c r="P107" s="1649"/>
      <c r="Q107" s="1645"/>
      <c r="R107" s="1644">
        <v>0</v>
      </c>
      <c r="S107" s="1644"/>
      <c r="T107" s="1644" t="s">
        <v>936</v>
      </c>
      <c r="U107" s="1644" t="s">
        <v>3711</v>
      </c>
      <c r="V107" s="1644"/>
      <c r="W107" s="1644">
        <v>0</v>
      </c>
      <c r="X107" s="1644"/>
      <c r="Y107" s="1647">
        <v>41958</v>
      </c>
      <c r="Z107" s="1647">
        <v>42323</v>
      </c>
      <c r="AA107" s="1650">
        <f t="shared" ca="1" si="3"/>
        <v>17.083333333333332</v>
      </c>
      <c r="AB107" s="2444" t="s">
        <v>3629</v>
      </c>
      <c r="AC107" s="2445"/>
      <c r="AD107" s="2438"/>
    </row>
    <row r="108" spans="1:30" ht="15.75" hidden="1" customHeight="1">
      <c r="A108" s="1644">
        <f t="shared" si="0"/>
        <v>0</v>
      </c>
      <c r="B108" s="1645" t="s">
        <v>3896</v>
      </c>
      <c r="C108" s="1645" t="s">
        <v>3858</v>
      </c>
      <c r="D108" s="1645" t="s">
        <v>3887</v>
      </c>
      <c r="E108" s="1646" t="s">
        <v>2797</v>
      </c>
      <c r="F108" s="1645">
        <f t="shared" si="1"/>
        <v>1983</v>
      </c>
      <c r="G108" s="1647">
        <v>30653</v>
      </c>
      <c r="H108" s="1644" t="s">
        <v>3636</v>
      </c>
      <c r="I108" s="1648" t="s">
        <v>3629</v>
      </c>
      <c r="J108" s="1645" t="s">
        <v>37</v>
      </c>
      <c r="K108" s="1645">
        <v>0</v>
      </c>
      <c r="L108" s="1645" t="s">
        <v>3873</v>
      </c>
      <c r="M108" s="1645" t="s">
        <v>3897</v>
      </c>
      <c r="N108" s="1645"/>
      <c r="O108" s="1645" t="s">
        <v>3645</v>
      </c>
      <c r="P108" s="1649"/>
      <c r="Q108" s="1645"/>
      <c r="R108" s="1647" t="s">
        <v>3898</v>
      </c>
      <c r="S108" s="1644"/>
      <c r="T108" s="1644" t="s">
        <v>936</v>
      </c>
      <c r="U108" s="1644" t="s">
        <v>3711</v>
      </c>
      <c r="V108" s="1644"/>
      <c r="W108" s="1650" t="s">
        <v>3646</v>
      </c>
      <c r="X108" s="1644"/>
      <c r="Y108" s="1647"/>
      <c r="Z108" s="1647" t="s">
        <v>936</v>
      </c>
      <c r="AA108" s="1650">
        <f t="shared" ca="1" si="3"/>
        <v>19.166666666666668</v>
      </c>
      <c r="AB108" s="2444" t="s">
        <v>3629</v>
      </c>
      <c r="AC108" s="2445"/>
      <c r="AD108" s="2438"/>
    </row>
    <row r="109" spans="1:30" ht="15.75" hidden="1" customHeight="1">
      <c r="A109" s="1644">
        <f t="shared" si="0"/>
        <v>0</v>
      </c>
      <c r="B109" s="1645" t="s">
        <v>3899</v>
      </c>
      <c r="C109" s="1645" t="s">
        <v>3858</v>
      </c>
      <c r="D109" s="1645" t="s">
        <v>3887</v>
      </c>
      <c r="E109" s="1644" t="s">
        <v>2798</v>
      </c>
      <c r="F109" s="1645">
        <f t="shared" si="1"/>
        <v>1978</v>
      </c>
      <c r="G109" s="1647">
        <v>28673</v>
      </c>
      <c r="H109" s="1644" t="s">
        <v>3636</v>
      </c>
      <c r="I109" s="1648" t="s">
        <v>3629</v>
      </c>
      <c r="J109" s="1645" t="s">
        <v>37</v>
      </c>
      <c r="K109" s="1645">
        <v>0</v>
      </c>
      <c r="L109" s="1645" t="s">
        <v>3888</v>
      </c>
      <c r="M109" s="1645" t="s">
        <v>3900</v>
      </c>
      <c r="N109" s="1645"/>
      <c r="O109" s="1645" t="s">
        <v>3645</v>
      </c>
      <c r="P109" s="1649"/>
      <c r="Q109" s="1645"/>
      <c r="R109" s="1647" t="s">
        <v>3710</v>
      </c>
      <c r="S109" s="1644"/>
      <c r="T109" s="1644" t="s">
        <v>936</v>
      </c>
      <c r="U109" s="1644" t="s">
        <v>3711</v>
      </c>
      <c r="V109" s="1644"/>
      <c r="W109" s="1644">
        <v>0</v>
      </c>
      <c r="X109" s="1644"/>
      <c r="Y109" s="1647">
        <v>38612</v>
      </c>
      <c r="Z109" s="1647">
        <v>38977</v>
      </c>
      <c r="AA109" s="1650">
        <f t="shared" ca="1" si="3"/>
        <v>8.6666666666666661</v>
      </c>
      <c r="AB109" s="2444" t="s">
        <v>3629</v>
      </c>
      <c r="AC109" s="2445"/>
      <c r="AD109" s="2438"/>
    </row>
    <row r="110" spans="1:30" ht="15.75" hidden="1" customHeight="1">
      <c r="A110" s="1644">
        <f t="shared" si="0"/>
        <v>0</v>
      </c>
      <c r="B110" s="1645" t="s">
        <v>3901</v>
      </c>
      <c r="C110" s="1645" t="s">
        <v>3858</v>
      </c>
      <c r="D110" s="1645" t="s">
        <v>3887</v>
      </c>
      <c r="E110" s="1644" t="s">
        <v>2797</v>
      </c>
      <c r="F110" s="1645">
        <f t="shared" si="1"/>
        <v>1982</v>
      </c>
      <c r="G110" s="1647">
        <v>30210</v>
      </c>
      <c r="H110" s="1644" t="s">
        <v>3636</v>
      </c>
      <c r="I110" s="1648" t="s">
        <v>3629</v>
      </c>
      <c r="J110" s="1645" t="s">
        <v>38</v>
      </c>
      <c r="K110" s="1645">
        <v>0</v>
      </c>
      <c r="L110" s="1645" t="s">
        <v>3873</v>
      </c>
      <c r="M110" s="1645" t="s">
        <v>3902</v>
      </c>
      <c r="N110" s="1645"/>
      <c r="O110" s="1645" t="s">
        <v>3903</v>
      </c>
      <c r="P110" s="1649">
        <v>44253</v>
      </c>
      <c r="Q110" s="1645"/>
      <c r="R110" s="1647" t="s">
        <v>3904</v>
      </c>
      <c r="S110" s="1644"/>
      <c r="T110" s="1644"/>
      <c r="U110" s="1644" t="s">
        <v>3711</v>
      </c>
      <c r="V110" s="1644"/>
      <c r="W110" s="1644">
        <v>0</v>
      </c>
      <c r="X110" s="1644"/>
      <c r="Y110" s="1647">
        <v>41800</v>
      </c>
      <c r="Z110" s="1647">
        <v>42165</v>
      </c>
      <c r="AA110" s="1650">
        <f t="shared" ca="1" si="3"/>
        <v>17.916666666666668</v>
      </c>
      <c r="AB110" s="2444" t="s">
        <v>3629</v>
      </c>
      <c r="AC110" s="2445"/>
      <c r="AD110" s="2438"/>
    </row>
    <row r="111" spans="1:30" ht="15.75" hidden="1" customHeight="1">
      <c r="A111" s="1644">
        <f t="shared" si="0"/>
        <v>0</v>
      </c>
      <c r="B111" s="1645" t="s">
        <v>3905</v>
      </c>
      <c r="C111" s="1645" t="s">
        <v>3858</v>
      </c>
      <c r="D111" s="1645" t="s">
        <v>3887</v>
      </c>
      <c r="E111" s="1644" t="s">
        <v>2797</v>
      </c>
      <c r="F111" s="1645">
        <f t="shared" si="1"/>
        <v>1988</v>
      </c>
      <c r="G111" s="1647">
        <v>32210</v>
      </c>
      <c r="H111" s="1644" t="s">
        <v>3636</v>
      </c>
      <c r="I111" s="1648" t="s">
        <v>3629</v>
      </c>
      <c r="J111" s="1645" t="s">
        <v>37</v>
      </c>
      <c r="K111" s="1645">
        <v>0</v>
      </c>
      <c r="L111" s="1645" t="s">
        <v>3873</v>
      </c>
      <c r="M111" s="1645" t="s">
        <v>3902</v>
      </c>
      <c r="N111" s="1645"/>
      <c r="O111" s="1645">
        <v>0</v>
      </c>
      <c r="P111" s="1649"/>
      <c r="Q111" s="1645"/>
      <c r="R111" s="1647" t="s">
        <v>3706</v>
      </c>
      <c r="S111" s="1644"/>
      <c r="T111" s="1644">
        <v>0</v>
      </c>
      <c r="U111" s="1644" t="s">
        <v>3711</v>
      </c>
      <c r="V111" s="1644"/>
      <c r="W111" s="1644">
        <v>0</v>
      </c>
      <c r="X111" s="1644"/>
      <c r="Y111" s="1647"/>
      <c r="Z111" s="1647" t="s">
        <v>936</v>
      </c>
      <c r="AA111" s="1650">
        <f t="shared" ca="1" si="3"/>
        <v>23.416666666666668</v>
      </c>
      <c r="AB111" s="2444" t="s">
        <v>3629</v>
      </c>
      <c r="AC111" s="2445"/>
      <c r="AD111" s="2438"/>
    </row>
    <row r="112" spans="1:30" ht="15.75" hidden="1" customHeight="1">
      <c r="A112" s="1644">
        <f t="shared" si="0"/>
        <v>0</v>
      </c>
      <c r="B112" s="1645" t="s">
        <v>3906</v>
      </c>
      <c r="C112" s="1645" t="s">
        <v>3858</v>
      </c>
      <c r="D112" s="1645" t="s">
        <v>3887</v>
      </c>
      <c r="E112" s="1646" t="s">
        <v>2797</v>
      </c>
      <c r="F112" s="1645">
        <f t="shared" si="1"/>
        <v>1994</v>
      </c>
      <c r="G112" s="1647">
        <v>34625</v>
      </c>
      <c r="H112" s="1644" t="s">
        <v>3636</v>
      </c>
      <c r="I112" s="1648" t="s">
        <v>3629</v>
      </c>
      <c r="J112" s="1645" t="s">
        <v>37</v>
      </c>
      <c r="K112" s="1645"/>
      <c r="L112" s="1645" t="s">
        <v>3875</v>
      </c>
      <c r="M112" s="1645">
        <v>0</v>
      </c>
      <c r="N112" s="1645"/>
      <c r="O112" s="1645">
        <v>0</v>
      </c>
      <c r="P112" s="1649"/>
      <c r="Q112" s="1645"/>
      <c r="R112" s="1647" t="s">
        <v>3727</v>
      </c>
      <c r="S112" s="1644" t="s">
        <v>3743</v>
      </c>
      <c r="T112" s="1644"/>
      <c r="U112" s="1644"/>
      <c r="V112" s="1644"/>
      <c r="W112" s="1644">
        <v>0</v>
      </c>
      <c r="X112" s="1644"/>
      <c r="Y112" s="1647">
        <v>44409</v>
      </c>
      <c r="Z112" s="1647">
        <v>0</v>
      </c>
      <c r="AA112" s="1650">
        <f t="shared" ca="1" si="3"/>
        <v>30</v>
      </c>
      <c r="AB112" s="2444" t="s">
        <v>3629</v>
      </c>
      <c r="AC112" s="2445"/>
      <c r="AD112" s="2438"/>
    </row>
    <row r="113" spans="1:30" ht="15.75" hidden="1" customHeight="1">
      <c r="A113" s="1644">
        <f t="shared" si="0"/>
        <v>0</v>
      </c>
      <c r="B113" s="1645" t="s">
        <v>3907</v>
      </c>
      <c r="C113" s="1645" t="s">
        <v>3858</v>
      </c>
      <c r="D113" s="1645" t="s">
        <v>3887</v>
      </c>
      <c r="E113" s="1646" t="s">
        <v>2797</v>
      </c>
      <c r="F113" s="1645">
        <f t="shared" si="1"/>
        <v>1977</v>
      </c>
      <c r="G113" s="1647">
        <v>28265</v>
      </c>
      <c r="H113" s="1644" t="s">
        <v>3628</v>
      </c>
      <c r="I113" s="1648" t="s">
        <v>3629</v>
      </c>
      <c r="J113" s="1645" t="s">
        <v>38</v>
      </c>
      <c r="K113" s="1645">
        <v>0</v>
      </c>
      <c r="L113" s="1645" t="s">
        <v>3888</v>
      </c>
      <c r="M113" s="1645" t="s">
        <v>3900</v>
      </c>
      <c r="N113" s="1645"/>
      <c r="O113" s="1645" t="s">
        <v>3908</v>
      </c>
      <c r="P113" s="1649"/>
      <c r="Q113" s="1645"/>
      <c r="R113" s="1647" t="s">
        <v>3882</v>
      </c>
      <c r="S113" s="1644"/>
      <c r="T113" s="1644" t="s">
        <v>936</v>
      </c>
      <c r="U113" s="1644" t="s">
        <v>3631</v>
      </c>
      <c r="V113" s="1644"/>
      <c r="W113" s="1644" t="s">
        <v>3679</v>
      </c>
      <c r="X113" s="1644" t="s">
        <v>3633</v>
      </c>
      <c r="Y113" s="1647">
        <v>39576</v>
      </c>
      <c r="Z113" s="1647">
        <v>39941</v>
      </c>
      <c r="AA113" s="1650">
        <f t="shared" ca="1" si="3"/>
        <v>12.583333333333334</v>
      </c>
      <c r="AB113" s="2444" t="s">
        <v>3629</v>
      </c>
      <c r="AC113" s="2445"/>
      <c r="AD113" s="2438"/>
    </row>
    <row r="114" spans="1:30" ht="15.75" hidden="1" customHeight="1">
      <c r="A114" s="1644">
        <f t="shared" si="0"/>
        <v>0</v>
      </c>
      <c r="B114" s="1645" t="s">
        <v>3909</v>
      </c>
      <c r="C114" s="1645" t="s">
        <v>3858</v>
      </c>
      <c r="D114" s="1645" t="s">
        <v>3887</v>
      </c>
      <c r="E114" s="1644" t="s">
        <v>2797</v>
      </c>
      <c r="F114" s="1645">
        <f t="shared" si="1"/>
        <v>1987</v>
      </c>
      <c r="G114" s="1647">
        <v>32072</v>
      </c>
      <c r="H114" s="1644" t="s">
        <v>3636</v>
      </c>
      <c r="I114" s="1648" t="s">
        <v>3629</v>
      </c>
      <c r="J114" s="1645" t="s">
        <v>37</v>
      </c>
      <c r="K114" s="1645">
        <v>0</v>
      </c>
      <c r="L114" s="1645" t="s">
        <v>3873</v>
      </c>
      <c r="M114" s="1645" t="s">
        <v>3902</v>
      </c>
      <c r="N114" s="1645"/>
      <c r="O114" s="1645" t="s">
        <v>3645</v>
      </c>
      <c r="P114" s="1649"/>
      <c r="Q114" s="1645"/>
      <c r="R114" s="1644">
        <v>0</v>
      </c>
      <c r="S114" s="1644"/>
      <c r="T114" s="1644">
        <v>0</v>
      </c>
      <c r="U114" s="1644"/>
      <c r="V114" s="1644"/>
      <c r="W114" s="1644">
        <v>0</v>
      </c>
      <c r="X114" s="1644"/>
      <c r="Y114" s="1647"/>
      <c r="Z114" s="1647"/>
      <c r="AA114" s="1650">
        <f t="shared" ca="1" si="3"/>
        <v>23</v>
      </c>
      <c r="AB114" s="2444" t="s">
        <v>3629</v>
      </c>
      <c r="AC114" s="2445"/>
      <c r="AD114" s="2438"/>
    </row>
    <row r="115" spans="1:30" ht="15.75" hidden="1" customHeight="1">
      <c r="A115" s="1644">
        <f t="shared" si="0"/>
        <v>0</v>
      </c>
      <c r="B115" s="1645" t="s">
        <v>3910</v>
      </c>
      <c r="C115" s="1645" t="s">
        <v>3858</v>
      </c>
      <c r="D115" s="1645" t="s">
        <v>3887</v>
      </c>
      <c r="E115" s="1646" t="s">
        <v>2797</v>
      </c>
      <c r="F115" s="1645">
        <f t="shared" si="1"/>
        <v>1988</v>
      </c>
      <c r="G115" s="1647">
        <v>32304</v>
      </c>
      <c r="H115" s="1644" t="s">
        <v>3636</v>
      </c>
      <c r="I115" s="1648" t="s">
        <v>3629</v>
      </c>
      <c r="J115" s="1645" t="s">
        <v>38</v>
      </c>
      <c r="K115" s="1645">
        <v>0</v>
      </c>
      <c r="L115" s="1645" t="s">
        <v>3873</v>
      </c>
      <c r="M115" s="1645" t="s">
        <v>3911</v>
      </c>
      <c r="N115" s="1645"/>
      <c r="O115" s="1645" t="s">
        <v>3875</v>
      </c>
      <c r="P115" s="1653" t="s">
        <v>3718</v>
      </c>
      <c r="Q115" s="1645"/>
      <c r="R115" s="1647" t="s">
        <v>3639</v>
      </c>
      <c r="S115" s="1644"/>
      <c r="T115" s="1644">
        <v>0</v>
      </c>
      <c r="U115" s="1644" t="s">
        <v>3711</v>
      </c>
      <c r="V115" s="1644"/>
      <c r="W115" s="1644">
        <v>0</v>
      </c>
      <c r="X115" s="1644"/>
      <c r="Y115" s="1647"/>
      <c r="Z115" s="1647"/>
      <c r="AA115" s="1650">
        <f t="shared" ca="1" si="3"/>
        <v>23.666666666666668</v>
      </c>
      <c r="AB115" s="2444" t="s">
        <v>3629</v>
      </c>
      <c r="AC115" s="2445"/>
      <c r="AD115" s="2438"/>
    </row>
    <row r="116" spans="1:30" ht="15.75" hidden="1" customHeight="1">
      <c r="A116" s="1644">
        <f t="shared" si="0"/>
        <v>0</v>
      </c>
      <c r="B116" s="1645" t="s">
        <v>3912</v>
      </c>
      <c r="C116" s="1645" t="s">
        <v>3858</v>
      </c>
      <c r="D116" s="1645" t="s">
        <v>3887</v>
      </c>
      <c r="E116" s="1646" t="s">
        <v>2797</v>
      </c>
      <c r="F116" s="1645">
        <f t="shared" si="1"/>
        <v>1988</v>
      </c>
      <c r="G116" s="1647">
        <v>32332</v>
      </c>
      <c r="H116" s="1644" t="s">
        <v>3636</v>
      </c>
      <c r="I116" s="1648" t="s">
        <v>3629</v>
      </c>
      <c r="J116" s="1645" t="s">
        <v>38</v>
      </c>
      <c r="K116" s="1645">
        <v>0</v>
      </c>
      <c r="L116" s="1645" t="s">
        <v>3873</v>
      </c>
      <c r="M116" s="1645" t="s">
        <v>3913</v>
      </c>
      <c r="N116" s="1645"/>
      <c r="O116" s="1645" t="s">
        <v>3645</v>
      </c>
      <c r="P116" s="1653" t="s">
        <v>3718</v>
      </c>
      <c r="Q116" s="1645"/>
      <c r="R116" s="1647" t="s">
        <v>3914</v>
      </c>
      <c r="S116" s="1644"/>
      <c r="T116" s="1644"/>
      <c r="U116" s="1644"/>
      <c r="V116" s="1644"/>
      <c r="W116" s="1644">
        <v>0</v>
      </c>
      <c r="X116" s="1644"/>
      <c r="Y116" s="1647"/>
      <c r="Z116" s="1647"/>
      <c r="AA116" s="1650">
        <f t="shared" ca="1" si="3"/>
        <v>23.75</v>
      </c>
      <c r="AB116" s="2444" t="s">
        <v>3629</v>
      </c>
      <c r="AC116" s="2445"/>
      <c r="AD116" s="2438"/>
    </row>
    <row r="117" spans="1:30" ht="15.75" hidden="1" customHeight="1">
      <c r="A117" s="1644">
        <f t="shared" si="0"/>
        <v>0</v>
      </c>
      <c r="B117" s="1645" t="s">
        <v>3915</v>
      </c>
      <c r="C117" s="1645" t="s">
        <v>3858</v>
      </c>
      <c r="D117" s="1645" t="s">
        <v>3916</v>
      </c>
      <c r="E117" s="1646" t="s">
        <v>2797</v>
      </c>
      <c r="F117" s="1645">
        <f t="shared" si="1"/>
        <v>1980</v>
      </c>
      <c r="G117" s="1647">
        <v>29494</v>
      </c>
      <c r="H117" s="1644" t="s">
        <v>3636</v>
      </c>
      <c r="I117" s="1648" t="s">
        <v>3629</v>
      </c>
      <c r="J117" s="1645" t="s">
        <v>37</v>
      </c>
      <c r="K117" s="1645">
        <v>0</v>
      </c>
      <c r="L117" s="1645" t="s">
        <v>3873</v>
      </c>
      <c r="M117" s="1645" t="s">
        <v>3911</v>
      </c>
      <c r="N117" s="1645"/>
      <c r="O117" s="1645" t="s">
        <v>3917</v>
      </c>
      <c r="P117" s="1649"/>
      <c r="Q117" s="1645"/>
      <c r="R117" s="1647" t="s">
        <v>3683</v>
      </c>
      <c r="S117" s="1644"/>
      <c r="T117" s="1644" t="s">
        <v>936</v>
      </c>
      <c r="U117" s="1644"/>
      <c r="V117" s="1644"/>
      <c r="W117" s="1644" t="s">
        <v>936</v>
      </c>
      <c r="X117" s="1644"/>
      <c r="Y117" s="1647">
        <v>39333</v>
      </c>
      <c r="Z117" s="1647">
        <v>39699</v>
      </c>
      <c r="AA117" s="1650">
        <f t="shared" ca="1" si="3"/>
        <v>15.916666666666666</v>
      </c>
      <c r="AB117" s="2444" t="s">
        <v>3629</v>
      </c>
      <c r="AC117" s="2445"/>
      <c r="AD117" s="2438"/>
    </row>
    <row r="118" spans="1:30" ht="15.75" hidden="1" customHeight="1">
      <c r="A118" s="1644">
        <f t="shared" si="0"/>
        <v>0</v>
      </c>
      <c r="B118" s="1645" t="s">
        <v>3918</v>
      </c>
      <c r="C118" s="1645" t="s">
        <v>3858</v>
      </c>
      <c r="D118" s="1645" t="s">
        <v>3916</v>
      </c>
      <c r="E118" s="1644" t="s">
        <v>2797</v>
      </c>
      <c r="F118" s="1645">
        <f t="shared" si="1"/>
        <v>1979</v>
      </c>
      <c r="G118" s="1647">
        <v>29031</v>
      </c>
      <c r="H118" s="1644" t="s">
        <v>3636</v>
      </c>
      <c r="I118" s="1648" t="s">
        <v>3629</v>
      </c>
      <c r="J118" s="1645" t="s">
        <v>38</v>
      </c>
      <c r="K118" s="1645">
        <v>0</v>
      </c>
      <c r="L118" s="1645" t="s">
        <v>3873</v>
      </c>
      <c r="M118" s="1645" t="s">
        <v>3874</v>
      </c>
      <c r="N118" s="1645"/>
      <c r="O118" s="1645" t="s">
        <v>3903</v>
      </c>
      <c r="P118" s="1649">
        <v>44728</v>
      </c>
      <c r="Q118" s="1645"/>
      <c r="R118" s="1647" t="s">
        <v>3683</v>
      </c>
      <c r="S118" s="1644"/>
      <c r="T118" s="1644" t="s">
        <v>936</v>
      </c>
      <c r="U118" s="1644" t="s">
        <v>3711</v>
      </c>
      <c r="V118" s="1644" t="s">
        <v>3649</v>
      </c>
      <c r="W118" s="1650" t="s">
        <v>3653</v>
      </c>
      <c r="X118" s="1644" t="s">
        <v>3633</v>
      </c>
      <c r="Y118" s="1647">
        <v>38135</v>
      </c>
      <c r="Z118" s="1647">
        <v>38500</v>
      </c>
      <c r="AA118" s="1650">
        <f t="shared" ca="1" si="3"/>
        <v>14.666666666666666</v>
      </c>
      <c r="AB118" s="2444" t="s">
        <v>3629</v>
      </c>
      <c r="AC118" s="2445"/>
      <c r="AD118" s="2438"/>
    </row>
    <row r="119" spans="1:30" ht="15.75" hidden="1" customHeight="1">
      <c r="A119" s="1644">
        <f t="shared" si="0"/>
        <v>0</v>
      </c>
      <c r="B119" s="1645" t="s">
        <v>3919</v>
      </c>
      <c r="C119" s="1645" t="s">
        <v>3858</v>
      </c>
      <c r="D119" s="1645" t="s">
        <v>3916</v>
      </c>
      <c r="E119" s="1646" t="s">
        <v>2797</v>
      </c>
      <c r="F119" s="1645">
        <f t="shared" si="1"/>
        <v>1976</v>
      </c>
      <c r="G119" s="1647">
        <v>27982</v>
      </c>
      <c r="H119" s="1644" t="s">
        <v>3636</v>
      </c>
      <c r="I119" s="1648" t="s">
        <v>3629</v>
      </c>
      <c r="J119" s="1645" t="s">
        <v>37</v>
      </c>
      <c r="K119" s="1645">
        <v>0</v>
      </c>
      <c r="L119" s="1645" t="s">
        <v>3873</v>
      </c>
      <c r="M119" s="1645" t="s">
        <v>3911</v>
      </c>
      <c r="N119" s="1645"/>
      <c r="O119" s="1645" t="s">
        <v>3645</v>
      </c>
      <c r="P119" s="1649"/>
      <c r="Q119" s="1645"/>
      <c r="R119" s="1647" t="s">
        <v>3683</v>
      </c>
      <c r="S119" s="1644"/>
      <c r="T119" s="1644">
        <v>0</v>
      </c>
      <c r="U119" s="1644" t="s">
        <v>3711</v>
      </c>
      <c r="V119" s="1644"/>
      <c r="W119" s="1644">
        <v>0</v>
      </c>
      <c r="X119" s="1644"/>
      <c r="Y119" s="1647">
        <v>41901</v>
      </c>
      <c r="Z119" s="1647">
        <v>42266</v>
      </c>
      <c r="AA119" s="1650">
        <f t="shared" ca="1" si="3"/>
        <v>11.833333333333334</v>
      </c>
      <c r="AB119" s="2444" t="s">
        <v>3629</v>
      </c>
      <c r="AC119" s="2445"/>
      <c r="AD119" s="2438"/>
    </row>
    <row r="120" spans="1:30" ht="15.75" hidden="1" customHeight="1">
      <c r="A120" s="1644">
        <f t="shared" si="0"/>
        <v>0</v>
      </c>
      <c r="B120" s="1645" t="s">
        <v>3920</v>
      </c>
      <c r="C120" s="1645" t="s">
        <v>3858</v>
      </c>
      <c r="D120" s="1645" t="s">
        <v>3916</v>
      </c>
      <c r="E120" s="1644" t="s">
        <v>2797</v>
      </c>
      <c r="F120" s="1645">
        <f t="shared" si="1"/>
        <v>1985</v>
      </c>
      <c r="G120" s="1647">
        <v>31150</v>
      </c>
      <c r="H120" s="1644" t="s">
        <v>3636</v>
      </c>
      <c r="I120" s="1648" t="s">
        <v>3629</v>
      </c>
      <c r="J120" s="1645" t="s">
        <v>38</v>
      </c>
      <c r="K120" s="1645">
        <v>0</v>
      </c>
      <c r="L120" s="1645" t="s">
        <v>3873</v>
      </c>
      <c r="M120" s="1645" t="s">
        <v>3911</v>
      </c>
      <c r="N120" s="1645"/>
      <c r="O120" s="1645" t="s">
        <v>3875</v>
      </c>
      <c r="P120" s="1649"/>
      <c r="Q120" s="1645"/>
      <c r="R120" s="1647" t="s">
        <v>3914</v>
      </c>
      <c r="S120" s="1644"/>
      <c r="T120" s="1644">
        <v>0</v>
      </c>
      <c r="U120" s="1644"/>
      <c r="V120" s="1644"/>
      <c r="W120" s="1644">
        <v>0</v>
      </c>
      <c r="X120" s="1644"/>
      <c r="Y120" s="1647">
        <v>0</v>
      </c>
      <c r="Z120" s="1647">
        <v>0</v>
      </c>
      <c r="AA120" s="1650">
        <f t="shared" ca="1" si="3"/>
        <v>20.5</v>
      </c>
      <c r="AB120" s="2444" t="s">
        <v>3629</v>
      </c>
      <c r="AC120" s="2445"/>
      <c r="AD120" s="2438"/>
    </row>
    <row r="121" spans="1:30" ht="15.75" hidden="1" customHeight="1">
      <c r="A121" s="1644">
        <f t="shared" si="0"/>
        <v>0</v>
      </c>
      <c r="B121" s="1645" t="s">
        <v>3921</v>
      </c>
      <c r="C121" s="1645" t="s">
        <v>3858</v>
      </c>
      <c r="D121" s="1645" t="s">
        <v>3916</v>
      </c>
      <c r="E121" s="1646" t="s">
        <v>2797</v>
      </c>
      <c r="F121" s="1645">
        <f t="shared" si="1"/>
        <v>1990</v>
      </c>
      <c r="G121" s="1647">
        <v>33206</v>
      </c>
      <c r="H121" s="1644" t="s">
        <v>3636</v>
      </c>
      <c r="I121" s="1648" t="s">
        <v>3629</v>
      </c>
      <c r="J121" s="1645" t="s">
        <v>37</v>
      </c>
      <c r="K121" s="1645">
        <v>0</v>
      </c>
      <c r="L121" s="1645" t="s">
        <v>3902</v>
      </c>
      <c r="M121" s="1645" t="s">
        <v>3897</v>
      </c>
      <c r="N121" s="1645"/>
      <c r="O121" s="1645" t="s">
        <v>3645</v>
      </c>
      <c r="P121" s="1649"/>
      <c r="Q121" s="1645"/>
      <c r="R121" s="1647" t="s">
        <v>3699</v>
      </c>
      <c r="S121" s="1644"/>
      <c r="T121" s="1644" t="s">
        <v>936</v>
      </c>
      <c r="U121" s="1644" t="s">
        <v>3711</v>
      </c>
      <c r="V121" s="1644"/>
      <c r="W121" s="1650" t="s">
        <v>3646</v>
      </c>
      <c r="X121" s="1644"/>
      <c r="Y121" s="1647">
        <v>41351</v>
      </c>
      <c r="Z121" s="1647">
        <v>41716</v>
      </c>
      <c r="AA121" s="1650">
        <f t="shared" ca="1" si="3"/>
        <v>26.083333333333332</v>
      </c>
      <c r="AB121" s="2444" t="s">
        <v>3629</v>
      </c>
      <c r="AC121" s="2445"/>
      <c r="AD121" s="2438"/>
    </row>
    <row r="122" spans="1:30" ht="15.75" hidden="1" customHeight="1">
      <c r="A122" s="1644">
        <f t="shared" si="0"/>
        <v>0</v>
      </c>
      <c r="B122" s="1645" t="s">
        <v>3922</v>
      </c>
      <c r="C122" s="1645" t="s">
        <v>3858</v>
      </c>
      <c r="D122" s="1645" t="s">
        <v>3916</v>
      </c>
      <c r="E122" s="1644" t="s">
        <v>2797</v>
      </c>
      <c r="F122" s="1645">
        <f t="shared" si="1"/>
        <v>1992</v>
      </c>
      <c r="G122" s="1647">
        <v>33830</v>
      </c>
      <c r="H122" s="1644" t="s">
        <v>3636</v>
      </c>
      <c r="I122" s="1648" t="s">
        <v>3629</v>
      </c>
      <c r="J122" s="1645" t="s">
        <v>37</v>
      </c>
      <c r="K122" s="1645">
        <v>0</v>
      </c>
      <c r="L122" s="1645" t="s">
        <v>3923</v>
      </c>
      <c r="M122" s="1645" t="s">
        <v>3868</v>
      </c>
      <c r="N122" s="1645"/>
      <c r="O122" s="1645">
        <v>0</v>
      </c>
      <c r="P122" s="1649"/>
      <c r="Q122" s="1645"/>
      <c r="R122" s="1647" t="s">
        <v>3727</v>
      </c>
      <c r="S122" s="1644"/>
      <c r="T122" s="1644">
        <v>2018</v>
      </c>
      <c r="U122" s="1644"/>
      <c r="V122" s="1644"/>
      <c r="W122" s="1644">
        <v>0</v>
      </c>
      <c r="X122" s="1644"/>
      <c r="Y122" s="1647">
        <v>43629</v>
      </c>
      <c r="Z122" s="1647">
        <v>43995</v>
      </c>
      <c r="AA122" s="1650">
        <f t="shared" ca="1" si="3"/>
        <v>27.833333333333332</v>
      </c>
      <c r="AB122" s="2444" t="s">
        <v>3629</v>
      </c>
      <c r="AC122" s="2445"/>
      <c r="AD122" s="2438"/>
    </row>
    <row r="123" spans="1:30" ht="15.75" hidden="1" customHeight="1">
      <c r="A123" s="1644">
        <f t="shared" si="0"/>
        <v>0</v>
      </c>
      <c r="B123" s="1645" t="s">
        <v>3924</v>
      </c>
      <c r="C123" s="1645" t="s">
        <v>3858</v>
      </c>
      <c r="D123" s="1645" t="s">
        <v>3916</v>
      </c>
      <c r="E123" s="1646" t="s">
        <v>2798</v>
      </c>
      <c r="F123" s="1645">
        <f t="shared" si="1"/>
        <v>1988</v>
      </c>
      <c r="G123" s="1647">
        <v>32284</v>
      </c>
      <c r="H123" s="1644" t="s">
        <v>3636</v>
      </c>
      <c r="I123" s="1648" t="s">
        <v>3629</v>
      </c>
      <c r="J123" s="1645" t="s">
        <v>37</v>
      </c>
      <c r="K123" s="1645">
        <v>0</v>
      </c>
      <c r="L123" s="1645" t="s">
        <v>3925</v>
      </c>
      <c r="M123" s="1645" t="s">
        <v>3926</v>
      </c>
      <c r="N123" s="1645"/>
      <c r="O123" s="1645" t="s">
        <v>3645</v>
      </c>
      <c r="P123" s="1649"/>
      <c r="Q123" s="1645"/>
      <c r="R123" s="1647" t="s">
        <v>3727</v>
      </c>
      <c r="S123" s="1644" t="s">
        <v>3743</v>
      </c>
      <c r="T123" s="1644" t="s">
        <v>936</v>
      </c>
      <c r="U123" s="1644" t="s">
        <v>3711</v>
      </c>
      <c r="V123" s="1644"/>
      <c r="W123" s="1644">
        <v>0</v>
      </c>
      <c r="X123" s="1644"/>
      <c r="Y123" s="1647"/>
      <c r="Z123" s="1647"/>
      <c r="AA123" s="1650">
        <f t="shared" ca="1" si="3"/>
        <v>18.583333333333332</v>
      </c>
      <c r="AB123" s="2444" t="s">
        <v>3629</v>
      </c>
      <c r="AC123" s="2445"/>
      <c r="AD123" s="2438"/>
    </row>
    <row r="124" spans="1:30" ht="15.75" hidden="1" customHeight="1">
      <c r="A124" s="1644">
        <f t="shared" si="0"/>
        <v>0</v>
      </c>
      <c r="B124" s="1645" t="s">
        <v>3927</v>
      </c>
      <c r="C124" s="1645" t="s">
        <v>3858</v>
      </c>
      <c r="D124" s="1645" t="s">
        <v>3916</v>
      </c>
      <c r="E124" s="1644" t="s">
        <v>2798</v>
      </c>
      <c r="F124" s="1645">
        <f t="shared" si="1"/>
        <v>1989</v>
      </c>
      <c r="G124" s="1647">
        <v>32832</v>
      </c>
      <c r="H124" s="1644" t="s">
        <v>3636</v>
      </c>
      <c r="I124" s="1648" t="s">
        <v>3629</v>
      </c>
      <c r="J124" s="1645" t="s">
        <v>37</v>
      </c>
      <c r="K124" s="1645">
        <v>0</v>
      </c>
      <c r="L124" s="1645" t="s">
        <v>3902</v>
      </c>
      <c r="M124" s="1645" t="s">
        <v>3902</v>
      </c>
      <c r="N124" s="1645"/>
      <c r="O124" s="1645" t="s">
        <v>3645</v>
      </c>
      <c r="P124" s="1649"/>
      <c r="Q124" s="1645"/>
      <c r="R124" s="1647" t="s">
        <v>3683</v>
      </c>
      <c r="S124" s="1644"/>
      <c r="T124" s="1644">
        <v>0</v>
      </c>
      <c r="U124" s="1644" t="s">
        <v>3711</v>
      </c>
      <c r="V124" s="1644"/>
      <c r="W124" s="1644">
        <v>0</v>
      </c>
      <c r="X124" s="1644"/>
      <c r="Y124" s="1647">
        <v>40917</v>
      </c>
      <c r="Z124" s="1647">
        <v>41283</v>
      </c>
      <c r="AA124" s="1650">
        <f t="shared" ca="1" si="3"/>
        <v>20.083333333333332</v>
      </c>
      <c r="AB124" s="2444" t="s">
        <v>3629</v>
      </c>
      <c r="AC124" s="2445"/>
      <c r="AD124" s="2438"/>
    </row>
    <row r="125" spans="1:30" ht="15.75" hidden="1" customHeight="1">
      <c r="A125" s="1644">
        <f t="shared" si="0"/>
        <v>0</v>
      </c>
      <c r="B125" s="1645" t="s">
        <v>3928</v>
      </c>
      <c r="C125" s="1645" t="s">
        <v>3858</v>
      </c>
      <c r="D125" s="1645" t="s">
        <v>3916</v>
      </c>
      <c r="E125" s="1646" t="s">
        <v>2798</v>
      </c>
      <c r="F125" s="1645">
        <f t="shared" si="1"/>
        <v>1984</v>
      </c>
      <c r="G125" s="1647">
        <v>30980</v>
      </c>
      <c r="H125" s="1644" t="s">
        <v>3636</v>
      </c>
      <c r="I125" s="1648" t="s">
        <v>3629</v>
      </c>
      <c r="J125" s="1645" t="s">
        <v>37</v>
      </c>
      <c r="K125" s="1645">
        <v>0</v>
      </c>
      <c r="L125" s="1645" t="s">
        <v>3902</v>
      </c>
      <c r="M125" s="1645" t="s">
        <v>3902</v>
      </c>
      <c r="N125" s="1645"/>
      <c r="O125" s="1645" t="s">
        <v>3645</v>
      </c>
      <c r="P125" s="1649"/>
      <c r="Q125" s="1645"/>
      <c r="R125" s="1644" t="s">
        <v>3904</v>
      </c>
      <c r="S125" s="1644"/>
      <c r="T125" s="1644" t="s">
        <v>936</v>
      </c>
      <c r="U125" s="1644" t="s">
        <v>3711</v>
      </c>
      <c r="V125" s="1644"/>
      <c r="W125" s="1650" t="s">
        <v>3822</v>
      </c>
      <c r="X125" s="1644"/>
      <c r="Y125" s="1647"/>
      <c r="Z125" s="1647"/>
      <c r="AA125" s="1650">
        <f t="shared" ca="1" si="3"/>
        <v>15</v>
      </c>
      <c r="AB125" s="2444" t="s">
        <v>3629</v>
      </c>
      <c r="AC125" s="2445"/>
      <c r="AD125" s="2438"/>
    </row>
    <row r="126" spans="1:30" ht="15.75" hidden="1" customHeight="1">
      <c r="A126" s="1644">
        <f t="shared" si="0"/>
        <v>0</v>
      </c>
      <c r="B126" s="1645" t="s">
        <v>3929</v>
      </c>
      <c r="C126" s="1645" t="s">
        <v>3858</v>
      </c>
      <c r="D126" s="1645" t="s">
        <v>3916</v>
      </c>
      <c r="E126" s="1644" t="s">
        <v>2797</v>
      </c>
      <c r="F126" s="1645">
        <f t="shared" si="1"/>
        <v>1987</v>
      </c>
      <c r="G126" s="1647">
        <v>32073</v>
      </c>
      <c r="H126" s="1644" t="s">
        <v>3636</v>
      </c>
      <c r="I126" s="1648" t="s">
        <v>3629</v>
      </c>
      <c r="J126" s="1645" t="s">
        <v>37</v>
      </c>
      <c r="K126" s="1645">
        <v>0</v>
      </c>
      <c r="L126" s="1645" t="s">
        <v>3902</v>
      </c>
      <c r="M126" s="1645" t="s">
        <v>3911</v>
      </c>
      <c r="N126" s="1645"/>
      <c r="O126" s="1645" t="s">
        <v>3645</v>
      </c>
      <c r="P126" s="1649"/>
      <c r="Q126" s="1645"/>
      <c r="R126" s="1647" t="s">
        <v>3930</v>
      </c>
      <c r="S126" s="1644" t="s">
        <v>3743</v>
      </c>
      <c r="T126" s="1644">
        <v>0</v>
      </c>
      <c r="U126" s="1644" t="s">
        <v>3711</v>
      </c>
      <c r="V126" s="1644"/>
      <c r="W126" s="1650" t="s">
        <v>3646</v>
      </c>
      <c r="X126" s="1644"/>
      <c r="Y126" s="1647"/>
      <c r="Z126" s="1647"/>
      <c r="AA126" s="1650">
        <f t="shared" ca="1" si="3"/>
        <v>23</v>
      </c>
      <c r="AB126" s="2444" t="s">
        <v>3629</v>
      </c>
      <c r="AC126" s="2445"/>
      <c r="AD126" s="2438"/>
    </row>
    <row r="127" spans="1:30" ht="15.75" hidden="1" customHeight="1">
      <c r="A127" s="1644">
        <f t="shared" si="0"/>
        <v>0</v>
      </c>
      <c r="B127" s="1645" t="s">
        <v>3931</v>
      </c>
      <c r="C127" s="1645" t="s">
        <v>3858</v>
      </c>
      <c r="D127" s="1645" t="s">
        <v>3916</v>
      </c>
      <c r="E127" s="1646" t="s">
        <v>2797</v>
      </c>
      <c r="F127" s="1645">
        <f t="shared" si="1"/>
        <v>1987</v>
      </c>
      <c r="G127" s="1647">
        <v>32073</v>
      </c>
      <c r="H127" s="1644" t="s">
        <v>3636</v>
      </c>
      <c r="I127" s="1648" t="s">
        <v>3629</v>
      </c>
      <c r="J127" s="1645" t="s">
        <v>37</v>
      </c>
      <c r="K127" s="1645">
        <v>0</v>
      </c>
      <c r="L127" s="1645" t="s">
        <v>3873</v>
      </c>
      <c r="M127" s="1645" t="s">
        <v>3902</v>
      </c>
      <c r="N127" s="1645"/>
      <c r="O127" s="1645" t="s">
        <v>3645</v>
      </c>
      <c r="P127" s="1649"/>
      <c r="Q127" s="1645"/>
      <c r="R127" s="1644"/>
      <c r="S127" s="1644"/>
      <c r="T127" s="1644">
        <v>0</v>
      </c>
      <c r="U127" s="1644"/>
      <c r="V127" s="1644"/>
      <c r="W127" s="1644">
        <v>0</v>
      </c>
      <c r="X127" s="1644" t="s">
        <v>3633</v>
      </c>
      <c r="Y127" s="1647"/>
      <c r="Z127" s="1647"/>
      <c r="AA127" s="1650">
        <f t="shared" ca="1" si="3"/>
        <v>23</v>
      </c>
      <c r="AB127" s="2444" t="s">
        <v>3629</v>
      </c>
      <c r="AC127" s="2445"/>
      <c r="AD127" s="2438"/>
    </row>
    <row r="128" spans="1:30" ht="15.75" hidden="1" customHeight="1">
      <c r="A128" s="1644">
        <f t="shared" si="0"/>
        <v>0</v>
      </c>
      <c r="B128" s="1645" t="s">
        <v>3932</v>
      </c>
      <c r="C128" s="1645" t="s">
        <v>3858</v>
      </c>
      <c r="D128" s="1645" t="s">
        <v>3916</v>
      </c>
      <c r="E128" s="1644" t="s">
        <v>2797</v>
      </c>
      <c r="F128" s="1645">
        <f t="shared" si="1"/>
        <v>1987</v>
      </c>
      <c r="G128" s="1647">
        <v>31914</v>
      </c>
      <c r="H128" s="1644" t="s">
        <v>3636</v>
      </c>
      <c r="I128" s="1648" t="s">
        <v>3629</v>
      </c>
      <c r="J128" s="1645" t="s">
        <v>38</v>
      </c>
      <c r="K128" s="1645">
        <v>0</v>
      </c>
      <c r="L128" s="1645" t="s">
        <v>3902</v>
      </c>
      <c r="M128" s="1645" t="s">
        <v>3902</v>
      </c>
      <c r="N128" s="1645"/>
      <c r="O128" s="1645" t="s">
        <v>3933</v>
      </c>
      <c r="P128" s="1649">
        <v>44545</v>
      </c>
      <c r="Q128" s="1645"/>
      <c r="R128" s="1647" t="s">
        <v>3639</v>
      </c>
      <c r="S128" s="1644"/>
      <c r="T128" s="1644">
        <v>0</v>
      </c>
      <c r="U128" s="1644"/>
      <c r="V128" s="1644"/>
      <c r="W128" s="1644">
        <v>0</v>
      </c>
      <c r="X128" s="1644"/>
      <c r="Y128" s="1647"/>
      <c r="Z128" s="1647"/>
      <c r="AA128" s="1650">
        <f t="shared" ca="1" si="3"/>
        <v>22.583333333333332</v>
      </c>
      <c r="AB128" s="2444" t="s">
        <v>3629</v>
      </c>
      <c r="AC128" s="2445"/>
      <c r="AD128" s="2438"/>
    </row>
    <row r="129" spans="1:30" ht="15.75" hidden="1" customHeight="1">
      <c r="A129" s="1644">
        <f t="shared" si="0"/>
        <v>0</v>
      </c>
      <c r="B129" s="1645" t="s">
        <v>3934</v>
      </c>
      <c r="C129" s="1645" t="s">
        <v>3858</v>
      </c>
      <c r="D129" s="1645" t="s">
        <v>3916</v>
      </c>
      <c r="E129" s="1646" t="s">
        <v>2797</v>
      </c>
      <c r="F129" s="1645">
        <f t="shared" si="1"/>
        <v>1984</v>
      </c>
      <c r="G129" s="1647">
        <v>30796</v>
      </c>
      <c r="H129" s="1644" t="s">
        <v>3636</v>
      </c>
      <c r="I129" s="1648" t="s">
        <v>3629</v>
      </c>
      <c r="J129" s="1645" t="s">
        <v>38</v>
      </c>
      <c r="K129" s="1645">
        <v>0</v>
      </c>
      <c r="L129" s="1645" t="s">
        <v>3873</v>
      </c>
      <c r="M129" s="1645" t="s">
        <v>3902</v>
      </c>
      <c r="N129" s="1645"/>
      <c r="O129" s="1645" t="s">
        <v>3645</v>
      </c>
      <c r="P129" s="1649">
        <v>43882</v>
      </c>
      <c r="Q129" s="1645"/>
      <c r="R129" s="1647" t="s">
        <v>3914</v>
      </c>
      <c r="S129" s="1644"/>
      <c r="T129" s="1644" t="s">
        <v>936</v>
      </c>
      <c r="U129" s="1644"/>
      <c r="V129" s="1644"/>
      <c r="W129" s="1644">
        <v>0</v>
      </c>
      <c r="X129" s="1644"/>
      <c r="Y129" s="1647"/>
      <c r="Z129" s="1647" t="s">
        <v>936</v>
      </c>
      <c r="AA129" s="1650">
        <f t="shared" ca="1" si="3"/>
        <v>19.5</v>
      </c>
      <c r="AB129" s="2444" t="s">
        <v>3629</v>
      </c>
      <c r="AC129" s="2445"/>
      <c r="AD129" s="2438"/>
    </row>
    <row r="130" spans="1:30" ht="15.75" hidden="1" customHeight="1">
      <c r="A130" s="1644">
        <f t="shared" si="0"/>
        <v>0</v>
      </c>
      <c r="B130" s="1645" t="s">
        <v>3935</v>
      </c>
      <c r="C130" s="1645" t="s">
        <v>3858</v>
      </c>
      <c r="D130" s="1645" t="s">
        <v>3916</v>
      </c>
      <c r="E130" s="1644" t="s">
        <v>2797</v>
      </c>
      <c r="F130" s="1645">
        <f t="shared" si="1"/>
        <v>1988</v>
      </c>
      <c r="G130" s="1647">
        <v>32380</v>
      </c>
      <c r="H130" s="1644" t="s">
        <v>3636</v>
      </c>
      <c r="I130" s="1648" t="s">
        <v>3629</v>
      </c>
      <c r="J130" s="1645" t="s">
        <v>37</v>
      </c>
      <c r="K130" s="1645">
        <v>0</v>
      </c>
      <c r="L130" s="1645" t="s">
        <v>3873</v>
      </c>
      <c r="M130" s="1645" t="s">
        <v>3911</v>
      </c>
      <c r="N130" s="1645"/>
      <c r="O130" s="1645" t="s">
        <v>3645</v>
      </c>
      <c r="P130" s="1649"/>
      <c r="Q130" s="1645"/>
      <c r="R130" s="1647" t="s">
        <v>3710</v>
      </c>
      <c r="S130" s="1644"/>
      <c r="T130" s="1644" t="s">
        <v>936</v>
      </c>
      <c r="U130" s="1644" t="s">
        <v>3711</v>
      </c>
      <c r="V130" s="1644"/>
      <c r="W130" s="1644">
        <v>0</v>
      </c>
      <c r="X130" s="1644"/>
      <c r="Y130" s="1647">
        <v>40324</v>
      </c>
      <c r="Z130" s="1647">
        <v>40689</v>
      </c>
      <c r="AA130" s="1650">
        <f t="shared" ca="1" si="3"/>
        <v>23.833333333333332</v>
      </c>
      <c r="AB130" s="2444" t="s">
        <v>3629</v>
      </c>
      <c r="AC130" s="2445"/>
      <c r="AD130" s="2438"/>
    </row>
    <row r="131" spans="1:30" ht="15.75" hidden="1" customHeight="1">
      <c r="A131" s="1644">
        <f t="shared" si="0"/>
        <v>0</v>
      </c>
      <c r="B131" s="1645" t="s">
        <v>3936</v>
      </c>
      <c r="C131" s="1645" t="s">
        <v>3858</v>
      </c>
      <c r="D131" s="1645" t="s">
        <v>3916</v>
      </c>
      <c r="E131" s="1644" t="s">
        <v>2797</v>
      </c>
      <c r="F131" s="1645">
        <f t="shared" si="1"/>
        <v>1991</v>
      </c>
      <c r="G131" s="1647">
        <v>33362</v>
      </c>
      <c r="H131" s="1644" t="s">
        <v>3636</v>
      </c>
      <c r="I131" s="1648" t="s">
        <v>3629</v>
      </c>
      <c r="J131" s="1645" t="s">
        <v>37</v>
      </c>
      <c r="K131" s="1645"/>
      <c r="L131" s="1645" t="s">
        <v>3875</v>
      </c>
      <c r="M131" s="1645" t="s">
        <v>3937</v>
      </c>
      <c r="N131" s="1645"/>
      <c r="O131" s="1645">
        <v>0</v>
      </c>
      <c r="P131" s="1649"/>
      <c r="Q131" s="1645"/>
      <c r="R131" s="1647" t="s">
        <v>3727</v>
      </c>
      <c r="S131" s="1644" t="s">
        <v>3743</v>
      </c>
      <c r="T131" s="1644">
        <v>2018</v>
      </c>
      <c r="U131" s="1644"/>
      <c r="V131" s="1644"/>
      <c r="W131" s="1644">
        <v>0</v>
      </c>
      <c r="X131" s="1644"/>
      <c r="Y131" s="1647">
        <v>40424</v>
      </c>
      <c r="Z131" s="1647">
        <v>40789</v>
      </c>
      <c r="AA131" s="1650">
        <f t="shared" ca="1" si="3"/>
        <v>26.583333333333332</v>
      </c>
      <c r="AB131" s="2444" t="s">
        <v>3629</v>
      </c>
      <c r="AC131" s="2445"/>
      <c r="AD131" s="2438"/>
    </row>
    <row r="132" spans="1:30" ht="15.75" hidden="1" customHeight="1">
      <c r="A132" s="1644">
        <f t="shared" si="0"/>
        <v>0</v>
      </c>
      <c r="B132" s="1645" t="s">
        <v>3938</v>
      </c>
      <c r="C132" s="1645" t="s">
        <v>3858</v>
      </c>
      <c r="D132" s="1645" t="s">
        <v>3916</v>
      </c>
      <c r="E132" s="1646" t="s">
        <v>2797</v>
      </c>
      <c r="F132" s="1645">
        <f t="shared" si="1"/>
        <v>1978</v>
      </c>
      <c r="G132" s="1647">
        <v>28570</v>
      </c>
      <c r="H132" s="1644" t="s">
        <v>3636</v>
      </c>
      <c r="I132" s="1648" t="s">
        <v>3629</v>
      </c>
      <c r="J132" s="1645" t="s">
        <v>38</v>
      </c>
      <c r="K132" s="1645">
        <v>0</v>
      </c>
      <c r="L132" s="1645" t="s">
        <v>3873</v>
      </c>
      <c r="M132" s="1645" t="s">
        <v>3902</v>
      </c>
      <c r="N132" s="1645"/>
      <c r="O132" s="1645" t="s">
        <v>3902</v>
      </c>
      <c r="P132" s="1649"/>
      <c r="Q132" s="1645"/>
      <c r="R132" s="1647" t="s">
        <v>3914</v>
      </c>
      <c r="S132" s="1644"/>
      <c r="T132" s="1644" t="s">
        <v>936</v>
      </c>
      <c r="U132" s="1644"/>
      <c r="V132" s="1644"/>
      <c r="W132" s="1644" t="s">
        <v>3939</v>
      </c>
      <c r="X132" s="1644"/>
      <c r="Y132" s="1647"/>
      <c r="Z132" s="1647" t="s">
        <v>936</v>
      </c>
      <c r="AA132" s="1650">
        <f t="shared" ca="1" si="3"/>
        <v>13.416666666666666</v>
      </c>
      <c r="AB132" s="2444" t="s">
        <v>3629</v>
      </c>
      <c r="AC132" s="2445"/>
      <c r="AD132" s="2438"/>
    </row>
    <row r="133" spans="1:30" ht="15.75" hidden="1" customHeight="1">
      <c r="A133" s="1644">
        <f t="shared" si="0"/>
        <v>0</v>
      </c>
      <c r="B133" s="1645" t="s">
        <v>3940</v>
      </c>
      <c r="C133" s="1645" t="s">
        <v>3858</v>
      </c>
      <c r="D133" s="1645" t="s">
        <v>3916</v>
      </c>
      <c r="E133" s="1644" t="s">
        <v>2797</v>
      </c>
      <c r="F133" s="1645">
        <f t="shared" si="1"/>
        <v>1977</v>
      </c>
      <c r="G133" s="1647">
        <v>28418</v>
      </c>
      <c r="H133" s="1644" t="s">
        <v>3797</v>
      </c>
      <c r="I133" s="1648" t="s">
        <v>3629</v>
      </c>
      <c r="J133" s="1645" t="s">
        <v>38</v>
      </c>
      <c r="K133" s="1645" t="s">
        <v>3798</v>
      </c>
      <c r="L133" s="1645" t="s">
        <v>3873</v>
      </c>
      <c r="M133" s="1645" t="s">
        <v>3902</v>
      </c>
      <c r="N133" s="1645"/>
      <c r="O133" s="1645" t="s">
        <v>3875</v>
      </c>
      <c r="P133" s="1649"/>
      <c r="Q133" s="1645"/>
      <c r="R133" s="1647" t="s">
        <v>3941</v>
      </c>
      <c r="S133" s="1644"/>
      <c r="T133" s="1644" t="s">
        <v>936</v>
      </c>
      <c r="U133" s="1644" t="s">
        <v>3697</v>
      </c>
      <c r="V133" s="1644"/>
      <c r="W133" s="1650" t="s">
        <v>3632</v>
      </c>
      <c r="X133" s="1644" t="s">
        <v>3759</v>
      </c>
      <c r="Y133" s="1647">
        <v>39931</v>
      </c>
      <c r="Z133" s="1647">
        <v>40296</v>
      </c>
      <c r="AA133" s="1650">
        <f t="shared" ca="1" si="3"/>
        <v>13</v>
      </c>
      <c r="AB133" s="2444" t="s">
        <v>3629</v>
      </c>
      <c r="AC133" s="2445"/>
      <c r="AD133" s="2438"/>
    </row>
    <row r="134" spans="1:30" ht="15.75" hidden="1" customHeight="1">
      <c r="A134" s="1644">
        <f t="shared" si="0"/>
        <v>0</v>
      </c>
      <c r="B134" s="1645" t="s">
        <v>3942</v>
      </c>
      <c r="C134" s="1645" t="s">
        <v>3858</v>
      </c>
      <c r="D134" s="1645" t="s">
        <v>3916</v>
      </c>
      <c r="E134" s="1646" t="s">
        <v>2797</v>
      </c>
      <c r="F134" s="1645">
        <f t="shared" si="1"/>
        <v>1989</v>
      </c>
      <c r="G134" s="1647">
        <v>32832</v>
      </c>
      <c r="H134" s="1644" t="s">
        <v>3636</v>
      </c>
      <c r="I134" s="1648" t="s">
        <v>3629</v>
      </c>
      <c r="J134" s="1645" t="s">
        <v>37</v>
      </c>
      <c r="K134" s="1645">
        <v>0</v>
      </c>
      <c r="L134" s="1645" t="s">
        <v>3902</v>
      </c>
      <c r="M134" s="1645" t="s">
        <v>3913</v>
      </c>
      <c r="N134" s="1645"/>
      <c r="O134" s="1645" t="s">
        <v>3645</v>
      </c>
      <c r="P134" s="1649"/>
      <c r="Q134" s="1645"/>
      <c r="R134" s="1647" t="s">
        <v>3683</v>
      </c>
      <c r="S134" s="1644"/>
      <c r="T134" s="1644" t="s">
        <v>936</v>
      </c>
      <c r="U134" s="1644" t="s">
        <v>3631</v>
      </c>
      <c r="V134" s="1644"/>
      <c r="W134" s="1650" t="s">
        <v>3646</v>
      </c>
      <c r="X134" s="1644"/>
      <c r="Y134" s="1647">
        <v>42556</v>
      </c>
      <c r="Z134" s="1647">
        <v>42921</v>
      </c>
      <c r="AA134" s="1650">
        <f t="shared" ca="1" si="3"/>
        <v>25.083333333333332</v>
      </c>
      <c r="AB134" s="2444" t="s">
        <v>3629</v>
      </c>
      <c r="AC134" s="2445"/>
      <c r="AD134" s="2438"/>
    </row>
    <row r="135" spans="1:30" ht="15.75" hidden="1" customHeight="1">
      <c r="A135" s="1644">
        <f t="shared" si="0"/>
        <v>0</v>
      </c>
      <c r="B135" s="1645" t="s">
        <v>3943</v>
      </c>
      <c r="C135" s="1645" t="s">
        <v>3858</v>
      </c>
      <c r="D135" s="1645" t="s">
        <v>3916</v>
      </c>
      <c r="E135" s="1644" t="s">
        <v>2797</v>
      </c>
      <c r="F135" s="1645">
        <f t="shared" si="1"/>
        <v>1979</v>
      </c>
      <c r="G135" s="1647">
        <v>29181</v>
      </c>
      <c r="H135" s="1644" t="s">
        <v>3636</v>
      </c>
      <c r="I135" s="1648" t="s">
        <v>3629</v>
      </c>
      <c r="J135" s="1645" t="s">
        <v>37</v>
      </c>
      <c r="K135" s="1645">
        <v>0</v>
      </c>
      <c r="L135" s="1645" t="s">
        <v>3902</v>
      </c>
      <c r="M135" s="1645" t="s">
        <v>3913</v>
      </c>
      <c r="N135" s="1645"/>
      <c r="O135" s="1645" t="s">
        <v>3645</v>
      </c>
      <c r="P135" s="1649"/>
      <c r="Q135" s="1645"/>
      <c r="R135" s="1647" t="s">
        <v>3683</v>
      </c>
      <c r="S135" s="1644"/>
      <c r="T135" s="1644" t="s">
        <v>936</v>
      </c>
      <c r="U135" s="1644" t="s">
        <v>3711</v>
      </c>
      <c r="V135" s="1644"/>
      <c r="W135" s="1644" t="s">
        <v>3944</v>
      </c>
      <c r="X135" s="1644" t="s">
        <v>3633</v>
      </c>
      <c r="Y135" s="1647">
        <v>41311</v>
      </c>
      <c r="Z135" s="1647">
        <v>41676</v>
      </c>
      <c r="AA135" s="1650">
        <f t="shared" ca="1" si="3"/>
        <v>15.083333333333334</v>
      </c>
      <c r="AB135" s="2444" t="s">
        <v>3629</v>
      </c>
      <c r="AC135" s="2445"/>
      <c r="AD135" s="2438"/>
    </row>
    <row r="136" spans="1:30" ht="15.75" hidden="1" customHeight="1">
      <c r="A136" s="1644">
        <f t="shared" si="0"/>
        <v>0</v>
      </c>
      <c r="B136" s="1645" t="s">
        <v>3945</v>
      </c>
      <c r="C136" s="1645" t="s">
        <v>3858</v>
      </c>
      <c r="D136" s="1645"/>
      <c r="E136" s="1646" t="s">
        <v>2798</v>
      </c>
      <c r="F136" s="1645">
        <f t="shared" si="1"/>
        <v>1983</v>
      </c>
      <c r="G136" s="1647">
        <v>30508</v>
      </c>
      <c r="H136" s="1644" t="s">
        <v>3642</v>
      </c>
      <c r="I136" s="1648" t="s">
        <v>3629</v>
      </c>
      <c r="J136" s="1645" t="s">
        <v>37</v>
      </c>
      <c r="K136" s="1645">
        <v>0</v>
      </c>
      <c r="L136" s="1645" t="s">
        <v>3946</v>
      </c>
      <c r="M136" s="1645" t="s">
        <v>3947</v>
      </c>
      <c r="N136" s="1645"/>
      <c r="O136" s="1645" t="s">
        <v>3645</v>
      </c>
      <c r="P136" s="1649"/>
      <c r="Q136" s="1645"/>
      <c r="R136" s="1644"/>
      <c r="S136" s="1644"/>
      <c r="T136" s="1644"/>
      <c r="U136" s="1644"/>
      <c r="V136" s="1644" t="s">
        <v>3649</v>
      </c>
      <c r="W136" s="1650" t="s">
        <v>3653</v>
      </c>
      <c r="X136" s="1644"/>
      <c r="Y136" s="1647"/>
      <c r="Z136" s="1647"/>
      <c r="AA136" s="1650">
        <f t="shared" ca="1" si="3"/>
        <v>13.75</v>
      </c>
      <c r="AB136" s="2444" t="s">
        <v>3629</v>
      </c>
      <c r="AC136" s="2445"/>
      <c r="AD136" s="2438"/>
    </row>
    <row r="137" spans="1:30" ht="15.75" hidden="1" customHeight="1">
      <c r="A137" s="1644">
        <f t="shared" si="0"/>
        <v>0</v>
      </c>
      <c r="B137" s="1645" t="s">
        <v>3948</v>
      </c>
      <c r="C137" s="1645" t="s">
        <v>3949</v>
      </c>
      <c r="D137" s="1648" t="s">
        <v>3627</v>
      </c>
      <c r="E137" s="1646" t="s">
        <v>2798</v>
      </c>
      <c r="F137" s="1645">
        <f t="shared" si="1"/>
        <v>1978</v>
      </c>
      <c r="G137" s="1647">
        <v>28793</v>
      </c>
      <c r="H137" s="1644" t="s">
        <v>3628</v>
      </c>
      <c r="I137" s="1648" t="s">
        <v>3629</v>
      </c>
      <c r="J137" s="1645" t="s">
        <v>38</v>
      </c>
      <c r="K137" s="1645">
        <v>0</v>
      </c>
      <c r="L137" s="1645" t="s">
        <v>2682</v>
      </c>
      <c r="M137" s="1645" t="s">
        <v>3950</v>
      </c>
      <c r="N137" s="1645"/>
      <c r="O137" s="1645" t="s">
        <v>3951</v>
      </c>
      <c r="P137" s="1649">
        <v>43405</v>
      </c>
      <c r="Q137" s="1645" t="s">
        <v>3693</v>
      </c>
      <c r="R137" s="1647" t="s">
        <v>3952</v>
      </c>
      <c r="S137" s="1644" t="s">
        <v>3696</v>
      </c>
      <c r="T137" s="1644" t="s">
        <v>936</v>
      </c>
      <c r="U137" s="1644" t="s">
        <v>3697</v>
      </c>
      <c r="V137" s="1644"/>
      <c r="W137" s="1644">
        <v>0</v>
      </c>
      <c r="X137" s="1644" t="s">
        <v>3707</v>
      </c>
      <c r="Y137" s="1647">
        <v>39458</v>
      </c>
      <c r="Z137" s="1647">
        <v>39824</v>
      </c>
      <c r="AA137" s="1650">
        <f t="shared" ca="1" si="3"/>
        <v>9</v>
      </c>
      <c r="AB137" s="2444" t="s">
        <v>3629</v>
      </c>
      <c r="AC137" s="2445"/>
      <c r="AD137" s="2438"/>
    </row>
    <row r="138" spans="1:30" ht="15.75" hidden="1" customHeight="1">
      <c r="A138" s="1644">
        <f t="shared" si="0"/>
        <v>0</v>
      </c>
      <c r="B138" s="1645" t="s">
        <v>3953</v>
      </c>
      <c r="C138" s="1645" t="s">
        <v>3949</v>
      </c>
      <c r="D138" s="1645" t="s">
        <v>545</v>
      </c>
      <c r="E138" s="1644" t="s">
        <v>2797</v>
      </c>
      <c r="F138" s="1645">
        <f t="shared" si="1"/>
        <v>1970</v>
      </c>
      <c r="G138" s="1647">
        <v>25607</v>
      </c>
      <c r="H138" s="1644" t="s">
        <v>3797</v>
      </c>
      <c r="I138" s="1648" t="s">
        <v>3629</v>
      </c>
      <c r="J138" s="1645" t="s">
        <v>38</v>
      </c>
      <c r="K138" s="1645" t="s">
        <v>3798</v>
      </c>
      <c r="L138" s="1645" t="s">
        <v>3954</v>
      </c>
      <c r="M138" s="1645" t="s">
        <v>3955</v>
      </c>
      <c r="N138" s="1645"/>
      <c r="O138" s="1645" t="s">
        <v>3956</v>
      </c>
      <c r="P138" s="1649"/>
      <c r="Q138" s="1645" t="s">
        <v>3693</v>
      </c>
      <c r="R138" s="1644"/>
      <c r="S138" s="1644"/>
      <c r="T138" s="1644"/>
      <c r="U138" s="1644" t="s">
        <v>3802</v>
      </c>
      <c r="V138" s="1644" t="s">
        <v>936</v>
      </c>
      <c r="W138" s="1644" t="s">
        <v>3687</v>
      </c>
      <c r="X138" s="1644" t="s">
        <v>3759</v>
      </c>
      <c r="Y138" s="1647">
        <v>34978</v>
      </c>
      <c r="Z138" s="1647">
        <v>35344</v>
      </c>
      <c r="AA138" s="1650">
        <f t="shared" ca="1" si="3"/>
        <v>5.333333333333333</v>
      </c>
      <c r="AB138" s="2444" t="s">
        <v>3629</v>
      </c>
      <c r="AC138" s="2445"/>
      <c r="AD138" s="2438"/>
    </row>
    <row r="139" spans="1:30" ht="15.75" hidden="1" customHeight="1">
      <c r="A139" s="1644">
        <f t="shared" si="0"/>
        <v>0</v>
      </c>
      <c r="B139" s="1645" t="s">
        <v>3957</v>
      </c>
      <c r="C139" s="1645" t="s">
        <v>3949</v>
      </c>
      <c r="D139" s="1645"/>
      <c r="E139" s="1646" t="s">
        <v>2798</v>
      </c>
      <c r="F139" s="1645">
        <f t="shared" si="1"/>
        <v>1978</v>
      </c>
      <c r="G139" s="1647">
        <v>28491</v>
      </c>
      <c r="H139" s="1644" t="s">
        <v>3642</v>
      </c>
      <c r="I139" s="1648" t="s">
        <v>3629</v>
      </c>
      <c r="J139" s="1645" t="s">
        <v>37</v>
      </c>
      <c r="K139" s="1645">
        <v>0</v>
      </c>
      <c r="L139" s="1645" t="s">
        <v>2755</v>
      </c>
      <c r="M139" s="1645" t="s">
        <v>2829</v>
      </c>
      <c r="N139" s="1645"/>
      <c r="O139" s="1645" t="s">
        <v>3645</v>
      </c>
      <c r="P139" s="1649"/>
      <c r="Q139" s="1645"/>
      <c r="R139" s="1644"/>
      <c r="S139" s="1644" t="s">
        <v>3743</v>
      </c>
      <c r="T139" s="1644"/>
      <c r="U139" s="1644"/>
      <c r="V139" s="1644" t="s">
        <v>3657</v>
      </c>
      <c r="W139" s="1650" t="s">
        <v>3653</v>
      </c>
      <c r="X139" s="1644" t="s">
        <v>3633</v>
      </c>
      <c r="Y139" s="1647">
        <v>37949</v>
      </c>
      <c r="Z139" s="1647">
        <v>38315</v>
      </c>
      <c r="AA139" s="1650">
        <f t="shared" ca="1" si="3"/>
        <v>8.1666666666666661</v>
      </c>
      <c r="AB139" s="2444" t="s">
        <v>3629</v>
      </c>
      <c r="AC139" s="2445"/>
      <c r="AD139" s="2438"/>
    </row>
    <row r="140" spans="1:30" ht="15.75" hidden="1" customHeight="1">
      <c r="A140" s="1644">
        <f t="shared" si="0"/>
        <v>0</v>
      </c>
      <c r="B140" s="1645" t="s">
        <v>3958</v>
      </c>
      <c r="C140" s="1645" t="s">
        <v>3949</v>
      </c>
      <c r="D140" s="1645"/>
      <c r="E140" s="1646" t="s">
        <v>2798</v>
      </c>
      <c r="F140" s="1645">
        <f t="shared" si="1"/>
        <v>1984</v>
      </c>
      <c r="G140" s="1647">
        <v>30793</v>
      </c>
      <c r="H140" s="1644" t="s">
        <v>3642</v>
      </c>
      <c r="I140" s="1648" t="s">
        <v>3629</v>
      </c>
      <c r="J140" s="1645" t="s">
        <v>201</v>
      </c>
      <c r="K140" s="1645">
        <v>0</v>
      </c>
      <c r="L140" s="1645" t="s">
        <v>3268</v>
      </c>
      <c r="M140" s="1645">
        <v>0</v>
      </c>
      <c r="N140" s="1645"/>
      <c r="O140" s="1645" t="s">
        <v>3645</v>
      </c>
      <c r="P140" s="1649"/>
      <c r="Q140" s="1645"/>
      <c r="R140" s="1647" t="s">
        <v>3667</v>
      </c>
      <c r="S140" s="1644" t="s">
        <v>3743</v>
      </c>
      <c r="T140" s="1644"/>
      <c r="U140" s="1644"/>
      <c r="V140" s="1644" t="s">
        <v>3649</v>
      </c>
      <c r="W140" s="1650" t="s">
        <v>3653</v>
      </c>
      <c r="X140" s="1644"/>
      <c r="Y140" s="1647"/>
      <c r="Z140" s="1647"/>
      <c r="AA140" s="1650">
        <f t="shared" ca="1" si="3"/>
        <v>14.5</v>
      </c>
      <c r="AB140" s="2444" t="s">
        <v>3629</v>
      </c>
      <c r="AC140" s="2445"/>
      <c r="AD140" s="2438"/>
    </row>
    <row r="141" spans="1:30" ht="15.75" hidden="1" customHeight="1">
      <c r="A141" s="1644">
        <f t="shared" si="0"/>
        <v>0</v>
      </c>
      <c r="B141" s="1645" t="s">
        <v>3959</v>
      </c>
      <c r="C141" s="1645" t="s">
        <v>3960</v>
      </c>
      <c r="D141" s="1645" t="s">
        <v>549</v>
      </c>
      <c r="E141" s="1646" t="s">
        <v>2798</v>
      </c>
      <c r="F141" s="1645">
        <f t="shared" si="1"/>
        <v>1978</v>
      </c>
      <c r="G141" s="1647">
        <v>28753</v>
      </c>
      <c r="H141" s="1644" t="s">
        <v>3636</v>
      </c>
      <c r="I141" s="1648" t="s">
        <v>3629</v>
      </c>
      <c r="J141" s="1645" t="s">
        <v>38</v>
      </c>
      <c r="K141" s="1645">
        <v>0</v>
      </c>
      <c r="L141" s="1645" t="s">
        <v>3961</v>
      </c>
      <c r="M141" s="1645" t="s">
        <v>3961</v>
      </c>
      <c r="N141" s="1645"/>
      <c r="O141" s="1645" t="s">
        <v>2833</v>
      </c>
      <c r="P141" s="1649"/>
      <c r="Q141" s="1645" t="s">
        <v>3693</v>
      </c>
      <c r="R141" s="1644" t="s">
        <v>3952</v>
      </c>
      <c r="S141" s="1644" t="s">
        <v>3962</v>
      </c>
      <c r="T141" s="1644"/>
      <c r="U141" s="1644" t="s">
        <v>3711</v>
      </c>
      <c r="V141" s="1644"/>
      <c r="W141" s="1644" t="s">
        <v>3939</v>
      </c>
      <c r="X141" s="1644" t="s">
        <v>3806</v>
      </c>
      <c r="Y141" s="1647">
        <v>38850</v>
      </c>
      <c r="Z141" s="1647">
        <v>39215</v>
      </c>
      <c r="AA141" s="1650">
        <f t="shared" ca="1" si="3"/>
        <v>8.9166666666666661</v>
      </c>
      <c r="AB141" s="2444" t="s">
        <v>3629</v>
      </c>
      <c r="AC141" s="2445"/>
      <c r="AD141" s="2438"/>
    </row>
    <row r="142" spans="1:30" ht="15.75" hidden="1" customHeight="1">
      <c r="A142" s="1644">
        <f t="shared" si="0"/>
        <v>0</v>
      </c>
      <c r="B142" s="1645" t="s">
        <v>3963</v>
      </c>
      <c r="C142" s="1645" t="s">
        <v>3960</v>
      </c>
      <c r="D142" s="1645" t="s">
        <v>3660</v>
      </c>
      <c r="E142" s="1644" t="s">
        <v>2797</v>
      </c>
      <c r="F142" s="1645">
        <f t="shared" si="1"/>
        <v>1986</v>
      </c>
      <c r="G142" s="1647">
        <v>31545</v>
      </c>
      <c r="H142" s="1644" t="s">
        <v>3642</v>
      </c>
      <c r="I142" s="1648" t="s">
        <v>3629</v>
      </c>
      <c r="J142" s="1645" t="s">
        <v>201</v>
      </c>
      <c r="K142" s="1645">
        <v>0</v>
      </c>
      <c r="L142" s="1645" t="s">
        <v>3890</v>
      </c>
      <c r="M142" s="1645">
        <v>0</v>
      </c>
      <c r="N142" s="1645"/>
      <c r="O142" s="1645">
        <v>0</v>
      </c>
      <c r="P142" s="1649"/>
      <c r="Q142" s="1645"/>
      <c r="R142" s="1647" t="s">
        <v>3667</v>
      </c>
      <c r="S142" s="1644" t="s">
        <v>3743</v>
      </c>
      <c r="T142" s="1644"/>
      <c r="U142" s="1644"/>
      <c r="V142" s="1644"/>
      <c r="W142" s="1650" t="s">
        <v>3646</v>
      </c>
      <c r="X142" s="1644"/>
      <c r="Y142" s="1647"/>
      <c r="Z142" s="1647"/>
      <c r="AA142" s="1650">
        <f t="shared" ca="1" si="3"/>
        <v>21.583333333333332</v>
      </c>
      <c r="AB142" s="2444" t="s">
        <v>3629</v>
      </c>
      <c r="AC142" s="2445"/>
      <c r="AD142" s="2438"/>
    </row>
    <row r="143" spans="1:30" ht="15.75" hidden="1" customHeight="1">
      <c r="A143" s="1644">
        <f t="shared" si="0"/>
        <v>0</v>
      </c>
      <c r="B143" s="1645" t="s">
        <v>3964</v>
      </c>
      <c r="C143" s="1645" t="s">
        <v>3960</v>
      </c>
      <c r="D143" s="1645" t="s">
        <v>3660</v>
      </c>
      <c r="E143" s="1644" t="s">
        <v>2798</v>
      </c>
      <c r="F143" s="1645">
        <f t="shared" si="1"/>
        <v>1988</v>
      </c>
      <c r="G143" s="1647">
        <v>32149</v>
      </c>
      <c r="H143" s="1644" t="s">
        <v>3642</v>
      </c>
      <c r="I143" s="1648" t="s">
        <v>3965</v>
      </c>
      <c r="J143" s="1645" t="s">
        <v>37</v>
      </c>
      <c r="K143" s="1645">
        <v>0</v>
      </c>
      <c r="L143" s="1645" t="s">
        <v>3966</v>
      </c>
      <c r="M143" s="1645" t="s">
        <v>3966</v>
      </c>
      <c r="N143" s="1645"/>
      <c r="O143" s="1645" t="s">
        <v>3645</v>
      </c>
      <c r="P143" s="1649"/>
      <c r="Q143" s="1645"/>
      <c r="R143" s="1647" t="s">
        <v>3667</v>
      </c>
      <c r="S143" s="1644" t="s">
        <v>3743</v>
      </c>
      <c r="T143" s="1644"/>
      <c r="U143" s="1644"/>
      <c r="V143" s="1644" t="s">
        <v>3657</v>
      </c>
      <c r="W143" s="1650" t="s">
        <v>3646</v>
      </c>
      <c r="X143" s="1644"/>
      <c r="Y143" s="1647">
        <v>43900</v>
      </c>
      <c r="Z143" s="1647">
        <v>44265</v>
      </c>
      <c r="AA143" s="1650">
        <f t="shared" ca="1" si="3"/>
        <v>18.25</v>
      </c>
      <c r="AB143" s="2444" t="s">
        <v>3629</v>
      </c>
      <c r="AC143" s="2445"/>
      <c r="AD143" s="2438"/>
    </row>
    <row r="144" spans="1:30" ht="15.75" hidden="1" customHeight="1">
      <c r="A144" s="1644">
        <f t="shared" si="0"/>
        <v>0</v>
      </c>
      <c r="B144" s="1645" t="s">
        <v>3967</v>
      </c>
      <c r="C144" s="1645" t="s">
        <v>3960</v>
      </c>
      <c r="D144" s="1645"/>
      <c r="E144" s="1646" t="s">
        <v>2797</v>
      </c>
      <c r="F144" s="1645">
        <f t="shared" si="1"/>
        <v>1994</v>
      </c>
      <c r="G144" s="1647">
        <v>34380</v>
      </c>
      <c r="H144" s="1644" t="s">
        <v>3642</v>
      </c>
      <c r="I144" s="1648" t="s">
        <v>3629</v>
      </c>
      <c r="J144" s="1645" t="s">
        <v>201</v>
      </c>
      <c r="K144" s="1645"/>
      <c r="L144" s="1645" t="s">
        <v>3676</v>
      </c>
      <c r="M144" s="1645">
        <v>0</v>
      </c>
      <c r="N144" s="1645"/>
      <c r="O144" s="1645">
        <v>0</v>
      </c>
      <c r="P144" s="1649"/>
      <c r="Q144" s="1645"/>
      <c r="R144" s="1647" t="s">
        <v>3667</v>
      </c>
      <c r="S144" s="1644" t="s">
        <v>3743</v>
      </c>
      <c r="T144" s="1644">
        <v>0</v>
      </c>
      <c r="U144" s="1644"/>
      <c r="V144" s="1644" t="s">
        <v>3649</v>
      </c>
      <c r="W144" s="1644" t="s">
        <v>3968</v>
      </c>
      <c r="X144" s="1644"/>
      <c r="Y144" s="1647"/>
      <c r="Z144" s="1647"/>
      <c r="AA144" s="1650">
        <f t="shared" ca="1" si="3"/>
        <v>29.333333333333332</v>
      </c>
      <c r="AB144" s="2444" t="s">
        <v>3629</v>
      </c>
      <c r="AC144" s="2445"/>
      <c r="AD144" s="2438"/>
    </row>
    <row r="145" spans="1:30" ht="15.75" hidden="1" customHeight="1">
      <c r="A145" s="1644">
        <f t="shared" si="0"/>
        <v>0</v>
      </c>
      <c r="B145" s="1645" t="s">
        <v>3969</v>
      </c>
      <c r="C145" s="1645" t="s">
        <v>3960</v>
      </c>
      <c r="D145" s="1645"/>
      <c r="E145" s="1646" t="s">
        <v>2797</v>
      </c>
      <c r="F145" s="1645">
        <f t="shared" si="1"/>
        <v>1986</v>
      </c>
      <c r="G145" s="1647">
        <v>31578</v>
      </c>
      <c r="H145" s="1644" t="s">
        <v>3648</v>
      </c>
      <c r="I145" s="1648" t="s">
        <v>3629</v>
      </c>
      <c r="J145" s="1645" t="s">
        <v>3018</v>
      </c>
      <c r="K145" s="1645">
        <v>0</v>
      </c>
      <c r="L145" s="1651" t="s">
        <v>3676</v>
      </c>
      <c r="M145" s="1645">
        <v>0</v>
      </c>
      <c r="N145" s="1645"/>
      <c r="O145" s="1645">
        <v>0</v>
      </c>
      <c r="P145" s="1649"/>
      <c r="Q145" s="1645"/>
      <c r="R145" s="1647" t="s">
        <v>3667</v>
      </c>
      <c r="S145" s="1644"/>
      <c r="T145" s="1644"/>
      <c r="U145" s="1644"/>
      <c r="V145" s="1644"/>
      <c r="W145" s="1650" t="s">
        <v>3646</v>
      </c>
      <c r="X145" s="1644"/>
      <c r="Y145" s="1647">
        <v>44312</v>
      </c>
      <c r="Z145" s="1647">
        <v>0</v>
      </c>
      <c r="AA145" s="1650">
        <f t="shared" ca="1" si="3"/>
        <v>21.666666666666668</v>
      </c>
      <c r="AB145" s="2444" t="s">
        <v>3629</v>
      </c>
      <c r="AC145" s="2445"/>
      <c r="AD145" s="2438"/>
    </row>
    <row r="146" spans="1:30" ht="15.75" hidden="1" customHeight="1">
      <c r="A146" s="1644">
        <f t="shared" si="0"/>
        <v>0</v>
      </c>
      <c r="B146" s="1645" t="s">
        <v>3970</v>
      </c>
      <c r="C146" s="1645" t="s">
        <v>3960</v>
      </c>
      <c r="D146" s="1645"/>
      <c r="E146" s="1646" t="s">
        <v>2797</v>
      </c>
      <c r="F146" s="1645">
        <f t="shared" si="1"/>
        <v>1985</v>
      </c>
      <c r="G146" s="1647">
        <v>31290</v>
      </c>
      <c r="H146" s="1644" t="s">
        <v>3642</v>
      </c>
      <c r="I146" s="1648" t="s">
        <v>3965</v>
      </c>
      <c r="J146" s="1645" t="s">
        <v>37</v>
      </c>
      <c r="K146" s="1645">
        <v>0</v>
      </c>
      <c r="L146" s="1645" t="s">
        <v>1733</v>
      </c>
      <c r="M146" s="1645" t="s">
        <v>3971</v>
      </c>
      <c r="N146" s="1645"/>
      <c r="O146" s="1645" t="s">
        <v>3645</v>
      </c>
      <c r="P146" s="1649"/>
      <c r="Q146" s="1645"/>
      <c r="R146" s="1647" t="s">
        <v>3667</v>
      </c>
      <c r="S146" s="1644" t="s">
        <v>3743</v>
      </c>
      <c r="T146" s="1644"/>
      <c r="U146" s="1644"/>
      <c r="V146" s="1644" t="s">
        <v>3657</v>
      </c>
      <c r="W146" s="1650" t="s">
        <v>3653</v>
      </c>
      <c r="X146" s="1644" t="s">
        <v>3707</v>
      </c>
      <c r="Y146" s="1647">
        <v>39612</v>
      </c>
      <c r="Z146" s="1647">
        <v>39977</v>
      </c>
      <c r="AA146" s="1650">
        <f t="shared" ca="1" si="3"/>
        <v>20.833333333333332</v>
      </c>
      <c r="AB146" s="2444" t="s">
        <v>3629</v>
      </c>
      <c r="AC146" s="2445"/>
      <c r="AD146" s="2438"/>
    </row>
    <row r="147" spans="1:30" ht="15.75" hidden="1" customHeight="1">
      <c r="A147" s="1644">
        <f t="shared" si="0"/>
        <v>0</v>
      </c>
      <c r="B147" s="1645" t="s">
        <v>3972</v>
      </c>
      <c r="C147" s="1645" t="s">
        <v>3960</v>
      </c>
      <c r="D147" s="1645"/>
      <c r="E147" s="1644" t="s">
        <v>2797</v>
      </c>
      <c r="F147" s="1645">
        <f t="shared" si="1"/>
        <v>1989</v>
      </c>
      <c r="G147" s="1647">
        <v>32791</v>
      </c>
      <c r="H147" s="1644" t="s">
        <v>3642</v>
      </c>
      <c r="I147" s="1648" t="s">
        <v>3629</v>
      </c>
      <c r="J147" s="1645" t="s">
        <v>37</v>
      </c>
      <c r="K147" s="1645">
        <v>0</v>
      </c>
      <c r="L147" s="1645" t="s">
        <v>1733</v>
      </c>
      <c r="M147" s="1645" t="s">
        <v>506</v>
      </c>
      <c r="N147" s="1645"/>
      <c r="O147" s="1645" t="s">
        <v>3645</v>
      </c>
      <c r="P147" s="1649"/>
      <c r="Q147" s="1645"/>
      <c r="R147" s="1644"/>
      <c r="S147" s="1644"/>
      <c r="T147" s="1644"/>
      <c r="U147" s="1644"/>
      <c r="V147" s="1644"/>
      <c r="W147" s="1650" t="s">
        <v>3973</v>
      </c>
      <c r="X147" s="1644" t="s">
        <v>3633</v>
      </c>
      <c r="Y147" s="1647">
        <v>43203</v>
      </c>
      <c r="Z147" s="1647">
        <v>43568</v>
      </c>
      <c r="AA147" s="1650">
        <f t="shared" ca="1" si="3"/>
        <v>25</v>
      </c>
      <c r="AB147" s="2444" t="s">
        <v>3629</v>
      </c>
      <c r="AC147" s="2445"/>
      <c r="AD147" s="2438"/>
    </row>
    <row r="148" spans="1:30" ht="15.75" hidden="1" customHeight="1">
      <c r="A148" s="1644">
        <f t="shared" si="0"/>
        <v>0</v>
      </c>
      <c r="B148" s="1645" t="s">
        <v>3974</v>
      </c>
      <c r="C148" s="1645" t="s">
        <v>3960</v>
      </c>
      <c r="D148" s="1645"/>
      <c r="E148" s="1644" t="s">
        <v>2797</v>
      </c>
      <c r="F148" s="1645">
        <f t="shared" si="1"/>
        <v>1989</v>
      </c>
      <c r="G148" s="1647">
        <v>32782</v>
      </c>
      <c r="H148" s="1644" t="s">
        <v>3642</v>
      </c>
      <c r="I148" s="1648" t="s">
        <v>3629</v>
      </c>
      <c r="J148" s="1645" t="s">
        <v>37</v>
      </c>
      <c r="K148" s="1645">
        <v>0</v>
      </c>
      <c r="L148" s="1645" t="s">
        <v>3975</v>
      </c>
      <c r="M148" s="1645" t="s">
        <v>3976</v>
      </c>
      <c r="N148" s="1645"/>
      <c r="O148" s="1645" t="s">
        <v>3645</v>
      </c>
      <c r="P148" s="1649"/>
      <c r="Q148" s="1645"/>
      <c r="R148" s="1647" t="s">
        <v>3683</v>
      </c>
      <c r="S148" s="1644"/>
      <c r="T148" s="1644"/>
      <c r="U148" s="1644"/>
      <c r="V148" s="1644" t="s">
        <v>3657</v>
      </c>
      <c r="W148" s="1650" t="s">
        <v>3653</v>
      </c>
      <c r="X148" s="1644"/>
      <c r="Y148" s="1647">
        <v>41095</v>
      </c>
      <c r="Z148" s="1647">
        <v>41460</v>
      </c>
      <c r="AA148" s="1650">
        <f t="shared" ca="1" si="3"/>
        <v>24.916666666666668</v>
      </c>
      <c r="AB148" s="2444" t="s">
        <v>3629</v>
      </c>
      <c r="AC148" s="2445"/>
      <c r="AD148" s="2438"/>
    </row>
    <row r="149" spans="1:30" ht="15.75" hidden="1" customHeight="1">
      <c r="A149" s="1644">
        <f t="shared" si="0"/>
        <v>0</v>
      </c>
      <c r="B149" s="1645" t="s">
        <v>3977</v>
      </c>
      <c r="C149" s="1645" t="s">
        <v>3960</v>
      </c>
      <c r="D149" s="1645"/>
      <c r="E149" s="1646" t="s">
        <v>2798</v>
      </c>
      <c r="F149" s="1645">
        <f t="shared" si="1"/>
        <v>1990</v>
      </c>
      <c r="G149" s="1647">
        <v>33064</v>
      </c>
      <c r="H149" s="1644" t="s">
        <v>3642</v>
      </c>
      <c r="I149" s="1648" t="s">
        <v>3629</v>
      </c>
      <c r="J149" s="1645" t="s">
        <v>37</v>
      </c>
      <c r="K149" s="1645">
        <v>0</v>
      </c>
      <c r="L149" s="1645" t="s">
        <v>3978</v>
      </c>
      <c r="M149" s="1645" t="s">
        <v>3978</v>
      </c>
      <c r="N149" s="1645"/>
      <c r="O149" s="1645">
        <v>0</v>
      </c>
      <c r="P149" s="1649"/>
      <c r="Q149" s="1645"/>
      <c r="R149" s="1644"/>
      <c r="S149" s="1644"/>
      <c r="T149" s="1644"/>
      <c r="U149" s="1644"/>
      <c r="V149" s="1644" t="s">
        <v>3649</v>
      </c>
      <c r="W149" s="1650" t="s">
        <v>3822</v>
      </c>
      <c r="X149" s="1644"/>
      <c r="Y149" s="1647">
        <v>40773</v>
      </c>
      <c r="Z149" s="1647">
        <v>41139</v>
      </c>
      <c r="AA149" s="1650">
        <f t="shared" ca="1" si="3"/>
        <v>20.75</v>
      </c>
      <c r="AB149" s="2444" t="s">
        <v>3629</v>
      </c>
      <c r="AC149" s="2445"/>
      <c r="AD149" s="2438"/>
    </row>
    <row r="150" spans="1:30" ht="15.75" hidden="1" customHeight="1">
      <c r="A150" s="1644">
        <f t="shared" si="0"/>
        <v>0</v>
      </c>
      <c r="B150" s="1645" t="s">
        <v>3979</v>
      </c>
      <c r="C150" s="1645" t="s">
        <v>3960</v>
      </c>
      <c r="D150" s="1645"/>
      <c r="E150" s="1644" t="s">
        <v>2798</v>
      </c>
      <c r="F150" s="1645">
        <f t="shared" si="1"/>
        <v>1989</v>
      </c>
      <c r="G150" s="1647">
        <v>32760</v>
      </c>
      <c r="H150" s="1644" t="s">
        <v>3642</v>
      </c>
      <c r="I150" s="1648" t="s">
        <v>3629</v>
      </c>
      <c r="J150" s="1645" t="s">
        <v>37</v>
      </c>
      <c r="K150" s="1645">
        <v>0</v>
      </c>
      <c r="L150" s="1645" t="s">
        <v>3785</v>
      </c>
      <c r="M150" s="1645" t="s">
        <v>3741</v>
      </c>
      <c r="N150" s="1645"/>
      <c r="O150" s="1645" t="s">
        <v>3645</v>
      </c>
      <c r="P150" s="1649"/>
      <c r="Q150" s="1645"/>
      <c r="R150" s="1644"/>
      <c r="S150" s="1644"/>
      <c r="T150" s="1644" t="s">
        <v>936</v>
      </c>
      <c r="U150" s="1644"/>
      <c r="V150" s="1644" t="s">
        <v>3980</v>
      </c>
      <c r="W150" s="1650" t="s">
        <v>3653</v>
      </c>
      <c r="X150" s="1644" t="s">
        <v>3981</v>
      </c>
      <c r="Y150" s="1647">
        <v>40340</v>
      </c>
      <c r="Z150" s="1647">
        <v>40340</v>
      </c>
      <c r="AA150" s="1650">
        <f t="shared" ca="1" si="3"/>
        <v>19.916666666666668</v>
      </c>
      <c r="AB150" s="2444" t="s">
        <v>3629</v>
      </c>
      <c r="AC150" s="2445"/>
      <c r="AD150" s="2438"/>
    </row>
    <row r="151" spans="1:30" ht="15.75" hidden="1" customHeight="1">
      <c r="A151" s="1644">
        <f t="shared" si="0"/>
        <v>0</v>
      </c>
      <c r="B151" s="1645" t="s">
        <v>3982</v>
      </c>
      <c r="C151" s="1645" t="s">
        <v>3983</v>
      </c>
      <c r="D151" s="1648" t="s">
        <v>3984</v>
      </c>
      <c r="E151" s="1646" t="s">
        <v>2797</v>
      </c>
      <c r="F151" s="1645">
        <f t="shared" si="1"/>
        <v>1978</v>
      </c>
      <c r="G151" s="1647">
        <v>28731</v>
      </c>
      <c r="H151" s="1644" t="s">
        <v>3628</v>
      </c>
      <c r="I151" s="1648" t="s">
        <v>3629</v>
      </c>
      <c r="J151" s="1645" t="s">
        <v>38</v>
      </c>
      <c r="K151" s="1645">
        <v>0</v>
      </c>
      <c r="L151" s="1645" t="s">
        <v>1701</v>
      </c>
      <c r="M151" s="1645" t="s">
        <v>3985</v>
      </c>
      <c r="N151" s="1645"/>
      <c r="O151" s="1645" t="s">
        <v>3986</v>
      </c>
      <c r="P151" s="1649"/>
      <c r="Q151" s="1645" t="s">
        <v>3693</v>
      </c>
      <c r="R151" s="1647" t="s">
        <v>3987</v>
      </c>
      <c r="S151" s="1644" t="s">
        <v>3988</v>
      </c>
      <c r="T151" s="1644"/>
      <c r="U151" s="1644" t="s">
        <v>3697</v>
      </c>
      <c r="V151" s="1644"/>
      <c r="W151" s="1644">
        <v>0</v>
      </c>
      <c r="X151" s="1644" t="s">
        <v>3989</v>
      </c>
      <c r="Y151" s="1647">
        <v>38008</v>
      </c>
      <c r="Z151" s="1647">
        <v>38708</v>
      </c>
      <c r="AA151" s="1650">
        <f t="shared" ca="1" si="3"/>
        <v>13.833333333333334</v>
      </c>
      <c r="AB151" s="2444" t="s">
        <v>3629</v>
      </c>
      <c r="AC151" s="2445"/>
      <c r="AD151" s="2438"/>
    </row>
    <row r="152" spans="1:30" ht="15.75" hidden="1" customHeight="1">
      <c r="A152" s="1644">
        <f t="shared" si="0"/>
        <v>0</v>
      </c>
      <c r="B152" s="1645" t="s">
        <v>3990</v>
      </c>
      <c r="C152" s="1645" t="s">
        <v>3983</v>
      </c>
      <c r="D152" s="1648" t="s">
        <v>3984</v>
      </c>
      <c r="E152" s="1644" t="s">
        <v>2797</v>
      </c>
      <c r="F152" s="1645">
        <f t="shared" si="1"/>
        <v>1974</v>
      </c>
      <c r="G152" s="1647">
        <v>27161</v>
      </c>
      <c r="H152" s="1644" t="s">
        <v>3628</v>
      </c>
      <c r="I152" s="1648" t="s">
        <v>3629</v>
      </c>
      <c r="J152" s="1645" t="s">
        <v>38</v>
      </c>
      <c r="K152" s="1645">
        <v>0</v>
      </c>
      <c r="L152" s="1645" t="s">
        <v>1701</v>
      </c>
      <c r="M152" s="1645" t="s">
        <v>3991</v>
      </c>
      <c r="N152" s="1645"/>
      <c r="O152" s="1645" t="s">
        <v>3978</v>
      </c>
      <c r="P152" s="1649"/>
      <c r="Q152" s="1645" t="s">
        <v>3693</v>
      </c>
      <c r="R152" s="1647" t="s">
        <v>3758</v>
      </c>
      <c r="S152" s="1644" t="s">
        <v>3988</v>
      </c>
      <c r="T152" s="1644" t="s">
        <v>936</v>
      </c>
      <c r="U152" s="1644" t="s">
        <v>3697</v>
      </c>
      <c r="V152" s="1644"/>
      <c r="W152" s="1644">
        <v>0</v>
      </c>
      <c r="X152" s="1644" t="s">
        <v>3633</v>
      </c>
      <c r="Y152" s="1647">
        <v>36711</v>
      </c>
      <c r="Z152" s="1647">
        <v>37076</v>
      </c>
      <c r="AA152" s="1650">
        <f t="shared" ca="1" si="3"/>
        <v>9.5833333333333339</v>
      </c>
      <c r="AB152" s="2444" t="s">
        <v>3629</v>
      </c>
      <c r="AC152" s="2445"/>
      <c r="AD152" s="2438"/>
    </row>
    <row r="153" spans="1:30" ht="15.75" hidden="1" customHeight="1">
      <c r="A153" s="1644">
        <f t="shared" si="0"/>
        <v>0</v>
      </c>
      <c r="B153" s="1645" t="s">
        <v>3992</v>
      </c>
      <c r="C153" s="1645" t="s">
        <v>3983</v>
      </c>
      <c r="D153" s="1645" t="s">
        <v>3978</v>
      </c>
      <c r="E153" s="1646" t="s">
        <v>2798</v>
      </c>
      <c r="F153" s="1645">
        <f t="shared" si="1"/>
        <v>1980</v>
      </c>
      <c r="G153" s="1647">
        <v>29240</v>
      </c>
      <c r="H153" s="1644" t="s">
        <v>3642</v>
      </c>
      <c r="I153" s="1648" t="s">
        <v>3629</v>
      </c>
      <c r="J153" s="1645" t="s">
        <v>37</v>
      </c>
      <c r="K153" s="1645">
        <v>0</v>
      </c>
      <c r="L153" s="1645" t="s">
        <v>1701</v>
      </c>
      <c r="M153" s="1645" t="s">
        <v>3013</v>
      </c>
      <c r="N153" s="1645"/>
      <c r="O153" s="1645" t="s">
        <v>3645</v>
      </c>
      <c r="P153" s="1649"/>
      <c r="Q153" s="1645"/>
      <c r="R153" s="1644" t="s">
        <v>3993</v>
      </c>
      <c r="S153" s="1644"/>
      <c r="T153" s="1644" t="s">
        <v>936</v>
      </c>
      <c r="U153" s="1644"/>
      <c r="V153" s="1644"/>
      <c r="W153" s="1650" t="s">
        <v>3646</v>
      </c>
      <c r="X153" s="1644"/>
      <c r="Y153" s="1647">
        <v>41264</v>
      </c>
      <c r="Z153" s="1647">
        <v>41629</v>
      </c>
      <c r="AA153" s="1650">
        <f t="shared" ca="1" si="3"/>
        <v>10.25</v>
      </c>
      <c r="AB153" s="2444" t="s">
        <v>3629</v>
      </c>
      <c r="AC153" s="2445"/>
      <c r="AD153" s="2438"/>
    </row>
    <row r="154" spans="1:30" ht="15.75" hidden="1" customHeight="1">
      <c r="A154" s="1644">
        <f t="shared" si="0"/>
        <v>0</v>
      </c>
      <c r="B154" s="1645" t="s">
        <v>3994</v>
      </c>
      <c r="C154" s="1645" t="s">
        <v>3983</v>
      </c>
      <c r="D154" s="1645" t="s">
        <v>3995</v>
      </c>
      <c r="E154" s="1644" t="s">
        <v>2797</v>
      </c>
      <c r="F154" s="1645">
        <f t="shared" si="1"/>
        <v>1979</v>
      </c>
      <c r="G154" s="1647">
        <v>28924</v>
      </c>
      <c r="H154" s="1644" t="s">
        <v>3628</v>
      </c>
      <c r="I154" s="1648" t="s">
        <v>3629</v>
      </c>
      <c r="J154" s="1645" t="s">
        <v>38</v>
      </c>
      <c r="K154" s="1645">
        <v>0</v>
      </c>
      <c r="L154" s="1645" t="s">
        <v>3996</v>
      </c>
      <c r="M154" s="1645" t="s">
        <v>3997</v>
      </c>
      <c r="N154" s="1645"/>
      <c r="O154" s="1645" t="s">
        <v>3996</v>
      </c>
      <c r="P154" s="1649"/>
      <c r="Q154" s="1645"/>
      <c r="R154" s="1647" t="s">
        <v>3789</v>
      </c>
      <c r="S154" s="1644" t="s">
        <v>3962</v>
      </c>
      <c r="T154" s="1644" t="s">
        <v>936</v>
      </c>
      <c r="U154" s="1644" t="s">
        <v>3631</v>
      </c>
      <c r="V154" s="1644"/>
      <c r="W154" s="1650" t="s">
        <v>3653</v>
      </c>
      <c r="X154" s="1644" t="s">
        <v>3633</v>
      </c>
      <c r="Y154" s="1647">
        <v>38302</v>
      </c>
      <c r="Z154" s="1647">
        <v>38667</v>
      </c>
      <c r="AA154" s="1650">
        <f t="shared" ca="1" si="3"/>
        <v>14.416666666666666</v>
      </c>
      <c r="AB154" s="2444" t="s">
        <v>3629</v>
      </c>
      <c r="AC154" s="2445"/>
      <c r="AD154" s="2438"/>
    </row>
    <row r="155" spans="1:30" ht="15.75" hidden="1" customHeight="1">
      <c r="A155" s="1644">
        <f t="shared" si="0"/>
        <v>0</v>
      </c>
      <c r="B155" s="1645" t="s">
        <v>3998</v>
      </c>
      <c r="C155" s="1645" t="s">
        <v>3983</v>
      </c>
      <c r="D155" s="1645" t="s">
        <v>545</v>
      </c>
      <c r="E155" s="1646" t="s">
        <v>2797</v>
      </c>
      <c r="F155" s="1645">
        <f t="shared" si="1"/>
        <v>1974</v>
      </c>
      <c r="G155" s="1647">
        <v>27235</v>
      </c>
      <c r="H155" s="1644" t="s">
        <v>3636</v>
      </c>
      <c r="I155" s="1648" t="s">
        <v>3629</v>
      </c>
      <c r="J155" s="1645" t="s">
        <v>38</v>
      </c>
      <c r="K155" s="1645">
        <v>0</v>
      </c>
      <c r="L155" s="1645" t="s">
        <v>1733</v>
      </c>
      <c r="M155" s="1645" t="s">
        <v>1733</v>
      </c>
      <c r="N155" s="1645"/>
      <c r="O155" s="1645" t="s">
        <v>1743</v>
      </c>
      <c r="P155" s="1649"/>
      <c r="Q155" s="1645" t="s">
        <v>3693</v>
      </c>
      <c r="R155" s="1647" t="s">
        <v>3999</v>
      </c>
      <c r="S155" s="1644"/>
      <c r="T155" s="1644">
        <v>2017</v>
      </c>
      <c r="U155" s="1644" t="s">
        <v>3631</v>
      </c>
      <c r="V155" s="1644"/>
      <c r="W155" s="1644" t="s">
        <v>3968</v>
      </c>
      <c r="X155" s="1644" t="s">
        <v>3989</v>
      </c>
      <c r="Y155" s="1647">
        <v>36266</v>
      </c>
      <c r="Z155" s="1647">
        <v>36632</v>
      </c>
      <c r="AA155" s="1650">
        <f t="shared" ca="1" si="3"/>
        <v>9.75</v>
      </c>
      <c r="AB155" s="2444" t="s">
        <v>3629</v>
      </c>
      <c r="AC155" s="2445"/>
      <c r="AD155" s="2438"/>
    </row>
    <row r="156" spans="1:30" ht="15.75" hidden="1" customHeight="1">
      <c r="A156" s="1644">
        <f t="shared" si="0"/>
        <v>0</v>
      </c>
      <c r="B156" s="1645" t="s">
        <v>4000</v>
      </c>
      <c r="C156" s="1645" t="s">
        <v>3983</v>
      </c>
      <c r="D156" s="1645" t="s">
        <v>4001</v>
      </c>
      <c r="E156" s="1644" t="s">
        <v>2797</v>
      </c>
      <c r="F156" s="1645">
        <f t="shared" si="1"/>
        <v>1983</v>
      </c>
      <c r="G156" s="1647">
        <v>30343</v>
      </c>
      <c r="H156" s="1656" t="s">
        <v>3642</v>
      </c>
      <c r="I156" s="1648" t="s">
        <v>3629</v>
      </c>
      <c r="J156" s="1645" t="s">
        <v>37</v>
      </c>
      <c r="K156" s="1645">
        <v>0</v>
      </c>
      <c r="L156" s="1645" t="s">
        <v>4002</v>
      </c>
      <c r="M156" s="1645" t="s">
        <v>4003</v>
      </c>
      <c r="N156" s="1655">
        <v>41890</v>
      </c>
      <c r="O156" s="1645" t="s">
        <v>3645</v>
      </c>
      <c r="P156" s="1649"/>
      <c r="Q156" s="1645"/>
      <c r="R156" s="1657" t="s">
        <v>4004</v>
      </c>
      <c r="S156" s="1644" t="s">
        <v>3962</v>
      </c>
      <c r="T156" s="1644" t="s">
        <v>936</v>
      </c>
      <c r="U156" s="1644"/>
      <c r="V156" s="1644" t="s">
        <v>3657</v>
      </c>
      <c r="W156" s="1644">
        <v>0</v>
      </c>
      <c r="X156" s="1644" t="s">
        <v>3633</v>
      </c>
      <c r="Y156" s="1647">
        <v>41862</v>
      </c>
      <c r="Z156" s="1647">
        <v>42227</v>
      </c>
      <c r="AA156" s="1650">
        <f t="shared" ca="1" si="3"/>
        <v>18.25</v>
      </c>
      <c r="AB156" s="2444" t="s">
        <v>3629</v>
      </c>
      <c r="AC156" s="2445"/>
      <c r="AD156" s="2438"/>
    </row>
    <row r="157" spans="1:30" ht="15.75" hidden="1" customHeight="1">
      <c r="A157" s="1644">
        <f t="shared" si="0"/>
        <v>0</v>
      </c>
      <c r="B157" s="1645" t="s">
        <v>4005</v>
      </c>
      <c r="C157" s="1645" t="s">
        <v>3983</v>
      </c>
      <c r="D157" s="1645"/>
      <c r="E157" s="1644" t="s">
        <v>2797</v>
      </c>
      <c r="F157" s="1645">
        <f t="shared" si="1"/>
        <v>1989</v>
      </c>
      <c r="G157" s="1647">
        <v>32719</v>
      </c>
      <c r="H157" s="1644" t="s">
        <v>3642</v>
      </c>
      <c r="I157" s="1648" t="s">
        <v>3629</v>
      </c>
      <c r="J157" s="1645" t="s">
        <v>37</v>
      </c>
      <c r="K157" s="1645"/>
      <c r="L157" s="1651" t="s">
        <v>4006</v>
      </c>
      <c r="M157" s="1645" t="s">
        <v>506</v>
      </c>
      <c r="N157" s="1655">
        <v>44505</v>
      </c>
      <c r="O157" s="1645">
        <v>0</v>
      </c>
      <c r="P157" s="1649"/>
      <c r="Q157" s="1645"/>
      <c r="R157" s="1644"/>
      <c r="S157" s="1644"/>
      <c r="T157" s="1644"/>
      <c r="U157" s="1644"/>
      <c r="V157" s="1644" t="s">
        <v>3980</v>
      </c>
      <c r="W157" s="1644">
        <v>0</v>
      </c>
      <c r="X157" s="1644"/>
      <c r="Y157" s="1647">
        <v>44151</v>
      </c>
      <c r="Z157" s="1647">
        <v>0</v>
      </c>
      <c r="AA157" s="1650">
        <f t="shared" ca="1" si="3"/>
        <v>24.75</v>
      </c>
      <c r="AB157" s="2444" t="s">
        <v>3629</v>
      </c>
      <c r="AC157" s="2445"/>
      <c r="AD157" s="2438"/>
    </row>
    <row r="158" spans="1:30" ht="15.75" hidden="1" customHeight="1">
      <c r="A158" s="1644">
        <f t="shared" si="0"/>
        <v>0</v>
      </c>
      <c r="B158" s="1645" t="s">
        <v>4007</v>
      </c>
      <c r="C158" s="1645" t="s">
        <v>3983</v>
      </c>
      <c r="D158" s="1645"/>
      <c r="E158" s="1646" t="s">
        <v>2797</v>
      </c>
      <c r="F158" s="1645">
        <f t="shared" si="1"/>
        <v>1982</v>
      </c>
      <c r="G158" s="1647">
        <v>30237</v>
      </c>
      <c r="H158" s="1644" t="s">
        <v>3642</v>
      </c>
      <c r="I158" s="1648" t="s">
        <v>3629</v>
      </c>
      <c r="J158" s="1645" t="s">
        <v>37</v>
      </c>
      <c r="K158" s="1645">
        <v>0</v>
      </c>
      <c r="L158" s="1645" t="s">
        <v>1664</v>
      </c>
      <c r="M158" s="1645" t="s">
        <v>4008</v>
      </c>
      <c r="N158" s="1645"/>
      <c r="O158" s="1645" t="s">
        <v>3645</v>
      </c>
      <c r="P158" s="1649"/>
      <c r="Q158" s="1645"/>
      <c r="R158" s="1644" t="s">
        <v>3952</v>
      </c>
      <c r="S158" s="1644" t="s">
        <v>3988</v>
      </c>
      <c r="T158" s="1644"/>
      <c r="U158" s="1644"/>
      <c r="V158" s="1644" t="s">
        <v>3657</v>
      </c>
      <c r="W158" s="1650" t="s">
        <v>3653</v>
      </c>
      <c r="X158" s="1644"/>
      <c r="Y158" s="1647">
        <v>39463</v>
      </c>
      <c r="Z158" s="1647">
        <v>39829</v>
      </c>
      <c r="AA158" s="1650">
        <f t="shared" ca="1" si="3"/>
        <v>18</v>
      </c>
      <c r="AB158" s="2444" t="s">
        <v>3629</v>
      </c>
      <c r="AC158" s="2445"/>
      <c r="AD158" s="2438"/>
    </row>
    <row r="159" spans="1:30" ht="15.75" hidden="1" customHeight="1">
      <c r="A159" s="1644">
        <f t="shared" si="0"/>
        <v>0</v>
      </c>
      <c r="B159" s="1645" t="s">
        <v>4009</v>
      </c>
      <c r="C159" s="1645" t="s">
        <v>3983</v>
      </c>
      <c r="D159" s="1645"/>
      <c r="E159" s="1644" t="s">
        <v>2797</v>
      </c>
      <c r="F159" s="1645">
        <f t="shared" si="1"/>
        <v>1980</v>
      </c>
      <c r="G159" s="1647">
        <v>29243</v>
      </c>
      <c r="H159" s="1644" t="s">
        <v>3642</v>
      </c>
      <c r="I159" s="1648" t="s">
        <v>3629</v>
      </c>
      <c r="J159" s="1645" t="s">
        <v>37</v>
      </c>
      <c r="K159" s="1645">
        <v>0</v>
      </c>
      <c r="L159" s="1645" t="s">
        <v>2824</v>
      </c>
      <c r="M159" s="1645" t="s">
        <v>4010</v>
      </c>
      <c r="N159" s="1645"/>
      <c r="O159" s="1645" t="s">
        <v>4011</v>
      </c>
      <c r="P159" s="1649"/>
      <c r="Q159" s="1645"/>
      <c r="R159" s="1644"/>
      <c r="S159" s="1644"/>
      <c r="T159" s="1644"/>
      <c r="U159" s="1644"/>
      <c r="V159" s="1644"/>
      <c r="W159" s="1650" t="s">
        <v>3653</v>
      </c>
      <c r="X159" s="1644"/>
      <c r="Y159" s="1647">
        <v>38817</v>
      </c>
      <c r="Z159" s="1647">
        <v>39182</v>
      </c>
      <c r="AA159" s="1650">
        <f t="shared" ca="1" si="3"/>
        <v>15.25</v>
      </c>
      <c r="AB159" s="2444" t="s">
        <v>3629</v>
      </c>
      <c r="AC159" s="2445"/>
      <c r="AD159" s="2438"/>
    </row>
    <row r="160" spans="1:30" ht="15.75" hidden="1" customHeight="1">
      <c r="A160" s="1644">
        <f t="shared" si="0"/>
        <v>0</v>
      </c>
      <c r="B160" s="1645" t="s">
        <v>4012</v>
      </c>
      <c r="C160" s="1645" t="s">
        <v>3983</v>
      </c>
      <c r="D160" s="1645"/>
      <c r="E160" s="1646" t="s">
        <v>2797</v>
      </c>
      <c r="F160" s="1645">
        <f t="shared" si="1"/>
        <v>1978</v>
      </c>
      <c r="G160" s="1647">
        <v>28524</v>
      </c>
      <c r="H160" s="1644" t="s">
        <v>3642</v>
      </c>
      <c r="I160" s="1648" t="s">
        <v>3629</v>
      </c>
      <c r="J160" s="1645" t="s">
        <v>38</v>
      </c>
      <c r="K160" s="1645">
        <v>0</v>
      </c>
      <c r="L160" s="1645" t="s">
        <v>2824</v>
      </c>
      <c r="M160" s="1645" t="s">
        <v>2824</v>
      </c>
      <c r="N160" s="1645"/>
      <c r="O160" s="1645" t="s">
        <v>3645</v>
      </c>
      <c r="P160" s="1653" t="s">
        <v>3718</v>
      </c>
      <c r="Q160" s="1645"/>
      <c r="R160" s="2431"/>
      <c r="S160" s="1644"/>
      <c r="T160" s="1644"/>
      <c r="U160" s="1644"/>
      <c r="V160" s="1644"/>
      <c r="W160" s="1650" t="s">
        <v>3653</v>
      </c>
      <c r="X160" s="1644" t="s">
        <v>3633</v>
      </c>
      <c r="Y160" s="1647">
        <v>37995</v>
      </c>
      <c r="Z160" s="1647">
        <v>38361</v>
      </c>
      <c r="AA160" s="1650">
        <f t="shared" ca="1" si="3"/>
        <v>13.333333333333334</v>
      </c>
      <c r="AB160" s="2444" t="s">
        <v>3629</v>
      </c>
      <c r="AC160" s="2445"/>
      <c r="AD160" s="2438"/>
    </row>
    <row r="161" spans="1:30" ht="15.75" hidden="1" customHeight="1">
      <c r="A161" s="1644">
        <f t="shared" si="0"/>
        <v>0</v>
      </c>
      <c r="B161" s="1645" t="s">
        <v>4013</v>
      </c>
      <c r="C161" s="1645" t="s">
        <v>4014</v>
      </c>
      <c r="D161" s="1645" t="s">
        <v>3644</v>
      </c>
      <c r="E161" s="1646" t="s">
        <v>2798</v>
      </c>
      <c r="F161" s="1645">
        <f t="shared" si="1"/>
        <v>1981</v>
      </c>
      <c r="G161" s="1647">
        <v>29866</v>
      </c>
      <c r="H161" s="1644" t="s">
        <v>3636</v>
      </c>
      <c r="I161" s="1648" t="s">
        <v>3629</v>
      </c>
      <c r="J161" s="1645" t="s">
        <v>38</v>
      </c>
      <c r="K161" s="1645">
        <v>0</v>
      </c>
      <c r="L161" s="1645" t="s">
        <v>4015</v>
      </c>
      <c r="M161" s="1645" t="s">
        <v>4015</v>
      </c>
      <c r="N161" s="1645"/>
      <c r="O161" s="1645" t="s">
        <v>1701</v>
      </c>
      <c r="P161" s="1649"/>
      <c r="Q161" s="1645"/>
      <c r="R161" s="1644" t="s">
        <v>3683</v>
      </c>
      <c r="S161" s="1644"/>
      <c r="T161" s="1644" t="s">
        <v>936</v>
      </c>
      <c r="U161" s="1644" t="s">
        <v>3711</v>
      </c>
      <c r="V161" s="1644"/>
      <c r="W161" s="1650" t="s">
        <v>3653</v>
      </c>
      <c r="X161" s="1644"/>
      <c r="Y161" s="1647"/>
      <c r="Z161" s="1647"/>
      <c r="AA161" s="1650">
        <f t="shared" ca="1" si="3"/>
        <v>12</v>
      </c>
      <c r="AB161" s="2444" t="s">
        <v>3629</v>
      </c>
      <c r="AC161" s="2445"/>
      <c r="AD161" s="2438"/>
    </row>
    <row r="162" spans="1:30" ht="15.75" hidden="1" customHeight="1">
      <c r="A162" s="1644">
        <f t="shared" si="0"/>
        <v>0</v>
      </c>
      <c r="B162" s="1645" t="s">
        <v>4016</v>
      </c>
      <c r="C162" s="1645" t="s">
        <v>4014</v>
      </c>
      <c r="D162" s="1645" t="s">
        <v>550</v>
      </c>
      <c r="E162" s="1646" t="s">
        <v>2798</v>
      </c>
      <c r="F162" s="1645">
        <f t="shared" si="1"/>
        <v>1977</v>
      </c>
      <c r="G162" s="1647">
        <v>28444</v>
      </c>
      <c r="H162" s="1644" t="s">
        <v>3797</v>
      </c>
      <c r="I162" s="1648" t="s">
        <v>3629</v>
      </c>
      <c r="J162" s="1645" t="s">
        <v>38</v>
      </c>
      <c r="K162" s="1645" t="s">
        <v>3798</v>
      </c>
      <c r="L162" s="1645" t="s">
        <v>2682</v>
      </c>
      <c r="M162" s="1645" t="s">
        <v>3655</v>
      </c>
      <c r="N162" s="1645"/>
      <c r="O162" s="1645" t="s">
        <v>3655</v>
      </c>
      <c r="P162" s="1649"/>
      <c r="Q162" s="1645" t="s">
        <v>3693</v>
      </c>
      <c r="R162" s="1647" t="s">
        <v>3710</v>
      </c>
      <c r="S162" s="1644"/>
      <c r="T162" s="1644" t="s">
        <v>936</v>
      </c>
      <c r="U162" s="1644"/>
      <c r="V162" s="1644"/>
      <c r="W162" s="1650" t="s">
        <v>3632</v>
      </c>
      <c r="X162" s="1644" t="s">
        <v>3633</v>
      </c>
      <c r="Y162" s="1647">
        <v>36708</v>
      </c>
      <c r="Z162" s="1647">
        <v>37073</v>
      </c>
      <c r="AA162" s="1650">
        <f t="shared" ca="1" si="3"/>
        <v>8.0833333333333339</v>
      </c>
      <c r="AB162" s="2444" t="s">
        <v>3629</v>
      </c>
      <c r="AC162" s="2445"/>
      <c r="AD162" s="2438"/>
    </row>
    <row r="163" spans="1:30" ht="15.75" hidden="1" customHeight="1">
      <c r="A163" s="1644">
        <f t="shared" si="0"/>
        <v>0</v>
      </c>
      <c r="B163" s="1645" t="s">
        <v>4017</v>
      </c>
      <c r="C163" s="1645" t="s">
        <v>4014</v>
      </c>
      <c r="D163" s="1648" t="s">
        <v>626</v>
      </c>
      <c r="E163" s="1644" t="s">
        <v>2797</v>
      </c>
      <c r="F163" s="1645">
        <f t="shared" si="1"/>
        <v>1970</v>
      </c>
      <c r="G163" s="1647">
        <v>25718</v>
      </c>
      <c r="H163" s="1644" t="s">
        <v>3628</v>
      </c>
      <c r="I163" s="1648" t="s">
        <v>3629</v>
      </c>
      <c r="J163" s="1645" t="s">
        <v>38</v>
      </c>
      <c r="K163" s="1645">
        <v>0</v>
      </c>
      <c r="L163" s="1645" t="s">
        <v>2824</v>
      </c>
      <c r="M163" s="1645" t="s">
        <v>2824</v>
      </c>
      <c r="N163" s="1645"/>
      <c r="O163" s="1645" t="s">
        <v>4018</v>
      </c>
      <c r="P163" s="1649"/>
      <c r="Q163" s="1645" t="s">
        <v>3693</v>
      </c>
      <c r="R163" s="1647" t="s">
        <v>3683</v>
      </c>
      <c r="S163" s="1644"/>
      <c r="T163" s="1644"/>
      <c r="U163" s="1644" t="s">
        <v>3711</v>
      </c>
      <c r="V163" s="1644" t="s">
        <v>936</v>
      </c>
      <c r="W163" s="1644" t="s">
        <v>936</v>
      </c>
      <c r="X163" s="1644"/>
      <c r="Y163" s="1647">
        <v>38914</v>
      </c>
      <c r="Z163" s="1647">
        <v>39279</v>
      </c>
      <c r="AA163" s="1650">
        <f t="shared" ca="1" si="3"/>
        <v>5.583333333333333</v>
      </c>
      <c r="AB163" s="2444" t="s">
        <v>3629</v>
      </c>
      <c r="AC163" s="2445"/>
      <c r="AD163" s="2438"/>
    </row>
    <row r="164" spans="1:30" ht="15.75" hidden="1" customHeight="1">
      <c r="A164" s="1644">
        <f t="shared" si="0"/>
        <v>0</v>
      </c>
      <c r="B164" s="1645" t="s">
        <v>4019</v>
      </c>
      <c r="C164" s="1645" t="s">
        <v>4014</v>
      </c>
      <c r="D164" s="1645" t="s">
        <v>545</v>
      </c>
      <c r="E164" s="1644" t="s">
        <v>2797</v>
      </c>
      <c r="F164" s="1645">
        <f t="shared" si="1"/>
        <v>1971</v>
      </c>
      <c r="G164" s="1647">
        <v>26130</v>
      </c>
      <c r="H164" s="1644" t="s">
        <v>3628</v>
      </c>
      <c r="I164" s="1648" t="s">
        <v>3629</v>
      </c>
      <c r="J164" s="1645" t="s">
        <v>38</v>
      </c>
      <c r="K164" s="1645">
        <v>0</v>
      </c>
      <c r="L164" s="1645" t="s">
        <v>1733</v>
      </c>
      <c r="M164" s="1645" t="s">
        <v>4020</v>
      </c>
      <c r="N164" s="1645"/>
      <c r="O164" s="1645" t="s">
        <v>4021</v>
      </c>
      <c r="P164" s="1649"/>
      <c r="Q164" s="1645" t="s">
        <v>3693</v>
      </c>
      <c r="R164" s="1647" t="s">
        <v>3699</v>
      </c>
      <c r="S164" s="1644"/>
      <c r="T164" s="1644"/>
      <c r="U164" s="1644" t="s">
        <v>3631</v>
      </c>
      <c r="V164" s="1644" t="s">
        <v>936</v>
      </c>
      <c r="W164" s="1650" t="s">
        <v>3632</v>
      </c>
      <c r="X164" s="1644" t="s">
        <v>3759</v>
      </c>
      <c r="Y164" s="1647">
        <v>39016</v>
      </c>
      <c r="Z164" s="1647">
        <v>39381</v>
      </c>
      <c r="AA164" s="1650">
        <f t="shared" ca="1" si="3"/>
        <v>6.75</v>
      </c>
      <c r="AB164" s="2444" t="s">
        <v>3629</v>
      </c>
      <c r="AC164" s="2445"/>
      <c r="AD164" s="2438"/>
    </row>
    <row r="165" spans="1:30" ht="15.75" hidden="1" customHeight="1">
      <c r="A165" s="1644">
        <f t="shared" si="0"/>
        <v>0</v>
      </c>
      <c r="B165" s="1645" t="s">
        <v>4022</v>
      </c>
      <c r="C165" s="1645" t="s">
        <v>4014</v>
      </c>
      <c r="D165" s="1645"/>
      <c r="E165" s="1646" t="s">
        <v>2798</v>
      </c>
      <c r="F165" s="1645">
        <f t="shared" si="1"/>
        <v>1973</v>
      </c>
      <c r="G165" s="1647">
        <v>26965</v>
      </c>
      <c r="H165" s="1644" t="s">
        <v>3642</v>
      </c>
      <c r="I165" s="1648" t="s">
        <v>3629</v>
      </c>
      <c r="J165" s="1645" t="s">
        <v>37</v>
      </c>
      <c r="K165" s="1645">
        <v>0</v>
      </c>
      <c r="L165" s="1645" t="s">
        <v>3268</v>
      </c>
      <c r="M165" s="1645" t="s">
        <v>3841</v>
      </c>
      <c r="N165" s="1645"/>
      <c r="O165" s="1645" t="s">
        <v>3645</v>
      </c>
      <c r="P165" s="1649"/>
      <c r="Q165" s="1645"/>
      <c r="R165" s="1647" t="s">
        <v>3898</v>
      </c>
      <c r="S165" s="1644"/>
      <c r="T165" s="1644"/>
      <c r="U165" s="1644"/>
      <c r="V165" s="1644" t="s">
        <v>3980</v>
      </c>
      <c r="W165" s="1650" t="s">
        <v>3653</v>
      </c>
      <c r="X165" s="1644"/>
      <c r="Y165" s="1647">
        <v>41825</v>
      </c>
      <c r="Z165" s="1647">
        <v>42190</v>
      </c>
      <c r="AA165" s="1650">
        <f t="shared" ca="1" si="3"/>
        <v>4</v>
      </c>
      <c r="AB165" s="2444" t="s">
        <v>3629</v>
      </c>
      <c r="AC165" s="2445"/>
      <c r="AD165" s="2438"/>
    </row>
    <row r="166" spans="1:30" ht="15.75" hidden="1" customHeight="1">
      <c r="A166" s="1644">
        <f t="shared" si="0"/>
        <v>0</v>
      </c>
      <c r="B166" s="1645" t="s">
        <v>4023</v>
      </c>
      <c r="C166" s="1645" t="s">
        <v>4014</v>
      </c>
      <c r="D166" s="1645"/>
      <c r="E166" s="1644" t="s">
        <v>2798</v>
      </c>
      <c r="F166" s="1645">
        <f t="shared" si="1"/>
        <v>1976</v>
      </c>
      <c r="G166" s="1647">
        <v>27828</v>
      </c>
      <c r="H166" s="1644" t="s">
        <v>3642</v>
      </c>
      <c r="I166" s="1648" t="s">
        <v>3629</v>
      </c>
      <c r="J166" s="1645" t="s">
        <v>201</v>
      </c>
      <c r="K166" s="1645">
        <v>0</v>
      </c>
      <c r="L166" s="1645" t="s">
        <v>4024</v>
      </c>
      <c r="M166" s="1645">
        <v>0</v>
      </c>
      <c r="N166" s="1645"/>
      <c r="O166" s="1645" t="s">
        <v>3645</v>
      </c>
      <c r="P166" s="1649"/>
      <c r="Q166" s="1645"/>
      <c r="R166" s="1644"/>
      <c r="S166" s="1644"/>
      <c r="T166" s="1644"/>
      <c r="U166" s="1644"/>
      <c r="V166" s="1644"/>
      <c r="W166" s="1650" t="s">
        <v>3653</v>
      </c>
      <c r="X166" s="1644"/>
      <c r="Y166" s="1647">
        <v>42618</v>
      </c>
      <c r="Z166" s="1647">
        <v>42983</v>
      </c>
      <c r="AA166" s="1650">
        <f t="shared" ca="1" si="3"/>
        <v>6.416666666666667</v>
      </c>
      <c r="AB166" s="2444" t="s">
        <v>3629</v>
      </c>
      <c r="AC166" s="2445"/>
      <c r="AD166" s="2438"/>
    </row>
    <row r="167" spans="1:30" ht="15.75" hidden="1" customHeight="1">
      <c r="A167" s="1644">
        <f t="shared" si="0"/>
        <v>0</v>
      </c>
      <c r="B167" s="1645" t="s">
        <v>4025</v>
      </c>
      <c r="C167" s="1645" t="s">
        <v>4014</v>
      </c>
      <c r="D167" s="1645"/>
      <c r="E167" s="1644" t="s">
        <v>2797</v>
      </c>
      <c r="F167" s="1645">
        <f t="shared" si="1"/>
        <v>1975</v>
      </c>
      <c r="G167" s="1647">
        <v>27594</v>
      </c>
      <c r="H167" s="1644" t="s">
        <v>3642</v>
      </c>
      <c r="I167" s="1648" t="s">
        <v>3629</v>
      </c>
      <c r="J167" s="1645" t="s">
        <v>37</v>
      </c>
      <c r="K167" s="1645">
        <v>0</v>
      </c>
      <c r="L167" s="1645" t="s">
        <v>1701</v>
      </c>
      <c r="M167" s="1645" t="s">
        <v>3013</v>
      </c>
      <c r="N167" s="1645"/>
      <c r="O167" s="1645" t="s">
        <v>3645</v>
      </c>
      <c r="P167" s="1649"/>
      <c r="Q167" s="1645"/>
      <c r="R167" s="1644"/>
      <c r="S167" s="1644"/>
      <c r="T167" s="1644"/>
      <c r="U167" s="1644"/>
      <c r="V167" s="1644"/>
      <c r="W167" s="1650" t="s">
        <v>3653</v>
      </c>
      <c r="X167" s="1644" t="s">
        <v>3633</v>
      </c>
      <c r="Y167" s="1647">
        <v>40331</v>
      </c>
      <c r="Z167" s="1647">
        <v>40696</v>
      </c>
      <c r="AA167" s="1650">
        <f t="shared" ca="1" si="3"/>
        <v>10.75</v>
      </c>
      <c r="AB167" s="2444" t="s">
        <v>3629</v>
      </c>
      <c r="AC167" s="2445"/>
      <c r="AD167" s="2438"/>
    </row>
    <row r="168" spans="1:30" ht="15.75" hidden="1" customHeight="1">
      <c r="A168" s="1644">
        <f t="shared" si="0"/>
        <v>0</v>
      </c>
      <c r="B168" s="1645" t="s">
        <v>4026</v>
      </c>
      <c r="C168" s="1645" t="s">
        <v>4014</v>
      </c>
      <c r="D168" s="1645"/>
      <c r="E168" s="1646" t="s">
        <v>2798</v>
      </c>
      <c r="F168" s="1645">
        <f t="shared" si="1"/>
        <v>1985</v>
      </c>
      <c r="G168" s="1647">
        <v>31151</v>
      </c>
      <c r="H168" s="1644" t="s">
        <v>3642</v>
      </c>
      <c r="I168" s="1648" t="s">
        <v>3629</v>
      </c>
      <c r="J168" s="1645" t="s">
        <v>37</v>
      </c>
      <c r="K168" s="1645">
        <v>0</v>
      </c>
      <c r="L168" s="1645" t="s">
        <v>3268</v>
      </c>
      <c r="M168" s="1645" t="s">
        <v>3961</v>
      </c>
      <c r="N168" s="1645"/>
      <c r="O168" s="1645" t="s">
        <v>3645</v>
      </c>
      <c r="P168" s="1649"/>
      <c r="Q168" s="1645"/>
      <c r="R168" s="1644"/>
      <c r="S168" s="1644"/>
      <c r="T168" s="1644"/>
      <c r="U168" s="1644"/>
      <c r="V168" s="1644" t="s">
        <v>3980</v>
      </c>
      <c r="W168" s="1650" t="s">
        <v>3653</v>
      </c>
      <c r="X168" s="1644"/>
      <c r="Y168" s="1647">
        <v>38935</v>
      </c>
      <c r="Z168" s="1647">
        <v>39300</v>
      </c>
      <c r="AA168" s="1650">
        <f t="shared" ca="1" si="3"/>
        <v>15.5</v>
      </c>
      <c r="AB168" s="2444" t="s">
        <v>3629</v>
      </c>
      <c r="AC168" s="2445"/>
      <c r="AD168" s="2438"/>
    </row>
    <row r="169" spans="1:30" ht="15.75" hidden="1" customHeight="1">
      <c r="A169" s="1644">
        <f t="shared" si="0"/>
        <v>0</v>
      </c>
      <c r="B169" s="1658" t="s">
        <v>4027</v>
      </c>
      <c r="C169" s="1658" t="s">
        <v>4014</v>
      </c>
      <c r="D169" s="1658"/>
      <c r="E169" s="1659" t="s">
        <v>2797</v>
      </c>
      <c r="F169" s="1645">
        <f>+YEAR(G169)</f>
        <v>1980</v>
      </c>
      <c r="G169" s="1660">
        <v>29282</v>
      </c>
      <c r="H169" s="1659" t="s">
        <v>3642</v>
      </c>
      <c r="I169" s="1661" t="s">
        <v>3629</v>
      </c>
      <c r="J169" s="1658" t="s">
        <v>37</v>
      </c>
      <c r="K169" s="1658"/>
      <c r="L169" s="1651" t="s">
        <v>506</v>
      </c>
      <c r="M169" s="1645"/>
      <c r="N169" s="1645"/>
      <c r="O169" s="1645"/>
      <c r="P169" s="1649"/>
      <c r="Q169" s="1645"/>
      <c r="R169" s="1647" t="s">
        <v>4028</v>
      </c>
      <c r="S169" s="1662"/>
      <c r="T169" s="1662"/>
      <c r="U169" s="1662"/>
      <c r="V169" s="1662"/>
      <c r="W169" s="1662"/>
      <c r="X169" s="1662"/>
      <c r="Y169" s="1662"/>
      <c r="Z169" s="1647"/>
      <c r="AA169" s="1663"/>
      <c r="AB169" s="2444" t="s">
        <v>3629</v>
      </c>
      <c r="AC169" s="2445"/>
      <c r="AD169" s="2438"/>
    </row>
    <row r="170" spans="1:30" ht="31.5" hidden="1" customHeight="1">
      <c r="A170" s="1644">
        <f t="shared" si="0"/>
        <v>0</v>
      </c>
      <c r="B170" s="1645" t="s">
        <v>4029</v>
      </c>
      <c r="C170" s="1645" t="s">
        <v>4030</v>
      </c>
      <c r="D170" s="1645" t="s">
        <v>4031</v>
      </c>
      <c r="E170" s="1644" t="s">
        <v>2798</v>
      </c>
      <c r="F170" s="1645">
        <f t="shared" ref="F170:F183" si="4">YEAR(G170)</f>
        <v>1991</v>
      </c>
      <c r="G170" s="1647">
        <v>33336</v>
      </c>
      <c r="H170" s="1644" t="s">
        <v>3642</v>
      </c>
      <c r="I170" s="1648" t="s">
        <v>3629</v>
      </c>
      <c r="J170" s="1645" t="s">
        <v>37</v>
      </c>
      <c r="K170" s="1645">
        <v>0</v>
      </c>
      <c r="L170" s="1645" t="s">
        <v>3367</v>
      </c>
      <c r="M170" s="1645" t="s">
        <v>3997</v>
      </c>
      <c r="N170" s="1645"/>
      <c r="O170" s="1645" t="s">
        <v>3645</v>
      </c>
      <c r="P170" s="1649"/>
      <c r="Q170" s="1645"/>
      <c r="R170" s="1644"/>
      <c r="S170" s="1644"/>
      <c r="T170" s="1644">
        <v>0</v>
      </c>
      <c r="U170" s="1644"/>
      <c r="V170" s="1644" t="s">
        <v>3980</v>
      </c>
      <c r="W170" s="1650" t="s">
        <v>3653</v>
      </c>
      <c r="X170" s="1644"/>
      <c r="Y170" s="1647">
        <v>43185</v>
      </c>
      <c r="Z170" s="1647">
        <v>43550</v>
      </c>
      <c r="AA170" s="1650">
        <f t="shared" ref="AA170:AA200" ca="1" si="5">IF(E170="nữ",660-DATEDIF(G170,TODAY(),"m"),720-DATEDIF(G170,TODAY(),"m"))/12</f>
        <v>21.5</v>
      </c>
      <c r="AB170" s="2444" t="s">
        <v>3629</v>
      </c>
      <c r="AC170" s="2445"/>
      <c r="AD170" s="2438"/>
    </row>
    <row r="171" spans="1:30" ht="15.75" hidden="1" customHeight="1">
      <c r="A171" s="1644">
        <f t="shared" si="0"/>
        <v>0</v>
      </c>
      <c r="B171" s="1645" t="s">
        <v>4032</v>
      </c>
      <c r="C171" s="1645" t="s">
        <v>4030</v>
      </c>
      <c r="D171" s="1645" t="s">
        <v>4033</v>
      </c>
      <c r="E171" s="1644" t="s">
        <v>2797</v>
      </c>
      <c r="F171" s="1645">
        <f t="shared" si="4"/>
        <v>1991</v>
      </c>
      <c r="G171" s="1647">
        <v>33344</v>
      </c>
      <c r="H171" s="1644" t="s">
        <v>4034</v>
      </c>
      <c r="I171" s="1648" t="s">
        <v>3629</v>
      </c>
      <c r="J171" s="1645" t="s">
        <v>201</v>
      </c>
      <c r="K171" s="1645">
        <v>0</v>
      </c>
      <c r="L171" s="1651" t="s">
        <v>4035</v>
      </c>
      <c r="M171" s="1645">
        <v>0</v>
      </c>
      <c r="N171" s="1645"/>
      <c r="O171" s="1645">
        <v>0</v>
      </c>
      <c r="P171" s="1649"/>
      <c r="Q171" s="1645"/>
      <c r="R171" s="1644"/>
      <c r="S171" s="1644"/>
      <c r="T171" s="1644"/>
      <c r="U171" s="1644"/>
      <c r="V171" s="1644"/>
      <c r="W171" s="1644" t="s">
        <v>936</v>
      </c>
      <c r="X171" s="1644"/>
      <c r="Y171" s="1647"/>
      <c r="Z171" s="1647"/>
      <c r="AA171" s="1650">
        <f t="shared" ca="1" si="5"/>
        <v>26.5</v>
      </c>
      <c r="AB171" s="2444" t="s">
        <v>3629</v>
      </c>
      <c r="AC171" s="2445"/>
      <c r="AD171" s="2438"/>
    </row>
    <row r="172" spans="1:30" ht="15.75" hidden="1" customHeight="1">
      <c r="A172" s="1644">
        <f t="shared" si="0"/>
        <v>0</v>
      </c>
      <c r="B172" s="1645" t="s">
        <v>4036</v>
      </c>
      <c r="C172" s="1645" t="s">
        <v>4030</v>
      </c>
      <c r="D172" s="1645" t="s">
        <v>4037</v>
      </c>
      <c r="E172" s="1644" t="s">
        <v>2797</v>
      </c>
      <c r="F172" s="1645">
        <f t="shared" si="4"/>
        <v>1971</v>
      </c>
      <c r="G172" s="1647">
        <v>26004</v>
      </c>
      <c r="H172" s="1644" t="s">
        <v>4034</v>
      </c>
      <c r="I172" s="1648" t="s">
        <v>3629</v>
      </c>
      <c r="J172" s="1645" t="s">
        <v>4038</v>
      </c>
      <c r="K172" s="1645">
        <v>0</v>
      </c>
      <c r="L172" s="1651" t="s">
        <v>4039</v>
      </c>
      <c r="M172" s="1645">
        <v>0</v>
      </c>
      <c r="N172" s="1645"/>
      <c r="O172" s="1645">
        <v>0</v>
      </c>
      <c r="P172" s="1649"/>
      <c r="Q172" s="1645"/>
      <c r="R172" s="1644"/>
      <c r="S172" s="1644"/>
      <c r="T172" s="1644"/>
      <c r="U172" s="1644"/>
      <c r="V172" s="1644"/>
      <c r="W172" s="1644" t="s">
        <v>3687</v>
      </c>
      <c r="X172" s="1644"/>
      <c r="Y172" s="1647">
        <v>40936</v>
      </c>
      <c r="Z172" s="1647">
        <v>41606</v>
      </c>
      <c r="AA172" s="1650">
        <f t="shared" ca="1" si="5"/>
        <v>6.416666666666667</v>
      </c>
      <c r="AB172" s="2444" t="s">
        <v>3629</v>
      </c>
      <c r="AC172" s="2445"/>
      <c r="AD172" s="2438"/>
    </row>
    <row r="173" spans="1:30" ht="15.75" hidden="1" customHeight="1">
      <c r="A173" s="1644">
        <f t="shared" si="0"/>
        <v>0</v>
      </c>
      <c r="B173" s="1645" t="s">
        <v>4040</v>
      </c>
      <c r="C173" s="1645" t="s">
        <v>4030</v>
      </c>
      <c r="D173" s="1645"/>
      <c r="E173" s="1646" t="s">
        <v>2797</v>
      </c>
      <c r="F173" s="1645">
        <f t="shared" si="4"/>
        <v>1988</v>
      </c>
      <c r="G173" s="1647">
        <v>32187</v>
      </c>
      <c r="H173" s="1644" t="s">
        <v>3642</v>
      </c>
      <c r="I173" s="1648" t="s">
        <v>3629</v>
      </c>
      <c r="J173" s="1645" t="s">
        <v>37</v>
      </c>
      <c r="K173" s="1645">
        <v>0</v>
      </c>
      <c r="L173" s="1645" t="s">
        <v>4041</v>
      </c>
      <c r="M173" s="1645" t="s">
        <v>3978</v>
      </c>
      <c r="N173" s="1645"/>
      <c r="O173" s="1645" t="s">
        <v>3645</v>
      </c>
      <c r="P173" s="1649"/>
      <c r="Q173" s="1645"/>
      <c r="R173" s="1644"/>
      <c r="S173" s="1644"/>
      <c r="T173" s="1644"/>
      <c r="U173" s="1644"/>
      <c r="V173" s="1644" t="s">
        <v>3657</v>
      </c>
      <c r="W173" s="1650" t="s">
        <v>3653</v>
      </c>
      <c r="X173" s="1644" t="s">
        <v>3633</v>
      </c>
      <c r="Y173" s="1647">
        <v>40509</v>
      </c>
      <c r="Z173" s="1647">
        <v>40874</v>
      </c>
      <c r="AA173" s="1650">
        <f t="shared" ca="1" si="5"/>
        <v>23.333333333333332</v>
      </c>
      <c r="AB173" s="2444" t="s">
        <v>3629</v>
      </c>
      <c r="AC173" s="2445"/>
      <c r="AD173" s="2438"/>
    </row>
    <row r="174" spans="1:30" ht="15.75" hidden="1" customHeight="1">
      <c r="A174" s="1644">
        <f t="shared" si="0"/>
        <v>0</v>
      </c>
      <c r="B174" s="1645" t="s">
        <v>4042</v>
      </c>
      <c r="C174" s="1645" t="s">
        <v>4030</v>
      </c>
      <c r="D174" s="1645"/>
      <c r="E174" s="1644" t="s">
        <v>2798</v>
      </c>
      <c r="F174" s="1645">
        <f t="shared" si="4"/>
        <v>1979</v>
      </c>
      <c r="G174" s="1647">
        <v>29089</v>
      </c>
      <c r="H174" s="1644" t="s">
        <v>3642</v>
      </c>
      <c r="I174" s="1648" t="s">
        <v>3629</v>
      </c>
      <c r="J174" s="1645" t="s">
        <v>37</v>
      </c>
      <c r="K174" s="1645">
        <v>0</v>
      </c>
      <c r="L174" s="1645" t="s">
        <v>4043</v>
      </c>
      <c r="M174" s="1645" t="s">
        <v>506</v>
      </c>
      <c r="N174" s="1645"/>
      <c r="O174" s="1645">
        <v>0</v>
      </c>
      <c r="P174" s="1649"/>
      <c r="Q174" s="1645"/>
      <c r="R174" s="1644" t="s">
        <v>3683</v>
      </c>
      <c r="S174" s="1644" t="s">
        <v>4044</v>
      </c>
      <c r="T174" s="1644"/>
      <c r="U174" s="1644"/>
      <c r="V174" s="1644" t="s">
        <v>3657</v>
      </c>
      <c r="W174" s="1650" t="s">
        <v>3653</v>
      </c>
      <c r="X174" s="1644"/>
      <c r="Y174" s="1647">
        <v>40061</v>
      </c>
      <c r="Z174" s="1647">
        <v>40426</v>
      </c>
      <c r="AA174" s="1650">
        <f t="shared" ca="1" si="5"/>
        <v>9.8333333333333339</v>
      </c>
      <c r="AB174" s="2444" t="s">
        <v>3629</v>
      </c>
      <c r="AC174" s="2445"/>
      <c r="AD174" s="2438"/>
    </row>
    <row r="175" spans="1:30" ht="15.75" hidden="1" customHeight="1">
      <c r="A175" s="1644">
        <f t="shared" si="0"/>
        <v>0</v>
      </c>
      <c r="B175" s="1645" t="s">
        <v>4045</v>
      </c>
      <c r="C175" s="1645" t="s">
        <v>4030</v>
      </c>
      <c r="D175" s="1645"/>
      <c r="E175" s="1646" t="s">
        <v>2797</v>
      </c>
      <c r="F175" s="1645">
        <f t="shared" si="4"/>
        <v>1978</v>
      </c>
      <c r="G175" s="1647">
        <v>28621</v>
      </c>
      <c r="H175" s="1644" t="s">
        <v>3669</v>
      </c>
      <c r="I175" s="1648" t="s">
        <v>3629</v>
      </c>
      <c r="J175" s="1645" t="s">
        <v>201</v>
      </c>
      <c r="K175" s="1645">
        <v>0</v>
      </c>
      <c r="L175" s="1645" t="s">
        <v>3681</v>
      </c>
      <c r="M175" s="1645">
        <v>0</v>
      </c>
      <c r="N175" s="1645"/>
      <c r="O175" s="1645" t="s">
        <v>3645</v>
      </c>
      <c r="P175" s="1649"/>
      <c r="Q175" s="1645"/>
      <c r="R175" s="1644"/>
      <c r="S175" s="1644"/>
      <c r="T175" s="1644"/>
      <c r="U175" s="1644"/>
      <c r="V175" s="1644"/>
      <c r="W175" s="1650" t="s">
        <v>3653</v>
      </c>
      <c r="X175" s="1644"/>
      <c r="Y175" s="1647"/>
      <c r="Z175" s="1647"/>
      <c r="AA175" s="1650">
        <f t="shared" ca="1" si="5"/>
        <v>13.583333333333334</v>
      </c>
      <c r="AB175" s="2444" t="s">
        <v>3629</v>
      </c>
      <c r="AC175" s="2445"/>
      <c r="AD175" s="2438"/>
    </row>
    <row r="176" spans="1:30" ht="15.75" hidden="1" customHeight="1">
      <c r="A176" s="1644">
        <f t="shared" si="0"/>
        <v>0</v>
      </c>
      <c r="B176" s="1645" t="s">
        <v>4046</v>
      </c>
      <c r="C176" s="1645" t="s">
        <v>4030</v>
      </c>
      <c r="D176" s="1645"/>
      <c r="E176" s="1646" t="s">
        <v>2797</v>
      </c>
      <c r="F176" s="1645">
        <f t="shared" si="4"/>
        <v>1980</v>
      </c>
      <c r="G176" s="1647">
        <v>29351</v>
      </c>
      <c r="H176" s="1644" t="s">
        <v>3642</v>
      </c>
      <c r="I176" s="1648" t="s">
        <v>3629</v>
      </c>
      <c r="J176" s="1645" t="s">
        <v>38</v>
      </c>
      <c r="K176" s="1645">
        <v>0</v>
      </c>
      <c r="L176" s="1645" t="s">
        <v>2682</v>
      </c>
      <c r="M176" s="1645" t="s">
        <v>2682</v>
      </c>
      <c r="N176" s="1645"/>
      <c r="O176" s="1645" t="s">
        <v>3645</v>
      </c>
      <c r="P176" s="1649">
        <v>44075</v>
      </c>
      <c r="Q176" s="1645"/>
      <c r="R176" s="1644"/>
      <c r="S176" s="1644"/>
      <c r="T176" s="1644"/>
      <c r="U176" s="1644"/>
      <c r="V176" s="1644" t="s">
        <v>3980</v>
      </c>
      <c r="W176" s="1644">
        <v>0</v>
      </c>
      <c r="X176" s="1644" t="s">
        <v>3633</v>
      </c>
      <c r="Y176" s="1647">
        <v>37989</v>
      </c>
      <c r="Z176" s="1647">
        <v>38355</v>
      </c>
      <c r="AA176" s="1650">
        <f t="shared" ca="1" si="5"/>
        <v>15.583333333333334</v>
      </c>
      <c r="AB176" s="2444" t="s">
        <v>3629</v>
      </c>
      <c r="AC176" s="2445"/>
      <c r="AD176" s="2438"/>
    </row>
    <row r="177" spans="1:30" ht="15.75" hidden="1" customHeight="1">
      <c r="A177" s="1644">
        <f t="shared" si="0"/>
        <v>0</v>
      </c>
      <c r="B177" s="1645" t="s">
        <v>4047</v>
      </c>
      <c r="C177" s="1645" t="s">
        <v>4030</v>
      </c>
      <c r="D177" s="1645"/>
      <c r="E177" s="1644" t="s">
        <v>2798</v>
      </c>
      <c r="F177" s="1645">
        <f t="shared" si="4"/>
        <v>1985</v>
      </c>
      <c r="G177" s="1647">
        <v>31250</v>
      </c>
      <c r="H177" s="1644" t="s">
        <v>3642</v>
      </c>
      <c r="I177" s="1648" t="s">
        <v>3629</v>
      </c>
      <c r="J177" s="1645" t="s">
        <v>201</v>
      </c>
      <c r="K177" s="1645">
        <v>0</v>
      </c>
      <c r="L177" s="1645" t="s">
        <v>3676</v>
      </c>
      <c r="M177" s="1645">
        <v>0</v>
      </c>
      <c r="N177" s="1645"/>
      <c r="O177" s="1645">
        <v>0</v>
      </c>
      <c r="P177" s="1649"/>
      <c r="Q177" s="1645"/>
      <c r="R177" s="1647" t="s">
        <v>3667</v>
      </c>
      <c r="S177" s="1644" t="s">
        <v>3743</v>
      </c>
      <c r="T177" s="1644"/>
      <c r="U177" s="1644"/>
      <c r="V177" s="1644" t="s">
        <v>3649</v>
      </c>
      <c r="W177" s="1644" t="s">
        <v>3968</v>
      </c>
      <c r="X177" s="1644"/>
      <c r="Y177" s="1647"/>
      <c r="Z177" s="1647"/>
      <c r="AA177" s="1650">
        <f t="shared" ca="1" si="5"/>
        <v>15.75</v>
      </c>
      <c r="AB177" s="2444" t="s">
        <v>3629</v>
      </c>
      <c r="AC177" s="2445"/>
      <c r="AD177" s="2438"/>
    </row>
    <row r="178" spans="1:30" ht="15.75" hidden="1" customHeight="1">
      <c r="A178" s="1644">
        <f t="shared" si="0"/>
        <v>0</v>
      </c>
      <c r="B178" s="1645" t="s">
        <v>4048</v>
      </c>
      <c r="C178" s="1645" t="s">
        <v>4030</v>
      </c>
      <c r="D178" s="1645"/>
      <c r="E178" s="1644" t="s">
        <v>2797</v>
      </c>
      <c r="F178" s="1645">
        <f t="shared" si="4"/>
        <v>1979</v>
      </c>
      <c r="G178" s="1647">
        <v>29000</v>
      </c>
      <c r="H178" s="1644" t="s">
        <v>3642</v>
      </c>
      <c r="I178" s="1648" t="s">
        <v>3629</v>
      </c>
      <c r="J178" s="1645" t="s">
        <v>37</v>
      </c>
      <c r="K178" s="1645">
        <v>0</v>
      </c>
      <c r="L178" s="1645" t="s">
        <v>1766</v>
      </c>
      <c r="M178" s="1645" t="s">
        <v>4049</v>
      </c>
      <c r="N178" s="1645"/>
      <c r="O178" s="1645" t="s">
        <v>506</v>
      </c>
      <c r="P178" s="1649"/>
      <c r="Q178" s="1645"/>
      <c r="R178" s="1644"/>
      <c r="S178" s="1644" t="s">
        <v>3795</v>
      </c>
      <c r="T178" s="1644"/>
      <c r="U178" s="1644"/>
      <c r="V178" s="1644" t="s">
        <v>3980</v>
      </c>
      <c r="W178" s="1650" t="s">
        <v>3653</v>
      </c>
      <c r="X178" s="1644" t="s">
        <v>3633</v>
      </c>
      <c r="Y178" s="1647">
        <v>37218</v>
      </c>
      <c r="Z178" s="1647">
        <v>37583</v>
      </c>
      <c r="AA178" s="1650">
        <f t="shared" ca="1" si="5"/>
        <v>14.583333333333334</v>
      </c>
      <c r="AB178" s="2444" t="s">
        <v>3629</v>
      </c>
      <c r="AC178" s="2445"/>
      <c r="AD178" s="2438"/>
    </row>
    <row r="179" spans="1:30" ht="15.75" hidden="1" customHeight="1">
      <c r="A179" s="1644">
        <f t="shared" si="0"/>
        <v>0</v>
      </c>
      <c r="B179" s="1645" t="s">
        <v>4050</v>
      </c>
      <c r="C179" s="1645" t="s">
        <v>4030</v>
      </c>
      <c r="D179" s="1645"/>
      <c r="E179" s="1644" t="s">
        <v>2797</v>
      </c>
      <c r="F179" s="1645">
        <f t="shared" si="4"/>
        <v>1972</v>
      </c>
      <c r="G179" s="1647">
        <v>26601</v>
      </c>
      <c r="H179" s="1644" t="s">
        <v>3642</v>
      </c>
      <c r="I179" s="1648" t="s">
        <v>3629</v>
      </c>
      <c r="J179" s="1645" t="s">
        <v>37</v>
      </c>
      <c r="K179" s="1645">
        <v>0</v>
      </c>
      <c r="L179" s="1645" t="s">
        <v>2824</v>
      </c>
      <c r="M179" s="1645" t="s">
        <v>2824</v>
      </c>
      <c r="N179" s="1645"/>
      <c r="O179" s="1645" t="s">
        <v>3645</v>
      </c>
      <c r="P179" s="1649"/>
      <c r="Q179" s="1645"/>
      <c r="R179" s="1647" t="s">
        <v>4051</v>
      </c>
      <c r="S179" s="1644"/>
      <c r="T179" s="1644"/>
      <c r="U179" s="1644"/>
      <c r="V179" s="1644"/>
      <c r="W179" s="1650" t="s">
        <v>3632</v>
      </c>
      <c r="X179" s="1644" t="s">
        <v>3759</v>
      </c>
      <c r="Y179" s="1647">
        <v>34936</v>
      </c>
      <c r="Z179" s="1647">
        <v>35302</v>
      </c>
      <c r="AA179" s="1650">
        <f t="shared" ca="1" si="5"/>
        <v>8</v>
      </c>
      <c r="AB179" s="2444" t="s">
        <v>3629</v>
      </c>
      <c r="AC179" s="2445"/>
      <c r="AD179" s="2438"/>
    </row>
    <row r="180" spans="1:30" ht="15.75" hidden="1" customHeight="1">
      <c r="A180" s="1644">
        <f t="shared" si="0"/>
        <v>0</v>
      </c>
      <c r="B180" s="1645" t="s">
        <v>4052</v>
      </c>
      <c r="C180" s="1645" t="s">
        <v>4030</v>
      </c>
      <c r="D180" s="1645"/>
      <c r="E180" s="1646" t="s">
        <v>2797</v>
      </c>
      <c r="F180" s="1645">
        <f t="shared" si="4"/>
        <v>1975</v>
      </c>
      <c r="G180" s="1647">
        <v>27674</v>
      </c>
      <c r="H180" s="1644" t="s">
        <v>4034</v>
      </c>
      <c r="I180" s="1648" t="s">
        <v>3629</v>
      </c>
      <c r="J180" s="1645" t="s">
        <v>4038</v>
      </c>
      <c r="K180" s="1645">
        <v>0</v>
      </c>
      <c r="L180" s="1651" t="s">
        <v>4039</v>
      </c>
      <c r="M180" s="1645">
        <v>0</v>
      </c>
      <c r="N180" s="1645"/>
      <c r="O180" s="1645">
        <v>0</v>
      </c>
      <c r="P180" s="1649"/>
      <c r="Q180" s="1645"/>
      <c r="R180" s="1644"/>
      <c r="S180" s="1644"/>
      <c r="T180" s="1644"/>
      <c r="U180" s="1644"/>
      <c r="V180" s="1644"/>
      <c r="W180" s="1644" t="s">
        <v>4053</v>
      </c>
      <c r="X180" s="1644"/>
      <c r="Y180" s="1647">
        <v>43271</v>
      </c>
      <c r="Z180" s="1647">
        <v>43636</v>
      </c>
      <c r="AA180" s="1650">
        <f t="shared" ca="1" si="5"/>
        <v>11</v>
      </c>
      <c r="AB180" s="2444" t="s">
        <v>3629</v>
      </c>
      <c r="AC180" s="2445"/>
      <c r="AD180" s="2438"/>
    </row>
    <row r="181" spans="1:30" ht="15.75" hidden="1" customHeight="1">
      <c r="A181" s="1644">
        <f t="shared" si="0"/>
        <v>0</v>
      </c>
      <c r="B181" s="1645" t="s">
        <v>4054</v>
      </c>
      <c r="C181" s="1645" t="s">
        <v>4030</v>
      </c>
      <c r="D181" s="1645"/>
      <c r="E181" s="1644" t="s">
        <v>2797</v>
      </c>
      <c r="F181" s="1645">
        <f t="shared" si="4"/>
        <v>1986</v>
      </c>
      <c r="G181" s="1647">
        <v>31548</v>
      </c>
      <c r="H181" s="1644" t="s">
        <v>3642</v>
      </c>
      <c r="I181" s="1648" t="s">
        <v>3629</v>
      </c>
      <c r="J181" s="1645" t="s">
        <v>201</v>
      </c>
      <c r="K181" s="1645">
        <v>0</v>
      </c>
      <c r="L181" s="1645" t="s">
        <v>4055</v>
      </c>
      <c r="M181" s="1645">
        <v>0</v>
      </c>
      <c r="N181" s="1645"/>
      <c r="O181" s="1645" t="s">
        <v>3645</v>
      </c>
      <c r="P181" s="1649"/>
      <c r="Q181" s="1645"/>
      <c r="R181" s="1647" t="s">
        <v>3898</v>
      </c>
      <c r="S181" s="1644"/>
      <c r="T181" s="1644"/>
      <c r="U181" s="1644"/>
      <c r="V181" s="1644" t="s">
        <v>3657</v>
      </c>
      <c r="W181" s="1650" t="s">
        <v>3653</v>
      </c>
      <c r="X181" s="1644"/>
      <c r="Y181" s="1647"/>
      <c r="Z181" s="1647"/>
      <c r="AA181" s="1650">
        <f t="shared" ca="1" si="5"/>
        <v>21.583333333333332</v>
      </c>
      <c r="AB181" s="2444" t="s">
        <v>3629</v>
      </c>
      <c r="AC181" s="2445"/>
      <c r="AD181" s="2438"/>
    </row>
    <row r="182" spans="1:30" ht="15.75" hidden="1" customHeight="1">
      <c r="A182" s="1644">
        <f t="shared" si="0"/>
        <v>0</v>
      </c>
      <c r="B182" s="1645" t="s">
        <v>4056</v>
      </c>
      <c r="C182" s="1645" t="s">
        <v>4030</v>
      </c>
      <c r="D182" s="1645"/>
      <c r="E182" s="1644" t="s">
        <v>2798</v>
      </c>
      <c r="F182" s="1645">
        <f t="shared" si="4"/>
        <v>1972</v>
      </c>
      <c r="G182" s="1647">
        <v>26565</v>
      </c>
      <c r="H182" s="1644" t="s">
        <v>3642</v>
      </c>
      <c r="I182" s="1648" t="s">
        <v>3629</v>
      </c>
      <c r="J182" s="1645" t="s">
        <v>201</v>
      </c>
      <c r="K182" s="1645">
        <v>0</v>
      </c>
      <c r="L182" s="1645" t="s">
        <v>4057</v>
      </c>
      <c r="M182" s="1645">
        <v>0</v>
      </c>
      <c r="N182" s="1645"/>
      <c r="O182" s="1645" t="s">
        <v>3645</v>
      </c>
      <c r="P182" s="1649"/>
      <c r="Q182" s="1645"/>
      <c r="R182" s="1644"/>
      <c r="S182" s="1644"/>
      <c r="T182" s="1644"/>
      <c r="U182" s="1644"/>
      <c r="V182" s="1644"/>
      <c r="W182" s="1650" t="s">
        <v>3653</v>
      </c>
      <c r="X182" s="1644"/>
      <c r="Y182" s="1647">
        <v>34510</v>
      </c>
      <c r="Z182" s="1647">
        <v>34875</v>
      </c>
      <c r="AA182" s="1650">
        <f t="shared" ca="1" si="5"/>
        <v>2.9166666666666665</v>
      </c>
      <c r="AB182" s="2444" t="s">
        <v>3629</v>
      </c>
      <c r="AC182" s="2445"/>
      <c r="AD182" s="2438"/>
    </row>
    <row r="183" spans="1:30" ht="15.75" hidden="1" customHeight="1">
      <c r="A183" s="1644">
        <f t="shared" si="0"/>
        <v>0</v>
      </c>
      <c r="B183" s="1645" t="s">
        <v>4058</v>
      </c>
      <c r="C183" s="1645" t="s">
        <v>4030</v>
      </c>
      <c r="D183" s="1645"/>
      <c r="E183" s="1646" t="s">
        <v>2798</v>
      </c>
      <c r="F183" s="1645">
        <f t="shared" si="4"/>
        <v>1976</v>
      </c>
      <c r="G183" s="1647">
        <v>27958</v>
      </c>
      <c r="H183" s="1644" t="s">
        <v>3642</v>
      </c>
      <c r="I183" s="1648" t="s">
        <v>3629</v>
      </c>
      <c r="J183" s="1645" t="s">
        <v>37</v>
      </c>
      <c r="K183" s="1645">
        <v>0</v>
      </c>
      <c r="L183" s="1645" t="s">
        <v>3809</v>
      </c>
      <c r="M183" s="1645" t="s">
        <v>3741</v>
      </c>
      <c r="N183" s="1645"/>
      <c r="O183" s="1645" t="s">
        <v>3645</v>
      </c>
      <c r="P183" s="1649"/>
      <c r="Q183" s="1645"/>
      <c r="R183" s="1644"/>
      <c r="S183" s="1644"/>
      <c r="T183" s="1644"/>
      <c r="U183" s="1644"/>
      <c r="V183" s="1644"/>
      <c r="W183" s="1644" t="s">
        <v>3939</v>
      </c>
      <c r="X183" s="1644"/>
      <c r="Y183" s="1647"/>
      <c r="Z183" s="1647"/>
      <c r="AA183" s="1650">
        <f t="shared" ca="1" si="5"/>
        <v>6.75</v>
      </c>
      <c r="AB183" s="2444" t="s">
        <v>3629</v>
      </c>
      <c r="AC183" s="2445"/>
      <c r="AD183" s="2438"/>
    </row>
    <row r="184" spans="1:30" ht="15.75" hidden="1" customHeight="1">
      <c r="A184" s="1644">
        <f t="shared" si="0"/>
        <v>0</v>
      </c>
      <c r="B184" s="1645" t="s">
        <v>4059</v>
      </c>
      <c r="C184" s="1645" t="s">
        <v>4060</v>
      </c>
      <c r="D184" s="1645" t="s">
        <v>4061</v>
      </c>
      <c r="E184" s="1646" t="s">
        <v>2798</v>
      </c>
      <c r="F184" s="1645">
        <v>1983</v>
      </c>
      <c r="G184" s="1647">
        <v>30399</v>
      </c>
      <c r="H184" s="1644" t="s">
        <v>4062</v>
      </c>
      <c r="I184" s="1648" t="s">
        <v>3629</v>
      </c>
      <c r="J184" s="1645" t="s">
        <v>201</v>
      </c>
      <c r="K184" s="1645">
        <v>0</v>
      </c>
      <c r="L184" s="1645" t="s">
        <v>3367</v>
      </c>
      <c r="M184" s="1645">
        <v>0</v>
      </c>
      <c r="N184" s="1645"/>
      <c r="O184" s="1645" t="s">
        <v>3645</v>
      </c>
      <c r="P184" s="1649"/>
      <c r="Q184" s="1645"/>
      <c r="R184" s="1644"/>
      <c r="S184" s="1644"/>
      <c r="T184" s="1644"/>
      <c r="U184" s="1644"/>
      <c r="V184" s="1644" t="s">
        <v>3980</v>
      </c>
      <c r="W184" s="1650" t="s">
        <v>3653</v>
      </c>
      <c r="X184" s="1644"/>
      <c r="Y184" s="1647">
        <v>44529</v>
      </c>
      <c r="Z184" s="1647">
        <v>0</v>
      </c>
      <c r="AA184" s="1650">
        <f t="shared" ca="1" si="5"/>
        <v>13.416666666666666</v>
      </c>
      <c r="AB184" s="2444" t="s">
        <v>3629</v>
      </c>
      <c r="AC184" s="2445"/>
      <c r="AD184" s="2438"/>
    </row>
    <row r="185" spans="1:30" ht="15.75" hidden="1" customHeight="1">
      <c r="A185" s="1644">
        <f t="shared" si="0"/>
        <v>0</v>
      </c>
      <c r="B185" s="1645" t="s">
        <v>4063</v>
      </c>
      <c r="C185" s="1645" t="s">
        <v>4060</v>
      </c>
      <c r="D185" s="1645"/>
      <c r="E185" s="1644" t="s">
        <v>2798</v>
      </c>
      <c r="F185" s="1645">
        <f t="shared" ref="F185:F200" si="6">YEAR(G185)</f>
        <v>1995</v>
      </c>
      <c r="G185" s="1647">
        <v>35019</v>
      </c>
      <c r="H185" s="1644" t="s">
        <v>3642</v>
      </c>
      <c r="I185" s="1648" t="s">
        <v>3629</v>
      </c>
      <c r="J185" s="1645" t="s">
        <v>201</v>
      </c>
      <c r="K185" s="1645"/>
      <c r="L185" s="1651">
        <v>0</v>
      </c>
      <c r="M185" s="1645">
        <v>0</v>
      </c>
      <c r="N185" s="1645"/>
      <c r="O185" s="1645">
        <v>0</v>
      </c>
      <c r="P185" s="1649"/>
      <c r="Q185" s="1645"/>
      <c r="R185" s="1647" t="s">
        <v>3882</v>
      </c>
      <c r="S185" s="1644"/>
      <c r="T185" s="1644"/>
      <c r="U185" s="1644"/>
      <c r="V185" s="1644"/>
      <c r="W185" s="1644"/>
      <c r="X185" s="1644"/>
      <c r="Y185" s="1644"/>
      <c r="Z185" s="1647"/>
      <c r="AA185" s="1650">
        <f t="shared" ca="1" si="5"/>
        <v>26.083333333333332</v>
      </c>
      <c r="AB185" s="2444" t="s">
        <v>3629</v>
      </c>
      <c r="AC185" s="2445"/>
      <c r="AD185" s="2438"/>
    </row>
    <row r="186" spans="1:30" ht="15.75" hidden="1" customHeight="1">
      <c r="A186" s="1644">
        <f t="shared" si="0"/>
        <v>0</v>
      </c>
      <c r="B186" s="1645" t="s">
        <v>4064</v>
      </c>
      <c r="C186" s="1645" t="s">
        <v>4060</v>
      </c>
      <c r="D186" s="1645"/>
      <c r="E186" s="1646" t="s">
        <v>2797</v>
      </c>
      <c r="F186" s="1645">
        <f t="shared" si="6"/>
        <v>1990</v>
      </c>
      <c r="G186" s="1647">
        <v>33122</v>
      </c>
      <c r="H186" s="1644" t="s">
        <v>3642</v>
      </c>
      <c r="I186" s="1648" t="s">
        <v>3629</v>
      </c>
      <c r="J186" s="1645" t="s">
        <v>37</v>
      </c>
      <c r="K186" s="1645">
        <v>0</v>
      </c>
      <c r="L186" s="1645" t="s">
        <v>4065</v>
      </c>
      <c r="M186" s="1645" t="s">
        <v>3976</v>
      </c>
      <c r="N186" s="1645"/>
      <c r="O186" s="1645" t="s">
        <v>3645</v>
      </c>
      <c r="P186" s="1649"/>
      <c r="Q186" s="1645"/>
      <c r="R186" s="1647" t="s">
        <v>3898</v>
      </c>
      <c r="S186" s="1644"/>
      <c r="T186" s="1644"/>
      <c r="U186" s="1644"/>
      <c r="V186" s="1644" t="s">
        <v>3657</v>
      </c>
      <c r="W186" s="1644" t="s">
        <v>3968</v>
      </c>
      <c r="X186" s="1644" t="s">
        <v>3707</v>
      </c>
      <c r="Y186" s="1647">
        <v>42783</v>
      </c>
      <c r="Z186" s="1647">
        <v>43148</v>
      </c>
      <c r="AA186" s="1650">
        <f t="shared" ca="1" si="5"/>
        <v>25.916666666666668</v>
      </c>
      <c r="AB186" s="2444" t="s">
        <v>3629</v>
      </c>
      <c r="AC186" s="2445"/>
      <c r="AD186" s="2438"/>
    </row>
    <row r="187" spans="1:30" ht="15.75" hidden="1" customHeight="1">
      <c r="A187" s="1644">
        <f t="shared" si="0"/>
        <v>0</v>
      </c>
      <c r="B187" s="1645" t="s">
        <v>4066</v>
      </c>
      <c r="C187" s="1645" t="s">
        <v>4060</v>
      </c>
      <c r="D187" s="1645"/>
      <c r="E187" s="1644" t="s">
        <v>2797</v>
      </c>
      <c r="F187" s="1645">
        <f t="shared" si="6"/>
        <v>1983</v>
      </c>
      <c r="G187" s="1647">
        <v>30451</v>
      </c>
      <c r="H187" s="1644" t="s">
        <v>3642</v>
      </c>
      <c r="I187" s="1648" t="s">
        <v>3629</v>
      </c>
      <c r="J187" s="1645" t="s">
        <v>37</v>
      </c>
      <c r="K187" s="1645">
        <v>0</v>
      </c>
      <c r="L187" s="1645" t="s">
        <v>4065</v>
      </c>
      <c r="M187" s="1645" t="s">
        <v>3976</v>
      </c>
      <c r="N187" s="1645"/>
      <c r="O187" s="1645" t="s">
        <v>3645</v>
      </c>
      <c r="P187" s="1649"/>
      <c r="Q187" s="1645"/>
      <c r="R187" s="1644" t="s">
        <v>3952</v>
      </c>
      <c r="S187" s="1647" t="s">
        <v>206</v>
      </c>
      <c r="T187" s="1644"/>
      <c r="U187" s="1644"/>
      <c r="V187" s="1644"/>
      <c r="W187" s="1650" t="s">
        <v>3653</v>
      </c>
      <c r="X187" s="1644" t="s">
        <v>3633</v>
      </c>
      <c r="Y187" s="1647">
        <v>42044</v>
      </c>
      <c r="Z187" s="1647">
        <v>42409</v>
      </c>
      <c r="AA187" s="1650">
        <f t="shared" ca="1" si="5"/>
        <v>18.583333333333332</v>
      </c>
      <c r="AB187" s="2444" t="s">
        <v>3629</v>
      </c>
      <c r="AC187" s="2445"/>
      <c r="AD187" s="2438"/>
    </row>
    <row r="188" spans="1:30" ht="15.75" hidden="1" customHeight="1">
      <c r="A188" s="1644">
        <f t="shared" si="0"/>
        <v>0</v>
      </c>
      <c r="B188" s="1645" t="s">
        <v>4067</v>
      </c>
      <c r="C188" s="1645" t="s">
        <v>4060</v>
      </c>
      <c r="D188" s="1645"/>
      <c r="E188" s="1646" t="s">
        <v>2797</v>
      </c>
      <c r="F188" s="1645">
        <f t="shared" si="6"/>
        <v>1982</v>
      </c>
      <c r="G188" s="1647">
        <v>30145</v>
      </c>
      <c r="H188" s="1644" t="s">
        <v>3642</v>
      </c>
      <c r="I188" s="1648" t="s">
        <v>3629</v>
      </c>
      <c r="J188" s="1645" t="s">
        <v>37</v>
      </c>
      <c r="K188" s="1645">
        <v>0</v>
      </c>
      <c r="L188" s="1645" t="s">
        <v>1766</v>
      </c>
      <c r="M188" s="1645" t="s">
        <v>506</v>
      </c>
      <c r="N188" s="1645"/>
      <c r="O188" s="1645" t="s">
        <v>3645</v>
      </c>
      <c r="P188" s="1649"/>
      <c r="Q188" s="1645"/>
      <c r="R188" s="1644"/>
      <c r="S188" s="1644" t="s">
        <v>4068</v>
      </c>
      <c r="T188" s="1644"/>
      <c r="U188" s="1644"/>
      <c r="V188" s="1644" t="s">
        <v>3657</v>
      </c>
      <c r="W188" s="1650" t="s">
        <v>3653</v>
      </c>
      <c r="X188" s="1644"/>
      <c r="Y188" s="1647">
        <v>40641</v>
      </c>
      <c r="Z188" s="1647">
        <v>41007</v>
      </c>
      <c r="AA188" s="1650">
        <f t="shared" ca="1" si="5"/>
        <v>17.75</v>
      </c>
      <c r="AB188" s="2444" t="s">
        <v>3629</v>
      </c>
      <c r="AC188" s="2445"/>
      <c r="AD188" s="2438"/>
    </row>
    <row r="189" spans="1:30" ht="15.75" hidden="1" customHeight="1">
      <c r="A189" s="1644">
        <f t="shared" si="0"/>
        <v>0</v>
      </c>
      <c r="B189" s="1645" t="s">
        <v>4069</v>
      </c>
      <c r="C189" s="1645" t="s">
        <v>4060</v>
      </c>
      <c r="D189" s="1645"/>
      <c r="E189" s="1644" t="s">
        <v>2797</v>
      </c>
      <c r="F189" s="1645">
        <f t="shared" si="6"/>
        <v>1985</v>
      </c>
      <c r="G189" s="1647">
        <v>31274</v>
      </c>
      <c r="H189" s="1644" t="s">
        <v>3642</v>
      </c>
      <c r="I189" s="1648" t="s">
        <v>3629</v>
      </c>
      <c r="J189" s="1645" t="s">
        <v>37</v>
      </c>
      <c r="K189" s="1645">
        <v>0</v>
      </c>
      <c r="L189" s="1645" t="s">
        <v>4065</v>
      </c>
      <c r="M189" s="1645">
        <v>0</v>
      </c>
      <c r="N189" s="1645"/>
      <c r="O189" s="1645" t="s">
        <v>3645</v>
      </c>
      <c r="P189" s="1649"/>
      <c r="Q189" s="1645"/>
      <c r="R189" s="1644"/>
      <c r="S189" s="1644"/>
      <c r="T189" s="1644"/>
      <c r="U189" s="1644"/>
      <c r="V189" s="1644" t="s">
        <v>3657</v>
      </c>
      <c r="W189" s="1650" t="s">
        <v>3653</v>
      </c>
      <c r="X189" s="1644"/>
      <c r="Y189" s="1647">
        <v>43404</v>
      </c>
      <c r="Z189" s="1647">
        <v>43769</v>
      </c>
      <c r="AA189" s="1650">
        <f t="shared" ca="1" si="5"/>
        <v>20.833333333333332</v>
      </c>
      <c r="AB189" s="2444" t="s">
        <v>3629</v>
      </c>
      <c r="AC189" s="2445"/>
      <c r="AD189" s="2438"/>
    </row>
    <row r="190" spans="1:30" ht="15.75" hidden="1" customHeight="1">
      <c r="A190" s="1644">
        <f t="shared" si="0"/>
        <v>0</v>
      </c>
      <c r="B190" s="1645" t="s">
        <v>4070</v>
      </c>
      <c r="C190" s="1645" t="s">
        <v>4060</v>
      </c>
      <c r="D190" s="1645"/>
      <c r="E190" s="1646" t="s">
        <v>2798</v>
      </c>
      <c r="F190" s="1645">
        <f t="shared" si="6"/>
        <v>1983</v>
      </c>
      <c r="G190" s="1647">
        <v>30647</v>
      </c>
      <c r="H190" s="1644" t="s">
        <v>4062</v>
      </c>
      <c r="I190" s="1648" t="s">
        <v>3629</v>
      </c>
      <c r="J190" s="1645" t="s">
        <v>37</v>
      </c>
      <c r="K190" s="1645">
        <v>0</v>
      </c>
      <c r="L190" s="1645" t="s">
        <v>4071</v>
      </c>
      <c r="M190" s="1645" t="s">
        <v>3676</v>
      </c>
      <c r="N190" s="1645"/>
      <c r="O190" s="1645" t="s">
        <v>3645</v>
      </c>
      <c r="P190" s="1649"/>
      <c r="Q190" s="1645"/>
      <c r="R190" s="1644"/>
      <c r="S190" s="1644"/>
      <c r="T190" s="1644"/>
      <c r="U190" s="1644"/>
      <c r="V190" s="1644" t="s">
        <v>3980</v>
      </c>
      <c r="W190" s="1650" t="s">
        <v>3653</v>
      </c>
      <c r="X190" s="1644"/>
      <c r="Y190" s="1647">
        <v>41139</v>
      </c>
      <c r="Z190" s="1647">
        <v>41504</v>
      </c>
      <c r="AA190" s="1650">
        <f t="shared" ca="1" si="5"/>
        <v>14.083333333333334</v>
      </c>
      <c r="AB190" s="2444" t="s">
        <v>3629</v>
      </c>
      <c r="AC190" s="2445"/>
      <c r="AD190" s="2438"/>
    </row>
    <row r="191" spans="1:30" ht="15.75" hidden="1" customHeight="1">
      <c r="A191" s="1644">
        <f t="shared" si="0"/>
        <v>0</v>
      </c>
      <c r="B191" s="1645" t="s">
        <v>4072</v>
      </c>
      <c r="C191" s="1645" t="s">
        <v>4060</v>
      </c>
      <c r="D191" s="1645"/>
      <c r="E191" s="1644" t="s">
        <v>2797</v>
      </c>
      <c r="F191" s="1645">
        <f t="shared" si="6"/>
        <v>1983</v>
      </c>
      <c r="G191" s="1647">
        <v>30505</v>
      </c>
      <c r="H191" s="1644" t="s">
        <v>4062</v>
      </c>
      <c r="I191" s="1648" t="s">
        <v>3629</v>
      </c>
      <c r="J191" s="1645" t="s">
        <v>37</v>
      </c>
      <c r="K191" s="1645">
        <v>0</v>
      </c>
      <c r="L191" s="1645" t="s">
        <v>4065</v>
      </c>
      <c r="M191" s="1645" t="s">
        <v>3997</v>
      </c>
      <c r="N191" s="1645"/>
      <c r="O191" s="1645" t="s">
        <v>3645</v>
      </c>
      <c r="P191" s="1649"/>
      <c r="Q191" s="1645"/>
      <c r="R191" s="1644"/>
      <c r="S191" s="1644"/>
      <c r="T191" s="1644"/>
      <c r="U191" s="1644"/>
      <c r="V191" s="1644" t="s">
        <v>3657</v>
      </c>
      <c r="W191" s="1650" t="s">
        <v>3653</v>
      </c>
      <c r="X191" s="1644"/>
      <c r="Y191" s="1647">
        <v>43559</v>
      </c>
      <c r="Z191" s="1647">
        <v>43925</v>
      </c>
      <c r="AA191" s="1650">
        <f t="shared" ca="1" si="5"/>
        <v>18.75</v>
      </c>
      <c r="AB191" s="2444" t="s">
        <v>3629</v>
      </c>
      <c r="AC191" s="2445"/>
      <c r="AD191" s="2438"/>
    </row>
    <row r="192" spans="1:30" ht="15.75" hidden="1" customHeight="1">
      <c r="A192" s="1644">
        <f t="shared" si="0"/>
        <v>0</v>
      </c>
      <c r="B192" s="1645" t="s">
        <v>4073</v>
      </c>
      <c r="C192" s="1645" t="s">
        <v>4060</v>
      </c>
      <c r="D192" s="1645"/>
      <c r="E192" s="1646" t="s">
        <v>2798</v>
      </c>
      <c r="F192" s="1645">
        <f t="shared" si="6"/>
        <v>1989</v>
      </c>
      <c r="G192" s="1647">
        <v>32800</v>
      </c>
      <c r="H192" s="1644" t="s">
        <v>3642</v>
      </c>
      <c r="I192" s="1648" t="s">
        <v>3629</v>
      </c>
      <c r="J192" s="1645" t="s">
        <v>37</v>
      </c>
      <c r="K192" s="1645">
        <v>0</v>
      </c>
      <c r="L192" s="1645" t="s">
        <v>3996</v>
      </c>
      <c r="M192" s="1645" t="s">
        <v>506</v>
      </c>
      <c r="N192" s="1645"/>
      <c r="O192" s="1645" t="s">
        <v>3645</v>
      </c>
      <c r="P192" s="1649"/>
      <c r="Q192" s="1645"/>
      <c r="R192" s="1644"/>
      <c r="S192" s="1644"/>
      <c r="T192" s="1644"/>
      <c r="U192" s="1644"/>
      <c r="V192" s="1644" t="s">
        <v>3657</v>
      </c>
      <c r="W192" s="1650" t="s">
        <v>3653</v>
      </c>
      <c r="X192" s="1644"/>
      <c r="Y192" s="1647">
        <v>41095</v>
      </c>
      <c r="Z192" s="1647">
        <v>41460</v>
      </c>
      <c r="AA192" s="1650">
        <f t="shared" ca="1" si="5"/>
        <v>20</v>
      </c>
      <c r="AB192" s="2444" t="s">
        <v>3629</v>
      </c>
      <c r="AC192" s="2445"/>
      <c r="AD192" s="2438"/>
    </row>
    <row r="193" spans="1:30" ht="15.75" hidden="1" customHeight="1">
      <c r="A193" s="1644">
        <f t="shared" si="0"/>
        <v>0</v>
      </c>
      <c r="B193" s="1645" t="s">
        <v>4074</v>
      </c>
      <c r="C193" s="1645" t="s">
        <v>4060</v>
      </c>
      <c r="D193" s="1645"/>
      <c r="E193" s="1644" t="s">
        <v>2798</v>
      </c>
      <c r="F193" s="1645">
        <f t="shared" si="6"/>
        <v>1979</v>
      </c>
      <c r="G193" s="1647">
        <v>28863</v>
      </c>
      <c r="H193" s="1644" t="s">
        <v>4062</v>
      </c>
      <c r="I193" s="1648" t="s">
        <v>3629</v>
      </c>
      <c r="J193" s="1645" t="s">
        <v>201</v>
      </c>
      <c r="K193" s="1645">
        <v>0</v>
      </c>
      <c r="L193" s="1645" t="s">
        <v>4065</v>
      </c>
      <c r="M193" s="1645">
        <v>0</v>
      </c>
      <c r="N193" s="1645"/>
      <c r="O193" s="1645" t="s">
        <v>3645</v>
      </c>
      <c r="P193" s="1649"/>
      <c r="Q193" s="1645"/>
      <c r="R193" s="1644"/>
      <c r="S193" s="1644"/>
      <c r="T193" s="1644"/>
      <c r="U193" s="1644"/>
      <c r="V193" s="1644" t="s">
        <v>3980</v>
      </c>
      <c r="W193" s="1644" t="s">
        <v>3968</v>
      </c>
      <c r="X193" s="1644"/>
      <c r="Y193" s="1647">
        <v>44529</v>
      </c>
      <c r="Z193" s="1647">
        <v>0</v>
      </c>
      <c r="AA193" s="1650">
        <f t="shared" ca="1" si="5"/>
        <v>9.25</v>
      </c>
      <c r="AB193" s="2444" t="s">
        <v>3629</v>
      </c>
      <c r="AC193" s="2445"/>
      <c r="AD193" s="2438"/>
    </row>
    <row r="194" spans="1:30" ht="15.75" hidden="1" customHeight="1">
      <c r="A194" s="1644">
        <f t="shared" si="0"/>
        <v>0</v>
      </c>
      <c r="B194" s="1645" t="s">
        <v>4075</v>
      </c>
      <c r="C194" s="1645" t="s">
        <v>4060</v>
      </c>
      <c r="D194" s="1645"/>
      <c r="E194" s="1646" t="s">
        <v>2798</v>
      </c>
      <c r="F194" s="1645">
        <f t="shared" si="6"/>
        <v>1981</v>
      </c>
      <c r="G194" s="1647">
        <v>29879</v>
      </c>
      <c r="H194" s="1644" t="s">
        <v>4062</v>
      </c>
      <c r="I194" s="1648" t="s">
        <v>3629</v>
      </c>
      <c r="J194" s="1645" t="s">
        <v>37</v>
      </c>
      <c r="K194" s="1645">
        <v>0</v>
      </c>
      <c r="L194" s="1645" t="s">
        <v>3996</v>
      </c>
      <c r="M194" s="1645" t="s">
        <v>4076</v>
      </c>
      <c r="N194" s="1645"/>
      <c r="O194" s="1645" t="s">
        <v>3645</v>
      </c>
      <c r="P194" s="1649"/>
      <c r="Q194" s="1645"/>
      <c r="R194" s="1644"/>
      <c r="S194" s="1644" t="s">
        <v>3743</v>
      </c>
      <c r="T194" s="1644"/>
      <c r="U194" s="1644"/>
      <c r="V194" s="1644" t="s">
        <v>3657</v>
      </c>
      <c r="W194" s="1644">
        <v>0</v>
      </c>
      <c r="X194" s="1644"/>
      <c r="Y194" s="1647">
        <v>40176</v>
      </c>
      <c r="Z194" s="1647">
        <v>40541</v>
      </c>
      <c r="AA194" s="1650">
        <f t="shared" ca="1" si="5"/>
        <v>12</v>
      </c>
      <c r="AB194" s="2444" t="s">
        <v>3629</v>
      </c>
      <c r="AC194" s="2445"/>
      <c r="AD194" s="2438"/>
    </row>
    <row r="195" spans="1:30" ht="15.75" hidden="1" customHeight="1">
      <c r="A195" s="1644">
        <f t="shared" si="0"/>
        <v>0</v>
      </c>
      <c r="B195" s="1645" t="s">
        <v>4077</v>
      </c>
      <c r="C195" s="1645" t="s">
        <v>4060</v>
      </c>
      <c r="D195" s="1645"/>
      <c r="E195" s="1644" t="s">
        <v>2798</v>
      </c>
      <c r="F195" s="1645">
        <f t="shared" si="6"/>
        <v>1978</v>
      </c>
      <c r="G195" s="1647">
        <v>28853</v>
      </c>
      <c r="H195" s="1644" t="s">
        <v>4062</v>
      </c>
      <c r="I195" s="1648" t="s">
        <v>3629</v>
      </c>
      <c r="J195" s="1645" t="s">
        <v>37</v>
      </c>
      <c r="K195" s="1645">
        <v>0</v>
      </c>
      <c r="L195" s="1645" t="s">
        <v>3996</v>
      </c>
      <c r="M195" s="1645" t="s">
        <v>3975</v>
      </c>
      <c r="N195" s="1645"/>
      <c r="O195" s="1645" t="s">
        <v>3645</v>
      </c>
      <c r="P195" s="1649"/>
      <c r="Q195" s="1645"/>
      <c r="R195" s="1644" t="s">
        <v>3710</v>
      </c>
      <c r="S195" s="1644"/>
      <c r="T195" s="1644" t="s">
        <v>936</v>
      </c>
      <c r="U195" s="1644"/>
      <c r="V195" s="1644" t="s">
        <v>3657</v>
      </c>
      <c r="W195" s="1650" t="s">
        <v>3653</v>
      </c>
      <c r="X195" s="1644" t="s">
        <v>3633</v>
      </c>
      <c r="Y195" s="1647">
        <v>38702</v>
      </c>
      <c r="Z195" s="1647">
        <v>39067</v>
      </c>
      <c r="AA195" s="1650">
        <f t="shared" ca="1" si="5"/>
        <v>9.1666666666666661</v>
      </c>
      <c r="AB195" s="2444" t="s">
        <v>3629</v>
      </c>
      <c r="AC195" s="2445"/>
      <c r="AD195" s="2438"/>
    </row>
    <row r="196" spans="1:30" ht="15.75" hidden="1" customHeight="1">
      <c r="A196" s="1644">
        <f t="shared" si="0"/>
        <v>0</v>
      </c>
      <c r="B196" s="1645" t="s">
        <v>4078</v>
      </c>
      <c r="C196" s="1645" t="s">
        <v>4060</v>
      </c>
      <c r="D196" s="1645"/>
      <c r="E196" s="1646" t="s">
        <v>2798</v>
      </c>
      <c r="F196" s="1645">
        <f t="shared" si="6"/>
        <v>1981</v>
      </c>
      <c r="G196" s="1647">
        <v>29655</v>
      </c>
      <c r="H196" s="1644" t="s">
        <v>3642</v>
      </c>
      <c r="I196" s="1648" t="s">
        <v>3629</v>
      </c>
      <c r="J196" s="1645" t="s">
        <v>37</v>
      </c>
      <c r="K196" s="1645">
        <v>0</v>
      </c>
      <c r="L196" s="1645" t="s">
        <v>3996</v>
      </c>
      <c r="M196" s="1645" t="s">
        <v>4065</v>
      </c>
      <c r="N196" s="1645"/>
      <c r="O196" s="1645" t="s">
        <v>3645</v>
      </c>
      <c r="P196" s="1649"/>
      <c r="Q196" s="1645"/>
      <c r="R196" s="1644"/>
      <c r="S196" s="1644"/>
      <c r="T196" s="1644" t="s">
        <v>936</v>
      </c>
      <c r="U196" s="1644"/>
      <c r="V196" s="1644" t="s">
        <v>3980</v>
      </c>
      <c r="W196" s="1644" t="s">
        <v>3658</v>
      </c>
      <c r="X196" s="1644"/>
      <c r="Y196" s="1647">
        <v>44529</v>
      </c>
      <c r="Z196" s="1647">
        <v>0</v>
      </c>
      <c r="AA196" s="1650">
        <f t="shared" ca="1" si="5"/>
        <v>11.416666666666666</v>
      </c>
      <c r="AB196" s="2444" t="s">
        <v>3629</v>
      </c>
      <c r="AC196" s="2445"/>
      <c r="AD196" s="2438"/>
    </row>
    <row r="197" spans="1:30" ht="15.75" hidden="1" customHeight="1">
      <c r="A197" s="1644">
        <f t="shared" si="0"/>
        <v>0</v>
      </c>
      <c r="B197" s="1645" t="s">
        <v>4079</v>
      </c>
      <c r="C197" s="1645" t="s">
        <v>4080</v>
      </c>
      <c r="D197" s="1645" t="s">
        <v>4081</v>
      </c>
      <c r="E197" s="1646" t="s">
        <v>2798</v>
      </c>
      <c r="F197" s="1645">
        <f t="shared" si="6"/>
        <v>1981</v>
      </c>
      <c r="G197" s="1647">
        <v>29921</v>
      </c>
      <c r="H197" s="1644" t="s">
        <v>3642</v>
      </c>
      <c r="I197" s="1648" t="s">
        <v>3629</v>
      </c>
      <c r="J197" s="1645" t="s">
        <v>37</v>
      </c>
      <c r="K197" s="1645">
        <v>0</v>
      </c>
      <c r="L197" s="1645" t="s">
        <v>3954</v>
      </c>
      <c r="M197" s="1645" t="s">
        <v>4082</v>
      </c>
      <c r="N197" s="1645"/>
      <c r="O197" s="1645" t="s">
        <v>3645</v>
      </c>
      <c r="P197" s="1649"/>
      <c r="Q197" s="1645"/>
      <c r="R197" s="1644"/>
      <c r="S197" s="1644"/>
      <c r="T197" s="1644"/>
      <c r="U197" s="1644"/>
      <c r="V197" s="1644" t="s">
        <v>3980</v>
      </c>
      <c r="W197" s="1650" t="s">
        <v>3653</v>
      </c>
      <c r="X197" s="1644"/>
      <c r="Y197" s="1647">
        <v>38152</v>
      </c>
      <c r="Z197" s="1647">
        <v>38517</v>
      </c>
      <c r="AA197" s="1650">
        <f t="shared" ca="1" si="5"/>
        <v>12.083333333333334</v>
      </c>
      <c r="AB197" s="2444" t="s">
        <v>3629</v>
      </c>
      <c r="AC197" s="2445"/>
      <c r="AD197" s="2438"/>
    </row>
    <row r="198" spans="1:30" ht="15.75" hidden="1" customHeight="1">
      <c r="A198" s="1644">
        <f t="shared" si="0"/>
        <v>0</v>
      </c>
      <c r="B198" s="1645" t="s">
        <v>4083</v>
      </c>
      <c r="C198" s="1645" t="s">
        <v>4080</v>
      </c>
      <c r="D198" s="1645" t="s">
        <v>3859</v>
      </c>
      <c r="E198" s="1644" t="s">
        <v>2797</v>
      </c>
      <c r="F198" s="1645">
        <f t="shared" si="6"/>
        <v>1984</v>
      </c>
      <c r="G198" s="1647">
        <v>30965</v>
      </c>
      <c r="H198" s="1644" t="s">
        <v>3636</v>
      </c>
      <c r="I198" s="1648" t="s">
        <v>3629</v>
      </c>
      <c r="J198" s="1645" t="s">
        <v>38</v>
      </c>
      <c r="K198" s="1645">
        <v>0</v>
      </c>
      <c r="L198" s="1645" t="s">
        <v>3873</v>
      </c>
      <c r="M198" s="1645" t="s">
        <v>3870</v>
      </c>
      <c r="N198" s="1645"/>
      <c r="O198" s="1645" t="s">
        <v>3870</v>
      </c>
      <c r="P198" s="1649"/>
      <c r="Q198" s="1645"/>
      <c r="R198" s="1647" t="s">
        <v>4084</v>
      </c>
      <c r="S198" s="1644"/>
      <c r="T198" s="1644" t="s">
        <v>936</v>
      </c>
      <c r="U198" s="1644" t="s">
        <v>3631</v>
      </c>
      <c r="V198" s="1644"/>
      <c r="W198" s="1650" t="s">
        <v>3632</v>
      </c>
      <c r="X198" s="1644" t="s">
        <v>3759</v>
      </c>
      <c r="Y198" s="1647">
        <v>42076</v>
      </c>
      <c r="Z198" s="1647">
        <v>42442</v>
      </c>
      <c r="AA198" s="1650">
        <f t="shared" ca="1" si="5"/>
        <v>20</v>
      </c>
      <c r="AB198" s="2444" t="s">
        <v>3629</v>
      </c>
      <c r="AC198" s="2445"/>
      <c r="AD198" s="2438"/>
    </row>
    <row r="199" spans="1:30" ht="15.75" hidden="1" customHeight="1">
      <c r="A199" s="1644">
        <f t="shared" si="0"/>
        <v>0</v>
      </c>
      <c r="B199" s="1645" t="s">
        <v>4085</v>
      </c>
      <c r="C199" s="1645" t="s">
        <v>4086</v>
      </c>
      <c r="D199" s="1645" t="s">
        <v>4087</v>
      </c>
      <c r="E199" s="1646" t="s">
        <v>2797</v>
      </c>
      <c r="F199" s="1645">
        <f t="shared" si="6"/>
        <v>1979</v>
      </c>
      <c r="G199" s="1647">
        <v>29164</v>
      </c>
      <c r="H199" s="1644" t="s">
        <v>3636</v>
      </c>
      <c r="I199" s="1648" t="s">
        <v>3629</v>
      </c>
      <c r="J199" s="1645" t="s">
        <v>38</v>
      </c>
      <c r="K199" s="1645">
        <v>0</v>
      </c>
      <c r="L199" s="1645" t="s">
        <v>1733</v>
      </c>
      <c r="M199" s="1645" t="s">
        <v>1743</v>
      </c>
      <c r="N199" s="1645"/>
      <c r="O199" s="1645" t="s">
        <v>1743</v>
      </c>
      <c r="P199" s="1649"/>
      <c r="Q199" s="1645"/>
      <c r="R199" s="1647" t="s">
        <v>4084</v>
      </c>
      <c r="S199" s="1644"/>
      <c r="T199" s="1644" t="s">
        <v>936</v>
      </c>
      <c r="U199" s="1644" t="s">
        <v>3711</v>
      </c>
      <c r="V199" s="1644"/>
      <c r="W199" s="1644" t="s">
        <v>3687</v>
      </c>
      <c r="X199" s="1644" t="s">
        <v>3707</v>
      </c>
      <c r="Y199" s="1647">
        <v>38051</v>
      </c>
      <c r="Z199" s="1647">
        <v>38416</v>
      </c>
      <c r="AA199" s="1650">
        <f t="shared" ca="1" si="5"/>
        <v>15.083333333333334</v>
      </c>
      <c r="AB199" s="2444" t="s">
        <v>3629</v>
      </c>
      <c r="AC199" s="2445"/>
      <c r="AD199" s="2438"/>
    </row>
    <row r="200" spans="1:30" ht="15.75" hidden="1" customHeight="1">
      <c r="A200" s="1644">
        <f t="shared" si="0"/>
        <v>0</v>
      </c>
      <c r="B200" s="1645" t="s">
        <v>4088</v>
      </c>
      <c r="C200" s="1645" t="s">
        <v>4086</v>
      </c>
      <c r="D200" s="1645" t="s">
        <v>546</v>
      </c>
      <c r="E200" s="1644" t="s">
        <v>2797</v>
      </c>
      <c r="F200" s="1645">
        <f t="shared" si="6"/>
        <v>1975</v>
      </c>
      <c r="G200" s="1647">
        <v>27701</v>
      </c>
      <c r="H200" s="1644" t="s">
        <v>3797</v>
      </c>
      <c r="I200" s="1648" t="s">
        <v>3629</v>
      </c>
      <c r="J200" s="1645" t="s">
        <v>38</v>
      </c>
      <c r="K200" s="1645" t="s">
        <v>3798</v>
      </c>
      <c r="L200" s="1645" t="s">
        <v>4089</v>
      </c>
      <c r="M200" s="1645" t="s">
        <v>2869</v>
      </c>
      <c r="N200" s="1645"/>
      <c r="O200" s="1645" t="s">
        <v>2869</v>
      </c>
      <c r="P200" s="1649"/>
      <c r="Q200" s="1645" t="s">
        <v>3693</v>
      </c>
      <c r="R200" s="1647" t="s">
        <v>4051</v>
      </c>
      <c r="S200" s="1644" t="s">
        <v>3696</v>
      </c>
      <c r="T200" s="1644" t="s">
        <v>936</v>
      </c>
      <c r="U200" s="1644" t="s">
        <v>3802</v>
      </c>
      <c r="V200" s="1644"/>
      <c r="W200" s="1650" t="s">
        <v>3653</v>
      </c>
      <c r="X200" s="1644" t="s">
        <v>3633</v>
      </c>
      <c r="Y200" s="1647">
        <v>38524</v>
      </c>
      <c r="Z200" s="1647">
        <v>38889</v>
      </c>
      <c r="AA200" s="1650">
        <f t="shared" ca="1" si="5"/>
        <v>11.083333333333334</v>
      </c>
      <c r="AB200" s="2444" t="s">
        <v>3629</v>
      </c>
      <c r="AC200" s="2445"/>
      <c r="AD200" s="2438"/>
    </row>
    <row r="201" spans="1:30" ht="15.75" hidden="1" customHeight="1">
      <c r="A201" s="1644">
        <f t="shared" si="0"/>
        <v>0</v>
      </c>
      <c r="B201" s="1645" t="s">
        <v>4090</v>
      </c>
      <c r="C201" s="1645" t="s">
        <v>4086</v>
      </c>
      <c r="D201" s="1645" t="s">
        <v>4091</v>
      </c>
      <c r="E201" s="1646" t="s">
        <v>2798</v>
      </c>
      <c r="F201" s="1645">
        <f>+YEAR(G201)</f>
        <v>1996</v>
      </c>
      <c r="G201" s="1647">
        <v>35363</v>
      </c>
      <c r="H201" s="1646" t="s">
        <v>3636</v>
      </c>
      <c r="I201" s="1648" t="s">
        <v>3629</v>
      </c>
      <c r="J201" s="1645" t="s">
        <v>37</v>
      </c>
      <c r="K201" s="1645"/>
      <c r="L201" s="1645" t="s">
        <v>3975</v>
      </c>
      <c r="M201" s="1645" t="s">
        <v>3975</v>
      </c>
      <c r="N201" s="1645"/>
      <c r="O201" s="1645"/>
      <c r="P201" s="1649"/>
      <c r="Q201" s="1645"/>
      <c r="R201" s="1644"/>
      <c r="S201" s="1644"/>
      <c r="T201" s="1644"/>
      <c r="U201" s="1644"/>
      <c r="V201" s="1644"/>
      <c r="W201" s="1644"/>
      <c r="X201" s="1644"/>
      <c r="Y201" s="1644"/>
      <c r="Z201" s="1647"/>
      <c r="AA201" s="1654"/>
      <c r="AB201" s="2444" t="s">
        <v>3629</v>
      </c>
      <c r="AC201" s="2445"/>
      <c r="AD201" s="2438"/>
    </row>
    <row r="202" spans="1:30" ht="15.75" hidden="1" customHeight="1">
      <c r="A202" s="1644">
        <f t="shared" si="0"/>
        <v>0</v>
      </c>
      <c r="B202" s="1645" t="s">
        <v>4092</v>
      </c>
      <c r="C202" s="1645" t="s">
        <v>4086</v>
      </c>
      <c r="D202" s="1648" t="s">
        <v>547</v>
      </c>
      <c r="E202" s="1646" t="s">
        <v>2797</v>
      </c>
      <c r="F202" s="1645">
        <f t="shared" ref="F202:F280" si="7">YEAR(G202)</f>
        <v>1976</v>
      </c>
      <c r="G202" s="1647">
        <v>28080</v>
      </c>
      <c r="H202" s="1644" t="s">
        <v>3797</v>
      </c>
      <c r="I202" s="1648" t="s">
        <v>3629</v>
      </c>
      <c r="J202" s="1645" t="s">
        <v>38</v>
      </c>
      <c r="K202" s="1645" t="s">
        <v>3798</v>
      </c>
      <c r="L202" s="1645" t="s">
        <v>1701</v>
      </c>
      <c r="M202" s="1645" t="s">
        <v>4093</v>
      </c>
      <c r="N202" s="1645"/>
      <c r="O202" s="1645" t="s">
        <v>4094</v>
      </c>
      <c r="P202" s="1649"/>
      <c r="Q202" s="1645" t="s">
        <v>3800</v>
      </c>
      <c r="R202" s="1647" t="s">
        <v>3999</v>
      </c>
      <c r="S202" s="1644"/>
      <c r="T202" s="1644"/>
      <c r="U202" s="1644" t="s">
        <v>4095</v>
      </c>
      <c r="V202" s="1644" t="s">
        <v>936</v>
      </c>
      <c r="W202" s="1650" t="s">
        <v>4096</v>
      </c>
      <c r="X202" s="1644" t="s">
        <v>3633</v>
      </c>
      <c r="Y202" s="1647">
        <v>35952</v>
      </c>
      <c r="Z202" s="1647">
        <v>36317</v>
      </c>
      <c r="AA202" s="1650">
        <f t="shared" ref="AA202:AA250" ca="1" si="8">IF(E202="nữ",660-DATEDIF(G202,TODAY(),"m"),720-DATEDIF(G202,TODAY(),"m"))/12</f>
        <v>12.083333333333334</v>
      </c>
      <c r="AB202" s="2444" t="s">
        <v>3629</v>
      </c>
      <c r="AC202" s="2445"/>
      <c r="AD202" s="2438"/>
    </row>
    <row r="203" spans="1:30" ht="15.75" hidden="1" customHeight="1">
      <c r="A203" s="1644">
        <f t="shared" si="0"/>
        <v>0</v>
      </c>
      <c r="B203" s="1645" t="s">
        <v>4097</v>
      </c>
      <c r="C203" s="1645" t="s">
        <v>4080</v>
      </c>
      <c r="D203" s="1645"/>
      <c r="E203" s="1646" t="s">
        <v>2797</v>
      </c>
      <c r="F203" s="1645">
        <f t="shared" si="7"/>
        <v>1991</v>
      </c>
      <c r="G203" s="1647">
        <v>33416</v>
      </c>
      <c r="H203" s="1644" t="s">
        <v>3642</v>
      </c>
      <c r="I203" s="1648" t="s">
        <v>3629</v>
      </c>
      <c r="J203" s="1645" t="s">
        <v>37</v>
      </c>
      <c r="K203" s="1645"/>
      <c r="L203" s="1651" t="s">
        <v>3996</v>
      </c>
      <c r="M203" s="1645" t="s">
        <v>3996</v>
      </c>
      <c r="N203" s="1645"/>
      <c r="O203" s="1645">
        <v>0</v>
      </c>
      <c r="P203" s="1649"/>
      <c r="Q203" s="1645"/>
      <c r="R203" s="1647" t="s">
        <v>4098</v>
      </c>
      <c r="S203" s="1644" t="s">
        <v>3743</v>
      </c>
      <c r="T203" s="1644" t="s">
        <v>936</v>
      </c>
      <c r="U203" s="1644"/>
      <c r="V203" s="1644" t="s">
        <v>3649</v>
      </c>
      <c r="W203" s="1650" t="s">
        <v>3822</v>
      </c>
      <c r="X203" s="1644"/>
      <c r="Y203" s="1647"/>
      <c r="Z203" s="1647"/>
      <c r="AA203" s="1650">
        <f t="shared" ca="1" si="8"/>
        <v>26.666666666666668</v>
      </c>
      <c r="AB203" s="2444" t="s">
        <v>3629</v>
      </c>
      <c r="AC203" s="2445"/>
      <c r="AD203" s="2438"/>
    </row>
    <row r="204" spans="1:30" ht="15.75" hidden="1" customHeight="1">
      <c r="A204" s="1644">
        <f t="shared" si="0"/>
        <v>0</v>
      </c>
      <c r="B204" s="1645" t="s">
        <v>4099</v>
      </c>
      <c r="C204" s="1645" t="s">
        <v>4086</v>
      </c>
      <c r="D204" s="1645"/>
      <c r="E204" s="1644" t="s">
        <v>2798</v>
      </c>
      <c r="F204" s="1645">
        <f t="shared" si="7"/>
        <v>1978</v>
      </c>
      <c r="G204" s="1647">
        <v>28788</v>
      </c>
      <c r="H204" s="1644" t="s">
        <v>3642</v>
      </c>
      <c r="I204" s="1648" t="s">
        <v>3629</v>
      </c>
      <c r="J204" s="1645" t="s">
        <v>37</v>
      </c>
      <c r="K204" s="1645">
        <v>0</v>
      </c>
      <c r="L204" s="1645" t="s">
        <v>3741</v>
      </c>
      <c r="M204" s="1645" t="s">
        <v>506</v>
      </c>
      <c r="N204" s="1645"/>
      <c r="O204" s="1645" t="s">
        <v>3645</v>
      </c>
      <c r="P204" s="1649"/>
      <c r="Q204" s="1645"/>
      <c r="R204" s="1644"/>
      <c r="S204" s="1644" t="s">
        <v>3743</v>
      </c>
      <c r="T204" s="1644"/>
      <c r="U204" s="1644"/>
      <c r="V204" s="1644"/>
      <c r="W204" s="1650" t="s">
        <v>3653</v>
      </c>
      <c r="X204" s="1644" t="s">
        <v>3707</v>
      </c>
      <c r="Y204" s="1647">
        <v>37797</v>
      </c>
      <c r="Z204" s="1647">
        <v>38163</v>
      </c>
      <c r="AA204" s="1650">
        <f t="shared" ca="1" si="8"/>
        <v>9</v>
      </c>
      <c r="AB204" s="2444" t="s">
        <v>3629</v>
      </c>
      <c r="AC204" s="2445"/>
      <c r="AD204" s="2438"/>
    </row>
    <row r="205" spans="1:30" ht="15.75" hidden="1" customHeight="1">
      <c r="A205" s="1644">
        <f t="shared" si="0"/>
        <v>0</v>
      </c>
      <c r="B205" s="1645" t="s">
        <v>4100</v>
      </c>
      <c r="C205" s="1645" t="s">
        <v>4086</v>
      </c>
      <c r="D205" s="1645"/>
      <c r="E205" s="1646" t="s">
        <v>2798</v>
      </c>
      <c r="F205" s="1645">
        <f t="shared" si="7"/>
        <v>1982</v>
      </c>
      <c r="G205" s="1647">
        <v>29993</v>
      </c>
      <c r="H205" s="1644" t="s">
        <v>3642</v>
      </c>
      <c r="I205" s="1648" t="s">
        <v>3629</v>
      </c>
      <c r="J205" s="1645" t="s">
        <v>37</v>
      </c>
      <c r="K205" s="1645">
        <v>0</v>
      </c>
      <c r="L205" s="1645" t="s">
        <v>4101</v>
      </c>
      <c r="M205" s="1645" t="s">
        <v>506</v>
      </c>
      <c r="N205" s="1645"/>
      <c r="O205" s="1645" t="s">
        <v>3645</v>
      </c>
      <c r="P205" s="1649"/>
      <c r="Q205" s="1645"/>
      <c r="R205" s="1644"/>
      <c r="S205" s="1644" t="s">
        <v>3743</v>
      </c>
      <c r="T205" s="1644"/>
      <c r="U205" s="1644"/>
      <c r="V205" s="1644" t="s">
        <v>3649</v>
      </c>
      <c r="W205" s="1650" t="s">
        <v>3653</v>
      </c>
      <c r="X205" s="1644"/>
      <c r="Y205" s="1647">
        <v>44223</v>
      </c>
      <c r="Z205" s="1647">
        <v>0</v>
      </c>
      <c r="AA205" s="1650">
        <f t="shared" ca="1" si="8"/>
        <v>12.333333333333334</v>
      </c>
      <c r="AB205" s="2444" t="s">
        <v>3629</v>
      </c>
      <c r="AC205" s="2445"/>
      <c r="AD205" s="2438"/>
    </row>
    <row r="206" spans="1:30" ht="15.75" hidden="1" customHeight="1">
      <c r="A206" s="1644">
        <f t="shared" si="0"/>
        <v>0</v>
      </c>
      <c r="B206" s="1645" t="s">
        <v>4102</v>
      </c>
      <c r="C206" s="1645" t="s">
        <v>4103</v>
      </c>
      <c r="D206" s="1645" t="s">
        <v>4104</v>
      </c>
      <c r="E206" s="1644" t="s">
        <v>2797</v>
      </c>
      <c r="F206" s="1645">
        <f t="shared" si="7"/>
        <v>1985</v>
      </c>
      <c r="G206" s="1647">
        <v>31221</v>
      </c>
      <c r="H206" s="1644" t="s">
        <v>3661</v>
      </c>
      <c r="I206" s="1648" t="s">
        <v>3629</v>
      </c>
      <c r="J206" s="1645" t="s">
        <v>201</v>
      </c>
      <c r="K206" s="1645">
        <v>0</v>
      </c>
      <c r="L206" s="1645" t="s">
        <v>4105</v>
      </c>
      <c r="M206" s="1645">
        <v>0</v>
      </c>
      <c r="N206" s="1645"/>
      <c r="O206" s="1645">
        <v>0</v>
      </c>
      <c r="P206" s="1649"/>
      <c r="Q206" s="1645"/>
      <c r="R206" s="1647" t="s">
        <v>3667</v>
      </c>
      <c r="S206" s="1644"/>
      <c r="T206" s="1644"/>
      <c r="U206" s="1644"/>
      <c r="V206" s="1644" t="s">
        <v>3649</v>
      </c>
      <c r="W206" s="1644">
        <v>0</v>
      </c>
      <c r="X206" s="1644"/>
      <c r="Y206" s="1647">
        <v>44040</v>
      </c>
      <c r="Z206" s="1647">
        <v>44770</v>
      </c>
      <c r="AA206" s="1650">
        <f t="shared" ca="1" si="8"/>
        <v>20.666666666666668</v>
      </c>
      <c r="AB206" s="2444" t="s">
        <v>3629</v>
      </c>
      <c r="AC206" s="2445"/>
      <c r="AD206" s="2438"/>
    </row>
    <row r="207" spans="1:30" ht="15.75" hidden="1" customHeight="1">
      <c r="A207" s="1644">
        <f t="shared" si="0"/>
        <v>0</v>
      </c>
      <c r="B207" s="1645" t="s">
        <v>4106</v>
      </c>
      <c r="C207" s="1645" t="s">
        <v>4103</v>
      </c>
      <c r="D207" s="1645" t="s">
        <v>4104</v>
      </c>
      <c r="E207" s="1646" t="s">
        <v>2797</v>
      </c>
      <c r="F207" s="1645">
        <f t="shared" si="7"/>
        <v>1987</v>
      </c>
      <c r="G207" s="1647">
        <v>31929</v>
      </c>
      <c r="H207" s="1644" t="s">
        <v>3648</v>
      </c>
      <c r="I207" s="1648" t="s">
        <v>3629</v>
      </c>
      <c r="J207" s="1645" t="s">
        <v>201</v>
      </c>
      <c r="K207" s="1645">
        <v>0</v>
      </c>
      <c r="L207" s="1645" t="s">
        <v>4107</v>
      </c>
      <c r="M207" s="1645">
        <v>0</v>
      </c>
      <c r="N207" s="1645"/>
      <c r="O207" s="1645">
        <v>0</v>
      </c>
      <c r="P207" s="1649"/>
      <c r="Q207" s="1645"/>
      <c r="R207" s="1647" t="s">
        <v>4028</v>
      </c>
      <c r="S207" s="1644"/>
      <c r="T207" s="1644"/>
      <c r="U207" s="1644"/>
      <c r="V207" s="1644" t="s">
        <v>3649</v>
      </c>
      <c r="W207" s="1644">
        <v>0</v>
      </c>
      <c r="X207" s="1644"/>
      <c r="Y207" s="1647"/>
      <c r="Z207" s="1647"/>
      <c r="AA207" s="1650">
        <f t="shared" ca="1" si="8"/>
        <v>22.583333333333332</v>
      </c>
      <c r="AB207" s="2444" t="s">
        <v>3629</v>
      </c>
      <c r="AC207" s="2445"/>
      <c r="AD207" s="2438"/>
    </row>
    <row r="208" spans="1:30" ht="15.75" hidden="1" customHeight="1">
      <c r="A208" s="1644">
        <f t="shared" si="0"/>
        <v>0</v>
      </c>
      <c r="B208" s="1645" t="s">
        <v>4108</v>
      </c>
      <c r="C208" s="1645" t="s">
        <v>4103</v>
      </c>
      <c r="D208" s="1645" t="s">
        <v>4104</v>
      </c>
      <c r="E208" s="1644" t="s">
        <v>2797</v>
      </c>
      <c r="F208" s="1645">
        <f t="shared" si="7"/>
        <v>1982</v>
      </c>
      <c r="G208" s="1647">
        <v>30239</v>
      </c>
      <c r="H208" s="1644" t="s">
        <v>3648</v>
      </c>
      <c r="I208" s="1648" t="s">
        <v>3629</v>
      </c>
      <c r="J208" s="1645" t="s">
        <v>3678</v>
      </c>
      <c r="K208" s="1645">
        <v>0</v>
      </c>
      <c r="L208" s="1651" t="s">
        <v>4101</v>
      </c>
      <c r="M208" s="1645">
        <v>0</v>
      </c>
      <c r="N208" s="1645"/>
      <c r="O208" s="1645">
        <v>0</v>
      </c>
      <c r="P208" s="1649"/>
      <c r="Q208" s="1645"/>
      <c r="R208" s="1647" t="s">
        <v>3667</v>
      </c>
      <c r="S208" s="1644"/>
      <c r="T208" s="1644"/>
      <c r="U208" s="1644"/>
      <c r="V208" s="1644"/>
      <c r="W208" s="1644">
        <v>0</v>
      </c>
      <c r="X208" s="1644"/>
      <c r="Y208" s="1647"/>
      <c r="Z208" s="1647"/>
      <c r="AA208" s="1650">
        <f t="shared" ca="1" si="8"/>
        <v>18</v>
      </c>
      <c r="AB208" s="2444" t="s">
        <v>3629</v>
      </c>
      <c r="AC208" s="2445"/>
      <c r="AD208" s="2438"/>
    </row>
    <row r="209" spans="1:30" ht="15.75" hidden="1" customHeight="1">
      <c r="A209" s="1644">
        <f t="shared" si="0"/>
        <v>0</v>
      </c>
      <c r="B209" s="1645" t="s">
        <v>4109</v>
      </c>
      <c r="C209" s="1645" t="s">
        <v>4103</v>
      </c>
      <c r="D209" s="1645" t="s">
        <v>4104</v>
      </c>
      <c r="E209" s="1646" t="s">
        <v>2797</v>
      </c>
      <c r="F209" s="1645">
        <f t="shared" si="7"/>
        <v>1973</v>
      </c>
      <c r="G209" s="1647">
        <v>26964</v>
      </c>
      <c r="H209" s="1644" t="s">
        <v>3669</v>
      </c>
      <c r="I209" s="1648" t="s">
        <v>3629</v>
      </c>
      <c r="J209" s="1645" t="s">
        <v>3678</v>
      </c>
      <c r="K209" s="1645">
        <v>0</v>
      </c>
      <c r="L209" s="1651" t="s">
        <v>4110</v>
      </c>
      <c r="M209" s="1645">
        <v>0</v>
      </c>
      <c r="N209" s="1645"/>
      <c r="O209" s="1645">
        <v>0</v>
      </c>
      <c r="P209" s="1649"/>
      <c r="Q209" s="1645"/>
      <c r="R209" s="1644"/>
      <c r="S209" s="1644"/>
      <c r="T209" s="1644"/>
      <c r="U209" s="1644"/>
      <c r="V209" s="1644"/>
      <c r="W209" s="1644" t="s">
        <v>3658</v>
      </c>
      <c r="X209" s="1644"/>
      <c r="Y209" s="1647"/>
      <c r="Z209" s="1647"/>
      <c r="AA209" s="1650">
        <f t="shared" ca="1" si="8"/>
        <v>9</v>
      </c>
      <c r="AB209" s="2444" t="s">
        <v>3629</v>
      </c>
      <c r="AC209" s="2445"/>
      <c r="AD209" s="2438"/>
    </row>
    <row r="210" spans="1:30" ht="15.75" hidden="1" customHeight="1">
      <c r="A210" s="1644">
        <f t="shared" si="0"/>
        <v>0</v>
      </c>
      <c r="B210" s="1645" t="s">
        <v>4111</v>
      </c>
      <c r="C210" s="1645" t="s">
        <v>4103</v>
      </c>
      <c r="D210" s="1645" t="s">
        <v>4104</v>
      </c>
      <c r="E210" s="1644" t="s">
        <v>2797</v>
      </c>
      <c r="F210" s="1645">
        <f t="shared" si="7"/>
        <v>1972</v>
      </c>
      <c r="G210" s="1647">
        <v>26394</v>
      </c>
      <c r="H210" s="1644" t="s">
        <v>3642</v>
      </c>
      <c r="I210" s="1648" t="s">
        <v>3629</v>
      </c>
      <c r="J210" s="1645" t="s">
        <v>37</v>
      </c>
      <c r="K210" s="1645">
        <v>0</v>
      </c>
      <c r="L210" s="1645" t="s">
        <v>4112</v>
      </c>
      <c r="M210" s="1645" t="s">
        <v>506</v>
      </c>
      <c r="N210" s="1645"/>
      <c r="O210" s="1645" t="s">
        <v>3645</v>
      </c>
      <c r="P210" s="1649"/>
      <c r="Q210" s="1645"/>
      <c r="R210" s="1644" t="s">
        <v>4113</v>
      </c>
      <c r="S210" s="1644" t="s">
        <v>3743</v>
      </c>
      <c r="T210" s="1644"/>
      <c r="U210" s="1644"/>
      <c r="V210" s="1644" t="s">
        <v>3980</v>
      </c>
      <c r="W210" s="1644">
        <v>0</v>
      </c>
      <c r="X210" s="1644" t="s">
        <v>3633</v>
      </c>
      <c r="Y210" s="1647">
        <v>37245</v>
      </c>
      <c r="Z210" s="1647">
        <v>37610</v>
      </c>
      <c r="AA210" s="1650">
        <f t="shared" ca="1" si="8"/>
        <v>7.5</v>
      </c>
      <c r="AB210" s="2444" t="s">
        <v>3629</v>
      </c>
      <c r="AC210" s="2445"/>
      <c r="AD210" s="2438"/>
    </row>
    <row r="211" spans="1:30" ht="15.75" hidden="1" customHeight="1">
      <c r="A211" s="1644">
        <f t="shared" si="0"/>
        <v>0</v>
      </c>
      <c r="B211" s="1645" t="s">
        <v>4114</v>
      </c>
      <c r="C211" s="1645" t="s">
        <v>4103</v>
      </c>
      <c r="D211" s="1645" t="s">
        <v>4104</v>
      </c>
      <c r="E211" s="1646" t="s">
        <v>2797</v>
      </c>
      <c r="F211" s="1645">
        <f t="shared" si="7"/>
        <v>1986</v>
      </c>
      <c r="G211" s="1647">
        <v>31741</v>
      </c>
      <c r="H211" s="1644" t="s">
        <v>3648</v>
      </c>
      <c r="I211" s="1648" t="s">
        <v>3629</v>
      </c>
      <c r="J211" s="1645" t="s">
        <v>3678</v>
      </c>
      <c r="K211" s="1645">
        <v>0</v>
      </c>
      <c r="L211" s="1651" t="s">
        <v>4115</v>
      </c>
      <c r="M211" s="1645">
        <v>0</v>
      </c>
      <c r="N211" s="1645"/>
      <c r="O211" s="1645">
        <v>0</v>
      </c>
      <c r="P211" s="1649"/>
      <c r="Q211" s="1645"/>
      <c r="R211" s="1647" t="s">
        <v>4028</v>
      </c>
      <c r="S211" s="1644"/>
      <c r="T211" s="1644"/>
      <c r="U211" s="1644"/>
      <c r="V211" s="1644" t="s">
        <v>3649</v>
      </c>
      <c r="W211" s="1650" t="s">
        <v>3653</v>
      </c>
      <c r="X211" s="1644"/>
      <c r="Y211" s="1647">
        <v>42314</v>
      </c>
      <c r="Z211" s="1647">
        <v>43045</v>
      </c>
      <c r="AA211" s="1650">
        <f t="shared" ca="1" si="8"/>
        <v>22.083333333333332</v>
      </c>
      <c r="AB211" s="2444" t="s">
        <v>3629</v>
      </c>
      <c r="AC211" s="2445"/>
      <c r="AD211" s="2438"/>
    </row>
    <row r="212" spans="1:30" ht="15.75" hidden="1" customHeight="1">
      <c r="A212" s="1644">
        <f t="shared" si="0"/>
        <v>0</v>
      </c>
      <c r="B212" s="1645" t="s">
        <v>4116</v>
      </c>
      <c r="C212" s="1645" t="s">
        <v>4103</v>
      </c>
      <c r="D212" s="1645" t="s">
        <v>4117</v>
      </c>
      <c r="E212" s="1646" t="s">
        <v>2798</v>
      </c>
      <c r="F212" s="1645">
        <f t="shared" si="7"/>
        <v>1981</v>
      </c>
      <c r="G212" s="1647">
        <v>29718</v>
      </c>
      <c r="H212" s="1644" t="s">
        <v>3648</v>
      </c>
      <c r="I212" s="1648" t="s">
        <v>3629</v>
      </c>
      <c r="J212" s="1645" t="s">
        <v>201</v>
      </c>
      <c r="K212" s="1645">
        <v>0</v>
      </c>
      <c r="L212" s="1645" t="s">
        <v>3794</v>
      </c>
      <c r="M212" s="1645">
        <v>0</v>
      </c>
      <c r="N212" s="1645"/>
      <c r="O212" s="1645">
        <v>0</v>
      </c>
      <c r="P212" s="1649"/>
      <c r="Q212" s="1645"/>
      <c r="R212" s="1647" t="s">
        <v>3667</v>
      </c>
      <c r="S212" s="1644" t="s">
        <v>4068</v>
      </c>
      <c r="T212" s="1644"/>
      <c r="U212" s="1644"/>
      <c r="V212" s="1644"/>
      <c r="W212" s="1650" t="s">
        <v>3822</v>
      </c>
      <c r="X212" s="1644"/>
      <c r="Y212" s="1647"/>
      <c r="Z212" s="1647"/>
      <c r="AA212" s="1650">
        <f t="shared" ca="1" si="8"/>
        <v>11.583333333333334</v>
      </c>
      <c r="AB212" s="2444" t="s">
        <v>3629</v>
      </c>
      <c r="AC212" s="2445"/>
      <c r="AD212" s="2438"/>
    </row>
    <row r="213" spans="1:30" ht="15.75" hidden="1" customHeight="1">
      <c r="A213" s="1644">
        <f t="shared" si="0"/>
        <v>0</v>
      </c>
      <c r="B213" s="1645" t="s">
        <v>4118</v>
      </c>
      <c r="C213" s="1645" t="s">
        <v>4103</v>
      </c>
      <c r="D213" s="1645" t="s">
        <v>4117</v>
      </c>
      <c r="E213" s="1644" t="s">
        <v>2798</v>
      </c>
      <c r="F213" s="1645">
        <f t="shared" si="7"/>
        <v>1981</v>
      </c>
      <c r="G213" s="1647">
        <v>29913</v>
      </c>
      <c r="H213" s="1644" t="s">
        <v>3642</v>
      </c>
      <c r="I213" s="1648" t="s">
        <v>3629</v>
      </c>
      <c r="J213" s="1645" t="s">
        <v>37</v>
      </c>
      <c r="K213" s="1645">
        <v>0</v>
      </c>
      <c r="L213" s="1645" t="s">
        <v>1701</v>
      </c>
      <c r="M213" s="1645" t="s">
        <v>4119</v>
      </c>
      <c r="N213" s="1645"/>
      <c r="O213" s="1645" t="s">
        <v>3645</v>
      </c>
      <c r="P213" s="1649"/>
      <c r="Q213" s="1645"/>
      <c r="R213" s="1644"/>
      <c r="S213" s="1644" t="s">
        <v>3743</v>
      </c>
      <c r="T213" s="1644"/>
      <c r="U213" s="1644"/>
      <c r="V213" s="1644"/>
      <c r="W213" s="1650" t="s">
        <v>3822</v>
      </c>
      <c r="X213" s="1644" t="s">
        <v>3707</v>
      </c>
      <c r="Y213" s="1647">
        <v>41862</v>
      </c>
      <c r="Z213" s="1647">
        <v>42227</v>
      </c>
      <c r="AA213" s="1650">
        <f t="shared" ca="1" si="8"/>
        <v>12.083333333333334</v>
      </c>
      <c r="AB213" s="2444" t="s">
        <v>3629</v>
      </c>
      <c r="AC213" s="2445"/>
      <c r="AD213" s="2438"/>
    </row>
    <row r="214" spans="1:30" ht="15.75" hidden="1" customHeight="1">
      <c r="A214" s="1644">
        <f t="shared" si="0"/>
        <v>0</v>
      </c>
      <c r="B214" s="1645" t="s">
        <v>4120</v>
      </c>
      <c r="C214" s="1645" t="s">
        <v>4103</v>
      </c>
      <c r="D214" s="1645" t="s">
        <v>4117</v>
      </c>
      <c r="E214" s="1644" t="s">
        <v>2797</v>
      </c>
      <c r="F214" s="1645">
        <f t="shared" si="7"/>
        <v>1974</v>
      </c>
      <c r="G214" s="1647">
        <v>27321</v>
      </c>
      <c r="H214" s="1644" t="s">
        <v>3651</v>
      </c>
      <c r="I214" s="1648" t="s">
        <v>3629</v>
      </c>
      <c r="J214" s="1645" t="s">
        <v>37</v>
      </c>
      <c r="K214" s="1645">
        <v>0</v>
      </c>
      <c r="L214" s="1645" t="s">
        <v>4121</v>
      </c>
      <c r="M214" s="1645" t="s">
        <v>4122</v>
      </c>
      <c r="N214" s="1645"/>
      <c r="O214" s="1645" t="s">
        <v>3645</v>
      </c>
      <c r="P214" s="1649"/>
      <c r="Q214" s="1645"/>
      <c r="R214" s="1644"/>
      <c r="S214" s="1644" t="s">
        <v>4068</v>
      </c>
      <c r="T214" s="1644"/>
      <c r="U214" s="1644"/>
      <c r="V214" s="1644"/>
      <c r="W214" s="1650" t="s">
        <v>3653</v>
      </c>
      <c r="X214" s="1644"/>
      <c r="Y214" s="1647">
        <v>38981</v>
      </c>
      <c r="Z214" s="1647">
        <v>39346</v>
      </c>
      <c r="AA214" s="1650">
        <f t="shared" ca="1" si="8"/>
        <v>10</v>
      </c>
      <c r="AB214" s="2444" t="s">
        <v>3629</v>
      </c>
      <c r="AC214" s="2445"/>
      <c r="AD214" s="2438"/>
    </row>
    <row r="215" spans="1:30" ht="15.75" hidden="1" customHeight="1">
      <c r="A215" s="1644">
        <f t="shared" si="0"/>
        <v>0</v>
      </c>
      <c r="B215" s="1645" t="s">
        <v>4123</v>
      </c>
      <c r="C215" s="1645" t="s">
        <v>4103</v>
      </c>
      <c r="D215" s="1645" t="s">
        <v>4117</v>
      </c>
      <c r="E215" s="1646" t="s">
        <v>2797</v>
      </c>
      <c r="F215" s="1645">
        <f t="shared" si="7"/>
        <v>1982</v>
      </c>
      <c r="G215" s="1647">
        <v>30036</v>
      </c>
      <c r="H215" s="1644" t="s">
        <v>3642</v>
      </c>
      <c r="I215" s="1648" t="s">
        <v>3629</v>
      </c>
      <c r="J215" s="1645" t="s">
        <v>37</v>
      </c>
      <c r="K215" s="1645">
        <v>0</v>
      </c>
      <c r="L215" s="1645" t="s">
        <v>4124</v>
      </c>
      <c r="M215" s="1645">
        <v>0</v>
      </c>
      <c r="N215" s="1645"/>
      <c r="O215" s="1645" t="s">
        <v>3645</v>
      </c>
      <c r="P215" s="1649"/>
      <c r="Q215" s="1645"/>
      <c r="R215" s="1644"/>
      <c r="S215" s="1644" t="s">
        <v>4125</v>
      </c>
      <c r="T215" s="1644"/>
      <c r="U215" s="1644"/>
      <c r="V215" s="1644" t="s">
        <v>3649</v>
      </c>
      <c r="W215" s="1644" t="s">
        <v>3687</v>
      </c>
      <c r="X215" s="1644" t="s">
        <v>3707</v>
      </c>
      <c r="Y215" s="1647">
        <v>40921</v>
      </c>
      <c r="Z215" s="1647">
        <v>41287</v>
      </c>
      <c r="AA215" s="1650">
        <f t="shared" ca="1" si="8"/>
        <v>17.416666666666668</v>
      </c>
      <c r="AB215" s="2444" t="s">
        <v>3629</v>
      </c>
      <c r="AC215" s="2445"/>
      <c r="AD215" s="2438"/>
    </row>
    <row r="216" spans="1:30" ht="15.75" hidden="1" customHeight="1">
      <c r="A216" s="1644">
        <f t="shared" si="0"/>
        <v>0</v>
      </c>
      <c r="B216" s="1658" t="s">
        <v>4126</v>
      </c>
      <c r="C216" s="1658" t="s">
        <v>4103</v>
      </c>
      <c r="D216" s="1658" t="s">
        <v>4117</v>
      </c>
      <c r="E216" s="1662" t="s">
        <v>2797</v>
      </c>
      <c r="F216" s="1658">
        <f t="shared" si="7"/>
        <v>1967</v>
      </c>
      <c r="G216" s="1660">
        <v>24602</v>
      </c>
      <c r="H216" s="1662" t="s">
        <v>3642</v>
      </c>
      <c r="I216" s="1661" t="s">
        <v>3629</v>
      </c>
      <c r="J216" s="1658" t="s">
        <v>37</v>
      </c>
      <c r="K216" s="1658">
        <v>0</v>
      </c>
      <c r="L216" s="1658" t="s">
        <v>4127</v>
      </c>
      <c r="M216" s="1658" t="s">
        <v>4127</v>
      </c>
      <c r="N216" s="1658"/>
      <c r="O216" s="1645" t="s">
        <v>3645</v>
      </c>
      <c r="P216" s="1649"/>
      <c r="Q216" s="1645"/>
      <c r="R216" s="1662"/>
      <c r="S216" s="1644" t="s">
        <v>3795</v>
      </c>
      <c r="T216" s="1662"/>
      <c r="U216" s="1662"/>
      <c r="V216" s="1662"/>
      <c r="W216" s="1650" t="s">
        <v>3653</v>
      </c>
      <c r="X216" s="1662"/>
      <c r="Y216" s="1647">
        <v>41825</v>
      </c>
      <c r="Z216" s="1647">
        <v>42190</v>
      </c>
      <c r="AA216" s="1664">
        <f t="shared" ca="1" si="8"/>
        <v>2.5833333333333335</v>
      </c>
      <c r="AB216" s="2444" t="s">
        <v>3629</v>
      </c>
      <c r="AC216" s="2445"/>
      <c r="AD216" s="2438"/>
    </row>
    <row r="217" spans="1:30" ht="15.75" hidden="1" customHeight="1">
      <c r="A217" s="1644">
        <f t="shared" si="0"/>
        <v>0</v>
      </c>
      <c r="B217" s="1645" t="s">
        <v>4128</v>
      </c>
      <c r="C217" s="1645" t="s">
        <v>4103</v>
      </c>
      <c r="D217" s="1645" t="s">
        <v>4129</v>
      </c>
      <c r="E217" s="1646" t="s">
        <v>2798</v>
      </c>
      <c r="F217" s="1645">
        <f t="shared" si="7"/>
        <v>1977</v>
      </c>
      <c r="G217" s="1647">
        <v>28460</v>
      </c>
      <c r="H217" s="1644" t="s">
        <v>3648</v>
      </c>
      <c r="I217" s="1648" t="s">
        <v>3629</v>
      </c>
      <c r="J217" s="1645" t="s">
        <v>201</v>
      </c>
      <c r="K217" s="1645">
        <v>0</v>
      </c>
      <c r="L217" s="1645" t="s">
        <v>4057</v>
      </c>
      <c r="M217" s="1645">
        <v>0</v>
      </c>
      <c r="N217" s="1645"/>
      <c r="O217" s="1645" t="s">
        <v>3645</v>
      </c>
      <c r="P217" s="1649"/>
      <c r="Q217" s="1645"/>
      <c r="R217" s="1647" t="s">
        <v>4130</v>
      </c>
      <c r="S217" s="1644"/>
      <c r="T217" s="1644"/>
      <c r="U217" s="1644"/>
      <c r="V217" s="1644"/>
      <c r="W217" s="1644" t="s">
        <v>3687</v>
      </c>
      <c r="X217" s="1644"/>
      <c r="Y217" s="1647"/>
      <c r="Z217" s="1647"/>
      <c r="AA217" s="1650">
        <f t="shared" ca="1" si="8"/>
        <v>8.0833333333333339</v>
      </c>
      <c r="AB217" s="2444" t="s">
        <v>3629</v>
      </c>
      <c r="AC217" s="2445"/>
      <c r="AD217" s="2438"/>
    </row>
    <row r="218" spans="1:30" ht="15.75" hidden="1" customHeight="1">
      <c r="A218" s="1644">
        <f t="shared" si="0"/>
        <v>0</v>
      </c>
      <c r="B218" s="1645" t="s">
        <v>4131</v>
      </c>
      <c r="C218" s="1645" t="s">
        <v>4103</v>
      </c>
      <c r="D218" s="1645" t="s">
        <v>4129</v>
      </c>
      <c r="E218" s="1644" t="s">
        <v>2797</v>
      </c>
      <c r="F218" s="1645">
        <f t="shared" si="7"/>
        <v>1984</v>
      </c>
      <c r="G218" s="1647">
        <v>30682</v>
      </c>
      <c r="H218" s="1644" t="s">
        <v>3642</v>
      </c>
      <c r="I218" s="1648" t="s">
        <v>3629</v>
      </c>
      <c r="J218" s="1645" t="s">
        <v>37</v>
      </c>
      <c r="K218" s="1645">
        <v>0</v>
      </c>
      <c r="L218" s="1645" t="s">
        <v>3946</v>
      </c>
      <c r="M218" s="1645">
        <v>0</v>
      </c>
      <c r="N218" s="1645"/>
      <c r="O218" s="1645" t="s">
        <v>3645</v>
      </c>
      <c r="P218" s="1649"/>
      <c r="Q218" s="1645"/>
      <c r="R218" s="1644"/>
      <c r="S218" s="1644"/>
      <c r="T218" s="1644"/>
      <c r="U218" s="1644"/>
      <c r="V218" s="1644" t="s">
        <v>3657</v>
      </c>
      <c r="W218" s="1650" t="s">
        <v>3653</v>
      </c>
      <c r="X218" s="1644" t="s">
        <v>3633</v>
      </c>
      <c r="Y218" s="1647">
        <v>42227</v>
      </c>
      <c r="Z218" s="1647">
        <v>42593</v>
      </c>
      <c r="AA218" s="1650">
        <f t="shared" ca="1" si="8"/>
        <v>19.166666666666668</v>
      </c>
      <c r="AB218" s="2444" t="s">
        <v>3629</v>
      </c>
      <c r="AC218" s="2445"/>
      <c r="AD218" s="2438"/>
    </row>
    <row r="219" spans="1:30" ht="15.75" hidden="1" customHeight="1">
      <c r="A219" s="1644">
        <f t="shared" si="0"/>
        <v>0</v>
      </c>
      <c r="B219" s="1645" t="s">
        <v>4132</v>
      </c>
      <c r="C219" s="1645" t="s">
        <v>4103</v>
      </c>
      <c r="D219" s="1645" t="s">
        <v>4129</v>
      </c>
      <c r="E219" s="1644" t="s">
        <v>2798</v>
      </c>
      <c r="F219" s="1645">
        <f t="shared" si="7"/>
        <v>1991</v>
      </c>
      <c r="G219" s="1647">
        <v>33536</v>
      </c>
      <c r="H219" s="1644" t="s">
        <v>3642</v>
      </c>
      <c r="I219" s="1648" t="s">
        <v>3629</v>
      </c>
      <c r="J219" s="1645" t="s">
        <v>37</v>
      </c>
      <c r="K219" s="1645"/>
      <c r="L219" s="1651" t="s">
        <v>3888</v>
      </c>
      <c r="M219" s="1645" t="s">
        <v>3888</v>
      </c>
      <c r="N219" s="1645"/>
      <c r="O219" s="1645">
        <v>0</v>
      </c>
      <c r="P219" s="1649"/>
      <c r="Q219" s="1645"/>
      <c r="R219" s="1647" t="s">
        <v>3667</v>
      </c>
      <c r="S219" s="1644"/>
      <c r="T219" s="1644"/>
      <c r="U219" s="1644"/>
      <c r="V219" s="1644" t="s">
        <v>3649</v>
      </c>
      <c r="W219" s="1644" t="s">
        <v>3968</v>
      </c>
      <c r="X219" s="1644"/>
      <c r="Y219" s="1647"/>
      <c r="Z219" s="1647"/>
      <c r="AA219" s="1650">
        <f t="shared" ca="1" si="8"/>
        <v>22</v>
      </c>
      <c r="AB219" s="2444" t="s">
        <v>3629</v>
      </c>
      <c r="AC219" s="2445"/>
      <c r="AD219" s="2438"/>
    </row>
    <row r="220" spans="1:30" ht="15.75" hidden="1" customHeight="1">
      <c r="A220" s="1644">
        <f t="shared" si="0"/>
        <v>0</v>
      </c>
      <c r="B220" s="1645" t="s">
        <v>4133</v>
      </c>
      <c r="C220" s="1645" t="s">
        <v>4103</v>
      </c>
      <c r="D220" s="1645" t="s">
        <v>4129</v>
      </c>
      <c r="E220" s="1644" t="s">
        <v>2797</v>
      </c>
      <c r="F220" s="1645">
        <f t="shared" si="7"/>
        <v>1979</v>
      </c>
      <c r="G220" s="1647">
        <v>29091</v>
      </c>
      <c r="H220" s="1644" t="s">
        <v>3642</v>
      </c>
      <c r="I220" s="1648" t="s">
        <v>3629</v>
      </c>
      <c r="J220" s="1645" t="s">
        <v>37</v>
      </c>
      <c r="K220" s="1645">
        <v>0</v>
      </c>
      <c r="L220" s="1645" t="s">
        <v>3873</v>
      </c>
      <c r="M220" s="1645" t="s">
        <v>3873</v>
      </c>
      <c r="N220" s="1645"/>
      <c r="O220" s="1645" t="s">
        <v>3645</v>
      </c>
      <c r="P220" s="1649"/>
      <c r="Q220" s="1645"/>
      <c r="R220" s="1644"/>
      <c r="S220" s="1644"/>
      <c r="T220" s="1644"/>
      <c r="U220" s="1644"/>
      <c r="V220" s="1644"/>
      <c r="W220" s="1644">
        <v>0</v>
      </c>
      <c r="X220" s="1644" t="s">
        <v>3633</v>
      </c>
      <c r="Y220" s="1647">
        <v>39962</v>
      </c>
      <c r="Z220" s="1647">
        <v>40327</v>
      </c>
      <c r="AA220" s="1650">
        <f t="shared" ca="1" si="8"/>
        <v>14.833333333333334</v>
      </c>
      <c r="AB220" s="2444" t="s">
        <v>3629</v>
      </c>
      <c r="AC220" s="2445"/>
      <c r="AD220" s="2438"/>
    </row>
    <row r="221" spans="1:30" ht="15.75" hidden="1" customHeight="1">
      <c r="A221" s="1644">
        <f t="shared" si="0"/>
        <v>0</v>
      </c>
      <c r="B221" s="1645" t="s">
        <v>4134</v>
      </c>
      <c r="C221" s="1645" t="s">
        <v>4103</v>
      </c>
      <c r="D221" s="1645" t="s">
        <v>4129</v>
      </c>
      <c r="E221" s="1646" t="s">
        <v>2797</v>
      </c>
      <c r="F221" s="1645">
        <f t="shared" si="7"/>
        <v>1962</v>
      </c>
      <c r="G221" s="1647">
        <v>22911</v>
      </c>
      <c r="H221" s="1644" t="s">
        <v>3669</v>
      </c>
      <c r="I221" s="1648" t="s">
        <v>3629</v>
      </c>
      <c r="J221" s="1645" t="s">
        <v>4038</v>
      </c>
      <c r="K221" s="1645">
        <v>0</v>
      </c>
      <c r="L221" s="1651" t="s">
        <v>4135</v>
      </c>
      <c r="M221" s="1645">
        <v>0</v>
      </c>
      <c r="N221" s="1645"/>
      <c r="O221" s="1645">
        <v>0</v>
      </c>
      <c r="P221" s="1649"/>
      <c r="Q221" s="1645"/>
      <c r="R221" s="1644"/>
      <c r="S221" s="1644"/>
      <c r="T221" s="1644"/>
      <c r="U221" s="1644"/>
      <c r="V221" s="1644"/>
      <c r="W221" s="1644" t="s">
        <v>936</v>
      </c>
      <c r="X221" s="1644"/>
      <c r="Y221" s="1647"/>
      <c r="Z221" s="1647"/>
      <c r="AA221" s="1650">
        <f t="shared" ca="1" si="8"/>
        <v>-2.0833333333333335</v>
      </c>
      <c r="AB221" s="2444" t="s">
        <v>3629</v>
      </c>
      <c r="AC221" s="2445"/>
      <c r="AD221" s="2438"/>
    </row>
    <row r="222" spans="1:30" ht="15.75" hidden="1" customHeight="1">
      <c r="A222" s="1644">
        <f t="shared" si="0"/>
        <v>0</v>
      </c>
      <c r="B222" s="1645" t="s">
        <v>4136</v>
      </c>
      <c r="C222" s="1645" t="s">
        <v>4103</v>
      </c>
      <c r="D222" s="1645" t="s">
        <v>4129</v>
      </c>
      <c r="E222" s="1644" t="s">
        <v>2797</v>
      </c>
      <c r="F222" s="1645">
        <f t="shared" si="7"/>
        <v>1983</v>
      </c>
      <c r="G222" s="1647">
        <v>30521</v>
      </c>
      <c r="H222" s="1644" t="s">
        <v>3642</v>
      </c>
      <c r="I222" s="1648" t="s">
        <v>3629</v>
      </c>
      <c r="J222" s="1645" t="s">
        <v>37</v>
      </c>
      <c r="K222" s="1645">
        <v>0</v>
      </c>
      <c r="L222" s="1645" t="s">
        <v>4137</v>
      </c>
      <c r="M222" s="1645">
        <v>0</v>
      </c>
      <c r="N222" s="1645"/>
      <c r="O222" s="1645" t="s">
        <v>3645</v>
      </c>
      <c r="P222" s="1649"/>
      <c r="Q222" s="1645"/>
      <c r="R222" s="1644"/>
      <c r="S222" s="1644"/>
      <c r="T222" s="1644"/>
      <c r="U222" s="1644"/>
      <c r="V222" s="1644" t="s">
        <v>3649</v>
      </c>
      <c r="W222" s="1650" t="s">
        <v>3653</v>
      </c>
      <c r="X222" s="1644" t="s">
        <v>3707</v>
      </c>
      <c r="Y222" s="1647"/>
      <c r="Z222" s="1647"/>
      <c r="AA222" s="1650">
        <f t="shared" ca="1" si="8"/>
        <v>18.75</v>
      </c>
      <c r="AB222" s="2444" t="s">
        <v>3629</v>
      </c>
      <c r="AC222" s="2445"/>
      <c r="AD222" s="2438"/>
    </row>
    <row r="223" spans="1:30" ht="15.75" hidden="1" customHeight="1">
      <c r="A223" s="1644">
        <f t="shared" si="0"/>
        <v>0</v>
      </c>
      <c r="B223" s="1645" t="s">
        <v>4138</v>
      </c>
      <c r="C223" s="1645" t="s">
        <v>4103</v>
      </c>
      <c r="D223" s="1645" t="s">
        <v>4129</v>
      </c>
      <c r="E223" s="1644" t="s">
        <v>2797</v>
      </c>
      <c r="F223" s="1645">
        <f t="shared" si="7"/>
        <v>1962</v>
      </c>
      <c r="G223" s="1647">
        <v>22890</v>
      </c>
      <c r="H223" s="1644" t="s">
        <v>4139</v>
      </c>
      <c r="I223" s="1648" t="s">
        <v>4140</v>
      </c>
      <c r="J223" s="1645" t="s">
        <v>37</v>
      </c>
      <c r="K223" s="1645">
        <v>0</v>
      </c>
      <c r="L223" s="1645" t="s">
        <v>3996</v>
      </c>
      <c r="M223" s="1645" t="s">
        <v>506</v>
      </c>
      <c r="N223" s="1645"/>
      <c r="O223" s="1645" t="s">
        <v>3645</v>
      </c>
      <c r="P223" s="1649"/>
      <c r="Q223" s="1645"/>
      <c r="R223" s="1644"/>
      <c r="S223" s="1644"/>
      <c r="T223" s="1644"/>
      <c r="U223" s="1644"/>
      <c r="V223" s="1644" t="s">
        <v>4141</v>
      </c>
      <c r="W223" s="1650" t="s">
        <v>3632</v>
      </c>
      <c r="X223" s="1644" t="s">
        <v>3633</v>
      </c>
      <c r="Y223" s="1647">
        <v>31737</v>
      </c>
      <c r="Z223" s="1647">
        <v>32102</v>
      </c>
      <c r="AA223" s="1650">
        <f t="shared" ca="1" si="8"/>
        <v>-2.1666666666666665</v>
      </c>
      <c r="AB223" s="2444" t="s">
        <v>3629</v>
      </c>
      <c r="AC223" s="2445"/>
      <c r="AD223" s="2438"/>
    </row>
    <row r="224" spans="1:30" ht="15.75" hidden="1" customHeight="1">
      <c r="A224" s="1644">
        <f t="shared" si="0"/>
        <v>0</v>
      </c>
      <c r="B224" s="1645" t="s">
        <v>4142</v>
      </c>
      <c r="C224" s="1645" t="s">
        <v>4103</v>
      </c>
      <c r="D224" s="1645" t="s">
        <v>4129</v>
      </c>
      <c r="E224" s="1644" t="s">
        <v>2797</v>
      </c>
      <c r="F224" s="1645">
        <f t="shared" si="7"/>
        <v>1984</v>
      </c>
      <c r="G224" s="1647">
        <v>30949</v>
      </c>
      <c r="H224" s="1644" t="s">
        <v>3648</v>
      </c>
      <c r="I224" s="1648" t="s">
        <v>3629</v>
      </c>
      <c r="J224" s="1645" t="s">
        <v>201</v>
      </c>
      <c r="K224" s="1645"/>
      <c r="L224" s="1645" t="s">
        <v>3676</v>
      </c>
      <c r="M224" s="1645">
        <v>0</v>
      </c>
      <c r="N224" s="1645"/>
      <c r="O224" s="1645">
        <v>0</v>
      </c>
      <c r="P224" s="1649"/>
      <c r="Q224" s="1645"/>
      <c r="R224" s="1647" t="s">
        <v>4028</v>
      </c>
      <c r="S224" s="1644"/>
      <c r="T224" s="1644" t="s">
        <v>936</v>
      </c>
      <c r="U224" s="1644"/>
      <c r="V224" s="1644"/>
      <c r="W224" s="1650" t="s">
        <v>3822</v>
      </c>
      <c r="X224" s="1644"/>
      <c r="Y224" s="1647"/>
      <c r="Z224" s="1647"/>
      <c r="AA224" s="1650">
        <f t="shared" ca="1" si="8"/>
        <v>19.916666666666668</v>
      </c>
      <c r="AB224" s="2444" t="s">
        <v>3629</v>
      </c>
      <c r="AC224" s="2445"/>
      <c r="AD224" s="2438"/>
    </row>
    <row r="225" spans="1:30" ht="15.75" hidden="1" customHeight="1">
      <c r="A225" s="1644">
        <f t="shared" si="0"/>
        <v>0</v>
      </c>
      <c r="B225" s="1645" t="s">
        <v>4143</v>
      </c>
      <c r="C225" s="1645" t="s">
        <v>4103</v>
      </c>
      <c r="D225" s="1645" t="s">
        <v>4129</v>
      </c>
      <c r="E225" s="1646" t="s">
        <v>2798</v>
      </c>
      <c r="F225" s="1645">
        <f t="shared" si="7"/>
        <v>1983</v>
      </c>
      <c r="G225" s="1647">
        <v>30613</v>
      </c>
      <c r="H225" s="1644" t="s">
        <v>3642</v>
      </c>
      <c r="I225" s="1648" t="s">
        <v>3629</v>
      </c>
      <c r="J225" s="1645" t="s">
        <v>201</v>
      </c>
      <c r="K225" s="1645">
        <v>0</v>
      </c>
      <c r="L225" s="1645" t="s">
        <v>3741</v>
      </c>
      <c r="M225" s="1645">
        <v>0</v>
      </c>
      <c r="N225" s="1645"/>
      <c r="O225" s="1645" t="s">
        <v>3645</v>
      </c>
      <c r="P225" s="1649"/>
      <c r="Q225" s="1645"/>
      <c r="R225" s="1644"/>
      <c r="S225" s="1644" t="s">
        <v>3743</v>
      </c>
      <c r="T225" s="1644"/>
      <c r="U225" s="1644"/>
      <c r="V225" s="1644" t="s">
        <v>3657</v>
      </c>
      <c r="W225" s="1650" t="s">
        <v>3646</v>
      </c>
      <c r="X225" s="1644"/>
      <c r="Y225" s="1647"/>
      <c r="Z225" s="1647"/>
      <c r="AA225" s="1650">
        <f t="shared" ca="1" si="8"/>
        <v>14</v>
      </c>
      <c r="AB225" s="2444" t="s">
        <v>3629</v>
      </c>
      <c r="AC225" s="2445"/>
      <c r="AD225" s="2438"/>
    </row>
    <row r="226" spans="1:30" ht="15.75" hidden="1" customHeight="1">
      <c r="A226" s="1644">
        <f t="shared" si="0"/>
        <v>0</v>
      </c>
      <c r="B226" s="1645" t="s">
        <v>4144</v>
      </c>
      <c r="C226" s="1645" t="s">
        <v>4103</v>
      </c>
      <c r="D226" s="1645" t="s">
        <v>4129</v>
      </c>
      <c r="E226" s="1646" t="s">
        <v>2797</v>
      </c>
      <c r="F226" s="1645">
        <f t="shared" si="7"/>
        <v>1979</v>
      </c>
      <c r="G226" s="1647">
        <v>29051</v>
      </c>
      <c r="H226" s="1644" t="s">
        <v>3642</v>
      </c>
      <c r="I226" s="1648" t="s">
        <v>3629</v>
      </c>
      <c r="J226" s="1645" t="s">
        <v>201</v>
      </c>
      <c r="K226" s="1645">
        <v>0</v>
      </c>
      <c r="L226" s="1645" t="s">
        <v>4145</v>
      </c>
      <c r="M226" s="1645">
        <v>0</v>
      </c>
      <c r="N226" s="1645"/>
      <c r="O226" s="1645">
        <v>0</v>
      </c>
      <c r="P226" s="1649"/>
      <c r="Q226" s="1645"/>
      <c r="R226" s="1647" t="s">
        <v>3667</v>
      </c>
      <c r="S226" s="1644" t="s">
        <v>3743</v>
      </c>
      <c r="T226" s="1644"/>
      <c r="U226" s="1644"/>
      <c r="V226" s="1644"/>
      <c r="W226" s="1644" t="s">
        <v>3939</v>
      </c>
      <c r="X226" s="1644"/>
      <c r="Y226" s="1647">
        <v>39630</v>
      </c>
      <c r="Z226" s="1647">
        <v>39995</v>
      </c>
      <c r="AA226" s="1650">
        <f t="shared" ca="1" si="8"/>
        <v>14.75</v>
      </c>
      <c r="AB226" s="2444" t="s">
        <v>3629</v>
      </c>
      <c r="AC226" s="2445"/>
      <c r="AD226" s="2438"/>
    </row>
    <row r="227" spans="1:30" ht="15.75" hidden="1" customHeight="1">
      <c r="A227" s="1644">
        <f t="shared" si="0"/>
        <v>0</v>
      </c>
      <c r="B227" s="1645" t="s">
        <v>4146</v>
      </c>
      <c r="C227" s="1645" t="s">
        <v>4103</v>
      </c>
      <c r="D227" s="1645" t="s">
        <v>4129</v>
      </c>
      <c r="E227" s="1646" t="s">
        <v>2798</v>
      </c>
      <c r="F227" s="1645">
        <f t="shared" si="7"/>
        <v>1981</v>
      </c>
      <c r="G227" s="1647">
        <v>29848</v>
      </c>
      <c r="H227" s="1644" t="s">
        <v>3651</v>
      </c>
      <c r="I227" s="1648" t="s">
        <v>3629</v>
      </c>
      <c r="J227" s="1645" t="s">
        <v>201</v>
      </c>
      <c r="K227" s="1645">
        <v>0</v>
      </c>
      <c r="L227" s="1645" t="s">
        <v>4147</v>
      </c>
      <c r="M227" s="1645">
        <v>0</v>
      </c>
      <c r="N227" s="1645"/>
      <c r="O227" s="1645" t="s">
        <v>3645</v>
      </c>
      <c r="P227" s="1649"/>
      <c r="Q227" s="1645"/>
      <c r="R227" s="1644"/>
      <c r="S227" s="1644"/>
      <c r="T227" s="1644" t="s">
        <v>936</v>
      </c>
      <c r="U227" s="1644"/>
      <c r="V227" s="1644"/>
      <c r="W227" s="1650" t="s">
        <v>3653</v>
      </c>
      <c r="X227" s="1644"/>
      <c r="Y227" s="1647">
        <v>43622</v>
      </c>
      <c r="Z227" s="1647">
        <v>43988</v>
      </c>
      <c r="AA227" s="1650">
        <f t="shared" ca="1" si="8"/>
        <v>11.916666666666666</v>
      </c>
      <c r="AB227" s="2444" t="s">
        <v>3629</v>
      </c>
      <c r="AC227" s="2445"/>
      <c r="AD227" s="2438"/>
    </row>
    <row r="228" spans="1:30" ht="15.75" hidden="1" customHeight="1">
      <c r="A228" s="1644">
        <f t="shared" si="0"/>
        <v>0</v>
      </c>
      <c r="B228" s="1645" t="s">
        <v>4148</v>
      </c>
      <c r="C228" s="1645" t="s">
        <v>4103</v>
      </c>
      <c r="D228" s="1645" t="s">
        <v>4129</v>
      </c>
      <c r="E228" s="1644" t="s">
        <v>2798</v>
      </c>
      <c r="F228" s="1645">
        <f t="shared" si="7"/>
        <v>1968</v>
      </c>
      <c r="G228" s="1647">
        <v>25013</v>
      </c>
      <c r="H228" s="1644" t="s">
        <v>3642</v>
      </c>
      <c r="I228" s="1648" t="s">
        <v>3629</v>
      </c>
      <c r="J228" s="1645" t="s">
        <v>201</v>
      </c>
      <c r="K228" s="1645">
        <v>0</v>
      </c>
      <c r="L228" s="1645" t="s">
        <v>4149</v>
      </c>
      <c r="M228" s="1645">
        <v>0</v>
      </c>
      <c r="N228" s="1645"/>
      <c r="O228" s="1645" t="s">
        <v>3645</v>
      </c>
      <c r="P228" s="1649"/>
      <c r="Q228" s="1645"/>
      <c r="R228" s="1644"/>
      <c r="S228" s="1644"/>
      <c r="T228" s="1644"/>
      <c r="U228" s="1644"/>
      <c r="V228" s="1644"/>
      <c r="W228" s="1650" t="s">
        <v>3653</v>
      </c>
      <c r="X228" s="1644"/>
      <c r="Y228" s="1647">
        <v>37244</v>
      </c>
      <c r="Z228" s="1647">
        <v>37609</v>
      </c>
      <c r="AA228" s="1650">
        <f t="shared" ca="1" si="8"/>
        <v>-1.3333333333333333</v>
      </c>
      <c r="AB228" s="2444" t="s">
        <v>3629</v>
      </c>
      <c r="AC228" s="2445"/>
      <c r="AD228" s="2438"/>
    </row>
    <row r="229" spans="1:30" ht="15.75" hidden="1" customHeight="1">
      <c r="A229" s="1644">
        <f t="shared" si="0"/>
        <v>0</v>
      </c>
      <c r="B229" s="1645" t="s">
        <v>4150</v>
      </c>
      <c r="C229" s="1645" t="s">
        <v>4103</v>
      </c>
      <c r="D229" s="1645"/>
      <c r="E229" s="1646" t="s">
        <v>2797</v>
      </c>
      <c r="F229" s="1645">
        <f t="shared" si="7"/>
        <v>1986</v>
      </c>
      <c r="G229" s="1647">
        <v>31502</v>
      </c>
      <c r="H229" s="1644" t="s">
        <v>3642</v>
      </c>
      <c r="I229" s="1648" t="s">
        <v>3629</v>
      </c>
      <c r="J229" s="1645" t="s">
        <v>201</v>
      </c>
      <c r="K229" s="1645">
        <v>0</v>
      </c>
      <c r="L229" s="1645" t="s">
        <v>1766</v>
      </c>
      <c r="M229" s="1645">
        <v>0</v>
      </c>
      <c r="N229" s="1645"/>
      <c r="O229" s="1645" t="s">
        <v>3645</v>
      </c>
      <c r="P229" s="1649"/>
      <c r="Q229" s="1645"/>
      <c r="R229" s="1644" t="s">
        <v>3710</v>
      </c>
      <c r="S229" s="1644" t="s">
        <v>4068</v>
      </c>
      <c r="T229" s="1644"/>
      <c r="U229" s="1644"/>
      <c r="V229" s="1644" t="s">
        <v>3649</v>
      </c>
      <c r="W229" s="1650" t="s">
        <v>3653</v>
      </c>
      <c r="X229" s="1644"/>
      <c r="Y229" s="1647"/>
      <c r="Z229" s="1647"/>
      <c r="AA229" s="1650">
        <f t="shared" ca="1" si="8"/>
        <v>21.416666666666668</v>
      </c>
      <c r="AB229" s="2444" t="s">
        <v>3629</v>
      </c>
      <c r="AC229" s="2445"/>
      <c r="AD229" s="2438"/>
    </row>
    <row r="230" spans="1:30" ht="15.75" hidden="1" customHeight="1">
      <c r="A230" s="1644">
        <f t="shared" si="0"/>
        <v>0</v>
      </c>
      <c r="B230" s="1645" t="s">
        <v>2556</v>
      </c>
      <c r="C230" s="1645" t="s">
        <v>4151</v>
      </c>
      <c r="D230" s="1645" t="s">
        <v>4152</v>
      </c>
      <c r="E230" s="1644" t="s">
        <v>2797</v>
      </c>
      <c r="F230" s="1645">
        <f t="shared" si="7"/>
        <v>1983</v>
      </c>
      <c r="G230" s="1647">
        <v>30369</v>
      </c>
      <c r="H230" s="1644" t="s">
        <v>3628</v>
      </c>
      <c r="I230" s="1648" t="s">
        <v>3629</v>
      </c>
      <c r="J230" s="1645" t="s">
        <v>38</v>
      </c>
      <c r="K230" s="1645">
        <v>0</v>
      </c>
      <c r="L230" s="1645" t="s">
        <v>4057</v>
      </c>
      <c r="M230" s="1645" t="s">
        <v>4153</v>
      </c>
      <c r="N230" s="1645"/>
      <c r="O230" s="1645" t="s">
        <v>4153</v>
      </c>
      <c r="P230" s="1649"/>
      <c r="Q230" s="1645" t="s">
        <v>3693</v>
      </c>
      <c r="R230" s="1647" t="s">
        <v>3699</v>
      </c>
      <c r="S230" s="1644" t="s">
        <v>3696</v>
      </c>
      <c r="T230" s="1644" t="s">
        <v>936</v>
      </c>
      <c r="U230" s="1644" t="s">
        <v>3631</v>
      </c>
      <c r="V230" s="1644"/>
      <c r="W230" s="1650" t="s">
        <v>3653</v>
      </c>
      <c r="X230" s="1644" t="s">
        <v>3707</v>
      </c>
      <c r="Y230" s="1647"/>
      <c r="Z230" s="1647"/>
      <c r="AA230" s="1650">
        <f t="shared" ca="1" si="8"/>
        <v>18.333333333333332</v>
      </c>
      <c r="AB230" s="2444" t="s">
        <v>3629</v>
      </c>
      <c r="AC230" s="2445"/>
      <c r="AD230" s="2438"/>
    </row>
    <row r="231" spans="1:30" ht="15.75" hidden="1" customHeight="1">
      <c r="A231" s="1644">
        <f t="shared" si="0"/>
        <v>0</v>
      </c>
      <c r="B231" s="1645" t="s">
        <v>4154</v>
      </c>
      <c r="C231" s="1645" t="s">
        <v>4151</v>
      </c>
      <c r="D231" s="1645" t="s">
        <v>546</v>
      </c>
      <c r="E231" s="1644" t="s">
        <v>2797</v>
      </c>
      <c r="F231" s="1645">
        <f t="shared" si="7"/>
        <v>1974</v>
      </c>
      <c r="G231" s="1647">
        <v>27030</v>
      </c>
      <c r="H231" s="1644" t="s">
        <v>3628</v>
      </c>
      <c r="I231" s="1648" t="s">
        <v>3629</v>
      </c>
      <c r="J231" s="1645" t="s">
        <v>38</v>
      </c>
      <c r="K231" s="1645">
        <v>0</v>
      </c>
      <c r="L231" s="1645" t="s">
        <v>4089</v>
      </c>
      <c r="M231" s="1645" t="s">
        <v>4155</v>
      </c>
      <c r="N231" s="1645"/>
      <c r="O231" s="1645" t="s">
        <v>4155</v>
      </c>
      <c r="P231" s="1649"/>
      <c r="Q231" s="1645" t="s">
        <v>3693</v>
      </c>
      <c r="R231" s="1647" t="s">
        <v>3789</v>
      </c>
      <c r="S231" s="1644" t="s">
        <v>3696</v>
      </c>
      <c r="T231" s="1644"/>
      <c r="U231" s="1644" t="s">
        <v>3631</v>
      </c>
      <c r="V231" s="1644"/>
      <c r="W231" s="1650" t="s">
        <v>4096</v>
      </c>
      <c r="X231" s="1644" t="s">
        <v>3633</v>
      </c>
      <c r="Y231" s="1647">
        <v>36092</v>
      </c>
      <c r="Z231" s="1647">
        <v>36457</v>
      </c>
      <c r="AA231" s="1650">
        <f t="shared" ca="1" si="8"/>
        <v>9.1666666666666661</v>
      </c>
      <c r="AB231" s="2444" t="s">
        <v>3629</v>
      </c>
      <c r="AC231" s="2445"/>
      <c r="AD231" s="2438"/>
    </row>
    <row r="232" spans="1:30" ht="15.75" hidden="1" customHeight="1">
      <c r="A232" s="1644">
        <f t="shared" si="0"/>
        <v>0</v>
      </c>
      <c r="B232" s="1645" t="s">
        <v>4156</v>
      </c>
      <c r="C232" s="1645" t="s">
        <v>4151</v>
      </c>
      <c r="D232" s="1645" t="s">
        <v>3644</v>
      </c>
      <c r="E232" s="1646" t="s">
        <v>2797</v>
      </c>
      <c r="F232" s="1645">
        <f t="shared" si="7"/>
        <v>1981</v>
      </c>
      <c r="G232" s="1647">
        <v>29921</v>
      </c>
      <c r="H232" s="1644" t="s">
        <v>3628</v>
      </c>
      <c r="I232" s="1648" t="s">
        <v>3629</v>
      </c>
      <c r="J232" s="1645" t="s">
        <v>38</v>
      </c>
      <c r="K232" s="1645">
        <v>0</v>
      </c>
      <c r="L232" s="1645" t="s">
        <v>4157</v>
      </c>
      <c r="M232" s="1645" t="s">
        <v>4157</v>
      </c>
      <c r="N232" s="1645"/>
      <c r="O232" s="1645" t="s">
        <v>4158</v>
      </c>
      <c r="P232" s="1649"/>
      <c r="Q232" s="1645"/>
      <c r="R232" s="1647" t="s">
        <v>3683</v>
      </c>
      <c r="S232" s="1644"/>
      <c r="T232" s="1644" t="s">
        <v>936</v>
      </c>
      <c r="U232" s="1644" t="s">
        <v>3711</v>
      </c>
      <c r="V232" s="1644"/>
      <c r="W232" s="1650" t="s">
        <v>3646</v>
      </c>
      <c r="X232" s="1644"/>
      <c r="Y232" s="1647">
        <v>40795</v>
      </c>
      <c r="Z232" s="1647">
        <v>41161</v>
      </c>
      <c r="AA232" s="1650">
        <f t="shared" ca="1" si="8"/>
        <v>17.083333333333332</v>
      </c>
      <c r="AB232" s="2444" t="s">
        <v>3629</v>
      </c>
      <c r="AC232" s="2445"/>
      <c r="AD232" s="2438"/>
    </row>
    <row r="233" spans="1:30" ht="15.75" hidden="1" customHeight="1">
      <c r="A233" s="1644">
        <f t="shared" si="0"/>
        <v>0</v>
      </c>
      <c r="B233" s="1645" t="s">
        <v>4159</v>
      </c>
      <c r="C233" s="1645" t="s">
        <v>4151</v>
      </c>
      <c r="D233" s="1645" t="s">
        <v>545</v>
      </c>
      <c r="E233" s="1646" t="s">
        <v>2797</v>
      </c>
      <c r="F233" s="1645">
        <f t="shared" si="7"/>
        <v>1972</v>
      </c>
      <c r="G233" s="1647">
        <v>26368</v>
      </c>
      <c r="H233" s="1644" t="s">
        <v>3797</v>
      </c>
      <c r="I233" s="1648" t="s">
        <v>3629</v>
      </c>
      <c r="J233" s="1645" t="s">
        <v>38</v>
      </c>
      <c r="K233" s="1645" t="s">
        <v>3798</v>
      </c>
      <c r="L233" s="1645" t="s">
        <v>1733</v>
      </c>
      <c r="M233" s="1645" t="s">
        <v>1733</v>
      </c>
      <c r="N233" s="1645"/>
      <c r="O233" s="1645" t="s">
        <v>4160</v>
      </c>
      <c r="P233" s="1649"/>
      <c r="Q233" s="1645" t="s">
        <v>3800</v>
      </c>
      <c r="R233" s="1647" t="s">
        <v>4051</v>
      </c>
      <c r="S233" s="1644"/>
      <c r="T233" s="1644"/>
      <c r="U233" s="1644" t="s">
        <v>3802</v>
      </c>
      <c r="V233" s="1644" t="s">
        <v>936</v>
      </c>
      <c r="W233" s="1644" t="s">
        <v>3968</v>
      </c>
      <c r="X233" s="1644" t="s">
        <v>3633</v>
      </c>
      <c r="Y233" s="1647">
        <v>36292</v>
      </c>
      <c r="Z233" s="1647">
        <v>36658</v>
      </c>
      <c r="AA233" s="1650">
        <f t="shared" ca="1" si="8"/>
        <v>7.416666666666667</v>
      </c>
      <c r="AB233" s="2444" t="s">
        <v>3629</v>
      </c>
      <c r="AC233" s="2445"/>
      <c r="AD233" s="2438"/>
    </row>
    <row r="234" spans="1:30" ht="15.75" hidden="1" customHeight="1">
      <c r="A234" s="1644">
        <f t="shared" si="0"/>
        <v>0</v>
      </c>
      <c r="B234" s="1645" t="s">
        <v>4161</v>
      </c>
      <c r="C234" s="1645" t="s">
        <v>4151</v>
      </c>
      <c r="D234" s="1645"/>
      <c r="E234" s="1644" t="s">
        <v>2798</v>
      </c>
      <c r="F234" s="1645">
        <f t="shared" si="7"/>
        <v>1980</v>
      </c>
      <c r="G234" s="1647">
        <v>29504</v>
      </c>
      <c r="H234" s="1644" t="s">
        <v>3642</v>
      </c>
      <c r="I234" s="1648" t="s">
        <v>3629</v>
      </c>
      <c r="J234" s="1645" t="s">
        <v>37</v>
      </c>
      <c r="K234" s="1645">
        <v>0</v>
      </c>
      <c r="L234" s="1645" t="s">
        <v>1701</v>
      </c>
      <c r="M234" s="1645" t="s">
        <v>3737</v>
      </c>
      <c r="N234" s="1645"/>
      <c r="O234" s="1645" t="s">
        <v>3645</v>
      </c>
      <c r="P234" s="1649"/>
      <c r="Q234" s="1645"/>
      <c r="R234" s="1644"/>
      <c r="S234" s="1644" t="s">
        <v>3743</v>
      </c>
      <c r="T234" s="1644"/>
      <c r="U234" s="1644"/>
      <c r="V234" s="1644" t="s">
        <v>3980</v>
      </c>
      <c r="W234" s="1650" t="s">
        <v>3653</v>
      </c>
      <c r="X234" s="1644"/>
      <c r="Y234" s="1647">
        <v>40529</v>
      </c>
      <c r="Z234" s="1647">
        <v>40894</v>
      </c>
      <c r="AA234" s="1650">
        <f t="shared" ca="1" si="8"/>
        <v>11</v>
      </c>
      <c r="AB234" s="2444" t="s">
        <v>3629</v>
      </c>
      <c r="AC234" s="2445"/>
      <c r="AD234" s="2438"/>
    </row>
    <row r="235" spans="1:30" ht="15.75" hidden="1" customHeight="1">
      <c r="A235" s="1644">
        <f t="shared" si="0"/>
        <v>0</v>
      </c>
      <c r="B235" s="1645" t="s">
        <v>4162</v>
      </c>
      <c r="C235" s="1645" t="s">
        <v>4151</v>
      </c>
      <c r="D235" s="1645"/>
      <c r="E235" s="1644" t="s">
        <v>2798</v>
      </c>
      <c r="F235" s="1645">
        <f t="shared" si="7"/>
        <v>1985</v>
      </c>
      <c r="G235" s="1647">
        <v>31121</v>
      </c>
      <c r="H235" s="1644" t="s">
        <v>3642</v>
      </c>
      <c r="I235" s="1648" t="s">
        <v>3629</v>
      </c>
      <c r="J235" s="1645" t="s">
        <v>37</v>
      </c>
      <c r="K235" s="1645">
        <v>0</v>
      </c>
      <c r="L235" s="1645" t="s">
        <v>4049</v>
      </c>
      <c r="M235" s="1645" t="s">
        <v>1580</v>
      </c>
      <c r="N235" s="1645"/>
      <c r="O235" s="1645" t="s">
        <v>3645</v>
      </c>
      <c r="P235" s="1649"/>
      <c r="Q235" s="1645"/>
      <c r="R235" s="1644"/>
      <c r="S235" s="1644" t="s">
        <v>4068</v>
      </c>
      <c r="T235" s="1644"/>
      <c r="U235" s="1644"/>
      <c r="V235" s="1644" t="s">
        <v>3657</v>
      </c>
      <c r="W235" s="1650" t="s">
        <v>3653</v>
      </c>
      <c r="X235" s="1644" t="s">
        <v>3707</v>
      </c>
      <c r="Y235" s="1647">
        <v>43490</v>
      </c>
      <c r="Z235" s="1647">
        <v>43855</v>
      </c>
      <c r="AA235" s="1650">
        <f t="shared" ca="1" si="8"/>
        <v>15.416666666666666</v>
      </c>
      <c r="AB235" s="2444" t="s">
        <v>3629</v>
      </c>
      <c r="AC235" s="2445"/>
      <c r="AD235" s="2438"/>
    </row>
    <row r="236" spans="1:30" ht="15.75" hidden="1" customHeight="1">
      <c r="A236" s="1644">
        <f t="shared" si="0"/>
        <v>0</v>
      </c>
      <c r="B236" s="1645" t="s">
        <v>4163</v>
      </c>
      <c r="C236" s="1645" t="s">
        <v>4151</v>
      </c>
      <c r="D236" s="1645"/>
      <c r="E236" s="1646" t="s">
        <v>2798</v>
      </c>
      <c r="F236" s="1645">
        <f t="shared" si="7"/>
        <v>1994</v>
      </c>
      <c r="G236" s="1647">
        <v>34622</v>
      </c>
      <c r="H236" s="1646" t="s">
        <v>3642</v>
      </c>
      <c r="I236" s="1648" t="s">
        <v>3629</v>
      </c>
      <c r="J236" s="1645" t="s">
        <v>37</v>
      </c>
      <c r="K236" s="1645"/>
      <c r="L236" s="1651"/>
      <c r="M236" s="1645"/>
      <c r="N236" s="1645"/>
      <c r="O236" s="1645"/>
      <c r="P236" s="1649"/>
      <c r="Q236" s="1645"/>
      <c r="R236" s="1644"/>
      <c r="S236" s="1644"/>
      <c r="T236" s="1644"/>
      <c r="U236" s="1644"/>
      <c r="V236" s="1644"/>
      <c r="W236" s="1644"/>
      <c r="X236" s="1644"/>
      <c r="Y236" s="1644"/>
      <c r="Z236" s="1647"/>
      <c r="AA236" s="1654">
        <f t="shared" ca="1" si="8"/>
        <v>25</v>
      </c>
      <c r="AB236" s="2444" t="s">
        <v>3629</v>
      </c>
      <c r="AC236" s="2445"/>
      <c r="AD236" s="2438"/>
    </row>
    <row r="237" spans="1:30" ht="15.75" hidden="1" customHeight="1">
      <c r="A237" s="1644">
        <f t="shared" si="0"/>
        <v>0</v>
      </c>
      <c r="B237" s="1645" t="s">
        <v>4164</v>
      </c>
      <c r="C237" s="1645" t="s">
        <v>4151</v>
      </c>
      <c r="D237" s="1645"/>
      <c r="E237" s="1646" t="s">
        <v>2798</v>
      </c>
      <c r="F237" s="1645">
        <f t="shared" si="7"/>
        <v>1984</v>
      </c>
      <c r="G237" s="1647">
        <v>30885</v>
      </c>
      <c r="H237" s="1644" t="s">
        <v>3642</v>
      </c>
      <c r="I237" s="1648" t="s">
        <v>3629</v>
      </c>
      <c r="J237" s="1645" t="s">
        <v>37</v>
      </c>
      <c r="K237" s="1645">
        <v>0</v>
      </c>
      <c r="L237" s="1645" t="s">
        <v>1766</v>
      </c>
      <c r="M237" s="1645" t="s">
        <v>506</v>
      </c>
      <c r="N237" s="1645"/>
      <c r="O237" s="1645" t="s">
        <v>3645</v>
      </c>
      <c r="P237" s="1649"/>
      <c r="Q237" s="1645"/>
      <c r="R237" s="1644"/>
      <c r="S237" s="1644" t="s">
        <v>4068</v>
      </c>
      <c r="T237" s="1644" t="s">
        <v>936</v>
      </c>
      <c r="U237" s="1644"/>
      <c r="V237" s="1644" t="s">
        <v>3657</v>
      </c>
      <c r="W237" s="1650" t="s">
        <v>3653</v>
      </c>
      <c r="X237" s="1644"/>
      <c r="Y237" s="1647"/>
      <c r="Z237" s="1647"/>
      <c r="AA237" s="1650">
        <f t="shared" ca="1" si="8"/>
        <v>14.75</v>
      </c>
      <c r="AB237" s="2444" t="s">
        <v>3629</v>
      </c>
      <c r="AC237" s="2445"/>
      <c r="AD237" s="2438"/>
    </row>
    <row r="238" spans="1:30" ht="15.75" hidden="1" customHeight="1">
      <c r="A238" s="1644">
        <f t="shared" si="0"/>
        <v>0</v>
      </c>
      <c r="B238" s="1645" t="s">
        <v>4165</v>
      </c>
      <c r="C238" s="1645" t="s">
        <v>4151</v>
      </c>
      <c r="D238" s="1645"/>
      <c r="E238" s="1644" t="s">
        <v>2797</v>
      </c>
      <c r="F238" s="1645">
        <f t="shared" si="7"/>
        <v>1977</v>
      </c>
      <c r="G238" s="1647">
        <v>28361</v>
      </c>
      <c r="H238" s="1644" t="s">
        <v>3642</v>
      </c>
      <c r="I238" s="1648" t="s">
        <v>3629</v>
      </c>
      <c r="J238" s="1645" t="s">
        <v>37</v>
      </c>
      <c r="K238" s="1645">
        <v>0</v>
      </c>
      <c r="L238" s="1645" t="s">
        <v>3741</v>
      </c>
      <c r="M238" s="1645" t="s">
        <v>4166</v>
      </c>
      <c r="N238" s="1645"/>
      <c r="O238" s="1645" t="s">
        <v>3645</v>
      </c>
      <c r="P238" s="1649"/>
      <c r="Q238" s="1645"/>
      <c r="R238" s="1644"/>
      <c r="S238" s="1644"/>
      <c r="T238" s="1644"/>
      <c r="U238" s="1644"/>
      <c r="V238" s="1644"/>
      <c r="W238" s="1650" t="s">
        <v>3653</v>
      </c>
      <c r="X238" s="1644" t="s">
        <v>3712</v>
      </c>
      <c r="Y238" s="1647">
        <v>40028</v>
      </c>
      <c r="Z238" s="1647">
        <v>40393</v>
      </c>
      <c r="AA238" s="1650">
        <f t="shared" ca="1" si="8"/>
        <v>12.833333333333334</v>
      </c>
      <c r="AB238" s="2444" t="s">
        <v>3629</v>
      </c>
      <c r="AC238" s="2445"/>
      <c r="AD238" s="2438"/>
    </row>
    <row r="239" spans="1:30" ht="15.75" hidden="1" customHeight="1">
      <c r="A239" s="1644">
        <f t="shared" si="0"/>
        <v>0</v>
      </c>
      <c r="B239" s="1645" t="s">
        <v>4167</v>
      </c>
      <c r="C239" s="1645" t="s">
        <v>4168</v>
      </c>
      <c r="D239" s="1645" t="s">
        <v>626</v>
      </c>
      <c r="E239" s="1646" t="s">
        <v>2797</v>
      </c>
      <c r="F239" s="1645">
        <f t="shared" si="7"/>
        <v>1983</v>
      </c>
      <c r="G239" s="1647">
        <v>30621</v>
      </c>
      <c r="H239" s="1644" t="s">
        <v>3628</v>
      </c>
      <c r="I239" s="1648" t="s">
        <v>3629</v>
      </c>
      <c r="J239" s="1645" t="s">
        <v>38</v>
      </c>
      <c r="K239" s="1645">
        <v>0</v>
      </c>
      <c r="L239" s="1645" t="s">
        <v>2824</v>
      </c>
      <c r="M239" s="1645" t="s">
        <v>2824</v>
      </c>
      <c r="N239" s="1645"/>
      <c r="O239" s="1645" t="s">
        <v>4169</v>
      </c>
      <c r="P239" s="1649"/>
      <c r="Q239" s="1645" t="s">
        <v>3693</v>
      </c>
      <c r="R239" s="1647" t="s">
        <v>4170</v>
      </c>
      <c r="S239" s="1644" t="s">
        <v>3696</v>
      </c>
      <c r="T239" s="1644" t="s">
        <v>936</v>
      </c>
      <c r="U239" s="1644" t="s">
        <v>3631</v>
      </c>
      <c r="V239" s="1644"/>
      <c r="W239" s="1644">
        <v>0</v>
      </c>
      <c r="X239" s="1644" t="s">
        <v>4171</v>
      </c>
      <c r="Y239" s="1647">
        <v>37910</v>
      </c>
      <c r="Z239" s="1647">
        <v>38276</v>
      </c>
      <c r="AA239" s="1650">
        <f t="shared" ca="1" si="8"/>
        <v>19</v>
      </c>
      <c r="AB239" s="2444" t="s">
        <v>3629</v>
      </c>
      <c r="AC239" s="2445"/>
      <c r="AD239" s="2438"/>
    </row>
    <row r="240" spans="1:30" ht="15.75" hidden="1" customHeight="1">
      <c r="A240" s="1644">
        <f t="shared" si="0"/>
        <v>0</v>
      </c>
      <c r="B240" s="1645" t="s">
        <v>4172</v>
      </c>
      <c r="C240" s="1645" t="s">
        <v>4168</v>
      </c>
      <c r="D240" s="1645"/>
      <c r="E240" s="1646" t="s">
        <v>2797</v>
      </c>
      <c r="F240" s="1645">
        <f t="shared" si="7"/>
        <v>1969</v>
      </c>
      <c r="G240" s="1647">
        <v>25454</v>
      </c>
      <c r="H240" s="1644" t="s">
        <v>4139</v>
      </c>
      <c r="I240" s="1648" t="s">
        <v>3629</v>
      </c>
      <c r="J240" s="1645" t="s">
        <v>37</v>
      </c>
      <c r="K240" s="1645">
        <v>0</v>
      </c>
      <c r="L240" s="1645" t="s">
        <v>2824</v>
      </c>
      <c r="M240" s="1645" t="s">
        <v>506</v>
      </c>
      <c r="N240" s="1645"/>
      <c r="O240" s="1645" t="s">
        <v>3645</v>
      </c>
      <c r="P240" s="1649"/>
      <c r="Q240" s="1645"/>
      <c r="R240" s="1644"/>
      <c r="S240" s="1644"/>
      <c r="T240" s="1644"/>
      <c r="U240" s="1644"/>
      <c r="V240" s="1644" t="s">
        <v>4141</v>
      </c>
      <c r="W240" s="1650" t="s">
        <v>3632</v>
      </c>
      <c r="X240" s="1644" t="s">
        <v>3633</v>
      </c>
      <c r="Y240" s="1647">
        <v>32928</v>
      </c>
      <c r="Z240" s="1647">
        <v>33293</v>
      </c>
      <c r="AA240" s="1650">
        <f t="shared" ca="1" si="8"/>
        <v>4.916666666666667</v>
      </c>
      <c r="AB240" s="2444" t="s">
        <v>3629</v>
      </c>
      <c r="AC240" s="2445"/>
      <c r="AD240" s="2438"/>
    </row>
    <row r="241" spans="1:30" ht="15.75" hidden="1" customHeight="1">
      <c r="A241" s="1644">
        <f t="shared" si="0"/>
        <v>0</v>
      </c>
      <c r="B241" s="1645" t="s">
        <v>4173</v>
      </c>
      <c r="C241" s="1645" t="s">
        <v>4168</v>
      </c>
      <c r="D241" s="1645"/>
      <c r="E241" s="1646" t="s">
        <v>2798</v>
      </c>
      <c r="F241" s="1645">
        <f t="shared" si="7"/>
        <v>1990</v>
      </c>
      <c r="G241" s="1647">
        <v>33136</v>
      </c>
      <c r="H241" s="1644" t="s">
        <v>3642</v>
      </c>
      <c r="I241" s="1648" t="s">
        <v>3629</v>
      </c>
      <c r="J241" s="1645" t="s">
        <v>37</v>
      </c>
      <c r="K241" s="1645">
        <v>0</v>
      </c>
      <c r="L241" s="1645" t="s">
        <v>4174</v>
      </c>
      <c r="M241" s="1645" t="s">
        <v>506</v>
      </c>
      <c r="N241" s="1645"/>
      <c r="O241" s="1645" t="s">
        <v>3645</v>
      </c>
      <c r="P241" s="1649"/>
      <c r="Q241" s="1645"/>
      <c r="R241" s="1644"/>
      <c r="S241" s="1644"/>
      <c r="T241" s="1644" t="s">
        <v>936</v>
      </c>
      <c r="U241" s="1644"/>
      <c r="V241" s="1644" t="s">
        <v>3657</v>
      </c>
      <c r="W241" s="1650" t="s">
        <v>3646</v>
      </c>
      <c r="X241" s="1644"/>
      <c r="Y241" s="1647"/>
      <c r="Z241" s="1647"/>
      <c r="AA241" s="1650">
        <f t="shared" ca="1" si="8"/>
        <v>20.916666666666668</v>
      </c>
      <c r="AB241" s="2444" t="s">
        <v>3629</v>
      </c>
      <c r="AC241" s="2445"/>
      <c r="AD241" s="2438"/>
    </row>
    <row r="242" spans="1:30" ht="15.75" hidden="1" customHeight="1">
      <c r="A242" s="1644">
        <f t="shared" si="0"/>
        <v>0</v>
      </c>
      <c r="B242" s="1645" t="s">
        <v>4175</v>
      </c>
      <c r="C242" s="1645" t="s">
        <v>4168</v>
      </c>
      <c r="D242" s="1645"/>
      <c r="E242" s="1644" t="s">
        <v>2798</v>
      </c>
      <c r="F242" s="1645">
        <f t="shared" si="7"/>
        <v>1976</v>
      </c>
      <c r="G242" s="1647">
        <v>27762</v>
      </c>
      <c r="H242" s="1644" t="s">
        <v>4139</v>
      </c>
      <c r="I242" s="1648" t="s">
        <v>3629</v>
      </c>
      <c r="J242" s="1645" t="s">
        <v>37</v>
      </c>
      <c r="K242" s="1645">
        <v>0</v>
      </c>
      <c r="L242" s="1645" t="s">
        <v>4057</v>
      </c>
      <c r="M242" s="1645" t="s">
        <v>506</v>
      </c>
      <c r="N242" s="1645"/>
      <c r="O242" s="1645" t="s">
        <v>3645</v>
      </c>
      <c r="P242" s="1649"/>
      <c r="Q242" s="1645"/>
      <c r="R242" s="1647" t="s">
        <v>3952</v>
      </c>
      <c r="S242" s="1644" t="s">
        <v>3696</v>
      </c>
      <c r="T242" s="1644"/>
      <c r="U242" s="1644"/>
      <c r="V242" s="1644" t="s">
        <v>4141</v>
      </c>
      <c r="W242" s="1650" t="s">
        <v>3653</v>
      </c>
      <c r="X242" s="1644" t="s">
        <v>3633</v>
      </c>
      <c r="Y242" s="1647">
        <v>36061</v>
      </c>
      <c r="Z242" s="1647">
        <v>36426</v>
      </c>
      <c r="AA242" s="1650">
        <f t="shared" ca="1" si="8"/>
        <v>6.25</v>
      </c>
      <c r="AB242" s="2444" t="s">
        <v>3629</v>
      </c>
      <c r="AC242" s="2445"/>
      <c r="AD242" s="2438"/>
    </row>
    <row r="243" spans="1:30" ht="15.75" hidden="1" customHeight="1">
      <c r="A243" s="1644">
        <f t="shared" si="0"/>
        <v>0</v>
      </c>
      <c r="B243" s="1645" t="s">
        <v>4176</v>
      </c>
      <c r="C243" s="1645" t="s">
        <v>4168</v>
      </c>
      <c r="D243" s="1645"/>
      <c r="E243" s="1646" t="s">
        <v>2797</v>
      </c>
      <c r="F243" s="1645">
        <f t="shared" si="7"/>
        <v>1988</v>
      </c>
      <c r="G243" s="1647">
        <v>32388</v>
      </c>
      <c r="H243" s="1644" t="s">
        <v>3642</v>
      </c>
      <c r="I243" s="1648" t="s">
        <v>3629</v>
      </c>
      <c r="J243" s="1645" t="s">
        <v>38</v>
      </c>
      <c r="K243" s="1645">
        <v>0</v>
      </c>
      <c r="L243" s="1645" t="s">
        <v>4177</v>
      </c>
      <c r="M243" s="1645" t="s">
        <v>506</v>
      </c>
      <c r="N243" s="1645"/>
      <c r="O243" s="1645" t="s">
        <v>506</v>
      </c>
      <c r="P243" s="1649">
        <v>44621</v>
      </c>
      <c r="Q243" s="1645"/>
      <c r="R243" s="1644" t="s">
        <v>3789</v>
      </c>
      <c r="S243" s="1644" t="s">
        <v>4178</v>
      </c>
      <c r="T243" s="1644"/>
      <c r="U243" s="1644"/>
      <c r="V243" s="1644" t="s">
        <v>3657</v>
      </c>
      <c r="W243" s="1650" t="s">
        <v>3653</v>
      </c>
      <c r="X243" s="1644" t="s">
        <v>3633</v>
      </c>
      <c r="Y243" s="1647">
        <v>39634</v>
      </c>
      <c r="Z243" s="1647">
        <v>39999</v>
      </c>
      <c r="AA243" s="1650">
        <f t="shared" ca="1" si="8"/>
        <v>23.833333333333332</v>
      </c>
      <c r="AB243" s="2444" t="s">
        <v>3629</v>
      </c>
      <c r="AC243" s="2445"/>
      <c r="AD243" s="2438"/>
    </row>
    <row r="244" spans="1:30" ht="15.75" hidden="1" customHeight="1">
      <c r="A244" s="1644">
        <f t="shared" si="0"/>
        <v>0</v>
      </c>
      <c r="B244" s="1645" t="s">
        <v>4179</v>
      </c>
      <c r="C244" s="1645" t="s">
        <v>4168</v>
      </c>
      <c r="D244" s="1645"/>
      <c r="E244" s="1644" t="s">
        <v>2798</v>
      </c>
      <c r="F244" s="1645">
        <f t="shared" si="7"/>
        <v>1992</v>
      </c>
      <c r="G244" s="1647">
        <v>33665</v>
      </c>
      <c r="H244" s="1644" t="s">
        <v>3642</v>
      </c>
      <c r="I244" s="1648" t="s">
        <v>3629</v>
      </c>
      <c r="J244" s="1645" t="s">
        <v>37</v>
      </c>
      <c r="K244" s="1645">
        <v>0</v>
      </c>
      <c r="L244" s="1645" t="s">
        <v>4180</v>
      </c>
      <c r="M244" s="1645" t="s">
        <v>3997</v>
      </c>
      <c r="N244" s="1645"/>
      <c r="O244" s="1645" t="s">
        <v>3645</v>
      </c>
      <c r="P244" s="1649"/>
      <c r="Q244" s="1645"/>
      <c r="R244" s="1644"/>
      <c r="S244" s="1644" t="s">
        <v>3696</v>
      </c>
      <c r="T244" s="1644"/>
      <c r="U244" s="1644"/>
      <c r="V244" s="1644" t="s">
        <v>3657</v>
      </c>
      <c r="W244" s="1650" t="s">
        <v>3653</v>
      </c>
      <c r="X244" s="1644"/>
      <c r="Y244" s="1647"/>
      <c r="Z244" s="1647"/>
      <c r="AA244" s="1650">
        <f t="shared" ca="1" si="8"/>
        <v>22.333333333333332</v>
      </c>
      <c r="AB244" s="2444" t="s">
        <v>3629</v>
      </c>
      <c r="AC244" s="2445"/>
      <c r="AD244" s="2438"/>
    </row>
    <row r="245" spans="1:30" ht="15.75" hidden="1" customHeight="1">
      <c r="A245" s="1644">
        <f t="shared" si="0"/>
        <v>0</v>
      </c>
      <c r="B245" s="1645" t="s">
        <v>4181</v>
      </c>
      <c r="C245" s="1645" t="s">
        <v>4168</v>
      </c>
      <c r="D245" s="1645"/>
      <c r="E245" s="1646" t="s">
        <v>2798</v>
      </c>
      <c r="F245" s="1645">
        <f t="shared" si="7"/>
        <v>1982</v>
      </c>
      <c r="G245" s="1647">
        <v>29956</v>
      </c>
      <c r="H245" s="1644" t="s">
        <v>3648</v>
      </c>
      <c r="I245" s="1648" t="s">
        <v>3629</v>
      </c>
      <c r="J245" s="1645" t="s">
        <v>37</v>
      </c>
      <c r="K245" s="1645">
        <v>0</v>
      </c>
      <c r="L245" s="1645" t="s">
        <v>1701</v>
      </c>
      <c r="M245" s="1645" t="s">
        <v>3014</v>
      </c>
      <c r="N245" s="1645"/>
      <c r="O245" s="1645" t="s">
        <v>3645</v>
      </c>
      <c r="P245" s="1649"/>
      <c r="Q245" s="1645"/>
      <c r="R245" s="1647" t="s">
        <v>4182</v>
      </c>
      <c r="S245" s="1644" t="s">
        <v>3696</v>
      </c>
      <c r="T245" s="1644"/>
      <c r="U245" s="1644"/>
      <c r="V245" s="1644" t="s">
        <v>3657</v>
      </c>
      <c r="W245" s="1644">
        <v>0</v>
      </c>
      <c r="X245" s="1644"/>
      <c r="Y245" s="1647">
        <v>38115</v>
      </c>
      <c r="Z245" s="1647">
        <v>38480</v>
      </c>
      <c r="AA245" s="1650">
        <f t="shared" ca="1" si="8"/>
        <v>12.25</v>
      </c>
      <c r="AB245" s="2444" t="s">
        <v>3629</v>
      </c>
      <c r="AC245" s="2445"/>
      <c r="AD245" s="2438"/>
    </row>
    <row r="246" spans="1:30" ht="15.75" hidden="1" customHeight="1">
      <c r="A246" s="1644">
        <f t="shared" si="0"/>
        <v>0</v>
      </c>
      <c r="B246" s="1645" t="s">
        <v>4183</v>
      </c>
      <c r="C246" s="1645" t="s">
        <v>4184</v>
      </c>
      <c r="D246" s="1645" t="s">
        <v>45</v>
      </c>
      <c r="E246" s="1644" t="s">
        <v>2798</v>
      </c>
      <c r="F246" s="1645">
        <f t="shared" si="7"/>
        <v>1988</v>
      </c>
      <c r="G246" s="1647">
        <v>32498</v>
      </c>
      <c r="H246" s="1644" t="s">
        <v>3665</v>
      </c>
      <c r="I246" s="1648" t="s">
        <v>3629</v>
      </c>
      <c r="J246" s="1645" t="s">
        <v>3678</v>
      </c>
      <c r="K246" s="1645">
        <v>0</v>
      </c>
      <c r="L246" s="1651" t="s">
        <v>3666</v>
      </c>
      <c r="M246" s="1645">
        <v>0</v>
      </c>
      <c r="N246" s="1645"/>
      <c r="O246" s="1645">
        <v>0</v>
      </c>
      <c r="P246" s="1649"/>
      <c r="Q246" s="1645"/>
      <c r="R246" s="1647" t="s">
        <v>3656</v>
      </c>
      <c r="S246" s="1644"/>
      <c r="T246" s="1644"/>
      <c r="U246" s="1644"/>
      <c r="V246" s="1644"/>
      <c r="W246" s="1644">
        <v>0</v>
      </c>
      <c r="X246" s="1644"/>
      <c r="Y246" s="1647">
        <v>43983</v>
      </c>
      <c r="Z246" s="1647">
        <v>0</v>
      </c>
      <c r="AA246" s="1650">
        <f t="shared" ca="1" si="8"/>
        <v>19.166666666666668</v>
      </c>
      <c r="AB246" s="2444" t="s">
        <v>3629</v>
      </c>
      <c r="AC246" s="2445"/>
      <c r="AD246" s="2438"/>
    </row>
    <row r="247" spans="1:30" ht="15.75" hidden="1" customHeight="1">
      <c r="A247" s="1644">
        <f t="shared" si="0"/>
        <v>0</v>
      </c>
      <c r="B247" s="1645" t="s">
        <v>4185</v>
      </c>
      <c r="C247" s="1645" t="s">
        <v>4184</v>
      </c>
      <c r="D247" s="1645"/>
      <c r="E247" s="1644" t="s">
        <v>2798</v>
      </c>
      <c r="F247" s="1645">
        <f t="shared" si="7"/>
        <v>1976</v>
      </c>
      <c r="G247" s="1647">
        <v>27959</v>
      </c>
      <c r="H247" s="1644" t="s">
        <v>4186</v>
      </c>
      <c r="I247" s="1648" t="s">
        <v>3629</v>
      </c>
      <c r="J247" s="1645" t="s">
        <v>3670</v>
      </c>
      <c r="K247" s="1645">
        <v>0</v>
      </c>
      <c r="L247" s="1651" t="s">
        <v>3666</v>
      </c>
      <c r="M247" s="1645">
        <v>0</v>
      </c>
      <c r="N247" s="1645"/>
      <c r="O247" s="1645">
        <v>0</v>
      </c>
      <c r="P247" s="1649"/>
      <c r="Q247" s="1645"/>
      <c r="R247" s="1644"/>
      <c r="S247" s="1644"/>
      <c r="T247" s="1644"/>
      <c r="U247" s="1644"/>
      <c r="V247" s="1644"/>
      <c r="W247" s="1650" t="s">
        <v>3653</v>
      </c>
      <c r="X247" s="1644"/>
      <c r="Y247" s="1647">
        <v>40654</v>
      </c>
      <c r="Z247" s="1647">
        <v>41020</v>
      </c>
      <c r="AA247" s="1650">
        <f t="shared" ca="1" si="8"/>
        <v>6.75</v>
      </c>
      <c r="AB247" s="2444" t="s">
        <v>3629</v>
      </c>
      <c r="AC247" s="2445"/>
      <c r="AD247" s="2438"/>
    </row>
    <row r="248" spans="1:30" ht="15.75" hidden="1" customHeight="1">
      <c r="A248" s="1644">
        <f t="shared" si="0"/>
        <v>0</v>
      </c>
      <c r="B248" s="1645" t="s">
        <v>4187</v>
      </c>
      <c r="C248" s="1645" t="s">
        <v>4184</v>
      </c>
      <c r="D248" s="1645"/>
      <c r="E248" s="1644" t="s">
        <v>2797</v>
      </c>
      <c r="F248" s="1645">
        <f t="shared" si="7"/>
        <v>1973</v>
      </c>
      <c r="G248" s="1647">
        <v>26681</v>
      </c>
      <c r="H248" s="1644" t="s">
        <v>3665</v>
      </c>
      <c r="I248" s="1648" t="s">
        <v>3629</v>
      </c>
      <c r="J248" s="1645" t="s">
        <v>3670</v>
      </c>
      <c r="K248" s="1645">
        <v>0</v>
      </c>
      <c r="L248" s="1651" t="s">
        <v>3666</v>
      </c>
      <c r="M248" s="1645">
        <v>0</v>
      </c>
      <c r="N248" s="1645"/>
      <c r="O248" s="1645">
        <v>0</v>
      </c>
      <c r="P248" s="1649"/>
      <c r="Q248" s="1645"/>
      <c r="R248" s="1647" t="s">
        <v>3898</v>
      </c>
      <c r="S248" s="1644"/>
      <c r="T248" s="1644"/>
      <c r="U248" s="1644"/>
      <c r="V248" s="1644"/>
      <c r="W248" s="1650" t="s">
        <v>3646</v>
      </c>
      <c r="X248" s="1644"/>
      <c r="Y248" s="1647">
        <v>37325</v>
      </c>
      <c r="Z248" s="1647">
        <v>37690</v>
      </c>
      <c r="AA248" s="1650">
        <f t="shared" ca="1" si="8"/>
        <v>8.25</v>
      </c>
      <c r="AB248" s="2444" t="s">
        <v>3629</v>
      </c>
      <c r="AC248" s="2445"/>
      <c r="AD248" s="2438"/>
    </row>
    <row r="249" spans="1:30" ht="15.75" hidden="1" customHeight="1">
      <c r="A249" s="1644">
        <f t="shared" si="0"/>
        <v>0</v>
      </c>
      <c r="B249" s="1645" t="s">
        <v>4188</v>
      </c>
      <c r="C249" s="1645" t="s">
        <v>4184</v>
      </c>
      <c r="D249" s="1645"/>
      <c r="E249" s="1646" t="s">
        <v>2797</v>
      </c>
      <c r="F249" s="1645">
        <f t="shared" si="7"/>
        <v>1973</v>
      </c>
      <c r="G249" s="1647">
        <v>26704</v>
      </c>
      <c r="H249" s="1644" t="s">
        <v>3665</v>
      </c>
      <c r="I249" s="1648" t="s">
        <v>3629</v>
      </c>
      <c r="J249" s="1645" t="s">
        <v>3670</v>
      </c>
      <c r="K249" s="1645">
        <v>0</v>
      </c>
      <c r="L249" s="1651" t="s">
        <v>3666</v>
      </c>
      <c r="M249" s="1645">
        <v>0</v>
      </c>
      <c r="N249" s="1645"/>
      <c r="O249" s="1645">
        <v>0</v>
      </c>
      <c r="P249" s="1649"/>
      <c r="Q249" s="1645"/>
      <c r="R249" s="1647" t="s">
        <v>3898</v>
      </c>
      <c r="S249" s="1644"/>
      <c r="T249" s="1644"/>
      <c r="U249" s="1644"/>
      <c r="V249" s="1644"/>
      <c r="W249" s="1650" t="s">
        <v>3653</v>
      </c>
      <c r="X249" s="1644" t="s">
        <v>3633</v>
      </c>
      <c r="Y249" s="1647">
        <v>41410</v>
      </c>
      <c r="Z249" s="1647">
        <v>41775</v>
      </c>
      <c r="AA249" s="1650">
        <f t="shared" ca="1" si="8"/>
        <v>8.3333333333333339</v>
      </c>
      <c r="AB249" s="2444" t="s">
        <v>3629</v>
      </c>
      <c r="AC249" s="2445"/>
      <c r="AD249" s="2438"/>
    </row>
    <row r="250" spans="1:30" ht="15.75" hidden="1" customHeight="1">
      <c r="A250" s="1644">
        <f t="shared" si="0"/>
        <v>0</v>
      </c>
      <c r="B250" s="1645" t="s">
        <v>4189</v>
      </c>
      <c r="C250" s="1645" t="s">
        <v>4184</v>
      </c>
      <c r="D250" s="1645"/>
      <c r="E250" s="1644" t="s">
        <v>2798</v>
      </c>
      <c r="F250" s="1645">
        <f t="shared" si="7"/>
        <v>1975</v>
      </c>
      <c r="G250" s="1647">
        <v>27629</v>
      </c>
      <c r="H250" s="1644" t="s">
        <v>4190</v>
      </c>
      <c r="I250" s="1648" t="s">
        <v>4191</v>
      </c>
      <c r="J250" s="1645" t="s">
        <v>3670</v>
      </c>
      <c r="K250" s="1645">
        <v>0</v>
      </c>
      <c r="L250" s="1651" t="s">
        <v>3666</v>
      </c>
      <c r="M250" s="1645">
        <v>0</v>
      </c>
      <c r="N250" s="1645"/>
      <c r="O250" s="1645">
        <v>0</v>
      </c>
      <c r="P250" s="1649"/>
      <c r="Q250" s="1645"/>
      <c r="R250" s="1644"/>
      <c r="S250" s="1644"/>
      <c r="T250" s="1644"/>
      <c r="U250" s="1644"/>
      <c r="V250" s="1644"/>
      <c r="W250" s="1650" t="s">
        <v>3653</v>
      </c>
      <c r="X250" s="1644"/>
      <c r="Y250" s="1647">
        <v>42163</v>
      </c>
      <c r="Z250" s="1647">
        <v>42529</v>
      </c>
      <c r="AA250" s="1650">
        <f t="shared" ca="1" si="8"/>
        <v>5.833333333333333</v>
      </c>
      <c r="AB250" s="2444" t="s">
        <v>3629</v>
      </c>
      <c r="AC250" s="2445"/>
      <c r="AD250" s="2438"/>
    </row>
    <row r="251" spans="1:30" ht="15.75" hidden="1" customHeight="1">
      <c r="A251" s="1644">
        <f t="shared" si="0"/>
        <v>0</v>
      </c>
      <c r="B251" s="1645" t="s">
        <v>4192</v>
      </c>
      <c r="C251" s="1645" t="s">
        <v>4184</v>
      </c>
      <c r="D251" s="1645"/>
      <c r="E251" s="1646" t="s">
        <v>2798</v>
      </c>
      <c r="F251" s="1645">
        <f t="shared" si="7"/>
        <v>1995</v>
      </c>
      <c r="G251" s="1647">
        <v>34919</v>
      </c>
      <c r="H251" s="1646" t="s">
        <v>4193</v>
      </c>
      <c r="I251" s="1648" t="s">
        <v>3629</v>
      </c>
      <c r="J251" s="1645" t="s">
        <v>3678</v>
      </c>
      <c r="K251" s="1645"/>
      <c r="L251" s="1651" t="s">
        <v>3666</v>
      </c>
      <c r="M251" s="1645"/>
      <c r="N251" s="1645"/>
      <c r="O251" s="1645"/>
      <c r="P251" s="1649"/>
      <c r="Q251" s="1645"/>
      <c r="R251" s="1644"/>
      <c r="S251" s="1644"/>
      <c r="T251" s="1644"/>
      <c r="U251" s="1644"/>
      <c r="V251" s="1644"/>
      <c r="W251" s="1644"/>
      <c r="X251" s="1644"/>
      <c r="Y251" s="1644"/>
      <c r="Z251" s="1647"/>
      <c r="AA251" s="1654"/>
      <c r="AB251" s="2444" t="s">
        <v>3629</v>
      </c>
      <c r="AC251" s="2445"/>
      <c r="AD251" s="2438"/>
    </row>
    <row r="252" spans="1:30" ht="15.75" hidden="1" customHeight="1">
      <c r="A252" s="1644">
        <f t="shared" si="0"/>
        <v>0</v>
      </c>
      <c r="B252" s="1645" t="s">
        <v>4194</v>
      </c>
      <c r="C252" s="1645" t="s">
        <v>4184</v>
      </c>
      <c r="D252" s="1645"/>
      <c r="E252" s="1646" t="s">
        <v>2798</v>
      </c>
      <c r="F252" s="1645">
        <f t="shared" si="7"/>
        <v>1971</v>
      </c>
      <c r="G252" s="1647">
        <v>26124</v>
      </c>
      <c r="H252" s="1644" t="s">
        <v>4195</v>
      </c>
      <c r="I252" s="1648" t="s">
        <v>3629</v>
      </c>
      <c r="J252" s="1645" t="s">
        <v>201</v>
      </c>
      <c r="K252" s="1645">
        <v>0</v>
      </c>
      <c r="L252" s="1645" t="s">
        <v>3666</v>
      </c>
      <c r="M252" s="1645">
        <v>0</v>
      </c>
      <c r="N252" s="1645"/>
      <c r="O252" s="1645" t="s">
        <v>3645</v>
      </c>
      <c r="P252" s="1649"/>
      <c r="Q252" s="1645"/>
      <c r="R252" s="1644"/>
      <c r="S252" s="1644"/>
      <c r="T252" s="1644"/>
      <c r="U252" s="1644"/>
      <c r="V252" s="1644"/>
      <c r="W252" s="1650" t="s">
        <v>3653</v>
      </c>
      <c r="X252" s="1644" t="s">
        <v>3707</v>
      </c>
      <c r="Y252" s="1647">
        <v>44022</v>
      </c>
      <c r="Z252" s="1647">
        <v>0</v>
      </c>
      <c r="AA252" s="1650">
        <f t="shared" ref="AA252:AA274" ca="1" si="9">IF(E252="nữ",660-DATEDIF(G252,TODAY(),"m"),720-DATEDIF(G252,TODAY(),"m"))/12</f>
        <v>1.75</v>
      </c>
      <c r="AB252" s="2444" t="s">
        <v>3629</v>
      </c>
      <c r="AC252" s="2445"/>
      <c r="AD252" s="2438"/>
    </row>
    <row r="253" spans="1:30" ht="15.75" hidden="1" customHeight="1">
      <c r="A253" s="1644">
        <f t="shared" si="0"/>
        <v>0</v>
      </c>
      <c r="B253" s="1645" t="s">
        <v>4196</v>
      </c>
      <c r="C253" s="1645" t="s">
        <v>4184</v>
      </c>
      <c r="D253" s="1645"/>
      <c r="E253" s="1644" t="s">
        <v>2798</v>
      </c>
      <c r="F253" s="1645">
        <f t="shared" si="7"/>
        <v>1972</v>
      </c>
      <c r="G253" s="1647">
        <v>26492</v>
      </c>
      <c r="H253" s="1644" t="s">
        <v>3665</v>
      </c>
      <c r="I253" s="1648" t="s">
        <v>3629</v>
      </c>
      <c r="J253" s="1645" t="s">
        <v>3670</v>
      </c>
      <c r="K253" s="1645">
        <v>0</v>
      </c>
      <c r="L253" s="1651" t="s">
        <v>3666</v>
      </c>
      <c r="M253" s="1645">
        <v>0</v>
      </c>
      <c r="N253" s="1645"/>
      <c r="O253" s="1645">
        <v>0</v>
      </c>
      <c r="P253" s="1649"/>
      <c r="Q253" s="1645"/>
      <c r="R253" s="1644" t="s">
        <v>3904</v>
      </c>
      <c r="S253" s="1644"/>
      <c r="T253" s="1644" t="s">
        <v>936</v>
      </c>
      <c r="U253" s="1644"/>
      <c r="V253" s="1644"/>
      <c r="W253" s="1650" t="s">
        <v>3822</v>
      </c>
      <c r="X253" s="1644"/>
      <c r="Y253" s="1647">
        <v>39478</v>
      </c>
      <c r="Z253" s="1647">
        <v>39844</v>
      </c>
      <c r="AA253" s="1650">
        <f t="shared" ca="1" si="9"/>
        <v>2.75</v>
      </c>
      <c r="AB253" s="2444" t="s">
        <v>3629</v>
      </c>
      <c r="AC253" s="2445"/>
      <c r="AD253" s="2438"/>
    </row>
    <row r="254" spans="1:30" ht="15.75" hidden="1" customHeight="1">
      <c r="A254" s="1644">
        <f t="shared" si="0"/>
        <v>0</v>
      </c>
      <c r="B254" s="1645" t="s">
        <v>4197</v>
      </c>
      <c r="C254" s="1645" t="s">
        <v>4184</v>
      </c>
      <c r="D254" s="1645"/>
      <c r="E254" s="1646" t="s">
        <v>2798</v>
      </c>
      <c r="F254" s="1645">
        <f t="shared" si="7"/>
        <v>1967</v>
      </c>
      <c r="G254" s="1647">
        <v>24795</v>
      </c>
      <c r="H254" s="1644" t="s">
        <v>4139</v>
      </c>
      <c r="I254" s="1648" t="s">
        <v>3629</v>
      </c>
      <c r="J254" s="1645" t="s">
        <v>201</v>
      </c>
      <c r="K254" s="1645">
        <v>0</v>
      </c>
      <c r="L254" s="1645" t="s">
        <v>3666</v>
      </c>
      <c r="M254" s="1645">
        <v>0</v>
      </c>
      <c r="N254" s="1645"/>
      <c r="O254" s="1645" t="s">
        <v>3645</v>
      </c>
      <c r="P254" s="1649"/>
      <c r="Q254" s="1645"/>
      <c r="R254" s="1644" t="s">
        <v>3710</v>
      </c>
      <c r="S254" s="1644"/>
      <c r="T254" s="1644" t="s">
        <v>936</v>
      </c>
      <c r="U254" s="1644"/>
      <c r="V254" s="1644" t="s">
        <v>4141</v>
      </c>
      <c r="W254" s="1650" t="s">
        <v>3632</v>
      </c>
      <c r="X254" s="1644" t="s">
        <v>3633</v>
      </c>
      <c r="Y254" s="1647">
        <v>37621</v>
      </c>
      <c r="Z254" s="1647">
        <v>42736</v>
      </c>
      <c r="AA254" s="1650">
        <f t="shared" ca="1" si="9"/>
        <v>-1.9166666666666667</v>
      </c>
      <c r="AB254" s="2444" t="s">
        <v>3629</v>
      </c>
      <c r="AC254" s="2445"/>
      <c r="AD254" s="2438"/>
    </row>
    <row r="255" spans="1:30" ht="15.75" hidden="1" customHeight="1">
      <c r="A255" s="1644">
        <f t="shared" si="0"/>
        <v>0</v>
      </c>
      <c r="B255" s="1645" t="s">
        <v>4198</v>
      </c>
      <c r="C255" s="1645" t="s">
        <v>4199</v>
      </c>
      <c r="D255" s="1645" t="s">
        <v>551</v>
      </c>
      <c r="E255" s="1644" t="s">
        <v>2798</v>
      </c>
      <c r="F255" s="1645">
        <f t="shared" si="7"/>
        <v>1981</v>
      </c>
      <c r="G255" s="1647">
        <v>29744</v>
      </c>
      <c r="H255" s="1644" t="s">
        <v>3797</v>
      </c>
      <c r="I255" s="1648" t="s">
        <v>3629</v>
      </c>
      <c r="J255" s="1645" t="s">
        <v>38</v>
      </c>
      <c r="K255" s="1645" t="s">
        <v>3798</v>
      </c>
      <c r="L255" s="1645" t="s">
        <v>1747</v>
      </c>
      <c r="M255" s="1645" t="s">
        <v>4200</v>
      </c>
      <c r="N255" s="1645"/>
      <c r="O255" s="1645" t="s">
        <v>4201</v>
      </c>
      <c r="P255" s="1649"/>
      <c r="Q255" s="1645" t="s">
        <v>3757</v>
      </c>
      <c r="R255" s="1647" t="s">
        <v>3789</v>
      </c>
      <c r="S255" s="1644" t="s">
        <v>3696</v>
      </c>
      <c r="T255" s="1644" t="s">
        <v>936</v>
      </c>
      <c r="U255" s="1644" t="s">
        <v>3697</v>
      </c>
      <c r="V255" s="1644"/>
      <c r="W255" s="1650" t="s">
        <v>3653</v>
      </c>
      <c r="X255" s="1644" t="s">
        <v>3633</v>
      </c>
      <c r="Y255" s="1647">
        <v>37783</v>
      </c>
      <c r="Z255" s="1647">
        <v>38149</v>
      </c>
      <c r="AA255" s="1650">
        <f t="shared" ca="1" si="9"/>
        <v>11.666666666666666</v>
      </c>
      <c r="AB255" s="2444" t="s">
        <v>3629</v>
      </c>
      <c r="AC255" s="2445"/>
      <c r="AD255" s="2438"/>
    </row>
    <row r="256" spans="1:30" ht="15.75" hidden="1" customHeight="1">
      <c r="A256" s="1644">
        <f t="shared" si="0"/>
        <v>0</v>
      </c>
      <c r="B256" s="1645" t="s">
        <v>4202</v>
      </c>
      <c r="C256" s="1645" t="s">
        <v>4199</v>
      </c>
      <c r="D256" s="1645" t="s">
        <v>626</v>
      </c>
      <c r="E256" s="1646" t="s">
        <v>2797</v>
      </c>
      <c r="F256" s="1645">
        <f t="shared" si="7"/>
        <v>1978</v>
      </c>
      <c r="G256" s="1647">
        <v>28656</v>
      </c>
      <c r="H256" s="1644" t="s">
        <v>3797</v>
      </c>
      <c r="I256" s="1648" t="s">
        <v>3629</v>
      </c>
      <c r="J256" s="1645" t="s">
        <v>38</v>
      </c>
      <c r="K256" s="1645" t="s">
        <v>3798</v>
      </c>
      <c r="L256" s="1645" t="s">
        <v>2824</v>
      </c>
      <c r="M256" s="1645" t="s">
        <v>2824</v>
      </c>
      <c r="N256" s="1645"/>
      <c r="O256" s="1645" t="s">
        <v>2824</v>
      </c>
      <c r="P256" s="1649"/>
      <c r="Q256" s="1645" t="s">
        <v>3693</v>
      </c>
      <c r="R256" s="1647" t="s">
        <v>4203</v>
      </c>
      <c r="S256" s="1644" t="s">
        <v>3696</v>
      </c>
      <c r="T256" s="1644">
        <v>0</v>
      </c>
      <c r="U256" s="1644" t="s">
        <v>3697</v>
      </c>
      <c r="V256" s="1644"/>
      <c r="W256" s="1650" t="s">
        <v>3646</v>
      </c>
      <c r="X256" s="1644" t="s">
        <v>3707</v>
      </c>
      <c r="Y256" s="1647">
        <v>41040</v>
      </c>
      <c r="Z256" s="1647">
        <v>41405</v>
      </c>
      <c r="AA256" s="1650">
        <f t="shared" ca="1" si="9"/>
        <v>13.666666666666666</v>
      </c>
      <c r="AB256" s="2444" t="s">
        <v>3629</v>
      </c>
      <c r="AC256" s="2445"/>
      <c r="AD256" s="2438"/>
    </row>
    <row r="257" spans="1:30" ht="15.75" hidden="1" customHeight="1">
      <c r="A257" s="1644">
        <f t="shared" si="0"/>
        <v>0</v>
      </c>
      <c r="B257" s="1645" t="s">
        <v>4204</v>
      </c>
      <c r="C257" s="1645" t="s">
        <v>4199</v>
      </c>
      <c r="D257" s="1645" t="s">
        <v>4205</v>
      </c>
      <c r="E257" s="1644" t="s">
        <v>2798</v>
      </c>
      <c r="F257" s="1645">
        <f t="shared" si="7"/>
        <v>1979</v>
      </c>
      <c r="G257" s="1647">
        <v>29087</v>
      </c>
      <c r="H257" s="1644" t="s">
        <v>3642</v>
      </c>
      <c r="I257" s="1648" t="s">
        <v>3629</v>
      </c>
      <c r="J257" s="1645" t="s">
        <v>37</v>
      </c>
      <c r="K257" s="1645">
        <v>0</v>
      </c>
      <c r="L257" s="1645" t="s">
        <v>3268</v>
      </c>
      <c r="M257" s="1645" t="s">
        <v>3961</v>
      </c>
      <c r="N257" s="1645"/>
      <c r="O257" s="1645" t="s">
        <v>3645</v>
      </c>
      <c r="P257" s="1649"/>
      <c r="Q257" s="1645"/>
      <c r="R257" s="1644"/>
      <c r="S257" s="1644"/>
      <c r="T257" s="1644"/>
      <c r="U257" s="1644"/>
      <c r="V257" s="1644" t="s">
        <v>3980</v>
      </c>
      <c r="W257" s="1650" t="s">
        <v>3653</v>
      </c>
      <c r="X257" s="1644"/>
      <c r="Y257" s="1647">
        <v>43181</v>
      </c>
      <c r="Z257" s="1647">
        <v>43546</v>
      </c>
      <c r="AA257" s="1650">
        <f t="shared" ca="1" si="9"/>
        <v>9.8333333333333339</v>
      </c>
      <c r="AB257" s="2444" t="s">
        <v>3629</v>
      </c>
      <c r="AC257" s="2445"/>
      <c r="AD257" s="2438"/>
    </row>
    <row r="258" spans="1:30" ht="15.75" hidden="1" customHeight="1">
      <c r="A258" s="1644">
        <f t="shared" si="0"/>
        <v>0</v>
      </c>
      <c r="B258" s="1645" t="s">
        <v>4206</v>
      </c>
      <c r="C258" s="1645" t="s">
        <v>4199</v>
      </c>
      <c r="D258" s="1645" t="s">
        <v>4207</v>
      </c>
      <c r="E258" s="1646" t="s">
        <v>2797</v>
      </c>
      <c r="F258" s="1645">
        <f t="shared" si="7"/>
        <v>1980</v>
      </c>
      <c r="G258" s="1647">
        <v>29299</v>
      </c>
      <c r="H258" s="1644" t="s">
        <v>3642</v>
      </c>
      <c r="I258" s="1648" t="s">
        <v>3629</v>
      </c>
      <c r="J258" s="1645" t="s">
        <v>37</v>
      </c>
      <c r="K258" s="1645">
        <v>0</v>
      </c>
      <c r="L258" s="1645" t="s">
        <v>2824</v>
      </c>
      <c r="M258" s="1645" t="s">
        <v>2824</v>
      </c>
      <c r="N258" s="1645"/>
      <c r="O258" s="1645" t="s">
        <v>3645</v>
      </c>
      <c r="P258" s="1649"/>
      <c r="Q258" s="1645"/>
      <c r="R258" s="1644"/>
      <c r="S258" s="1644"/>
      <c r="T258" s="1644"/>
      <c r="U258" s="1644"/>
      <c r="V258" s="1644"/>
      <c r="W258" s="1650" t="s">
        <v>3653</v>
      </c>
      <c r="X258" s="1644"/>
      <c r="Y258" s="1647">
        <v>37564</v>
      </c>
      <c r="Z258" s="1647">
        <v>37929</v>
      </c>
      <c r="AA258" s="1650">
        <f t="shared" ca="1" si="9"/>
        <v>15.416666666666666</v>
      </c>
      <c r="AB258" s="2444" t="s">
        <v>3629</v>
      </c>
      <c r="AC258" s="2445"/>
      <c r="AD258" s="2438"/>
    </row>
    <row r="259" spans="1:30" ht="15.75" hidden="1" customHeight="1">
      <c r="A259" s="1644">
        <f t="shared" si="0"/>
        <v>0</v>
      </c>
      <c r="B259" s="1645" t="s">
        <v>4208</v>
      </c>
      <c r="C259" s="1645" t="s">
        <v>4199</v>
      </c>
      <c r="D259" s="1645" t="s">
        <v>4207</v>
      </c>
      <c r="E259" s="1644" t="s">
        <v>2798</v>
      </c>
      <c r="F259" s="1645">
        <f t="shared" si="7"/>
        <v>1985</v>
      </c>
      <c r="G259" s="1647">
        <v>31285</v>
      </c>
      <c r="H259" s="1644" t="s">
        <v>3642</v>
      </c>
      <c r="I259" s="1648" t="s">
        <v>3629</v>
      </c>
      <c r="J259" s="1645" t="s">
        <v>37</v>
      </c>
      <c r="K259" s="1645">
        <v>0</v>
      </c>
      <c r="L259" s="1645" t="s">
        <v>2682</v>
      </c>
      <c r="M259" s="1645" t="s">
        <v>3655</v>
      </c>
      <c r="N259" s="1645"/>
      <c r="O259" s="1645" t="s">
        <v>3645</v>
      </c>
      <c r="P259" s="1649"/>
      <c r="Q259" s="1645"/>
      <c r="R259" s="1644"/>
      <c r="S259" s="1644"/>
      <c r="T259" s="1644"/>
      <c r="U259" s="1644"/>
      <c r="V259" s="1644"/>
      <c r="W259" s="1650" t="s">
        <v>3653</v>
      </c>
      <c r="X259" s="1644"/>
      <c r="Y259" s="1647">
        <v>42527</v>
      </c>
      <c r="Z259" s="1647">
        <v>42892</v>
      </c>
      <c r="AA259" s="1650">
        <f t="shared" ca="1" si="9"/>
        <v>15.833333333333334</v>
      </c>
      <c r="AB259" s="2444" t="s">
        <v>3629</v>
      </c>
      <c r="AC259" s="2445"/>
      <c r="AD259" s="2438"/>
    </row>
    <row r="260" spans="1:30" ht="15.75" hidden="1" customHeight="1">
      <c r="A260" s="1644">
        <f t="shared" si="0"/>
        <v>0</v>
      </c>
      <c r="B260" s="1645" t="s">
        <v>4209</v>
      </c>
      <c r="C260" s="1645" t="s">
        <v>4199</v>
      </c>
      <c r="D260" s="1645" t="s">
        <v>4207</v>
      </c>
      <c r="E260" s="1646" t="s">
        <v>2797</v>
      </c>
      <c r="F260" s="1645">
        <f t="shared" si="7"/>
        <v>1964</v>
      </c>
      <c r="G260" s="1647">
        <v>23503</v>
      </c>
      <c r="H260" s="1644" t="s">
        <v>3642</v>
      </c>
      <c r="I260" s="1648" t="s">
        <v>3629</v>
      </c>
      <c r="J260" s="1645" t="s">
        <v>37</v>
      </c>
      <c r="K260" s="1645">
        <v>0</v>
      </c>
      <c r="L260" s="1645" t="s">
        <v>4210</v>
      </c>
      <c r="M260" s="1645" t="s">
        <v>3476</v>
      </c>
      <c r="N260" s="1645"/>
      <c r="O260" s="1645" t="s">
        <v>3645</v>
      </c>
      <c r="P260" s="1649"/>
      <c r="Q260" s="1645"/>
      <c r="R260" s="1644"/>
      <c r="S260" s="1644"/>
      <c r="T260" s="1644"/>
      <c r="U260" s="1644"/>
      <c r="V260" s="1644"/>
      <c r="W260" s="1644" t="s">
        <v>936</v>
      </c>
      <c r="X260" s="1644"/>
      <c r="Y260" s="1647">
        <v>36810</v>
      </c>
      <c r="Z260" s="1647">
        <v>37175</v>
      </c>
      <c r="AA260" s="1650">
        <f t="shared" ca="1" si="9"/>
        <v>-0.41666666666666669</v>
      </c>
      <c r="AB260" s="2444" t="s">
        <v>3629</v>
      </c>
      <c r="AC260" s="2445"/>
      <c r="AD260" s="2438"/>
    </row>
    <row r="261" spans="1:30" ht="15.75" hidden="1" customHeight="1">
      <c r="A261" s="1644">
        <f t="shared" ref="A261:A515" si="10">+SUBTOTAL(3,$C$6:C261)</f>
        <v>0</v>
      </c>
      <c r="B261" s="1645" t="s">
        <v>4211</v>
      </c>
      <c r="C261" s="1645" t="s">
        <v>4199</v>
      </c>
      <c r="D261" s="1645" t="s">
        <v>4207</v>
      </c>
      <c r="E261" s="1644" t="s">
        <v>2798</v>
      </c>
      <c r="F261" s="1645">
        <f t="shared" si="7"/>
        <v>1987</v>
      </c>
      <c r="G261" s="1647">
        <v>31998</v>
      </c>
      <c r="H261" s="1644" t="s">
        <v>3642</v>
      </c>
      <c r="I261" s="1648" t="s">
        <v>3629</v>
      </c>
      <c r="J261" s="1645" t="s">
        <v>37</v>
      </c>
      <c r="K261" s="1645">
        <v>0</v>
      </c>
      <c r="L261" s="1645" t="s">
        <v>4212</v>
      </c>
      <c r="M261" s="1645" t="s">
        <v>2882</v>
      </c>
      <c r="N261" s="1645"/>
      <c r="O261" s="1645" t="s">
        <v>3645</v>
      </c>
      <c r="P261" s="1649"/>
      <c r="Q261" s="1645"/>
      <c r="R261" s="1644" t="s">
        <v>3952</v>
      </c>
      <c r="S261" s="1644" t="s">
        <v>3962</v>
      </c>
      <c r="T261" s="1644"/>
      <c r="U261" s="1644"/>
      <c r="V261" s="1644" t="s">
        <v>3980</v>
      </c>
      <c r="W261" s="1650" t="s">
        <v>3653</v>
      </c>
      <c r="X261" s="1644" t="s">
        <v>3633</v>
      </c>
      <c r="Y261" s="1647">
        <v>43181</v>
      </c>
      <c r="Z261" s="1647">
        <v>43546</v>
      </c>
      <c r="AA261" s="1650">
        <f t="shared" ca="1" si="9"/>
        <v>17.833333333333332</v>
      </c>
      <c r="AB261" s="2444" t="s">
        <v>3629</v>
      </c>
      <c r="AC261" s="2445"/>
      <c r="AD261" s="2438"/>
    </row>
    <row r="262" spans="1:30" ht="15.75" hidden="1" customHeight="1">
      <c r="A262" s="1644">
        <f t="shared" si="10"/>
        <v>0</v>
      </c>
      <c r="B262" s="1645" t="s">
        <v>4213</v>
      </c>
      <c r="C262" s="1645" t="s">
        <v>4199</v>
      </c>
      <c r="D262" s="1645" t="s">
        <v>4207</v>
      </c>
      <c r="E262" s="1644" t="s">
        <v>2798</v>
      </c>
      <c r="F262" s="1645">
        <f t="shared" si="7"/>
        <v>1988</v>
      </c>
      <c r="G262" s="1647">
        <v>32177</v>
      </c>
      <c r="H262" s="1644" t="s">
        <v>3642</v>
      </c>
      <c r="I262" s="1648" t="s">
        <v>3629</v>
      </c>
      <c r="J262" s="1645" t="s">
        <v>37</v>
      </c>
      <c r="K262" s="1645">
        <v>0</v>
      </c>
      <c r="L262" s="1645" t="s">
        <v>1747</v>
      </c>
      <c r="M262" s="1645" t="s">
        <v>4214</v>
      </c>
      <c r="N262" s="1645"/>
      <c r="O262" s="1645" t="s">
        <v>3645</v>
      </c>
      <c r="P262" s="1649"/>
      <c r="Q262" s="1645"/>
      <c r="R262" s="1644"/>
      <c r="S262" s="1644"/>
      <c r="T262" s="1644"/>
      <c r="U262" s="1644"/>
      <c r="V262" s="1644" t="s">
        <v>3980</v>
      </c>
      <c r="W262" s="1650" t="s">
        <v>3646</v>
      </c>
      <c r="X262" s="1644"/>
      <c r="Y262" s="1647">
        <v>42089</v>
      </c>
      <c r="Z262" s="1647">
        <v>42455</v>
      </c>
      <c r="AA262" s="1650">
        <f t="shared" ca="1" si="9"/>
        <v>18.333333333333332</v>
      </c>
      <c r="AB262" s="2444" t="s">
        <v>3629</v>
      </c>
      <c r="AC262" s="2445"/>
      <c r="AD262" s="2438"/>
    </row>
    <row r="263" spans="1:30" ht="15.75" hidden="1" customHeight="1">
      <c r="A263" s="1644">
        <f t="shared" si="10"/>
        <v>0</v>
      </c>
      <c r="B263" s="1645" t="s">
        <v>4215</v>
      </c>
      <c r="C263" s="1645" t="s">
        <v>4199</v>
      </c>
      <c r="D263" s="1645" t="s">
        <v>4207</v>
      </c>
      <c r="E263" s="1644" t="s">
        <v>2798</v>
      </c>
      <c r="F263" s="1645">
        <f t="shared" si="7"/>
        <v>1988</v>
      </c>
      <c r="G263" s="1647">
        <v>32312</v>
      </c>
      <c r="H263" s="1644" t="s">
        <v>3642</v>
      </c>
      <c r="I263" s="1648" t="s">
        <v>3629</v>
      </c>
      <c r="J263" s="1645" t="s">
        <v>37</v>
      </c>
      <c r="K263" s="1645"/>
      <c r="L263" s="1651" t="s">
        <v>4180</v>
      </c>
      <c r="M263" s="1645" t="s">
        <v>4180</v>
      </c>
      <c r="N263" s="1645"/>
      <c r="O263" s="1645">
        <v>0</v>
      </c>
      <c r="P263" s="1649"/>
      <c r="Q263" s="1645"/>
      <c r="R263" s="1644"/>
      <c r="S263" s="1644"/>
      <c r="T263" s="1644"/>
      <c r="U263" s="1644"/>
      <c r="V263" s="1644"/>
      <c r="W263" s="1644" t="s">
        <v>936</v>
      </c>
      <c r="X263" s="1644"/>
      <c r="Y263" s="1647"/>
      <c r="Z263" s="1647"/>
      <c r="AA263" s="1650">
        <f t="shared" ca="1" si="9"/>
        <v>18.666666666666668</v>
      </c>
      <c r="AB263" s="2444" t="s">
        <v>3629</v>
      </c>
      <c r="AC263" s="2445"/>
      <c r="AD263" s="2438"/>
    </row>
    <row r="264" spans="1:30" ht="15.75" hidden="1" customHeight="1">
      <c r="A264" s="1644">
        <f t="shared" si="10"/>
        <v>0</v>
      </c>
      <c r="B264" s="1645" t="s">
        <v>4216</v>
      </c>
      <c r="C264" s="1645" t="s">
        <v>4199</v>
      </c>
      <c r="D264" s="1645" t="s">
        <v>4207</v>
      </c>
      <c r="E264" s="1646" t="s">
        <v>2798</v>
      </c>
      <c r="F264" s="1645">
        <f t="shared" si="7"/>
        <v>1971</v>
      </c>
      <c r="G264" s="1647">
        <v>26218</v>
      </c>
      <c r="H264" s="1644" t="s">
        <v>3642</v>
      </c>
      <c r="I264" s="1648" t="s">
        <v>3629</v>
      </c>
      <c r="J264" s="1645" t="s">
        <v>37</v>
      </c>
      <c r="K264" s="1645">
        <v>0</v>
      </c>
      <c r="L264" s="1645" t="s">
        <v>3268</v>
      </c>
      <c r="M264" s="1645" t="s">
        <v>4217</v>
      </c>
      <c r="N264" s="1645"/>
      <c r="O264" s="1645" t="s">
        <v>3645</v>
      </c>
      <c r="P264" s="1649"/>
      <c r="Q264" s="1645"/>
      <c r="R264" s="1644"/>
      <c r="S264" s="1644"/>
      <c r="T264" s="1644"/>
      <c r="U264" s="1644"/>
      <c r="V264" s="1644"/>
      <c r="W264" s="1650" t="s">
        <v>3646</v>
      </c>
      <c r="X264" s="1644"/>
      <c r="Y264" s="1647">
        <v>38240</v>
      </c>
      <c r="Z264" s="1647">
        <v>38605</v>
      </c>
      <c r="AA264" s="1650">
        <f t="shared" ca="1" si="9"/>
        <v>2</v>
      </c>
      <c r="AB264" s="2444" t="s">
        <v>3629</v>
      </c>
      <c r="AC264" s="2445"/>
      <c r="AD264" s="2438"/>
    </row>
    <row r="265" spans="1:30" ht="15.75" hidden="1" customHeight="1">
      <c r="A265" s="1644">
        <f t="shared" si="10"/>
        <v>0</v>
      </c>
      <c r="B265" s="1645" t="s">
        <v>4218</v>
      </c>
      <c r="C265" s="1645" t="s">
        <v>4199</v>
      </c>
      <c r="D265" s="1645"/>
      <c r="E265" s="1644" t="s">
        <v>2797</v>
      </c>
      <c r="F265" s="1645">
        <f t="shared" si="7"/>
        <v>1975</v>
      </c>
      <c r="G265" s="1647">
        <v>27639</v>
      </c>
      <c r="H265" s="1644" t="s">
        <v>3642</v>
      </c>
      <c r="I265" s="1648" t="s">
        <v>3629</v>
      </c>
      <c r="J265" s="1645" t="s">
        <v>201</v>
      </c>
      <c r="K265" s="1645">
        <v>0</v>
      </c>
      <c r="L265" s="1645" t="s">
        <v>4219</v>
      </c>
      <c r="M265" s="1645">
        <v>0</v>
      </c>
      <c r="N265" s="1645"/>
      <c r="O265" s="1645">
        <v>0</v>
      </c>
      <c r="P265" s="1649"/>
      <c r="Q265" s="1645"/>
      <c r="R265" s="1644"/>
      <c r="S265" s="1644"/>
      <c r="T265" s="1644"/>
      <c r="U265" s="1644"/>
      <c r="V265" s="1644"/>
      <c r="W265" s="1644">
        <v>0</v>
      </c>
      <c r="X265" s="1644"/>
      <c r="Y265" s="1647"/>
      <c r="Z265" s="1647"/>
      <c r="AA265" s="1650">
        <f t="shared" ca="1" si="9"/>
        <v>10.833333333333334</v>
      </c>
      <c r="AB265" s="2444" t="s">
        <v>3629</v>
      </c>
      <c r="AC265" s="2445"/>
      <c r="AD265" s="2438"/>
    </row>
    <row r="266" spans="1:30" ht="15.75" hidden="1" customHeight="1">
      <c r="A266" s="1644">
        <f t="shared" si="10"/>
        <v>0</v>
      </c>
      <c r="B266" s="1645" t="s">
        <v>4220</v>
      </c>
      <c r="C266" s="1645" t="s">
        <v>4199</v>
      </c>
      <c r="D266" s="1645"/>
      <c r="E266" s="1646" t="s">
        <v>2797</v>
      </c>
      <c r="F266" s="1645">
        <f t="shared" si="7"/>
        <v>1982</v>
      </c>
      <c r="G266" s="1647">
        <v>29985</v>
      </c>
      <c r="H266" s="1644" t="s">
        <v>3642</v>
      </c>
      <c r="I266" s="1648" t="s">
        <v>3629</v>
      </c>
      <c r="J266" s="1645" t="s">
        <v>201</v>
      </c>
      <c r="K266" s="1645">
        <v>0</v>
      </c>
      <c r="L266" s="1645" t="s">
        <v>4137</v>
      </c>
      <c r="M266" s="1645">
        <v>0</v>
      </c>
      <c r="N266" s="1645"/>
      <c r="O266" s="1645" t="s">
        <v>3645</v>
      </c>
      <c r="P266" s="1649"/>
      <c r="Q266" s="1645"/>
      <c r="R266" s="1647" t="s">
        <v>3667</v>
      </c>
      <c r="S266" s="1644" t="s">
        <v>3743</v>
      </c>
      <c r="T266" s="1644"/>
      <c r="U266" s="1644"/>
      <c r="V266" s="1644" t="s">
        <v>3649</v>
      </c>
      <c r="W266" s="1650" t="s">
        <v>3653</v>
      </c>
      <c r="X266" s="1644"/>
      <c r="Y266" s="1647"/>
      <c r="Z266" s="1647"/>
      <c r="AA266" s="1650">
        <f t="shared" ca="1" si="9"/>
        <v>17.333333333333332</v>
      </c>
      <c r="AB266" s="2444" t="s">
        <v>3629</v>
      </c>
      <c r="AC266" s="2445"/>
      <c r="AD266" s="2438"/>
    </row>
    <row r="267" spans="1:30" ht="15.75" hidden="1" customHeight="1">
      <c r="A267" s="1644">
        <f t="shared" si="10"/>
        <v>0</v>
      </c>
      <c r="B267" s="1645" t="s">
        <v>4221</v>
      </c>
      <c r="C267" s="1645" t="s">
        <v>4222</v>
      </c>
      <c r="D267" s="1645" t="s">
        <v>4091</v>
      </c>
      <c r="E267" s="1644" t="s">
        <v>2798</v>
      </c>
      <c r="F267" s="1645">
        <f t="shared" si="7"/>
        <v>1986</v>
      </c>
      <c r="G267" s="1647">
        <v>31462</v>
      </c>
      <c r="H267" s="1644" t="s">
        <v>3636</v>
      </c>
      <c r="I267" s="1648" t="s">
        <v>3629</v>
      </c>
      <c r="J267" s="1645" t="s">
        <v>37</v>
      </c>
      <c r="K267" s="1645">
        <v>0</v>
      </c>
      <c r="L267" s="1645" t="s">
        <v>4223</v>
      </c>
      <c r="M267" s="1645" t="s">
        <v>4031</v>
      </c>
      <c r="N267" s="1645"/>
      <c r="O267" s="1645" t="s">
        <v>3645</v>
      </c>
      <c r="P267" s="1649"/>
      <c r="Q267" s="1645"/>
      <c r="R267" s="1647" t="s">
        <v>4224</v>
      </c>
      <c r="S267" s="1644"/>
      <c r="T267" s="1644" t="s">
        <v>936</v>
      </c>
      <c r="U267" s="1644" t="s">
        <v>3711</v>
      </c>
      <c r="V267" s="1644"/>
      <c r="W267" s="1644">
        <v>0</v>
      </c>
      <c r="X267" s="1644"/>
      <c r="Y267" s="1647">
        <v>0</v>
      </c>
      <c r="Z267" s="1647">
        <v>0</v>
      </c>
      <c r="AA267" s="1650">
        <f t="shared" ca="1" si="9"/>
        <v>16.333333333333332</v>
      </c>
      <c r="AB267" s="2444" t="s">
        <v>3629</v>
      </c>
      <c r="AC267" s="2445"/>
      <c r="AD267" s="2438"/>
    </row>
    <row r="268" spans="1:30" ht="15.75" hidden="1" customHeight="1">
      <c r="A268" s="1644">
        <f t="shared" si="10"/>
        <v>0</v>
      </c>
      <c r="B268" s="1645" t="s">
        <v>4225</v>
      </c>
      <c r="C268" s="1645" t="s">
        <v>4222</v>
      </c>
      <c r="D268" s="1645"/>
      <c r="E268" s="1646" t="s">
        <v>2797</v>
      </c>
      <c r="F268" s="1645">
        <f t="shared" si="7"/>
        <v>1980</v>
      </c>
      <c r="G268" s="1647">
        <v>29562</v>
      </c>
      <c r="H268" s="1644" t="s">
        <v>3642</v>
      </c>
      <c r="I268" s="1648" t="s">
        <v>3629</v>
      </c>
      <c r="J268" s="1645" t="s">
        <v>37</v>
      </c>
      <c r="K268" s="1645">
        <v>0</v>
      </c>
      <c r="L268" s="1645" t="s">
        <v>4226</v>
      </c>
      <c r="M268" s="1645" t="s">
        <v>4227</v>
      </c>
      <c r="N268" s="1645"/>
      <c r="O268" s="1645" t="s">
        <v>506</v>
      </c>
      <c r="P268" s="1649"/>
      <c r="Q268" s="1645"/>
      <c r="R268" s="1644"/>
      <c r="S268" s="1644"/>
      <c r="T268" s="1644"/>
      <c r="U268" s="1644"/>
      <c r="V268" s="1644" t="s">
        <v>3980</v>
      </c>
      <c r="W268" s="1644" t="s">
        <v>936</v>
      </c>
      <c r="X268" s="1644" t="s">
        <v>3633</v>
      </c>
      <c r="Y268" s="1647">
        <v>37479</v>
      </c>
      <c r="Z268" s="1647">
        <v>37844</v>
      </c>
      <c r="AA268" s="1650">
        <f t="shared" ca="1" si="9"/>
        <v>16.166666666666668</v>
      </c>
      <c r="AB268" s="2444" t="s">
        <v>3629</v>
      </c>
      <c r="AC268" s="2445"/>
      <c r="AD268" s="2438"/>
    </row>
    <row r="269" spans="1:30" ht="15.75" hidden="1" customHeight="1">
      <c r="A269" s="1644">
        <f t="shared" si="10"/>
        <v>0</v>
      </c>
      <c r="B269" s="1645" t="s">
        <v>4228</v>
      </c>
      <c r="C269" s="1645" t="s">
        <v>4222</v>
      </c>
      <c r="D269" s="1645"/>
      <c r="E269" s="1644" t="s">
        <v>2798</v>
      </c>
      <c r="F269" s="1645">
        <f t="shared" si="7"/>
        <v>1986</v>
      </c>
      <c r="G269" s="1647">
        <v>31589</v>
      </c>
      <c r="H269" s="1644" t="s">
        <v>3642</v>
      </c>
      <c r="I269" s="1648" t="s">
        <v>3629</v>
      </c>
      <c r="J269" s="1645" t="s">
        <v>37</v>
      </c>
      <c r="K269" s="1645">
        <v>0</v>
      </c>
      <c r="L269" s="1645" t="s">
        <v>3676</v>
      </c>
      <c r="M269" s="1645">
        <v>0</v>
      </c>
      <c r="N269" s="1645"/>
      <c r="O269" s="1645" t="s">
        <v>3645</v>
      </c>
      <c r="P269" s="1649"/>
      <c r="Q269" s="1645"/>
      <c r="R269" s="1647" t="s">
        <v>3667</v>
      </c>
      <c r="S269" s="1644"/>
      <c r="T269" s="1644"/>
      <c r="U269" s="1644"/>
      <c r="V269" s="1644" t="s">
        <v>3649</v>
      </c>
      <c r="W269" s="1650" t="s">
        <v>3653</v>
      </c>
      <c r="X269" s="1644"/>
      <c r="Y269" s="1647">
        <v>43615</v>
      </c>
      <c r="Z269" s="1647">
        <v>43981</v>
      </c>
      <c r="AA269" s="1650">
        <f t="shared" ca="1" si="9"/>
        <v>16.666666666666668</v>
      </c>
      <c r="AB269" s="2444" t="s">
        <v>3629</v>
      </c>
      <c r="AC269" s="2445"/>
      <c r="AD269" s="2438"/>
    </row>
    <row r="270" spans="1:30" ht="15.75" hidden="1" customHeight="1">
      <c r="A270" s="1644">
        <f t="shared" si="10"/>
        <v>0</v>
      </c>
      <c r="B270" s="1645" t="s">
        <v>4229</v>
      </c>
      <c r="C270" s="1645" t="s">
        <v>4222</v>
      </c>
      <c r="D270" s="1645"/>
      <c r="E270" s="1644" t="s">
        <v>2797</v>
      </c>
      <c r="F270" s="1645">
        <f t="shared" si="7"/>
        <v>1982</v>
      </c>
      <c r="G270" s="1647">
        <v>30141</v>
      </c>
      <c r="H270" s="1644" t="s">
        <v>3642</v>
      </c>
      <c r="I270" s="1648" t="s">
        <v>3629</v>
      </c>
      <c r="J270" s="1645" t="s">
        <v>37</v>
      </c>
      <c r="K270" s="1645">
        <v>0</v>
      </c>
      <c r="L270" s="1645" t="s">
        <v>1733</v>
      </c>
      <c r="M270" s="1645" t="s">
        <v>4082</v>
      </c>
      <c r="N270" s="1645"/>
      <c r="O270" s="1645" t="s">
        <v>3645</v>
      </c>
      <c r="P270" s="1649"/>
      <c r="Q270" s="1645"/>
      <c r="R270" s="1644"/>
      <c r="S270" s="1644"/>
      <c r="T270" s="1644"/>
      <c r="U270" s="1644"/>
      <c r="V270" s="1644"/>
      <c r="W270" s="1650" t="s">
        <v>3653</v>
      </c>
      <c r="X270" s="1644"/>
      <c r="Y270" s="1647">
        <v>39826</v>
      </c>
      <c r="Z270" s="1647">
        <v>40191</v>
      </c>
      <c r="AA270" s="1650">
        <f t="shared" ca="1" si="9"/>
        <v>17.75</v>
      </c>
      <c r="AB270" s="2444" t="s">
        <v>3629</v>
      </c>
      <c r="AC270" s="2445"/>
      <c r="AD270" s="2438"/>
    </row>
    <row r="271" spans="1:30" ht="15.75" hidden="1" customHeight="1">
      <c r="A271" s="1644">
        <f t="shared" si="10"/>
        <v>0</v>
      </c>
      <c r="B271" s="1645" t="s">
        <v>4230</v>
      </c>
      <c r="C271" s="1645" t="s">
        <v>4222</v>
      </c>
      <c r="D271" s="1645"/>
      <c r="E271" s="1646" t="s">
        <v>2797</v>
      </c>
      <c r="F271" s="1645">
        <f t="shared" si="7"/>
        <v>1982</v>
      </c>
      <c r="G271" s="1647">
        <v>30171</v>
      </c>
      <c r="H271" s="1644" t="s">
        <v>3642</v>
      </c>
      <c r="I271" s="1648" t="s">
        <v>3629</v>
      </c>
      <c r="J271" s="1645" t="s">
        <v>37</v>
      </c>
      <c r="K271" s="1645">
        <v>0</v>
      </c>
      <c r="L271" s="1645" t="s">
        <v>2682</v>
      </c>
      <c r="M271" s="1645" t="s">
        <v>506</v>
      </c>
      <c r="N271" s="1645"/>
      <c r="O271" s="1645" t="s">
        <v>3645</v>
      </c>
      <c r="P271" s="1649"/>
      <c r="Q271" s="1645"/>
      <c r="R271" s="1644"/>
      <c r="S271" s="1644"/>
      <c r="T271" s="1644"/>
      <c r="U271" s="1644"/>
      <c r="V271" s="1644" t="s">
        <v>3980</v>
      </c>
      <c r="W271" s="1644" t="s">
        <v>3968</v>
      </c>
      <c r="X271" s="1644" t="s">
        <v>3633</v>
      </c>
      <c r="Y271" s="1647">
        <v>37619</v>
      </c>
      <c r="Z271" s="1647">
        <v>37984</v>
      </c>
      <c r="AA271" s="1650">
        <f t="shared" ca="1" si="9"/>
        <v>17.833333333333332</v>
      </c>
      <c r="AB271" s="2444" t="s">
        <v>3629</v>
      </c>
      <c r="AC271" s="2445"/>
      <c r="AD271" s="2438"/>
    </row>
    <row r="272" spans="1:30" ht="15.75" hidden="1" customHeight="1">
      <c r="A272" s="1644">
        <f t="shared" si="10"/>
        <v>0</v>
      </c>
      <c r="B272" s="1645" t="s">
        <v>4231</v>
      </c>
      <c r="C272" s="1645" t="s">
        <v>4222</v>
      </c>
      <c r="D272" s="1645"/>
      <c r="E272" s="1646" t="s">
        <v>2798</v>
      </c>
      <c r="F272" s="1645">
        <f t="shared" si="7"/>
        <v>1981</v>
      </c>
      <c r="G272" s="1647">
        <v>29917</v>
      </c>
      <c r="H272" s="1644" t="s">
        <v>4232</v>
      </c>
      <c r="I272" s="1648" t="s">
        <v>3629</v>
      </c>
      <c r="J272" s="1645" t="s">
        <v>201</v>
      </c>
      <c r="K272" s="1645">
        <v>0</v>
      </c>
      <c r="L272" s="1645" t="s">
        <v>3681</v>
      </c>
      <c r="M272" s="1645">
        <v>0</v>
      </c>
      <c r="N272" s="1645"/>
      <c r="O272" s="1645" t="s">
        <v>3645</v>
      </c>
      <c r="P272" s="1649"/>
      <c r="Q272" s="1645"/>
      <c r="R272" s="1644"/>
      <c r="S272" s="1644"/>
      <c r="T272" s="1644"/>
      <c r="U272" s="1644"/>
      <c r="V272" s="1644"/>
      <c r="W272" s="1650" t="s">
        <v>3822</v>
      </c>
      <c r="X272" s="1644"/>
      <c r="Y272" s="1647"/>
      <c r="Z272" s="1647"/>
      <c r="AA272" s="1650">
        <f t="shared" ca="1" si="9"/>
        <v>12.083333333333334</v>
      </c>
      <c r="AB272" s="2444" t="s">
        <v>3629</v>
      </c>
      <c r="AC272" s="2445"/>
      <c r="AD272" s="2438"/>
    </row>
    <row r="273" spans="1:30" ht="15.75" hidden="1" customHeight="1">
      <c r="A273" s="1644">
        <f t="shared" si="10"/>
        <v>0</v>
      </c>
      <c r="B273" s="1645" t="s">
        <v>4233</v>
      </c>
      <c r="C273" s="1645" t="s">
        <v>4234</v>
      </c>
      <c r="D273" s="1645"/>
      <c r="E273" s="1644" t="s">
        <v>2797</v>
      </c>
      <c r="F273" s="1645">
        <f t="shared" si="7"/>
        <v>1986</v>
      </c>
      <c r="G273" s="1647">
        <v>31483</v>
      </c>
      <c r="H273" s="1644" t="s">
        <v>3642</v>
      </c>
      <c r="I273" s="1648" t="s">
        <v>3629</v>
      </c>
      <c r="J273" s="1645" t="s">
        <v>201</v>
      </c>
      <c r="K273" s="1645">
        <v>0</v>
      </c>
      <c r="L273" s="1645" t="s">
        <v>4235</v>
      </c>
      <c r="M273" s="1645">
        <v>0</v>
      </c>
      <c r="N273" s="1645"/>
      <c r="O273" s="1645" t="s">
        <v>3645</v>
      </c>
      <c r="P273" s="1649"/>
      <c r="Q273" s="1645"/>
      <c r="R273" s="1644"/>
      <c r="S273" s="1644"/>
      <c r="T273" s="1644"/>
      <c r="U273" s="1644"/>
      <c r="V273" s="1644" t="s">
        <v>3649</v>
      </c>
      <c r="W273" s="1650" t="s">
        <v>3653</v>
      </c>
      <c r="X273" s="1644"/>
      <c r="Y273" s="1647"/>
      <c r="Z273" s="1647"/>
      <c r="AA273" s="1650">
        <f t="shared" ca="1" si="9"/>
        <v>21.416666666666668</v>
      </c>
      <c r="AB273" s="2444" t="s">
        <v>3629</v>
      </c>
      <c r="AC273" s="2445"/>
      <c r="AD273" s="2438"/>
    </row>
    <row r="274" spans="1:30" ht="15.75" hidden="1" customHeight="1">
      <c r="A274" s="1644">
        <f t="shared" si="10"/>
        <v>0</v>
      </c>
      <c r="B274" s="1645" t="s">
        <v>4236</v>
      </c>
      <c r="C274" s="1645" t="s">
        <v>4222</v>
      </c>
      <c r="D274" s="1645"/>
      <c r="E274" s="1646" t="s">
        <v>2798</v>
      </c>
      <c r="F274" s="1645">
        <f t="shared" si="7"/>
        <v>1981</v>
      </c>
      <c r="G274" s="1647">
        <v>29769</v>
      </c>
      <c r="H274" s="1644" t="s">
        <v>3642</v>
      </c>
      <c r="I274" s="1648" t="s">
        <v>3629</v>
      </c>
      <c r="J274" s="1645" t="s">
        <v>37</v>
      </c>
      <c r="K274" s="1645">
        <v>0</v>
      </c>
      <c r="L274" s="1645" t="s">
        <v>4226</v>
      </c>
      <c r="M274" s="1645" t="s">
        <v>506</v>
      </c>
      <c r="N274" s="1645"/>
      <c r="O274" s="1645" t="s">
        <v>3645</v>
      </c>
      <c r="P274" s="1649"/>
      <c r="Q274" s="1645"/>
      <c r="R274" s="1647" t="s">
        <v>3683</v>
      </c>
      <c r="S274" s="1644"/>
      <c r="T274" s="1644"/>
      <c r="U274" s="1644"/>
      <c r="V274" s="1644"/>
      <c r="W274" s="1650" t="s">
        <v>3653</v>
      </c>
      <c r="X274" s="1644"/>
      <c r="Y274" s="1647">
        <v>37799</v>
      </c>
      <c r="Z274" s="1647">
        <v>38165</v>
      </c>
      <c r="AA274" s="1650">
        <f t="shared" ca="1" si="9"/>
        <v>11.666666666666666</v>
      </c>
      <c r="AB274" s="2444" t="s">
        <v>3629</v>
      </c>
      <c r="AC274" s="2445"/>
      <c r="AD274" s="2438"/>
    </row>
    <row r="275" spans="1:30" ht="15.75" hidden="1" customHeight="1">
      <c r="A275" s="1644">
        <f t="shared" si="10"/>
        <v>0</v>
      </c>
      <c r="B275" s="1645" t="s">
        <v>4237</v>
      </c>
      <c r="C275" s="1645" t="s">
        <v>4222</v>
      </c>
      <c r="D275" s="1645"/>
      <c r="E275" s="1646" t="s">
        <v>2798</v>
      </c>
      <c r="F275" s="1645">
        <f t="shared" si="7"/>
        <v>1994</v>
      </c>
      <c r="G275" s="1647">
        <v>34488</v>
      </c>
      <c r="H275" s="1646" t="s">
        <v>3642</v>
      </c>
      <c r="I275" s="1648" t="s">
        <v>3629</v>
      </c>
      <c r="J275" s="1645" t="s">
        <v>201</v>
      </c>
      <c r="K275" s="1645"/>
      <c r="L275" s="1651" t="s">
        <v>4238</v>
      </c>
      <c r="M275" s="1645"/>
      <c r="N275" s="1645"/>
      <c r="O275" s="1645"/>
      <c r="P275" s="1649"/>
      <c r="Q275" s="1645"/>
      <c r="R275" s="1644"/>
      <c r="S275" s="1644"/>
      <c r="T275" s="1644"/>
      <c r="U275" s="1644"/>
      <c r="V275" s="1644"/>
      <c r="W275" s="1644"/>
      <c r="X275" s="1644"/>
      <c r="Y275" s="1644"/>
      <c r="Z275" s="1647"/>
      <c r="AA275" s="1654"/>
      <c r="AB275" s="2444" t="s">
        <v>3629</v>
      </c>
      <c r="AC275" s="2445"/>
      <c r="AD275" s="2438"/>
    </row>
    <row r="276" spans="1:30" ht="15.75" hidden="1" customHeight="1">
      <c r="A276" s="1644">
        <f t="shared" si="10"/>
        <v>0</v>
      </c>
      <c r="B276" s="1645" t="s">
        <v>4239</v>
      </c>
      <c r="C276" s="1645" t="s">
        <v>4222</v>
      </c>
      <c r="D276" s="1645"/>
      <c r="E276" s="1644" t="s">
        <v>2797</v>
      </c>
      <c r="F276" s="1645">
        <f t="shared" si="7"/>
        <v>1992</v>
      </c>
      <c r="G276" s="1647">
        <v>33714</v>
      </c>
      <c r="H276" s="1644" t="s">
        <v>3642</v>
      </c>
      <c r="I276" s="1648" t="s">
        <v>3629</v>
      </c>
      <c r="J276" s="1645" t="s">
        <v>37</v>
      </c>
      <c r="K276" s="1645"/>
      <c r="L276" s="1651">
        <v>0</v>
      </c>
      <c r="M276" s="1645">
        <v>0</v>
      </c>
      <c r="N276" s="1645"/>
      <c r="O276" s="1645">
        <v>0</v>
      </c>
      <c r="P276" s="1649"/>
      <c r="Q276" s="1645"/>
      <c r="R276" s="1647" t="s">
        <v>4240</v>
      </c>
      <c r="S276" s="1644"/>
      <c r="T276" s="1644"/>
      <c r="U276" s="1644"/>
      <c r="V276" s="1644"/>
      <c r="W276" s="1650" t="s">
        <v>3822</v>
      </c>
      <c r="X276" s="1644"/>
      <c r="Y276" s="1644"/>
      <c r="Z276" s="1647"/>
      <c r="AA276" s="1650">
        <f t="shared" ref="AA276:AA281" ca="1" si="11">IF(E276="nữ",660-DATEDIF(G276,TODAY(),"m"),720-DATEDIF(G276,TODAY(),"m"))/12</f>
        <v>27.5</v>
      </c>
      <c r="AB276" s="2444" t="s">
        <v>3629</v>
      </c>
      <c r="AC276" s="2445"/>
      <c r="AD276" s="2438"/>
    </row>
    <row r="277" spans="1:30" ht="15.75" hidden="1" customHeight="1">
      <c r="A277" s="1644">
        <f t="shared" si="10"/>
        <v>0</v>
      </c>
      <c r="B277" s="1645" t="s">
        <v>4241</v>
      </c>
      <c r="C277" s="1645" t="s">
        <v>4242</v>
      </c>
      <c r="D277" s="1645" t="s">
        <v>4243</v>
      </c>
      <c r="E277" s="1644" t="s">
        <v>2797</v>
      </c>
      <c r="F277" s="1645">
        <f t="shared" si="7"/>
        <v>1975</v>
      </c>
      <c r="G277" s="1647">
        <v>27683</v>
      </c>
      <c r="H277" s="1644" t="s">
        <v>3636</v>
      </c>
      <c r="I277" s="1648" t="s">
        <v>2820</v>
      </c>
      <c r="J277" s="1645" t="s">
        <v>201</v>
      </c>
      <c r="K277" s="1645"/>
      <c r="L277" s="1651"/>
      <c r="M277" s="1645"/>
      <c r="N277" s="1645"/>
      <c r="O277" s="1645"/>
      <c r="P277" s="1649"/>
      <c r="Q277" s="1645"/>
      <c r="R277" s="1644"/>
      <c r="S277" s="1644"/>
      <c r="T277" s="1644"/>
      <c r="U277" s="1644"/>
      <c r="V277" s="1644"/>
      <c r="W277" s="1644"/>
      <c r="X277" s="1644"/>
      <c r="Y277" s="1647">
        <v>35881</v>
      </c>
      <c r="Z277" s="1647">
        <v>36246</v>
      </c>
      <c r="AA277" s="1650">
        <f t="shared" ca="1" si="11"/>
        <v>11</v>
      </c>
      <c r="AB277" s="2444" t="s">
        <v>3629</v>
      </c>
      <c r="AC277" s="2445"/>
      <c r="AD277" s="2438"/>
    </row>
    <row r="278" spans="1:30" ht="15.75" hidden="1" customHeight="1">
      <c r="A278" s="1644">
        <f t="shared" si="10"/>
        <v>0</v>
      </c>
      <c r="B278" s="1645" t="s">
        <v>4244</v>
      </c>
      <c r="C278" s="1645" t="s">
        <v>4245</v>
      </c>
      <c r="D278" s="1645" t="s">
        <v>4243</v>
      </c>
      <c r="E278" s="1646" t="s">
        <v>2797</v>
      </c>
      <c r="F278" s="1645">
        <f t="shared" si="7"/>
        <v>1984</v>
      </c>
      <c r="G278" s="1647">
        <v>30732</v>
      </c>
      <c r="H278" s="1644" t="s">
        <v>3636</v>
      </c>
      <c r="I278" s="1648" t="e">
        <v>#N/A</v>
      </c>
      <c r="J278" s="1645" t="s">
        <v>37</v>
      </c>
      <c r="K278" s="1645">
        <v>0</v>
      </c>
      <c r="L278" s="1645" t="s">
        <v>4246</v>
      </c>
      <c r="M278" s="1645" t="s">
        <v>506</v>
      </c>
      <c r="N278" s="1645"/>
      <c r="O278" s="1645" t="s">
        <v>3645</v>
      </c>
      <c r="P278" s="1649"/>
      <c r="Q278" s="1645" t="s">
        <v>3693</v>
      </c>
      <c r="R278" s="1647" t="s">
        <v>3727</v>
      </c>
      <c r="S278" s="1644" t="s">
        <v>3696</v>
      </c>
      <c r="T278" s="1644"/>
      <c r="U278" s="1644"/>
      <c r="V278" s="1644"/>
      <c r="W278" s="1644"/>
      <c r="X278" s="1644" t="s">
        <v>3707</v>
      </c>
      <c r="Y278" s="1647">
        <v>40232</v>
      </c>
      <c r="Z278" s="1647">
        <v>40597</v>
      </c>
      <c r="AA278" s="1650">
        <f t="shared" ca="1" si="11"/>
        <v>19.333333333333332</v>
      </c>
      <c r="AB278" s="2444" t="s">
        <v>3629</v>
      </c>
      <c r="AC278" s="2445"/>
      <c r="AD278" s="2438"/>
    </row>
    <row r="279" spans="1:30" ht="31.5" hidden="1" customHeight="1">
      <c r="A279" s="1644">
        <f t="shared" si="10"/>
        <v>0</v>
      </c>
      <c r="B279" s="1645" t="s">
        <v>4247</v>
      </c>
      <c r="C279" s="1645" t="s">
        <v>4242</v>
      </c>
      <c r="D279" s="1665" t="s">
        <v>4243</v>
      </c>
      <c r="E279" s="1644" t="s">
        <v>2797</v>
      </c>
      <c r="F279" s="1645">
        <f t="shared" si="7"/>
        <v>1975</v>
      </c>
      <c r="G279" s="1647">
        <v>27399</v>
      </c>
      <c r="H279" s="1644" t="s">
        <v>3636</v>
      </c>
      <c r="I279" s="1648" t="s">
        <v>2820</v>
      </c>
      <c r="J279" s="1645" t="s">
        <v>37</v>
      </c>
      <c r="K279" s="1645"/>
      <c r="L279" s="1645" t="s">
        <v>4248</v>
      </c>
      <c r="M279" s="1645" t="s">
        <v>4248</v>
      </c>
      <c r="N279" s="1645"/>
      <c r="O279" s="1645"/>
      <c r="P279" s="1649"/>
      <c r="Q279" s="1645"/>
      <c r="R279" s="1644" t="s">
        <v>3699</v>
      </c>
      <c r="S279" s="1644"/>
      <c r="T279" s="1644" t="s">
        <v>936</v>
      </c>
      <c r="U279" s="1644"/>
      <c r="V279" s="1644"/>
      <c r="W279" s="1644">
        <v>0</v>
      </c>
      <c r="X279" s="1644" t="s">
        <v>3759</v>
      </c>
      <c r="Y279" s="1647">
        <v>35150</v>
      </c>
      <c r="Z279" s="1647">
        <v>35515</v>
      </c>
      <c r="AA279" s="1650">
        <f t="shared" ca="1" si="11"/>
        <v>10.25</v>
      </c>
      <c r="AB279" s="2444" t="s">
        <v>3629</v>
      </c>
      <c r="AC279" s="2445"/>
      <c r="AD279" s="2438"/>
    </row>
    <row r="280" spans="1:30" ht="15.75" hidden="1" customHeight="1">
      <c r="A280" s="1644">
        <f t="shared" si="10"/>
        <v>0</v>
      </c>
      <c r="B280" s="1645" t="s">
        <v>4249</v>
      </c>
      <c r="C280" s="1645" t="s">
        <v>4242</v>
      </c>
      <c r="D280" s="1648" t="s">
        <v>4243</v>
      </c>
      <c r="E280" s="1646" t="s">
        <v>2797</v>
      </c>
      <c r="F280" s="1645">
        <f t="shared" si="7"/>
        <v>1991</v>
      </c>
      <c r="G280" s="1647">
        <v>33444</v>
      </c>
      <c r="H280" s="1644" t="s">
        <v>3636</v>
      </c>
      <c r="I280" s="1648" t="e">
        <v>#N/A</v>
      </c>
      <c r="J280" s="1645" t="s">
        <v>37</v>
      </c>
      <c r="K280" s="1645"/>
      <c r="L280" s="1645" t="s">
        <v>4246</v>
      </c>
      <c r="M280" s="1645" t="s">
        <v>4250</v>
      </c>
      <c r="N280" s="1655">
        <v>44484</v>
      </c>
      <c r="O280" s="1645">
        <v>0</v>
      </c>
      <c r="P280" s="1649"/>
      <c r="Q280" s="1645" t="s">
        <v>3693</v>
      </c>
      <c r="R280" s="1647" t="s">
        <v>4251</v>
      </c>
      <c r="S280" s="1644" t="s">
        <v>3696</v>
      </c>
      <c r="T280" s="1644"/>
      <c r="U280" s="1644"/>
      <c r="V280" s="1644"/>
      <c r="W280" s="1644"/>
      <c r="X280" s="1644"/>
      <c r="Y280" s="1647">
        <v>41698</v>
      </c>
      <c r="Z280" s="1647">
        <v>42063</v>
      </c>
      <c r="AA280" s="1650">
        <f t="shared" ca="1" si="11"/>
        <v>26.75</v>
      </c>
      <c r="AB280" s="2444" t="s">
        <v>3629</v>
      </c>
      <c r="AC280" s="2445"/>
      <c r="AD280" s="2438"/>
    </row>
    <row r="281" spans="1:30" ht="15.75" hidden="1" customHeight="1">
      <c r="A281" s="1644">
        <f t="shared" si="10"/>
        <v>0</v>
      </c>
      <c r="B281" s="1645" t="s">
        <v>4252</v>
      </c>
      <c r="C281" s="1645" t="s">
        <v>4242</v>
      </c>
      <c r="D281" s="1665" t="s">
        <v>4243</v>
      </c>
      <c r="E281" s="1644" t="s">
        <v>2797</v>
      </c>
      <c r="F281" s="1645">
        <f>+YEAR(G281)</f>
        <v>1971</v>
      </c>
      <c r="G281" s="1647">
        <v>25984</v>
      </c>
      <c r="H281" s="1644" t="s">
        <v>3636</v>
      </c>
      <c r="I281" s="1648" t="s">
        <v>2820</v>
      </c>
      <c r="J281" s="1645" t="s">
        <v>201</v>
      </c>
      <c r="K281" s="1645"/>
      <c r="L281" s="1651"/>
      <c r="M281" s="1645"/>
      <c r="N281" s="1645"/>
      <c r="O281" s="1645"/>
      <c r="P281" s="1649"/>
      <c r="Q281" s="1645"/>
      <c r="R281" s="1644"/>
      <c r="S281" s="1644"/>
      <c r="T281" s="1644"/>
      <c r="U281" s="1644"/>
      <c r="V281" s="1644"/>
      <c r="W281" s="1644"/>
      <c r="X281" s="1644"/>
      <c r="Y281" s="1647">
        <v>36447</v>
      </c>
      <c r="Z281" s="1647">
        <v>36813</v>
      </c>
      <c r="AA281" s="1650">
        <f t="shared" ca="1" si="11"/>
        <v>6.333333333333333</v>
      </c>
      <c r="AB281" s="2444" t="s">
        <v>3629</v>
      </c>
      <c r="AC281" s="2445"/>
      <c r="AD281" s="2438"/>
    </row>
    <row r="282" spans="1:30" ht="15.75" hidden="1" customHeight="1">
      <c r="A282" s="1644">
        <f t="shared" si="10"/>
        <v>0</v>
      </c>
      <c r="B282" s="1645" t="s">
        <v>4253</v>
      </c>
      <c r="C282" s="1645" t="s">
        <v>4242</v>
      </c>
      <c r="D282" s="1645" t="s">
        <v>4243</v>
      </c>
      <c r="E282" s="1646" t="s">
        <v>2798</v>
      </c>
      <c r="F282" s="1645">
        <f t="shared" ref="F282:F288" si="12">YEAR(G282)</f>
        <v>1997</v>
      </c>
      <c r="G282" s="1647">
        <v>35691</v>
      </c>
      <c r="H282" s="1646" t="s">
        <v>3636</v>
      </c>
      <c r="I282" s="1648" t="s">
        <v>3629</v>
      </c>
      <c r="J282" s="1645" t="s">
        <v>201</v>
      </c>
      <c r="K282" s="1645"/>
      <c r="L282" s="1651" t="s">
        <v>4254</v>
      </c>
      <c r="M282" s="1645"/>
      <c r="N282" s="1645"/>
      <c r="O282" s="1645"/>
      <c r="P282" s="1649"/>
      <c r="Q282" s="1645"/>
      <c r="R282" s="1644"/>
      <c r="S282" s="1644"/>
      <c r="T282" s="1644"/>
      <c r="U282" s="1644"/>
      <c r="V282" s="1644"/>
      <c r="W282" s="1644"/>
      <c r="X282" s="1644"/>
      <c r="Y282" s="1644"/>
      <c r="Z282" s="1644"/>
      <c r="AA282" s="1654"/>
      <c r="AB282" s="2444" t="s">
        <v>3629</v>
      </c>
      <c r="AC282" s="2445"/>
      <c r="AD282" s="2438"/>
    </row>
    <row r="283" spans="1:30" ht="15.75" hidden="1" customHeight="1">
      <c r="A283" s="1644">
        <f t="shared" si="10"/>
        <v>0</v>
      </c>
      <c r="B283" s="1645" t="s">
        <v>4255</v>
      </c>
      <c r="C283" s="1645" t="s">
        <v>4245</v>
      </c>
      <c r="D283" s="1645" t="s">
        <v>4243</v>
      </c>
      <c r="E283" s="1644" t="s">
        <v>2797</v>
      </c>
      <c r="F283" s="1645">
        <f t="shared" si="12"/>
        <v>1989</v>
      </c>
      <c r="G283" s="1647">
        <v>32787</v>
      </c>
      <c r="H283" s="1644" t="s">
        <v>3636</v>
      </c>
      <c r="I283" s="1648" t="s">
        <v>3629</v>
      </c>
      <c r="J283" s="1645" t="s">
        <v>37</v>
      </c>
      <c r="K283" s="1645">
        <v>0</v>
      </c>
      <c r="L283" s="1645" t="s">
        <v>4246</v>
      </c>
      <c r="M283" s="1645" t="s">
        <v>4250</v>
      </c>
      <c r="N283" s="1666">
        <v>44075</v>
      </c>
      <c r="O283" s="1645" t="s">
        <v>3645</v>
      </c>
      <c r="P283" s="1649"/>
      <c r="Q283" s="1645" t="s">
        <v>3693</v>
      </c>
      <c r="R283" s="1647" t="s">
        <v>3727</v>
      </c>
      <c r="S283" s="1644" t="s">
        <v>3696</v>
      </c>
      <c r="T283" s="1644" t="s">
        <v>936</v>
      </c>
      <c r="U283" s="1644"/>
      <c r="V283" s="1644"/>
      <c r="W283" s="1644">
        <v>0</v>
      </c>
      <c r="X283" s="1644"/>
      <c r="Y283" s="1647">
        <v>40981</v>
      </c>
      <c r="Z283" s="1647">
        <v>41346</v>
      </c>
      <c r="AA283" s="1650">
        <f t="shared" ref="AA283:AA289" ca="1" si="13">IF(E283="nữ",660-DATEDIF(G283,TODAY(),"m"),720-DATEDIF(G283,TODAY(),"m"))/12</f>
        <v>25</v>
      </c>
      <c r="AB283" s="2444" t="s">
        <v>3629</v>
      </c>
      <c r="AC283" s="2445"/>
      <c r="AD283" s="2438"/>
    </row>
    <row r="284" spans="1:30" ht="15.75" hidden="1" customHeight="1">
      <c r="A284" s="1644">
        <f t="shared" si="10"/>
        <v>0</v>
      </c>
      <c r="B284" s="1645" t="s">
        <v>4256</v>
      </c>
      <c r="C284" s="1645" t="s">
        <v>4242</v>
      </c>
      <c r="D284" s="1665" t="s">
        <v>4243</v>
      </c>
      <c r="E284" s="1644" t="s">
        <v>2797</v>
      </c>
      <c r="F284" s="1645">
        <f t="shared" si="12"/>
        <v>1973</v>
      </c>
      <c r="G284" s="1647">
        <v>26778</v>
      </c>
      <c r="H284" s="1644" t="s">
        <v>3636</v>
      </c>
      <c r="I284" s="1648" t="s">
        <v>2820</v>
      </c>
      <c r="J284" s="1645" t="s">
        <v>37</v>
      </c>
      <c r="K284" s="1645"/>
      <c r="L284" s="1645" t="s">
        <v>4248</v>
      </c>
      <c r="M284" s="1645" t="s">
        <v>4248</v>
      </c>
      <c r="N284" s="1645"/>
      <c r="O284" s="1645"/>
      <c r="P284" s="1649"/>
      <c r="Q284" s="1645"/>
      <c r="R284" s="1644" t="s">
        <v>3683</v>
      </c>
      <c r="S284" s="1644"/>
      <c r="T284" s="1644" t="s">
        <v>936</v>
      </c>
      <c r="U284" s="1644"/>
      <c r="V284" s="1644"/>
      <c r="W284" s="1644">
        <v>0</v>
      </c>
      <c r="X284" s="1644" t="s">
        <v>3633</v>
      </c>
      <c r="Y284" s="1647">
        <v>34719</v>
      </c>
      <c r="Z284" s="1647">
        <v>35084</v>
      </c>
      <c r="AA284" s="1650">
        <f t="shared" ca="1" si="13"/>
        <v>8.5</v>
      </c>
      <c r="AB284" s="2444" t="s">
        <v>3629</v>
      </c>
      <c r="AC284" s="2445"/>
      <c r="AD284" s="2438"/>
    </row>
    <row r="285" spans="1:30" ht="15.75" hidden="1" customHeight="1">
      <c r="A285" s="1644">
        <f t="shared" si="10"/>
        <v>0</v>
      </c>
      <c r="B285" s="1645" t="s">
        <v>4257</v>
      </c>
      <c r="C285" s="1645" t="s">
        <v>4242</v>
      </c>
      <c r="D285" s="1645" t="s">
        <v>4258</v>
      </c>
      <c r="E285" s="1646" t="s">
        <v>2798</v>
      </c>
      <c r="F285" s="1645">
        <f t="shared" si="12"/>
        <v>1996</v>
      </c>
      <c r="G285" s="1647">
        <v>35370</v>
      </c>
      <c r="H285" s="1646" t="s">
        <v>3636</v>
      </c>
      <c r="I285" s="1648" t="s">
        <v>3629</v>
      </c>
      <c r="J285" s="1645" t="s">
        <v>201</v>
      </c>
      <c r="K285" s="1645"/>
      <c r="L285" s="1651">
        <v>0</v>
      </c>
      <c r="M285" s="1645"/>
      <c r="N285" s="1645"/>
      <c r="O285" s="1645"/>
      <c r="P285" s="1649"/>
      <c r="Q285" s="1645" t="s">
        <v>3693</v>
      </c>
      <c r="R285" s="1647" t="s">
        <v>3727</v>
      </c>
      <c r="S285" s="1644"/>
      <c r="T285" s="1644"/>
      <c r="U285" s="1644"/>
      <c r="V285" s="1644"/>
      <c r="W285" s="1644"/>
      <c r="X285" s="1644"/>
      <c r="Y285" s="1644"/>
      <c r="Z285" s="1647"/>
      <c r="AA285" s="1654">
        <f t="shared" ca="1" si="13"/>
        <v>27</v>
      </c>
      <c r="AB285" s="2444" t="s">
        <v>3629</v>
      </c>
      <c r="AC285" s="2445"/>
      <c r="AD285" s="2438"/>
    </row>
    <row r="286" spans="1:30" ht="15.75" hidden="1" customHeight="1">
      <c r="A286" s="1644">
        <f t="shared" si="10"/>
        <v>0</v>
      </c>
      <c r="B286" s="1645" t="s">
        <v>4259</v>
      </c>
      <c r="C286" s="1645" t="s">
        <v>4245</v>
      </c>
      <c r="D286" s="1645" t="s">
        <v>4258</v>
      </c>
      <c r="E286" s="1646" t="s">
        <v>2797</v>
      </c>
      <c r="F286" s="1645">
        <f t="shared" si="12"/>
        <v>1987</v>
      </c>
      <c r="G286" s="1647">
        <v>31966</v>
      </c>
      <c r="H286" s="1644" t="s">
        <v>3636</v>
      </c>
      <c r="I286" s="1648" t="s">
        <v>3629</v>
      </c>
      <c r="J286" s="1645" t="s">
        <v>37</v>
      </c>
      <c r="K286" s="1645">
        <v>0</v>
      </c>
      <c r="L286" s="1645" t="s">
        <v>4246</v>
      </c>
      <c r="M286" s="1645" t="s">
        <v>4250</v>
      </c>
      <c r="N286" s="1645"/>
      <c r="O286" s="1645" t="s">
        <v>3645</v>
      </c>
      <c r="P286" s="1649"/>
      <c r="Q286" s="1645" t="s">
        <v>3693</v>
      </c>
      <c r="R286" s="1647" t="s">
        <v>3683</v>
      </c>
      <c r="S286" s="1644" t="s">
        <v>3696</v>
      </c>
      <c r="T286" s="1644"/>
      <c r="U286" s="1644"/>
      <c r="V286" s="1644"/>
      <c r="W286" s="1644"/>
      <c r="X286" s="1644"/>
      <c r="Y286" s="1647">
        <v>40592</v>
      </c>
      <c r="Z286" s="1647">
        <v>40957</v>
      </c>
      <c r="AA286" s="1650">
        <f t="shared" ca="1" si="13"/>
        <v>22.75</v>
      </c>
      <c r="AB286" s="2444" t="s">
        <v>3629</v>
      </c>
      <c r="AC286" s="2445"/>
      <c r="AD286" s="2438"/>
    </row>
    <row r="287" spans="1:30" ht="15.75" hidden="1" customHeight="1">
      <c r="A287" s="1644">
        <f t="shared" si="10"/>
        <v>0</v>
      </c>
      <c r="B287" s="1645" t="s">
        <v>4260</v>
      </c>
      <c r="C287" s="1645" t="s">
        <v>4242</v>
      </c>
      <c r="D287" s="1648" t="s">
        <v>4258</v>
      </c>
      <c r="E287" s="1646" t="s">
        <v>2797</v>
      </c>
      <c r="F287" s="1645">
        <f t="shared" si="12"/>
        <v>1995</v>
      </c>
      <c r="G287" s="1647">
        <v>35021</v>
      </c>
      <c r="H287" s="1644" t="s">
        <v>3636</v>
      </c>
      <c r="I287" s="1648" t="s">
        <v>3629</v>
      </c>
      <c r="J287" s="1645" t="s">
        <v>37</v>
      </c>
      <c r="K287" s="1645"/>
      <c r="L287" s="1645" t="s">
        <v>4246</v>
      </c>
      <c r="M287" s="1645" t="s">
        <v>4250</v>
      </c>
      <c r="N287" s="1655">
        <v>44484</v>
      </c>
      <c r="O287" s="1645">
        <v>0</v>
      </c>
      <c r="P287" s="1649"/>
      <c r="Q287" s="1645" t="s">
        <v>3693</v>
      </c>
      <c r="R287" s="1647" t="s">
        <v>3727</v>
      </c>
      <c r="S287" s="1644" t="s">
        <v>3696</v>
      </c>
      <c r="T287" s="1644">
        <v>2018</v>
      </c>
      <c r="U287" s="1644"/>
      <c r="V287" s="1644"/>
      <c r="W287" s="1644">
        <v>0</v>
      </c>
      <c r="X287" s="1644"/>
      <c r="Y287" s="1647">
        <v>42515</v>
      </c>
      <c r="Z287" s="1647">
        <v>42880</v>
      </c>
      <c r="AA287" s="1650">
        <f t="shared" ca="1" si="13"/>
        <v>31.083333333333332</v>
      </c>
      <c r="AB287" s="2444" t="s">
        <v>3629</v>
      </c>
      <c r="AC287" s="2445"/>
      <c r="AD287" s="2438"/>
    </row>
    <row r="288" spans="1:30" ht="15.75" hidden="1" customHeight="1">
      <c r="A288" s="1644">
        <f t="shared" si="10"/>
        <v>0</v>
      </c>
      <c r="B288" s="1645" t="s">
        <v>4261</v>
      </c>
      <c r="C288" s="1645" t="s">
        <v>4245</v>
      </c>
      <c r="D288" s="1648" t="s">
        <v>4258</v>
      </c>
      <c r="E288" s="1644" t="s">
        <v>2797</v>
      </c>
      <c r="F288" s="1645">
        <f t="shared" si="12"/>
        <v>1988</v>
      </c>
      <c r="G288" s="1647">
        <v>32193</v>
      </c>
      <c r="H288" s="1644" t="s">
        <v>3636</v>
      </c>
      <c r="I288" s="1648" t="s">
        <v>3629</v>
      </c>
      <c r="J288" s="1645" t="s">
        <v>37</v>
      </c>
      <c r="K288" s="1645">
        <v>0</v>
      </c>
      <c r="L288" s="1645" t="s">
        <v>4246</v>
      </c>
      <c r="M288" s="1645">
        <v>0</v>
      </c>
      <c r="N288" s="1645"/>
      <c r="O288" s="1645" t="s">
        <v>3645</v>
      </c>
      <c r="P288" s="1649"/>
      <c r="Q288" s="1645" t="s">
        <v>3693</v>
      </c>
      <c r="R288" s="1647" t="s">
        <v>3727</v>
      </c>
      <c r="S288" s="1644" t="s">
        <v>3696</v>
      </c>
      <c r="T288" s="1644"/>
      <c r="U288" s="1644"/>
      <c r="V288" s="1644"/>
      <c r="W288" s="1644"/>
      <c r="X288" s="1644"/>
      <c r="Y288" s="1647">
        <v>40281</v>
      </c>
      <c r="Z288" s="1647">
        <v>40646</v>
      </c>
      <c r="AA288" s="1650">
        <f t="shared" ca="1" si="13"/>
        <v>23.333333333333332</v>
      </c>
      <c r="AB288" s="2444" t="s">
        <v>3629</v>
      </c>
      <c r="AC288" s="2445"/>
      <c r="AD288" s="2438"/>
    </row>
    <row r="289" spans="1:30" ht="15.75" hidden="1" customHeight="1">
      <c r="A289" s="1644">
        <f t="shared" si="10"/>
        <v>0</v>
      </c>
      <c r="B289" s="1645" t="s">
        <v>4262</v>
      </c>
      <c r="C289" s="1645" t="s">
        <v>4242</v>
      </c>
      <c r="D289" s="1665" t="s">
        <v>4258</v>
      </c>
      <c r="E289" s="1644" t="s">
        <v>2797</v>
      </c>
      <c r="F289" s="1645">
        <f>+YEAR(G289)</f>
        <v>1982</v>
      </c>
      <c r="G289" s="1647">
        <v>30068</v>
      </c>
      <c r="H289" s="1644" t="s">
        <v>3636</v>
      </c>
      <c r="I289" s="1648" t="s">
        <v>2820</v>
      </c>
      <c r="J289" s="1645" t="s">
        <v>201</v>
      </c>
      <c r="K289" s="1645"/>
      <c r="L289" s="1651"/>
      <c r="M289" s="1645"/>
      <c r="N289" s="1645"/>
      <c r="O289" s="1645"/>
      <c r="P289" s="1649"/>
      <c r="Q289" s="1645"/>
      <c r="R289" s="1644" t="s">
        <v>4263</v>
      </c>
      <c r="S289" s="1644"/>
      <c r="T289" s="1644" t="s">
        <v>936</v>
      </c>
      <c r="U289" s="1644"/>
      <c r="V289" s="1644" t="s">
        <v>936</v>
      </c>
      <c r="W289" s="1644" t="s">
        <v>936</v>
      </c>
      <c r="X289" s="1644" t="s">
        <v>3712</v>
      </c>
      <c r="Y289" s="1647">
        <v>38507</v>
      </c>
      <c r="Z289" s="1647">
        <v>38872</v>
      </c>
      <c r="AA289" s="1650">
        <f t="shared" ca="1" si="13"/>
        <v>17.5</v>
      </c>
      <c r="AB289" s="2444" t="s">
        <v>3629</v>
      </c>
      <c r="AC289" s="2445"/>
      <c r="AD289" s="2438"/>
    </row>
    <row r="290" spans="1:30" ht="15.75" hidden="1" customHeight="1">
      <c r="A290" s="1644">
        <f t="shared" si="10"/>
        <v>0</v>
      </c>
      <c r="B290" s="24" t="s">
        <v>4264</v>
      </c>
      <c r="C290" s="1645" t="s">
        <v>4242</v>
      </c>
      <c r="D290" s="1645" t="s">
        <v>4258</v>
      </c>
      <c r="E290" s="1644" t="s">
        <v>2797</v>
      </c>
      <c r="F290" s="1645"/>
      <c r="G290" s="1647"/>
      <c r="H290" s="1644" t="s">
        <v>3636</v>
      </c>
      <c r="I290" s="1648" t="s">
        <v>3746</v>
      </c>
      <c r="J290" s="1645" t="s">
        <v>201</v>
      </c>
      <c r="K290" s="1645"/>
      <c r="L290" s="1651"/>
      <c r="M290" s="1645"/>
      <c r="N290" s="1645"/>
      <c r="O290" s="1645"/>
      <c r="P290" s="1649"/>
      <c r="Q290" s="1645"/>
      <c r="R290" s="1644"/>
      <c r="S290" s="1644"/>
      <c r="T290" s="1644"/>
      <c r="U290" s="1644"/>
      <c r="V290" s="1644"/>
      <c r="W290" s="1644"/>
      <c r="X290" s="1644"/>
      <c r="Y290" s="1644"/>
      <c r="Z290" s="1644"/>
      <c r="AA290" s="1654"/>
      <c r="AB290" s="2444" t="s">
        <v>3629</v>
      </c>
      <c r="AC290" s="2445"/>
      <c r="AD290" s="2438"/>
    </row>
    <row r="291" spans="1:30" ht="15.75" hidden="1" customHeight="1">
      <c r="A291" s="1644">
        <f t="shared" si="10"/>
        <v>0</v>
      </c>
      <c r="B291" s="1645" t="s">
        <v>4265</v>
      </c>
      <c r="C291" s="1645" t="s">
        <v>4245</v>
      </c>
      <c r="D291" s="1648" t="s">
        <v>4258</v>
      </c>
      <c r="E291" s="1646" t="s">
        <v>2797</v>
      </c>
      <c r="F291" s="1645">
        <f>YEAR(G291)</f>
        <v>1987</v>
      </c>
      <c r="G291" s="1647">
        <v>31929</v>
      </c>
      <c r="H291" s="1644" t="s">
        <v>3636</v>
      </c>
      <c r="I291" s="1648" t="e">
        <v>#N/A</v>
      </c>
      <c r="J291" s="1645" t="s">
        <v>37</v>
      </c>
      <c r="K291" s="1645">
        <v>0</v>
      </c>
      <c r="L291" s="1645" t="s">
        <v>4246</v>
      </c>
      <c r="M291" s="1645" t="s">
        <v>506</v>
      </c>
      <c r="N291" s="1645"/>
      <c r="O291" s="1645" t="s">
        <v>3645</v>
      </c>
      <c r="P291" s="1649"/>
      <c r="Q291" s="1645" t="s">
        <v>3693</v>
      </c>
      <c r="R291" s="1647" t="s">
        <v>3727</v>
      </c>
      <c r="S291" s="1644" t="s">
        <v>3696</v>
      </c>
      <c r="T291" s="1644"/>
      <c r="U291" s="1644" t="s">
        <v>3711</v>
      </c>
      <c r="V291" s="1644"/>
      <c r="W291" s="1644" t="s">
        <v>3687</v>
      </c>
      <c r="X291" s="1644"/>
      <c r="Y291" s="1647">
        <v>40687</v>
      </c>
      <c r="Z291" s="1647">
        <v>41053</v>
      </c>
      <c r="AA291" s="1650">
        <f t="shared" ref="AA291:AA292" ca="1" si="14">IF(E291="nữ",660-DATEDIF(G291,TODAY(),"m"),720-DATEDIF(G291,TODAY(),"m"))/12</f>
        <v>22.583333333333332</v>
      </c>
      <c r="AB291" s="2444" t="s">
        <v>3629</v>
      </c>
      <c r="AC291" s="2445"/>
      <c r="AD291" s="2438"/>
    </row>
    <row r="292" spans="1:30" ht="15.75" hidden="1" customHeight="1">
      <c r="A292" s="1644">
        <f t="shared" si="10"/>
        <v>0</v>
      </c>
      <c r="B292" s="1645" t="s">
        <v>4266</v>
      </c>
      <c r="C292" s="1645" t="s">
        <v>4242</v>
      </c>
      <c r="D292" s="1665" t="s">
        <v>4258</v>
      </c>
      <c r="E292" s="1644" t="s">
        <v>2797</v>
      </c>
      <c r="F292" s="1645">
        <f>+YEAR(G292)</f>
        <v>1975</v>
      </c>
      <c r="G292" s="1647">
        <v>27679</v>
      </c>
      <c r="H292" s="1644" t="s">
        <v>3636</v>
      </c>
      <c r="I292" s="1648" t="s">
        <v>2820</v>
      </c>
      <c r="J292" s="1645" t="s">
        <v>201</v>
      </c>
      <c r="K292" s="1645"/>
      <c r="L292" s="1651"/>
      <c r="M292" s="1645"/>
      <c r="N292" s="1645"/>
      <c r="O292" s="1645"/>
      <c r="P292" s="1649"/>
      <c r="Q292" s="1645"/>
      <c r="R292" s="1644"/>
      <c r="S292" s="1644"/>
      <c r="T292" s="1644"/>
      <c r="U292" s="1644"/>
      <c r="V292" s="1644" t="s">
        <v>936</v>
      </c>
      <c r="W292" s="1644" t="s">
        <v>3968</v>
      </c>
      <c r="X292" s="1644"/>
      <c r="Y292" s="1647">
        <v>36175</v>
      </c>
      <c r="Z292" s="1647">
        <v>36540</v>
      </c>
      <c r="AA292" s="1650">
        <f t="shared" ca="1" si="14"/>
        <v>11</v>
      </c>
      <c r="AB292" s="2444" t="s">
        <v>3629</v>
      </c>
      <c r="AC292" s="2445"/>
      <c r="AD292" s="2438"/>
    </row>
    <row r="293" spans="1:30" ht="15.75" hidden="1" customHeight="1">
      <c r="A293" s="1644">
        <f t="shared" si="10"/>
        <v>0</v>
      </c>
      <c r="B293" s="1645" t="s">
        <v>4267</v>
      </c>
      <c r="C293" s="1645" t="s">
        <v>4242</v>
      </c>
      <c r="D293" s="1645" t="s">
        <v>4258</v>
      </c>
      <c r="E293" s="1646" t="s">
        <v>2797</v>
      </c>
      <c r="F293" s="1645"/>
      <c r="G293" s="1647"/>
      <c r="H293" s="1644" t="s">
        <v>3636</v>
      </c>
      <c r="I293" s="1648" t="s">
        <v>3746</v>
      </c>
      <c r="J293" s="1645" t="s">
        <v>201</v>
      </c>
      <c r="K293" s="1645"/>
      <c r="L293" s="1651"/>
      <c r="M293" s="1645"/>
      <c r="N293" s="1645"/>
      <c r="O293" s="1645"/>
      <c r="P293" s="1649"/>
      <c r="Q293" s="1645"/>
      <c r="R293" s="1644"/>
      <c r="S293" s="1644"/>
      <c r="T293" s="1644"/>
      <c r="U293" s="1644"/>
      <c r="V293" s="1644"/>
      <c r="W293" s="1644"/>
      <c r="X293" s="1644"/>
      <c r="Y293" s="1644"/>
      <c r="Z293" s="1644"/>
      <c r="AA293" s="1654"/>
      <c r="AB293" s="2444" t="s">
        <v>3629</v>
      </c>
      <c r="AC293" s="2445"/>
      <c r="AD293" s="2438"/>
    </row>
    <row r="294" spans="1:30" ht="15.75" hidden="1" customHeight="1">
      <c r="A294" s="1644">
        <f t="shared" si="10"/>
        <v>0</v>
      </c>
      <c r="B294" s="1645" t="s">
        <v>4268</v>
      </c>
      <c r="C294" s="1645" t="s">
        <v>4242</v>
      </c>
      <c r="D294" s="1645" t="s">
        <v>3664</v>
      </c>
      <c r="E294" s="1644" t="s">
        <v>2798</v>
      </c>
      <c r="F294" s="1645">
        <f t="shared" ref="F294:F300" si="15">YEAR(G294)</f>
        <v>1983</v>
      </c>
      <c r="G294" s="1647">
        <v>30456</v>
      </c>
      <c r="H294" s="1644" t="s">
        <v>3648</v>
      </c>
      <c r="I294" s="1648" t="s">
        <v>3629</v>
      </c>
      <c r="J294" s="1645" t="s">
        <v>201</v>
      </c>
      <c r="K294" s="1645">
        <v>0</v>
      </c>
      <c r="L294" s="1645" t="s">
        <v>3676</v>
      </c>
      <c r="M294" s="1645">
        <v>0</v>
      </c>
      <c r="N294" s="1645"/>
      <c r="O294" s="1645" t="s">
        <v>3645</v>
      </c>
      <c r="P294" s="1649"/>
      <c r="Q294" s="1645"/>
      <c r="R294" s="1647" t="s">
        <v>3667</v>
      </c>
      <c r="S294" s="1644"/>
      <c r="T294" s="1644"/>
      <c r="U294" s="1644"/>
      <c r="V294" s="1644"/>
      <c r="W294" s="1650" t="s">
        <v>3646</v>
      </c>
      <c r="X294" s="1644"/>
      <c r="Y294" s="1647"/>
      <c r="Z294" s="1647"/>
      <c r="AA294" s="1650">
        <f t="shared" ref="AA294:AA300" ca="1" si="16">IF(E294="nữ",660-DATEDIF(G294,TODAY(),"m"),720-DATEDIF(G294,TODAY(),"m"))/12</f>
        <v>13.583333333333334</v>
      </c>
      <c r="AB294" s="2444" t="s">
        <v>3629</v>
      </c>
      <c r="AC294" s="2445"/>
      <c r="AD294" s="2438"/>
    </row>
    <row r="295" spans="1:30" ht="15.75" hidden="1" customHeight="1">
      <c r="A295" s="1644">
        <f t="shared" si="10"/>
        <v>0</v>
      </c>
      <c r="B295" s="1645" t="s">
        <v>4269</v>
      </c>
      <c r="C295" s="1645" t="s">
        <v>4270</v>
      </c>
      <c r="D295" s="1645" t="s">
        <v>3995</v>
      </c>
      <c r="E295" s="1646" t="s">
        <v>2797</v>
      </c>
      <c r="F295" s="1645">
        <f t="shared" si="15"/>
        <v>1970</v>
      </c>
      <c r="G295" s="1647">
        <v>25678</v>
      </c>
      <c r="H295" s="1644" t="s">
        <v>3797</v>
      </c>
      <c r="I295" s="1648" t="s">
        <v>3629</v>
      </c>
      <c r="J295" s="1645" t="s">
        <v>38</v>
      </c>
      <c r="K295" s="1645" t="s">
        <v>3798</v>
      </c>
      <c r="L295" s="1645" t="s">
        <v>4057</v>
      </c>
      <c r="M295" s="1645" t="s">
        <v>3996</v>
      </c>
      <c r="N295" s="1645"/>
      <c r="O295" s="1645" t="s">
        <v>3976</v>
      </c>
      <c r="P295" s="1649"/>
      <c r="Q295" s="1645" t="s">
        <v>3693</v>
      </c>
      <c r="R295" s="1647" t="s">
        <v>3904</v>
      </c>
      <c r="S295" s="1644"/>
      <c r="T295" s="1644" t="s">
        <v>936</v>
      </c>
      <c r="U295" s="1644" t="s">
        <v>3802</v>
      </c>
      <c r="V295" s="1644"/>
      <c r="W295" s="1644">
        <v>0</v>
      </c>
      <c r="X295" s="1644" t="s">
        <v>3759</v>
      </c>
      <c r="Y295" s="1647">
        <v>33782</v>
      </c>
      <c r="Z295" s="1647">
        <v>34147</v>
      </c>
      <c r="AA295" s="1650">
        <f t="shared" ca="1" si="16"/>
        <v>5.5</v>
      </c>
      <c r="AB295" s="2444" t="s">
        <v>3629</v>
      </c>
      <c r="AC295" s="2445"/>
      <c r="AD295" s="2438"/>
    </row>
    <row r="296" spans="1:30" ht="15.75" hidden="1" customHeight="1">
      <c r="A296" s="1644">
        <f t="shared" si="10"/>
        <v>0</v>
      </c>
      <c r="B296" s="1645" t="s">
        <v>4271</v>
      </c>
      <c r="C296" s="1645" t="s">
        <v>4270</v>
      </c>
      <c r="D296" s="1645" t="s">
        <v>4272</v>
      </c>
      <c r="E296" s="1646" t="s">
        <v>2797</v>
      </c>
      <c r="F296" s="1645">
        <f t="shared" si="15"/>
        <v>1970</v>
      </c>
      <c r="G296" s="1647">
        <v>25906</v>
      </c>
      <c r="H296" s="1644" t="s">
        <v>3642</v>
      </c>
      <c r="I296" s="1648" t="s">
        <v>3629</v>
      </c>
      <c r="J296" s="1645" t="s">
        <v>37</v>
      </c>
      <c r="K296" s="1645">
        <v>0</v>
      </c>
      <c r="L296" s="1645" t="s">
        <v>1701</v>
      </c>
      <c r="M296" s="1645" t="s">
        <v>4214</v>
      </c>
      <c r="N296" s="1645"/>
      <c r="O296" s="1645" t="s">
        <v>3645</v>
      </c>
      <c r="P296" s="1649"/>
      <c r="Q296" s="1645"/>
      <c r="R296" s="1644"/>
      <c r="S296" s="1644"/>
      <c r="T296" s="1644"/>
      <c r="U296" s="1644"/>
      <c r="V296" s="1644" t="s">
        <v>3980</v>
      </c>
      <c r="W296" s="1650" t="s">
        <v>3653</v>
      </c>
      <c r="X296" s="1644" t="s">
        <v>3633</v>
      </c>
      <c r="Y296" s="1647">
        <v>36901</v>
      </c>
      <c r="Z296" s="1647">
        <v>37266</v>
      </c>
      <c r="AA296" s="1650">
        <f t="shared" ca="1" si="16"/>
        <v>6.166666666666667</v>
      </c>
      <c r="AB296" s="2444" t="s">
        <v>3629</v>
      </c>
      <c r="AC296" s="2445"/>
      <c r="AD296" s="2438"/>
    </row>
    <row r="297" spans="1:30" ht="15.75" hidden="1" customHeight="1">
      <c r="A297" s="1644">
        <f t="shared" si="10"/>
        <v>0</v>
      </c>
      <c r="B297" s="1645" t="s">
        <v>4273</v>
      </c>
      <c r="C297" s="1645" t="s">
        <v>4270</v>
      </c>
      <c r="D297" s="1645" t="s">
        <v>4274</v>
      </c>
      <c r="E297" s="1646" t="s">
        <v>2797</v>
      </c>
      <c r="F297" s="1645">
        <f t="shared" si="15"/>
        <v>1990</v>
      </c>
      <c r="G297" s="1647">
        <v>32907</v>
      </c>
      <c r="H297" s="1644" t="s">
        <v>3642</v>
      </c>
      <c r="I297" s="1648" t="s">
        <v>3629</v>
      </c>
      <c r="J297" s="1645" t="s">
        <v>37</v>
      </c>
      <c r="K297" s="1645">
        <v>0</v>
      </c>
      <c r="L297" s="1645" t="s">
        <v>3996</v>
      </c>
      <c r="M297" s="1645" t="s">
        <v>3997</v>
      </c>
      <c r="N297" s="1645"/>
      <c r="O297" s="1645" t="s">
        <v>3645</v>
      </c>
      <c r="P297" s="1649"/>
      <c r="Q297" s="1645"/>
      <c r="R297" s="1644"/>
      <c r="S297" s="1644"/>
      <c r="T297" s="1644"/>
      <c r="U297" s="1644"/>
      <c r="V297" s="1644" t="s">
        <v>3657</v>
      </c>
      <c r="W297" s="1650" t="s">
        <v>3653</v>
      </c>
      <c r="X297" s="1644" t="s">
        <v>3707</v>
      </c>
      <c r="Y297" s="1647">
        <v>44131</v>
      </c>
      <c r="Z297" s="1647">
        <v>44496</v>
      </c>
      <c r="AA297" s="1650">
        <f t="shared" ca="1" si="16"/>
        <v>25.333333333333332</v>
      </c>
      <c r="AB297" s="2444" t="s">
        <v>3629</v>
      </c>
      <c r="AC297" s="2445"/>
      <c r="AD297" s="2438"/>
    </row>
    <row r="298" spans="1:30" ht="15.75" hidden="1" customHeight="1">
      <c r="A298" s="1644">
        <f t="shared" si="10"/>
        <v>0</v>
      </c>
      <c r="B298" s="1645" t="s">
        <v>4275</v>
      </c>
      <c r="C298" s="1645" t="s">
        <v>4270</v>
      </c>
      <c r="D298" s="1645"/>
      <c r="E298" s="1646" t="s">
        <v>2798</v>
      </c>
      <c r="F298" s="1645">
        <f t="shared" si="15"/>
        <v>1979</v>
      </c>
      <c r="G298" s="1647">
        <v>29190</v>
      </c>
      <c r="H298" s="1644" t="s">
        <v>3648</v>
      </c>
      <c r="I298" s="1648" t="s">
        <v>3629</v>
      </c>
      <c r="J298" s="1645" t="s">
        <v>37</v>
      </c>
      <c r="K298" s="1645">
        <v>0</v>
      </c>
      <c r="L298" s="1645" t="s">
        <v>1701</v>
      </c>
      <c r="M298" s="1645" t="s">
        <v>3737</v>
      </c>
      <c r="N298" s="1645"/>
      <c r="O298" s="1645" t="s">
        <v>3645</v>
      </c>
      <c r="P298" s="1649"/>
      <c r="Q298" s="1645"/>
      <c r="R298" s="1644"/>
      <c r="S298" s="1644"/>
      <c r="T298" s="1644"/>
      <c r="U298" s="1644"/>
      <c r="V298" s="1644" t="s">
        <v>3649</v>
      </c>
      <c r="W298" s="1650" t="s">
        <v>3653</v>
      </c>
      <c r="X298" s="1644" t="s">
        <v>3633</v>
      </c>
      <c r="Y298" s="1647">
        <v>43196</v>
      </c>
      <c r="Z298" s="1647">
        <v>43561</v>
      </c>
      <c r="AA298" s="1650">
        <f t="shared" ca="1" si="16"/>
        <v>10.083333333333334</v>
      </c>
      <c r="AB298" s="2444" t="s">
        <v>3629</v>
      </c>
      <c r="AC298" s="2445"/>
      <c r="AD298" s="2438"/>
    </row>
    <row r="299" spans="1:30" ht="15.75" hidden="1" customHeight="1">
      <c r="A299" s="1644">
        <f t="shared" si="10"/>
        <v>0</v>
      </c>
      <c r="B299" s="1645" t="s">
        <v>4276</v>
      </c>
      <c r="C299" s="1645" t="s">
        <v>4270</v>
      </c>
      <c r="D299" s="1645"/>
      <c r="E299" s="1644" t="s">
        <v>2797</v>
      </c>
      <c r="F299" s="1645">
        <f t="shared" si="15"/>
        <v>1972</v>
      </c>
      <c r="G299" s="1647">
        <v>26362</v>
      </c>
      <c r="H299" s="1644" t="s">
        <v>4062</v>
      </c>
      <c r="I299" s="1648" t="s">
        <v>3629</v>
      </c>
      <c r="J299" s="1645" t="s">
        <v>37</v>
      </c>
      <c r="K299" s="1645">
        <v>0</v>
      </c>
      <c r="L299" s="1645" t="s">
        <v>3996</v>
      </c>
      <c r="M299" s="1645" t="s">
        <v>3976</v>
      </c>
      <c r="N299" s="1645"/>
      <c r="O299" s="1645" t="s">
        <v>3645</v>
      </c>
      <c r="P299" s="1649"/>
      <c r="Q299" s="1645"/>
      <c r="R299" s="1644"/>
      <c r="S299" s="1644" t="s">
        <v>3743</v>
      </c>
      <c r="T299" s="1644"/>
      <c r="U299" s="1644"/>
      <c r="V299" s="1644"/>
      <c r="W299" s="1644" t="s">
        <v>3687</v>
      </c>
      <c r="X299" s="1644" t="s">
        <v>3759</v>
      </c>
      <c r="Y299" s="1647">
        <v>36377</v>
      </c>
      <c r="Z299" s="1647">
        <v>36743</v>
      </c>
      <c r="AA299" s="1650">
        <f t="shared" ca="1" si="16"/>
        <v>7.416666666666667</v>
      </c>
      <c r="AB299" s="2444" t="s">
        <v>3629</v>
      </c>
      <c r="AC299" s="2445"/>
      <c r="AD299" s="2438"/>
    </row>
    <row r="300" spans="1:30" ht="15.75" hidden="1" customHeight="1">
      <c r="A300" s="1644">
        <f t="shared" si="10"/>
        <v>0</v>
      </c>
      <c r="B300" s="1645" t="s">
        <v>4277</v>
      </c>
      <c r="C300" s="1645" t="s">
        <v>4270</v>
      </c>
      <c r="D300" s="1645"/>
      <c r="E300" s="1644" t="s">
        <v>2798</v>
      </c>
      <c r="F300" s="1645">
        <f t="shared" si="15"/>
        <v>1991</v>
      </c>
      <c r="G300" s="1647">
        <v>33294</v>
      </c>
      <c r="H300" s="1644" t="s">
        <v>3642</v>
      </c>
      <c r="I300" s="1648" t="s">
        <v>3629</v>
      </c>
      <c r="J300" s="1645" t="s">
        <v>37</v>
      </c>
      <c r="K300" s="1645">
        <v>0</v>
      </c>
      <c r="L300" s="1645" t="s">
        <v>4149</v>
      </c>
      <c r="M300" s="1645">
        <v>0</v>
      </c>
      <c r="N300" s="1645"/>
      <c r="O300" s="1645" t="s">
        <v>3645</v>
      </c>
      <c r="P300" s="1649"/>
      <c r="Q300" s="1645"/>
      <c r="R300" s="1644"/>
      <c r="S300" s="1644"/>
      <c r="T300" s="1644" t="s">
        <v>936</v>
      </c>
      <c r="U300" s="1644"/>
      <c r="V300" s="1644"/>
      <c r="W300" s="1644" t="s">
        <v>3968</v>
      </c>
      <c r="X300" s="1644"/>
      <c r="Y300" s="1647"/>
      <c r="Z300" s="1647"/>
      <c r="AA300" s="1650">
        <f t="shared" ca="1" si="16"/>
        <v>21.333333333333332</v>
      </c>
      <c r="AB300" s="2444" t="s">
        <v>3629</v>
      </c>
      <c r="AC300" s="2445"/>
      <c r="AD300" s="2438"/>
    </row>
    <row r="301" spans="1:30" ht="15.75" hidden="1" customHeight="1">
      <c r="A301" s="1644">
        <f t="shared" si="10"/>
        <v>0</v>
      </c>
      <c r="B301" s="1645" t="s">
        <v>4278</v>
      </c>
      <c r="C301" s="1645" t="s">
        <v>4270</v>
      </c>
      <c r="D301" s="1645"/>
      <c r="E301" s="1646" t="s">
        <v>2797</v>
      </c>
      <c r="F301" s="1645">
        <f>+YEAR(G301)</f>
        <v>1980</v>
      </c>
      <c r="G301" s="1647">
        <v>29342</v>
      </c>
      <c r="H301" s="1646" t="s">
        <v>3642</v>
      </c>
      <c r="I301" s="1648" t="s">
        <v>3629</v>
      </c>
      <c r="J301" s="1645" t="s">
        <v>37</v>
      </c>
      <c r="K301" s="1645"/>
      <c r="L301" s="1645" t="s">
        <v>4279</v>
      </c>
      <c r="M301" s="1645" t="s">
        <v>3997</v>
      </c>
      <c r="N301" s="1655">
        <v>44484</v>
      </c>
      <c r="O301" s="1645">
        <v>0</v>
      </c>
      <c r="P301" s="1649"/>
      <c r="Q301" s="1645"/>
      <c r="R301" s="1647" t="s">
        <v>3667</v>
      </c>
      <c r="S301" s="1644"/>
      <c r="T301" s="1644"/>
      <c r="U301" s="1644"/>
      <c r="V301" s="1644" t="s">
        <v>3980</v>
      </c>
      <c r="W301" s="1644"/>
      <c r="X301" s="1644" t="s">
        <v>3707</v>
      </c>
      <c r="Y301" s="1647">
        <v>41192</v>
      </c>
      <c r="Z301" s="1647">
        <v>41557</v>
      </c>
      <c r="AA301" s="1654"/>
      <c r="AB301" s="2444" t="s">
        <v>3629</v>
      </c>
      <c r="AC301" s="2445"/>
      <c r="AD301" s="2438"/>
    </row>
    <row r="302" spans="1:30" ht="15.75" hidden="1" customHeight="1">
      <c r="A302" s="1644">
        <f t="shared" si="10"/>
        <v>0</v>
      </c>
      <c r="B302" s="1645" t="s">
        <v>4280</v>
      </c>
      <c r="C302" s="1645" t="s">
        <v>4270</v>
      </c>
      <c r="D302" s="1645"/>
      <c r="E302" s="1646" t="s">
        <v>2797</v>
      </c>
      <c r="F302" s="1645">
        <f t="shared" ref="F302:F310" si="17">YEAR(G302)</f>
        <v>1974</v>
      </c>
      <c r="G302" s="1647">
        <v>27369</v>
      </c>
      <c r="H302" s="1644" t="s">
        <v>4139</v>
      </c>
      <c r="I302" s="1648" t="s">
        <v>3629</v>
      </c>
      <c r="J302" s="1645" t="s">
        <v>37</v>
      </c>
      <c r="K302" s="1645">
        <v>0</v>
      </c>
      <c r="L302" s="1645" t="s">
        <v>4281</v>
      </c>
      <c r="M302" s="1645" t="s">
        <v>506</v>
      </c>
      <c r="N302" s="1645"/>
      <c r="O302" s="1645" t="s">
        <v>3645</v>
      </c>
      <c r="P302" s="1649"/>
      <c r="Q302" s="1645"/>
      <c r="R302" s="1644"/>
      <c r="S302" s="1644"/>
      <c r="T302" s="1644"/>
      <c r="U302" s="1644"/>
      <c r="V302" s="1644" t="s">
        <v>4141</v>
      </c>
      <c r="W302" s="1644">
        <v>0</v>
      </c>
      <c r="X302" s="1644" t="s">
        <v>3633</v>
      </c>
      <c r="Y302" s="1647">
        <v>36833</v>
      </c>
      <c r="Z302" s="1647">
        <v>37198</v>
      </c>
      <c r="AA302" s="1650">
        <f t="shared" ref="AA302:AA310" ca="1" si="18">IF(E302="nữ",660-DATEDIF(G302,TODAY(),"m"),720-DATEDIF(G302,TODAY(),"m"))/12</f>
        <v>10.166666666666666</v>
      </c>
      <c r="AB302" s="2444" t="s">
        <v>3629</v>
      </c>
      <c r="AC302" s="2445"/>
      <c r="AD302" s="2438"/>
    </row>
    <row r="303" spans="1:30" ht="15.75" hidden="1" customHeight="1">
      <c r="A303" s="1644">
        <f t="shared" si="10"/>
        <v>0</v>
      </c>
      <c r="B303" s="1645" t="s">
        <v>4282</v>
      </c>
      <c r="C303" s="1645" t="s">
        <v>4270</v>
      </c>
      <c r="D303" s="1645"/>
      <c r="E303" s="1646" t="s">
        <v>2797</v>
      </c>
      <c r="F303" s="1645">
        <f t="shared" si="17"/>
        <v>1986</v>
      </c>
      <c r="G303" s="1647">
        <v>31448</v>
      </c>
      <c r="H303" s="1644" t="s">
        <v>3642</v>
      </c>
      <c r="I303" s="1648" t="s">
        <v>3629</v>
      </c>
      <c r="J303" s="1645" t="s">
        <v>201</v>
      </c>
      <c r="K303" s="1645">
        <v>0</v>
      </c>
      <c r="L303" s="1645" t="s">
        <v>2828</v>
      </c>
      <c r="M303" s="1645">
        <v>0</v>
      </c>
      <c r="N303" s="1645"/>
      <c r="O303" s="1645" t="s">
        <v>3645</v>
      </c>
      <c r="P303" s="1649"/>
      <c r="Q303" s="1645"/>
      <c r="R303" s="1644" t="s">
        <v>3904</v>
      </c>
      <c r="S303" s="1644"/>
      <c r="T303" s="1644" t="s">
        <v>936</v>
      </c>
      <c r="U303" s="1644"/>
      <c r="V303" s="1644" t="s">
        <v>3657</v>
      </c>
      <c r="W303" s="1650" t="s">
        <v>3653</v>
      </c>
      <c r="X303" s="1644"/>
      <c r="Y303" s="1647"/>
      <c r="Z303" s="1647"/>
      <c r="AA303" s="1650">
        <f t="shared" ca="1" si="18"/>
        <v>21.333333333333332</v>
      </c>
      <c r="AB303" s="2444" t="s">
        <v>3629</v>
      </c>
      <c r="AC303" s="2445"/>
      <c r="AD303" s="2438"/>
    </row>
    <row r="304" spans="1:30" ht="15.75" hidden="1" customHeight="1">
      <c r="A304" s="1644">
        <f t="shared" si="10"/>
        <v>0</v>
      </c>
      <c r="B304" s="1645" t="s">
        <v>4283</v>
      </c>
      <c r="C304" s="1645" t="s">
        <v>4284</v>
      </c>
      <c r="D304" s="1648" t="s">
        <v>4285</v>
      </c>
      <c r="E304" s="1644" t="s">
        <v>2798</v>
      </c>
      <c r="F304" s="1645">
        <f t="shared" si="17"/>
        <v>1980</v>
      </c>
      <c r="G304" s="1647">
        <v>29333</v>
      </c>
      <c r="H304" s="1644" t="s">
        <v>3636</v>
      </c>
      <c r="I304" s="1648" t="s">
        <v>3629</v>
      </c>
      <c r="J304" s="1645" t="s">
        <v>37</v>
      </c>
      <c r="K304" s="1645">
        <v>0</v>
      </c>
      <c r="L304" s="1645" t="s">
        <v>3946</v>
      </c>
      <c r="M304" s="1645" t="s">
        <v>4286</v>
      </c>
      <c r="N304" s="1645"/>
      <c r="O304" s="1645" t="s">
        <v>4287</v>
      </c>
      <c r="P304" s="1649"/>
      <c r="Q304" s="1645"/>
      <c r="R304" s="1647" t="s">
        <v>3683</v>
      </c>
      <c r="S304" s="1644"/>
      <c r="T304" s="1644"/>
      <c r="U304" s="1644"/>
      <c r="V304" s="1644"/>
      <c r="W304" s="1650" t="s">
        <v>3646</v>
      </c>
      <c r="X304" s="1644"/>
      <c r="Y304" s="1647">
        <v>41565</v>
      </c>
      <c r="Z304" s="1647">
        <v>41930</v>
      </c>
      <c r="AA304" s="1650">
        <f t="shared" ca="1" si="18"/>
        <v>10.5</v>
      </c>
      <c r="AB304" s="2444" t="s">
        <v>3629</v>
      </c>
      <c r="AC304" s="2445"/>
      <c r="AD304" s="2438"/>
    </row>
    <row r="305" spans="1:30" ht="15.75" hidden="1" customHeight="1">
      <c r="A305" s="1644">
        <f t="shared" si="10"/>
        <v>0</v>
      </c>
      <c r="B305" s="1645" t="s">
        <v>4288</v>
      </c>
      <c r="C305" s="1645" t="s">
        <v>4284</v>
      </c>
      <c r="D305" s="1645" t="s">
        <v>546</v>
      </c>
      <c r="E305" s="1644" t="s">
        <v>2797</v>
      </c>
      <c r="F305" s="1645">
        <f t="shared" si="17"/>
        <v>1980</v>
      </c>
      <c r="G305" s="1647">
        <v>29353</v>
      </c>
      <c r="H305" s="1644" t="s">
        <v>3636</v>
      </c>
      <c r="I305" s="1648" t="s">
        <v>3629</v>
      </c>
      <c r="J305" s="1645" t="s">
        <v>37</v>
      </c>
      <c r="K305" s="1645">
        <v>0</v>
      </c>
      <c r="L305" s="1645" t="s">
        <v>4089</v>
      </c>
      <c r="M305" s="1645" t="s">
        <v>2869</v>
      </c>
      <c r="N305" s="1645"/>
      <c r="O305" s="1645" t="s">
        <v>3645</v>
      </c>
      <c r="P305" s="1649"/>
      <c r="Q305" s="1645" t="s">
        <v>3693</v>
      </c>
      <c r="R305" s="1647" t="s">
        <v>3789</v>
      </c>
      <c r="S305" s="1644" t="s">
        <v>3696</v>
      </c>
      <c r="T305" s="1644" t="s">
        <v>936</v>
      </c>
      <c r="U305" s="1644"/>
      <c r="V305" s="1644"/>
      <c r="W305" s="1650" t="s">
        <v>3646</v>
      </c>
      <c r="X305" s="1644"/>
      <c r="Y305" s="1647">
        <v>37351</v>
      </c>
      <c r="Z305" s="1647">
        <v>37716</v>
      </c>
      <c r="AA305" s="1650">
        <f t="shared" ca="1" si="18"/>
        <v>15.583333333333334</v>
      </c>
      <c r="AB305" s="2444" t="s">
        <v>3629</v>
      </c>
      <c r="AC305" s="2445"/>
      <c r="AD305" s="2438"/>
    </row>
    <row r="306" spans="1:30" ht="15.75" hidden="1" customHeight="1">
      <c r="A306" s="1644">
        <f t="shared" si="10"/>
        <v>0</v>
      </c>
      <c r="B306" s="1645" t="s">
        <v>4289</v>
      </c>
      <c r="C306" s="1645" t="s">
        <v>4284</v>
      </c>
      <c r="D306" s="1648" t="s">
        <v>547</v>
      </c>
      <c r="E306" s="1646" t="s">
        <v>2797</v>
      </c>
      <c r="F306" s="1645">
        <f t="shared" si="17"/>
        <v>1966</v>
      </c>
      <c r="G306" s="1647">
        <v>24328</v>
      </c>
      <c r="H306" s="1644" t="s">
        <v>3628</v>
      </c>
      <c r="I306" s="1648" t="s">
        <v>3629</v>
      </c>
      <c r="J306" s="1645" t="s">
        <v>38</v>
      </c>
      <c r="K306" s="1645">
        <v>0</v>
      </c>
      <c r="L306" s="1645" t="s">
        <v>1701</v>
      </c>
      <c r="M306" s="1645" t="s">
        <v>1701</v>
      </c>
      <c r="N306" s="1645"/>
      <c r="O306" s="1645" t="s">
        <v>3014</v>
      </c>
      <c r="P306" s="1649"/>
      <c r="Q306" s="1645" t="s">
        <v>3800</v>
      </c>
      <c r="R306" s="1647" t="s">
        <v>3993</v>
      </c>
      <c r="S306" s="1644" t="s">
        <v>3696</v>
      </c>
      <c r="T306" s="1644"/>
      <c r="U306" s="1644" t="s">
        <v>3631</v>
      </c>
      <c r="V306" s="1644"/>
      <c r="W306" s="1644" t="s">
        <v>3939</v>
      </c>
      <c r="X306" s="1644" t="s">
        <v>3633</v>
      </c>
      <c r="Y306" s="1647">
        <v>37410</v>
      </c>
      <c r="Z306" s="1647">
        <v>37775</v>
      </c>
      <c r="AA306" s="1650">
        <f t="shared" ca="1" si="18"/>
        <v>1.8333333333333333</v>
      </c>
      <c r="AB306" s="2444" t="s">
        <v>3629</v>
      </c>
      <c r="AC306" s="2445"/>
      <c r="AD306" s="2438"/>
    </row>
    <row r="307" spans="1:30" ht="15.75" hidden="1" customHeight="1">
      <c r="A307" s="1644">
        <f t="shared" si="10"/>
        <v>0</v>
      </c>
      <c r="B307" s="1645" t="s">
        <v>4290</v>
      </c>
      <c r="C307" s="1645" t="s">
        <v>4284</v>
      </c>
      <c r="D307" s="1645" t="s">
        <v>3288</v>
      </c>
      <c r="E307" s="1644" t="s">
        <v>2797</v>
      </c>
      <c r="F307" s="1645">
        <f t="shared" si="17"/>
        <v>1978</v>
      </c>
      <c r="G307" s="1647">
        <v>28680</v>
      </c>
      <c r="H307" s="1644" t="s">
        <v>3636</v>
      </c>
      <c r="I307" s="1648" t="s">
        <v>3629</v>
      </c>
      <c r="J307" s="1645" t="s">
        <v>38</v>
      </c>
      <c r="K307" s="1645">
        <v>0</v>
      </c>
      <c r="L307" s="1645" t="s">
        <v>4226</v>
      </c>
      <c r="M307" s="1645" t="s">
        <v>4226</v>
      </c>
      <c r="N307" s="1645"/>
      <c r="O307" s="1645" t="s">
        <v>506</v>
      </c>
      <c r="P307" s="1649"/>
      <c r="Q307" s="1645"/>
      <c r="R307" s="1644" t="s">
        <v>3904</v>
      </c>
      <c r="S307" s="1644"/>
      <c r="T307" s="1644" t="s">
        <v>936</v>
      </c>
      <c r="U307" s="1644"/>
      <c r="V307" s="1644"/>
      <c r="W307" s="1650" t="s">
        <v>3653</v>
      </c>
      <c r="X307" s="1644" t="s">
        <v>3633</v>
      </c>
      <c r="Y307" s="1647">
        <v>40857</v>
      </c>
      <c r="Z307" s="1647">
        <v>41223</v>
      </c>
      <c r="AA307" s="1650">
        <f t="shared" ca="1" si="18"/>
        <v>13.75</v>
      </c>
      <c r="AB307" s="2444" t="s">
        <v>3629</v>
      </c>
      <c r="AC307" s="2445"/>
      <c r="AD307" s="2438"/>
    </row>
    <row r="308" spans="1:30" ht="15.75" hidden="1" customHeight="1">
      <c r="A308" s="1644">
        <f t="shared" si="10"/>
        <v>0</v>
      </c>
      <c r="B308" s="1645" t="s">
        <v>4291</v>
      </c>
      <c r="C308" s="1645" t="s">
        <v>4284</v>
      </c>
      <c r="D308" s="1645" t="s">
        <v>4205</v>
      </c>
      <c r="E308" s="1646" t="s">
        <v>2798</v>
      </c>
      <c r="F308" s="1645">
        <f t="shared" si="17"/>
        <v>1978</v>
      </c>
      <c r="G308" s="1647">
        <v>28611</v>
      </c>
      <c r="H308" s="1644" t="s">
        <v>3642</v>
      </c>
      <c r="I308" s="1648" t="s">
        <v>3629</v>
      </c>
      <c r="J308" s="1645" t="s">
        <v>37</v>
      </c>
      <c r="K308" s="1645">
        <v>0</v>
      </c>
      <c r="L308" s="1645" t="s">
        <v>3268</v>
      </c>
      <c r="M308" s="1645" t="s">
        <v>3961</v>
      </c>
      <c r="N308" s="1645"/>
      <c r="O308" s="1645" t="s">
        <v>3645</v>
      </c>
      <c r="P308" s="1649"/>
      <c r="Q308" s="1645"/>
      <c r="R308" s="1644"/>
      <c r="S308" s="1644"/>
      <c r="T308" s="1644"/>
      <c r="U308" s="1644"/>
      <c r="V308" s="1644"/>
      <c r="W308" s="1650" t="s">
        <v>3653</v>
      </c>
      <c r="X308" s="1644" t="s">
        <v>3633</v>
      </c>
      <c r="Y308" s="1647">
        <v>42046</v>
      </c>
      <c r="Z308" s="1647">
        <v>42411</v>
      </c>
      <c r="AA308" s="1650">
        <f t="shared" ca="1" si="18"/>
        <v>8.5</v>
      </c>
      <c r="AB308" s="2444" t="s">
        <v>3629</v>
      </c>
      <c r="AC308" s="2445"/>
      <c r="AD308" s="2438"/>
    </row>
    <row r="309" spans="1:30" ht="15.75" hidden="1" customHeight="1">
      <c r="A309" s="1644">
        <f t="shared" si="10"/>
        <v>0</v>
      </c>
      <c r="B309" s="1645" t="s">
        <v>4292</v>
      </c>
      <c r="C309" s="1645" t="s">
        <v>4284</v>
      </c>
      <c r="D309" s="1645"/>
      <c r="E309" s="1644" t="s">
        <v>2797</v>
      </c>
      <c r="F309" s="1645">
        <f t="shared" si="17"/>
        <v>1984</v>
      </c>
      <c r="G309" s="1647">
        <v>30794</v>
      </c>
      <c r="H309" s="1644" t="s">
        <v>3642</v>
      </c>
      <c r="I309" s="1648" t="s">
        <v>3629</v>
      </c>
      <c r="J309" s="1645" t="s">
        <v>37</v>
      </c>
      <c r="K309" s="1645">
        <v>0</v>
      </c>
      <c r="L309" s="1645" t="s">
        <v>1766</v>
      </c>
      <c r="M309" s="1645" t="s">
        <v>4166</v>
      </c>
      <c r="N309" s="1645"/>
      <c r="O309" s="1645" t="s">
        <v>3645</v>
      </c>
      <c r="P309" s="1649"/>
      <c r="Q309" s="1645"/>
      <c r="R309" s="1647" t="s">
        <v>4293</v>
      </c>
      <c r="S309" s="1644" t="s">
        <v>4068</v>
      </c>
      <c r="T309" s="1644"/>
      <c r="U309" s="1644"/>
      <c r="V309" s="1644"/>
      <c r="W309" s="1650" t="s">
        <v>3653</v>
      </c>
      <c r="X309" s="1644"/>
      <c r="Y309" s="1647">
        <v>40016</v>
      </c>
      <c r="Z309" s="1647">
        <v>40381</v>
      </c>
      <c r="AA309" s="1650">
        <f t="shared" ca="1" si="18"/>
        <v>19.5</v>
      </c>
      <c r="AB309" s="2444" t="s">
        <v>3629</v>
      </c>
      <c r="AC309" s="2445"/>
      <c r="AD309" s="2438"/>
    </row>
    <row r="310" spans="1:30" ht="15.75" hidden="1" customHeight="1">
      <c r="A310" s="1644">
        <f t="shared" si="10"/>
        <v>0</v>
      </c>
      <c r="B310" s="1645" t="s">
        <v>4294</v>
      </c>
      <c r="C310" s="1645" t="s">
        <v>4284</v>
      </c>
      <c r="D310" s="1645"/>
      <c r="E310" s="1646" t="s">
        <v>2797</v>
      </c>
      <c r="F310" s="1645">
        <f t="shared" si="17"/>
        <v>1972</v>
      </c>
      <c r="G310" s="1647">
        <v>26415</v>
      </c>
      <c r="H310" s="1644" t="s">
        <v>4139</v>
      </c>
      <c r="I310" s="1648" t="s">
        <v>3629</v>
      </c>
      <c r="J310" s="1645" t="s">
        <v>37</v>
      </c>
      <c r="K310" s="1645">
        <v>0</v>
      </c>
      <c r="L310" s="1645" t="s">
        <v>4169</v>
      </c>
      <c r="M310" s="1645" t="s">
        <v>4169</v>
      </c>
      <c r="N310" s="1645"/>
      <c r="O310" s="1645" t="s">
        <v>506</v>
      </c>
      <c r="P310" s="1649"/>
      <c r="Q310" s="1645"/>
      <c r="R310" s="1644"/>
      <c r="S310" s="1644"/>
      <c r="T310" s="1644"/>
      <c r="U310" s="1644"/>
      <c r="V310" s="1644" t="s">
        <v>4141</v>
      </c>
      <c r="W310" s="1644">
        <v>0</v>
      </c>
      <c r="X310" s="1644" t="s">
        <v>3633</v>
      </c>
      <c r="Y310" s="1647">
        <v>40857</v>
      </c>
      <c r="Z310" s="1647">
        <v>41223</v>
      </c>
      <c r="AA310" s="1650">
        <f t="shared" ca="1" si="18"/>
        <v>7.5</v>
      </c>
      <c r="AB310" s="2444" t="s">
        <v>3629</v>
      </c>
      <c r="AC310" s="2445"/>
      <c r="AD310" s="2438"/>
    </row>
    <row r="311" spans="1:30" ht="15.75" hidden="1" customHeight="1">
      <c r="A311" s="1644">
        <f t="shared" si="10"/>
        <v>0</v>
      </c>
      <c r="B311" s="1658" t="s">
        <v>4295</v>
      </c>
      <c r="C311" s="1658" t="s">
        <v>4284</v>
      </c>
      <c r="D311" s="1658"/>
      <c r="E311" s="1659" t="s">
        <v>2797</v>
      </c>
      <c r="F311" s="1645">
        <f>+YEAR(G311)</f>
        <v>1990</v>
      </c>
      <c r="G311" s="1660">
        <v>33201</v>
      </c>
      <c r="H311" s="1659" t="s">
        <v>3642</v>
      </c>
      <c r="I311" s="1661" t="s">
        <v>3629</v>
      </c>
      <c r="J311" s="1658" t="s">
        <v>201</v>
      </c>
      <c r="K311" s="1658"/>
      <c r="L311" s="1651" t="s">
        <v>4296</v>
      </c>
      <c r="M311" s="1645"/>
      <c r="N311" s="1645"/>
      <c r="O311" s="1645"/>
      <c r="P311" s="1649"/>
      <c r="Q311" s="1645"/>
      <c r="R311" s="1662"/>
      <c r="S311" s="1662"/>
      <c r="T311" s="1662"/>
      <c r="U311" s="1662"/>
      <c r="V311" s="1662"/>
      <c r="W311" s="1662"/>
      <c r="X311" s="1662"/>
      <c r="Y311" s="1662"/>
      <c r="Z311" s="1662"/>
      <c r="AA311" s="1663"/>
      <c r="AB311" s="2444" t="s">
        <v>3629</v>
      </c>
      <c r="AC311" s="2445"/>
      <c r="AD311" s="2438"/>
    </row>
    <row r="312" spans="1:30" ht="15.75" hidden="1" customHeight="1">
      <c r="A312" s="1644">
        <f t="shared" si="10"/>
        <v>0</v>
      </c>
      <c r="B312" s="1645" t="s">
        <v>4297</v>
      </c>
      <c r="C312" s="1645" t="s">
        <v>4298</v>
      </c>
      <c r="D312" s="1645" t="s">
        <v>4033</v>
      </c>
      <c r="E312" s="1646" t="s">
        <v>2797</v>
      </c>
      <c r="F312" s="1645">
        <f t="shared" ref="F312:F365" si="19">YEAR(G312)</f>
        <v>1989</v>
      </c>
      <c r="G312" s="1647">
        <v>32789</v>
      </c>
      <c r="H312" s="1644" t="s">
        <v>3642</v>
      </c>
      <c r="I312" s="1648" t="s">
        <v>3629</v>
      </c>
      <c r="J312" s="1645" t="s">
        <v>201</v>
      </c>
      <c r="K312" s="1645">
        <v>0</v>
      </c>
      <c r="L312" s="1645" t="s">
        <v>3975</v>
      </c>
      <c r="M312" s="1645">
        <v>0</v>
      </c>
      <c r="N312" s="1645"/>
      <c r="O312" s="1645">
        <v>0</v>
      </c>
      <c r="P312" s="1649"/>
      <c r="Q312" s="1645"/>
      <c r="R312" s="1647" t="s">
        <v>4028</v>
      </c>
      <c r="S312" s="1644"/>
      <c r="T312" s="1644"/>
      <c r="U312" s="1644"/>
      <c r="V312" s="1644" t="s">
        <v>3649</v>
      </c>
      <c r="W312" s="1650" t="s">
        <v>3822</v>
      </c>
      <c r="X312" s="1644"/>
      <c r="Y312" s="1647"/>
      <c r="Z312" s="1647"/>
      <c r="AA312" s="1650">
        <f t="shared" ref="AA312:AA384" ca="1" si="20">IF(E312="nữ",660-DATEDIF(G312,TODAY(),"m"),720-DATEDIF(G312,TODAY(),"m"))/12</f>
        <v>25</v>
      </c>
      <c r="AB312" s="2444" t="s">
        <v>3629</v>
      </c>
      <c r="AC312" s="2445"/>
      <c r="AD312" s="2438"/>
    </row>
    <row r="313" spans="1:30" ht="15.75" hidden="1" customHeight="1">
      <c r="A313" s="1644">
        <f t="shared" si="10"/>
        <v>0</v>
      </c>
      <c r="B313" s="1645" t="s">
        <v>4299</v>
      </c>
      <c r="C313" s="1645" t="s">
        <v>4298</v>
      </c>
      <c r="D313" s="1645" t="s">
        <v>4033</v>
      </c>
      <c r="E313" s="1646" t="s">
        <v>2797</v>
      </c>
      <c r="F313" s="1645">
        <f t="shared" si="19"/>
        <v>1963</v>
      </c>
      <c r="G313" s="1647">
        <v>23118</v>
      </c>
      <c r="H313" s="1644" t="s">
        <v>3669</v>
      </c>
      <c r="I313" s="1648" t="s">
        <v>3629</v>
      </c>
      <c r="J313" s="1645" t="s">
        <v>3670</v>
      </c>
      <c r="K313" s="1645">
        <v>0</v>
      </c>
      <c r="L313" s="1651">
        <v>0</v>
      </c>
      <c r="M313" s="1645">
        <v>0</v>
      </c>
      <c r="N313" s="1645"/>
      <c r="O313" s="1645">
        <v>0</v>
      </c>
      <c r="P313" s="1649"/>
      <c r="Q313" s="1645"/>
      <c r="R313" s="1644"/>
      <c r="S313" s="1644"/>
      <c r="T313" s="1644"/>
      <c r="U313" s="1644"/>
      <c r="V313" s="1644"/>
      <c r="W313" s="1644">
        <v>0</v>
      </c>
      <c r="X313" s="1644"/>
      <c r="Y313" s="1647"/>
      <c r="Z313" s="1647"/>
      <c r="AA313" s="1650">
        <f t="shared" ca="1" si="20"/>
        <v>-1.5</v>
      </c>
      <c r="AB313" s="2444" t="s">
        <v>3629</v>
      </c>
      <c r="AC313" s="2445"/>
      <c r="AD313" s="2438"/>
    </row>
    <row r="314" spans="1:30" ht="15.75" hidden="1" customHeight="1">
      <c r="A314" s="1644">
        <f t="shared" si="10"/>
        <v>0</v>
      </c>
      <c r="B314" s="1645" t="s">
        <v>4300</v>
      </c>
      <c r="C314" s="1645" t="s">
        <v>4298</v>
      </c>
      <c r="D314" s="1645" t="s">
        <v>4033</v>
      </c>
      <c r="E314" s="1644" t="s">
        <v>2798</v>
      </c>
      <c r="F314" s="1645">
        <f t="shared" si="19"/>
        <v>1987</v>
      </c>
      <c r="G314" s="1647">
        <v>32066</v>
      </c>
      <c r="H314" s="1644" t="s">
        <v>3642</v>
      </c>
      <c r="I314" s="1648" t="s">
        <v>3629</v>
      </c>
      <c r="J314" s="1645" t="s">
        <v>201</v>
      </c>
      <c r="K314" s="1645">
        <v>0</v>
      </c>
      <c r="L314" s="1645" t="s">
        <v>3676</v>
      </c>
      <c r="M314" s="1645">
        <v>0</v>
      </c>
      <c r="N314" s="1645"/>
      <c r="O314" s="1645">
        <v>0</v>
      </c>
      <c r="P314" s="1649"/>
      <c r="Q314" s="1645"/>
      <c r="R314" s="1644"/>
      <c r="S314" s="1644"/>
      <c r="T314" s="1644"/>
      <c r="U314" s="1644"/>
      <c r="V314" s="1644"/>
      <c r="W314" s="1650" t="s">
        <v>3822</v>
      </c>
      <c r="X314" s="1644"/>
      <c r="Y314" s="1647"/>
      <c r="Z314" s="1647"/>
      <c r="AA314" s="1650">
        <f t="shared" ca="1" si="20"/>
        <v>18</v>
      </c>
      <c r="AB314" s="2444" t="s">
        <v>3629</v>
      </c>
      <c r="AC314" s="2445"/>
      <c r="AD314" s="2438"/>
    </row>
    <row r="315" spans="1:30" ht="15.75" hidden="1" customHeight="1">
      <c r="A315" s="1644">
        <f t="shared" si="10"/>
        <v>0</v>
      </c>
      <c r="B315" s="1645" t="s">
        <v>4301</v>
      </c>
      <c r="C315" s="1645" t="s">
        <v>4298</v>
      </c>
      <c r="D315" s="1645"/>
      <c r="E315" s="1646" t="s">
        <v>2798</v>
      </c>
      <c r="F315" s="1645">
        <f t="shared" si="19"/>
        <v>1990</v>
      </c>
      <c r="G315" s="1647">
        <v>33066</v>
      </c>
      <c r="H315" s="1644" t="s">
        <v>3642</v>
      </c>
      <c r="I315" s="1648" t="s">
        <v>3629</v>
      </c>
      <c r="J315" s="1645" t="s">
        <v>201</v>
      </c>
      <c r="K315" s="1645"/>
      <c r="L315" s="1645" t="s">
        <v>2824</v>
      </c>
      <c r="M315" s="1645">
        <v>0</v>
      </c>
      <c r="N315" s="1645"/>
      <c r="O315" s="1645">
        <v>0</v>
      </c>
      <c r="P315" s="1649"/>
      <c r="Q315" s="1645"/>
      <c r="R315" s="1647" t="s">
        <v>3667</v>
      </c>
      <c r="S315" s="1644" t="s">
        <v>3743</v>
      </c>
      <c r="T315" s="1644"/>
      <c r="U315" s="1644"/>
      <c r="V315" s="1644" t="s">
        <v>3649</v>
      </c>
      <c r="W315" s="1644">
        <v>0</v>
      </c>
      <c r="X315" s="1644"/>
      <c r="Y315" s="1647">
        <v>41090</v>
      </c>
      <c r="Z315" s="1647">
        <v>41455</v>
      </c>
      <c r="AA315" s="1650">
        <f t="shared" ca="1" si="20"/>
        <v>20.75</v>
      </c>
      <c r="AB315" s="2444" t="s">
        <v>3629</v>
      </c>
      <c r="AC315" s="2445"/>
      <c r="AD315" s="2438"/>
    </row>
    <row r="316" spans="1:30" ht="15.75" hidden="1" customHeight="1">
      <c r="A316" s="1644">
        <f t="shared" si="10"/>
        <v>0</v>
      </c>
      <c r="B316" s="1645" t="s">
        <v>4302</v>
      </c>
      <c r="C316" s="1645" t="s">
        <v>4298</v>
      </c>
      <c r="D316" s="1645"/>
      <c r="E316" s="1644" t="s">
        <v>2797</v>
      </c>
      <c r="F316" s="1645">
        <f t="shared" si="19"/>
        <v>1965</v>
      </c>
      <c r="G316" s="1647">
        <v>23961</v>
      </c>
      <c r="H316" s="1644" t="s">
        <v>3642</v>
      </c>
      <c r="I316" s="1648" t="s">
        <v>3629</v>
      </c>
      <c r="J316" s="1645" t="s">
        <v>201</v>
      </c>
      <c r="K316" s="1645">
        <v>0</v>
      </c>
      <c r="L316" s="1645" t="s">
        <v>4082</v>
      </c>
      <c r="M316" s="1645">
        <v>0</v>
      </c>
      <c r="N316" s="1645"/>
      <c r="O316" s="1645" t="s">
        <v>3645</v>
      </c>
      <c r="P316" s="1649"/>
      <c r="Q316" s="1645"/>
      <c r="R316" s="1644"/>
      <c r="S316" s="1644"/>
      <c r="T316" s="1644"/>
      <c r="U316" s="1644"/>
      <c r="V316" s="1644"/>
      <c r="W316" s="1644">
        <v>0</v>
      </c>
      <c r="X316" s="1644" t="s">
        <v>3633</v>
      </c>
      <c r="Y316" s="1647">
        <v>39099</v>
      </c>
      <c r="Z316" s="1647">
        <v>39464</v>
      </c>
      <c r="AA316" s="1650">
        <f t="shared" ca="1" si="20"/>
        <v>0.83333333333333337</v>
      </c>
      <c r="AB316" s="2444" t="s">
        <v>3629</v>
      </c>
      <c r="AC316" s="2445"/>
      <c r="AD316" s="2438"/>
    </row>
    <row r="317" spans="1:30" ht="15.75" hidden="1" customHeight="1">
      <c r="A317" s="1644">
        <f t="shared" si="10"/>
        <v>0</v>
      </c>
      <c r="B317" s="1645" t="s">
        <v>4303</v>
      </c>
      <c r="C317" s="1645" t="s">
        <v>4298</v>
      </c>
      <c r="D317" s="1645"/>
      <c r="E317" s="1644" t="s">
        <v>2798</v>
      </c>
      <c r="F317" s="1645">
        <f t="shared" si="19"/>
        <v>1988</v>
      </c>
      <c r="G317" s="1647">
        <v>32323</v>
      </c>
      <c r="H317" s="1644" t="s">
        <v>3642</v>
      </c>
      <c r="I317" s="1648" t="s">
        <v>3629</v>
      </c>
      <c r="J317" s="1645" t="s">
        <v>37</v>
      </c>
      <c r="K317" s="1645">
        <v>0</v>
      </c>
      <c r="L317" s="1645" t="s">
        <v>4304</v>
      </c>
      <c r="M317" s="1645" t="s">
        <v>4305</v>
      </c>
      <c r="N317" s="1645"/>
      <c r="O317" s="1645">
        <v>0</v>
      </c>
      <c r="P317" s="1649"/>
      <c r="Q317" s="1645"/>
      <c r="R317" s="1647" t="s">
        <v>3667</v>
      </c>
      <c r="S317" s="1644"/>
      <c r="T317" s="1644"/>
      <c r="U317" s="1644"/>
      <c r="V317" s="1644" t="s">
        <v>3657</v>
      </c>
      <c r="W317" s="1650" t="s">
        <v>3653</v>
      </c>
      <c r="X317" s="1644"/>
      <c r="Y317" s="1647"/>
      <c r="Z317" s="1647"/>
      <c r="AA317" s="1650">
        <f t="shared" ca="1" si="20"/>
        <v>18.666666666666668</v>
      </c>
      <c r="AB317" s="2444" t="s">
        <v>3629</v>
      </c>
      <c r="AC317" s="2445"/>
      <c r="AD317" s="2438"/>
    </row>
    <row r="318" spans="1:30" ht="15.75" hidden="1" customHeight="1">
      <c r="A318" s="1644">
        <f t="shared" si="10"/>
        <v>0</v>
      </c>
      <c r="B318" s="1645" t="s">
        <v>4306</v>
      </c>
      <c r="C318" s="1645" t="s">
        <v>4298</v>
      </c>
      <c r="D318" s="1645"/>
      <c r="E318" s="1646" t="s">
        <v>2798</v>
      </c>
      <c r="F318" s="1645">
        <f t="shared" si="19"/>
        <v>1992</v>
      </c>
      <c r="G318" s="1647">
        <v>33906</v>
      </c>
      <c r="H318" s="1644" t="s">
        <v>3642</v>
      </c>
      <c r="I318" s="1648" t="s">
        <v>3629</v>
      </c>
      <c r="J318" s="1645" t="s">
        <v>201</v>
      </c>
      <c r="K318" s="1645">
        <v>0</v>
      </c>
      <c r="L318" s="1645" t="s">
        <v>3367</v>
      </c>
      <c r="M318" s="1645">
        <v>0</v>
      </c>
      <c r="N318" s="1645"/>
      <c r="O318" s="1645" t="s">
        <v>3645</v>
      </c>
      <c r="P318" s="1649"/>
      <c r="Q318" s="1645"/>
      <c r="R318" s="1647" t="s">
        <v>3667</v>
      </c>
      <c r="S318" s="1644"/>
      <c r="T318" s="1644"/>
      <c r="U318" s="1644"/>
      <c r="V318" s="1644" t="s">
        <v>3649</v>
      </c>
      <c r="W318" s="1644">
        <v>0</v>
      </c>
      <c r="X318" s="1644"/>
      <c r="Y318" s="1647"/>
      <c r="Z318" s="1647"/>
      <c r="AA318" s="1650">
        <f t="shared" ca="1" si="20"/>
        <v>23</v>
      </c>
      <c r="AB318" s="2444" t="s">
        <v>3629</v>
      </c>
      <c r="AC318" s="2445"/>
      <c r="AD318" s="2438"/>
    </row>
    <row r="319" spans="1:30" ht="15.75" hidden="1" customHeight="1">
      <c r="A319" s="1644">
        <f t="shared" si="10"/>
        <v>0</v>
      </c>
      <c r="B319" s="1645" t="s">
        <v>4307</v>
      </c>
      <c r="C319" s="1645" t="s">
        <v>4298</v>
      </c>
      <c r="D319" s="1645"/>
      <c r="E319" s="1644" t="s">
        <v>2798</v>
      </c>
      <c r="F319" s="1645">
        <f t="shared" si="19"/>
        <v>1976</v>
      </c>
      <c r="G319" s="1647">
        <v>27886</v>
      </c>
      <c r="H319" s="1644" t="s">
        <v>3642</v>
      </c>
      <c r="I319" s="1648" t="s">
        <v>3629</v>
      </c>
      <c r="J319" s="1645" t="s">
        <v>201</v>
      </c>
      <c r="K319" s="1645">
        <v>0</v>
      </c>
      <c r="L319" s="1645" t="s">
        <v>2755</v>
      </c>
      <c r="M319" s="1645">
        <v>0</v>
      </c>
      <c r="N319" s="1645"/>
      <c r="O319" s="1645" t="s">
        <v>3645</v>
      </c>
      <c r="P319" s="1649"/>
      <c r="Q319" s="1645"/>
      <c r="R319" s="1644"/>
      <c r="S319" s="1644"/>
      <c r="T319" s="1644"/>
      <c r="U319" s="1644"/>
      <c r="V319" s="1644"/>
      <c r="W319" s="1650" t="s">
        <v>3646</v>
      </c>
      <c r="X319" s="1644"/>
      <c r="Y319" s="1647">
        <v>36434</v>
      </c>
      <c r="Z319" s="1647">
        <v>36800</v>
      </c>
      <c r="AA319" s="1650">
        <f t="shared" ca="1" si="20"/>
        <v>6.583333333333333</v>
      </c>
      <c r="AB319" s="2444" t="s">
        <v>3629</v>
      </c>
      <c r="AC319" s="2445"/>
      <c r="AD319" s="2438"/>
    </row>
    <row r="320" spans="1:30" ht="15.75" hidden="1" customHeight="1">
      <c r="A320" s="1644">
        <f t="shared" si="10"/>
        <v>0</v>
      </c>
      <c r="B320" s="1645" t="s">
        <v>4308</v>
      </c>
      <c r="C320" s="1645" t="s">
        <v>4298</v>
      </c>
      <c r="D320" s="1645"/>
      <c r="E320" s="1644" t="s">
        <v>2798</v>
      </c>
      <c r="F320" s="1645">
        <f t="shared" si="19"/>
        <v>1983</v>
      </c>
      <c r="G320" s="1647">
        <v>30621</v>
      </c>
      <c r="H320" s="1644" t="s">
        <v>3642</v>
      </c>
      <c r="I320" s="1648" t="s">
        <v>3629</v>
      </c>
      <c r="J320" s="1645" t="s">
        <v>201</v>
      </c>
      <c r="K320" s="1645">
        <v>0</v>
      </c>
      <c r="L320" s="1645" t="s">
        <v>4309</v>
      </c>
      <c r="M320" s="1645">
        <v>0</v>
      </c>
      <c r="N320" s="1645"/>
      <c r="O320" s="1645" t="s">
        <v>3645</v>
      </c>
      <c r="P320" s="1649"/>
      <c r="Q320" s="1645"/>
      <c r="R320" s="1644"/>
      <c r="S320" s="1644"/>
      <c r="T320" s="1644"/>
      <c r="U320" s="1644"/>
      <c r="V320" s="1644"/>
      <c r="W320" s="1644" t="s">
        <v>936</v>
      </c>
      <c r="X320" s="1644"/>
      <c r="Y320" s="1647">
        <v>42618</v>
      </c>
      <c r="Z320" s="1647">
        <v>42983</v>
      </c>
      <c r="AA320" s="1650">
        <f t="shared" ca="1" si="20"/>
        <v>14</v>
      </c>
      <c r="AB320" s="2444" t="s">
        <v>3629</v>
      </c>
      <c r="AC320" s="2445"/>
      <c r="AD320" s="2438"/>
    </row>
    <row r="321" spans="1:30" ht="15.75" hidden="1" customHeight="1">
      <c r="A321" s="1644">
        <f t="shared" si="10"/>
        <v>0</v>
      </c>
      <c r="B321" s="1645" t="s">
        <v>4310</v>
      </c>
      <c r="C321" s="1645" t="s">
        <v>4298</v>
      </c>
      <c r="D321" s="1645"/>
      <c r="E321" s="1646" t="s">
        <v>2798</v>
      </c>
      <c r="F321" s="1645">
        <f t="shared" si="19"/>
        <v>1986</v>
      </c>
      <c r="G321" s="1647">
        <v>31675</v>
      </c>
      <c r="H321" s="1644" t="s">
        <v>3642</v>
      </c>
      <c r="I321" s="1648" t="s">
        <v>3629</v>
      </c>
      <c r="J321" s="1645" t="s">
        <v>201</v>
      </c>
      <c r="K321" s="1645">
        <v>0</v>
      </c>
      <c r="L321" s="1645" t="s">
        <v>3268</v>
      </c>
      <c r="M321" s="1645">
        <v>0</v>
      </c>
      <c r="N321" s="1645"/>
      <c r="O321" s="1645" t="s">
        <v>3645</v>
      </c>
      <c r="P321" s="1649"/>
      <c r="Q321" s="1645"/>
      <c r="R321" s="1647" t="s">
        <v>3667</v>
      </c>
      <c r="S321" s="1644"/>
      <c r="T321" s="1644"/>
      <c r="U321" s="1644"/>
      <c r="V321" s="1644" t="s">
        <v>3649</v>
      </c>
      <c r="W321" s="1644" t="s">
        <v>3687</v>
      </c>
      <c r="X321" s="1644"/>
      <c r="Y321" s="1647">
        <v>43165</v>
      </c>
      <c r="Z321" s="1647">
        <v>43530</v>
      </c>
      <c r="AA321" s="1650">
        <f t="shared" ca="1" si="20"/>
        <v>16.916666666666668</v>
      </c>
      <c r="AB321" s="2444" t="s">
        <v>3629</v>
      </c>
      <c r="AC321" s="2445"/>
      <c r="AD321" s="2438"/>
    </row>
    <row r="322" spans="1:30" ht="15.75" hidden="1" customHeight="1">
      <c r="A322" s="1644">
        <f t="shared" si="10"/>
        <v>0</v>
      </c>
      <c r="B322" s="1645" t="s">
        <v>4311</v>
      </c>
      <c r="C322" s="1645" t="s">
        <v>4298</v>
      </c>
      <c r="D322" s="1645"/>
      <c r="E322" s="1644" t="s">
        <v>2798</v>
      </c>
      <c r="F322" s="1645">
        <f t="shared" si="19"/>
        <v>1978</v>
      </c>
      <c r="G322" s="1647">
        <v>28576</v>
      </c>
      <c r="H322" s="1644" t="s">
        <v>3642</v>
      </c>
      <c r="I322" s="1648" t="s">
        <v>3629</v>
      </c>
      <c r="J322" s="1645" t="s">
        <v>37</v>
      </c>
      <c r="K322" s="1645">
        <v>0</v>
      </c>
      <c r="L322" s="1645" t="s">
        <v>3268</v>
      </c>
      <c r="M322" s="1645" t="s">
        <v>4312</v>
      </c>
      <c r="N322" s="1645"/>
      <c r="O322" s="1645" t="s">
        <v>3645</v>
      </c>
      <c r="P322" s="1649"/>
      <c r="Q322" s="1645"/>
      <c r="R322" s="1644"/>
      <c r="S322" s="1644"/>
      <c r="T322" s="1644"/>
      <c r="U322" s="1644"/>
      <c r="V322" s="1644"/>
      <c r="W322" s="1644" t="s">
        <v>3679</v>
      </c>
      <c r="X322" s="1644"/>
      <c r="Y322" s="1647"/>
      <c r="Z322" s="1647"/>
      <c r="AA322" s="1650">
        <f t="shared" ca="1" si="20"/>
        <v>8.4166666666666661</v>
      </c>
      <c r="AB322" s="2444" t="s">
        <v>3629</v>
      </c>
      <c r="AC322" s="2445"/>
      <c r="AD322" s="2438"/>
    </row>
    <row r="323" spans="1:30" ht="15.75" hidden="1" customHeight="1">
      <c r="A323" s="1644">
        <f t="shared" si="10"/>
        <v>0</v>
      </c>
      <c r="B323" s="1645" t="s">
        <v>4313</v>
      </c>
      <c r="C323" s="1645" t="s">
        <v>4298</v>
      </c>
      <c r="D323" s="1645"/>
      <c r="E323" s="1646" t="s">
        <v>2798</v>
      </c>
      <c r="F323" s="1645">
        <f t="shared" si="19"/>
        <v>1984</v>
      </c>
      <c r="G323" s="1647">
        <v>30902</v>
      </c>
      <c r="H323" s="1644" t="s">
        <v>3642</v>
      </c>
      <c r="I323" s="1648" t="s">
        <v>3629</v>
      </c>
      <c r="J323" s="1645" t="s">
        <v>201</v>
      </c>
      <c r="K323" s="1645">
        <v>0</v>
      </c>
      <c r="L323" s="1645" t="s">
        <v>1701</v>
      </c>
      <c r="M323" s="1645">
        <v>0</v>
      </c>
      <c r="N323" s="1645"/>
      <c r="O323" s="1645" t="s">
        <v>3645</v>
      </c>
      <c r="P323" s="1649"/>
      <c r="Q323" s="1645"/>
      <c r="R323" s="1644"/>
      <c r="S323" s="1644"/>
      <c r="T323" s="1644"/>
      <c r="U323" s="1644"/>
      <c r="V323" s="1644" t="s">
        <v>3649</v>
      </c>
      <c r="W323" s="1644" t="s">
        <v>3968</v>
      </c>
      <c r="X323" s="1644" t="s">
        <v>3707</v>
      </c>
      <c r="Y323" s="1647">
        <v>42181</v>
      </c>
      <c r="Z323" s="1647">
        <v>42547</v>
      </c>
      <c r="AA323" s="1650">
        <f t="shared" ca="1" si="20"/>
        <v>14.833333333333334</v>
      </c>
      <c r="AB323" s="2444" t="s">
        <v>3629</v>
      </c>
      <c r="AC323" s="2445"/>
      <c r="AD323" s="2438"/>
    </row>
    <row r="324" spans="1:30" ht="15.75" hidden="1" customHeight="1">
      <c r="A324" s="1644">
        <f t="shared" si="10"/>
        <v>0</v>
      </c>
      <c r="B324" s="1645" t="s">
        <v>4314</v>
      </c>
      <c r="C324" s="1645" t="s">
        <v>4298</v>
      </c>
      <c r="D324" s="1645"/>
      <c r="E324" s="1646" t="s">
        <v>2797</v>
      </c>
      <c r="F324" s="1645">
        <f t="shared" si="19"/>
        <v>1968</v>
      </c>
      <c r="G324" s="1647">
        <v>25052</v>
      </c>
      <c r="H324" s="1644" t="s">
        <v>3642</v>
      </c>
      <c r="I324" s="1648" t="s">
        <v>3629</v>
      </c>
      <c r="J324" s="1645" t="s">
        <v>201</v>
      </c>
      <c r="K324" s="1645">
        <v>0</v>
      </c>
      <c r="L324" s="1645" t="s">
        <v>4057</v>
      </c>
      <c r="M324" s="1645">
        <v>0</v>
      </c>
      <c r="N324" s="1645"/>
      <c r="O324" s="1645" t="s">
        <v>3645</v>
      </c>
      <c r="P324" s="1649"/>
      <c r="Q324" s="1645"/>
      <c r="R324" s="1644"/>
      <c r="S324" s="1644"/>
      <c r="T324" s="1644"/>
      <c r="U324" s="1644"/>
      <c r="V324" s="1644"/>
      <c r="W324" s="1644">
        <v>0</v>
      </c>
      <c r="X324" s="1644"/>
      <c r="Y324" s="1647">
        <v>41291</v>
      </c>
      <c r="Z324" s="1647">
        <v>41656</v>
      </c>
      <c r="AA324" s="1650">
        <f t="shared" ca="1" si="20"/>
        <v>3.75</v>
      </c>
      <c r="AB324" s="2444" t="s">
        <v>3629</v>
      </c>
      <c r="AC324" s="2445"/>
      <c r="AD324" s="2438"/>
    </row>
    <row r="325" spans="1:30" ht="15.75" hidden="1" customHeight="1">
      <c r="A325" s="1644">
        <f t="shared" si="10"/>
        <v>0</v>
      </c>
      <c r="B325" s="1645" t="s">
        <v>4315</v>
      </c>
      <c r="C325" s="1645" t="s">
        <v>4298</v>
      </c>
      <c r="D325" s="1645"/>
      <c r="E325" s="1644" t="s">
        <v>2798</v>
      </c>
      <c r="F325" s="1645">
        <f t="shared" si="19"/>
        <v>1980</v>
      </c>
      <c r="G325" s="1647">
        <v>29513</v>
      </c>
      <c r="H325" s="1644" t="s">
        <v>3642</v>
      </c>
      <c r="I325" s="1648" t="s">
        <v>3629</v>
      </c>
      <c r="J325" s="1645" t="s">
        <v>37</v>
      </c>
      <c r="K325" s="1645">
        <v>0</v>
      </c>
      <c r="L325" s="1645" t="s">
        <v>2682</v>
      </c>
      <c r="M325" s="1645" t="s">
        <v>2682</v>
      </c>
      <c r="N325" s="1645"/>
      <c r="O325" s="1645" t="s">
        <v>3645</v>
      </c>
      <c r="P325" s="1649"/>
      <c r="Q325" s="1645"/>
      <c r="R325" s="1647" t="s">
        <v>3952</v>
      </c>
      <c r="S325" s="1647" t="s">
        <v>4316</v>
      </c>
      <c r="T325" s="1644"/>
      <c r="U325" s="1644"/>
      <c r="V325" s="1644"/>
      <c r="W325" s="1650" t="s">
        <v>3653</v>
      </c>
      <c r="X325" s="1644" t="s">
        <v>3633</v>
      </c>
      <c r="Y325" s="1647">
        <v>41495</v>
      </c>
      <c r="Z325" s="1647">
        <v>41860</v>
      </c>
      <c r="AA325" s="1650">
        <f t="shared" ca="1" si="20"/>
        <v>11</v>
      </c>
      <c r="AB325" s="2444" t="s">
        <v>3629</v>
      </c>
      <c r="AC325" s="2445"/>
      <c r="AD325" s="2438"/>
    </row>
    <row r="326" spans="1:30" ht="15.75" hidden="1" customHeight="1">
      <c r="A326" s="1644">
        <f t="shared" si="10"/>
        <v>0</v>
      </c>
      <c r="B326" s="1645" t="s">
        <v>4317</v>
      </c>
      <c r="C326" s="1645" t="s">
        <v>4298</v>
      </c>
      <c r="D326" s="1645"/>
      <c r="E326" s="1646" t="s">
        <v>2798</v>
      </c>
      <c r="F326" s="1645">
        <f t="shared" si="19"/>
        <v>1989</v>
      </c>
      <c r="G326" s="1647">
        <v>32600</v>
      </c>
      <c r="H326" s="1644" t="s">
        <v>3642</v>
      </c>
      <c r="I326" s="1648" t="s">
        <v>3629</v>
      </c>
      <c r="J326" s="1645" t="s">
        <v>37</v>
      </c>
      <c r="K326" s="1645">
        <v>0</v>
      </c>
      <c r="L326" s="1645" t="s">
        <v>3676</v>
      </c>
      <c r="M326" s="1645" t="s">
        <v>3996</v>
      </c>
      <c r="N326" s="1645"/>
      <c r="O326" s="1645" t="s">
        <v>3645</v>
      </c>
      <c r="P326" s="1649"/>
      <c r="Q326" s="1645"/>
      <c r="R326" s="1647" t="s">
        <v>3667</v>
      </c>
      <c r="S326" s="1644"/>
      <c r="T326" s="1644"/>
      <c r="U326" s="1644"/>
      <c r="V326" s="1644" t="s">
        <v>3649</v>
      </c>
      <c r="W326" s="1650" t="s">
        <v>3653</v>
      </c>
      <c r="X326" s="1644"/>
      <c r="Y326" s="1647"/>
      <c r="Z326" s="1647"/>
      <c r="AA326" s="1650">
        <f t="shared" ca="1" si="20"/>
        <v>19.416666666666668</v>
      </c>
      <c r="AB326" s="2444" t="s">
        <v>3629</v>
      </c>
      <c r="AC326" s="2445"/>
      <c r="AD326" s="2438"/>
    </row>
    <row r="327" spans="1:30" ht="15.75" hidden="1" customHeight="1">
      <c r="A327" s="1644">
        <f t="shared" si="10"/>
        <v>0</v>
      </c>
      <c r="B327" s="1645" t="s">
        <v>4318</v>
      </c>
      <c r="C327" s="1645" t="s">
        <v>4298</v>
      </c>
      <c r="D327" s="1645"/>
      <c r="E327" s="1646" t="s">
        <v>2797</v>
      </c>
      <c r="F327" s="1645">
        <f t="shared" si="19"/>
        <v>1971</v>
      </c>
      <c r="G327" s="1647">
        <v>25984</v>
      </c>
      <c r="H327" s="1644" t="s">
        <v>3642</v>
      </c>
      <c r="I327" s="1648" t="s">
        <v>3629</v>
      </c>
      <c r="J327" s="1645" t="s">
        <v>201</v>
      </c>
      <c r="K327" s="1645">
        <v>0</v>
      </c>
      <c r="L327" s="1645" t="s">
        <v>4057</v>
      </c>
      <c r="M327" s="1645">
        <v>0</v>
      </c>
      <c r="N327" s="1645"/>
      <c r="O327" s="1645" t="s">
        <v>3645</v>
      </c>
      <c r="P327" s="1649"/>
      <c r="Q327" s="1645"/>
      <c r="R327" s="1644" t="s">
        <v>3683</v>
      </c>
      <c r="S327" s="1644"/>
      <c r="T327" s="1644" t="s">
        <v>936</v>
      </c>
      <c r="U327" s="1644"/>
      <c r="V327" s="1644"/>
      <c r="W327" s="1644">
        <v>0</v>
      </c>
      <c r="X327" s="1644" t="s">
        <v>3633</v>
      </c>
      <c r="Y327" s="1647">
        <v>38551</v>
      </c>
      <c r="Z327" s="1647">
        <v>38916</v>
      </c>
      <c r="AA327" s="1650">
        <f t="shared" ca="1" si="20"/>
        <v>6.333333333333333</v>
      </c>
      <c r="AB327" s="2444" t="s">
        <v>3629</v>
      </c>
      <c r="AC327" s="2445"/>
      <c r="AD327" s="2438"/>
    </row>
    <row r="328" spans="1:30" ht="15.75" hidden="1" customHeight="1">
      <c r="A328" s="1644">
        <f t="shared" si="10"/>
        <v>0</v>
      </c>
      <c r="B328" s="1645" t="s">
        <v>4319</v>
      </c>
      <c r="C328" s="1645" t="s">
        <v>4298</v>
      </c>
      <c r="D328" s="1645"/>
      <c r="E328" s="1644" t="s">
        <v>2798</v>
      </c>
      <c r="F328" s="1645">
        <f t="shared" si="19"/>
        <v>1969</v>
      </c>
      <c r="G328" s="1647">
        <v>25521</v>
      </c>
      <c r="H328" s="1644" t="s">
        <v>3648</v>
      </c>
      <c r="I328" s="1648" t="s">
        <v>3629</v>
      </c>
      <c r="J328" s="1645" t="s">
        <v>201</v>
      </c>
      <c r="K328" s="1645">
        <v>0</v>
      </c>
      <c r="L328" s="1645" t="s">
        <v>3741</v>
      </c>
      <c r="M328" s="1645">
        <v>0</v>
      </c>
      <c r="N328" s="1645"/>
      <c r="O328" s="1645" t="s">
        <v>3645</v>
      </c>
      <c r="P328" s="1649"/>
      <c r="Q328" s="1645"/>
      <c r="R328" s="1644"/>
      <c r="S328" s="1644"/>
      <c r="T328" s="1644"/>
      <c r="U328" s="1644"/>
      <c r="V328" s="1644"/>
      <c r="W328" s="1650" t="s">
        <v>3646</v>
      </c>
      <c r="X328" s="1644"/>
      <c r="Y328" s="1647"/>
      <c r="Z328" s="1647"/>
      <c r="AA328" s="1650">
        <f t="shared" ca="1" si="20"/>
        <v>8.3333333333333329E-2</v>
      </c>
      <c r="AB328" s="2444" t="s">
        <v>3629</v>
      </c>
      <c r="AC328" s="2445"/>
      <c r="AD328" s="2438"/>
    </row>
    <row r="329" spans="1:30" ht="15.75" hidden="1" customHeight="1">
      <c r="A329" s="1644">
        <f t="shared" si="10"/>
        <v>0</v>
      </c>
      <c r="B329" s="1645" t="s">
        <v>4320</v>
      </c>
      <c r="C329" s="1645" t="s">
        <v>4298</v>
      </c>
      <c r="D329" s="1645"/>
      <c r="E329" s="1644" t="s">
        <v>2797</v>
      </c>
      <c r="F329" s="1645">
        <f t="shared" si="19"/>
        <v>1982</v>
      </c>
      <c r="G329" s="1647">
        <v>30113</v>
      </c>
      <c r="H329" s="1644" t="s">
        <v>3642</v>
      </c>
      <c r="I329" s="1648" t="s">
        <v>3629</v>
      </c>
      <c r="J329" s="1645" t="s">
        <v>201</v>
      </c>
      <c r="K329" s="1645">
        <v>0</v>
      </c>
      <c r="L329" s="1645" t="s">
        <v>1766</v>
      </c>
      <c r="M329" s="1645">
        <v>0</v>
      </c>
      <c r="N329" s="1645"/>
      <c r="O329" s="1645" t="s">
        <v>3645</v>
      </c>
      <c r="P329" s="1649"/>
      <c r="Q329" s="1645"/>
      <c r="R329" s="1647" t="s">
        <v>3656</v>
      </c>
      <c r="S329" s="1644" t="s">
        <v>4068</v>
      </c>
      <c r="T329" s="1644"/>
      <c r="U329" s="1644"/>
      <c r="V329" s="1644" t="s">
        <v>3649</v>
      </c>
      <c r="W329" s="1650" t="s">
        <v>3653</v>
      </c>
      <c r="X329" s="1644"/>
      <c r="Y329" s="1647"/>
      <c r="Z329" s="1647"/>
      <c r="AA329" s="1650">
        <f t="shared" ca="1" si="20"/>
        <v>17.666666666666668</v>
      </c>
      <c r="AB329" s="2444" t="s">
        <v>3629</v>
      </c>
      <c r="AC329" s="2445"/>
      <c r="AD329" s="2438"/>
    </row>
    <row r="330" spans="1:30" ht="15.75" hidden="1" customHeight="1">
      <c r="A330" s="1644">
        <f t="shared" si="10"/>
        <v>0</v>
      </c>
      <c r="B330" s="1645" t="s">
        <v>4321</v>
      </c>
      <c r="C330" s="1645" t="s">
        <v>4298</v>
      </c>
      <c r="D330" s="1645"/>
      <c r="E330" s="1646" t="s">
        <v>2798</v>
      </c>
      <c r="F330" s="1645">
        <f t="shared" si="19"/>
        <v>1975</v>
      </c>
      <c r="G330" s="1647">
        <v>27627</v>
      </c>
      <c r="H330" s="1644" t="s">
        <v>3685</v>
      </c>
      <c r="I330" s="1648" t="s">
        <v>3629</v>
      </c>
      <c r="J330" s="1645" t="s">
        <v>4322</v>
      </c>
      <c r="K330" s="1645">
        <v>0</v>
      </c>
      <c r="L330" s="1651">
        <v>0</v>
      </c>
      <c r="M330" s="1645">
        <v>0</v>
      </c>
      <c r="N330" s="1645"/>
      <c r="O330" s="1645">
        <v>0</v>
      </c>
      <c r="P330" s="1649"/>
      <c r="Q330" s="1645"/>
      <c r="R330" s="1644"/>
      <c r="S330" s="1644"/>
      <c r="T330" s="1644"/>
      <c r="U330" s="1644"/>
      <c r="V330" s="1644"/>
      <c r="W330" s="1644"/>
      <c r="X330" s="1644"/>
      <c r="Y330" s="1644"/>
      <c r="Z330" s="1647"/>
      <c r="AA330" s="1650">
        <f t="shared" ca="1" si="20"/>
        <v>5.833333333333333</v>
      </c>
      <c r="AB330" s="2444" t="s">
        <v>3629</v>
      </c>
      <c r="AC330" s="2445"/>
      <c r="AD330" s="2438"/>
    </row>
    <row r="331" spans="1:30" ht="15.75" hidden="1" customHeight="1">
      <c r="A331" s="1644">
        <f t="shared" si="10"/>
        <v>0</v>
      </c>
      <c r="B331" s="1645" t="s">
        <v>4323</v>
      </c>
      <c r="C331" s="1645" t="s">
        <v>4324</v>
      </c>
      <c r="D331" s="1645" t="s">
        <v>4274</v>
      </c>
      <c r="E331" s="1644" t="s">
        <v>2798</v>
      </c>
      <c r="F331" s="1645">
        <f t="shared" si="19"/>
        <v>1974</v>
      </c>
      <c r="G331" s="1647">
        <v>27353</v>
      </c>
      <c r="H331" s="1644" t="s">
        <v>3642</v>
      </c>
      <c r="I331" s="1648" t="s">
        <v>3629</v>
      </c>
      <c r="J331" s="1645" t="s">
        <v>37</v>
      </c>
      <c r="K331" s="1645">
        <v>0</v>
      </c>
      <c r="L331" s="1645" t="s">
        <v>3268</v>
      </c>
      <c r="M331" s="1645" t="s">
        <v>4325</v>
      </c>
      <c r="N331" s="1645"/>
      <c r="O331" s="1645" t="s">
        <v>3645</v>
      </c>
      <c r="P331" s="1649"/>
      <c r="Q331" s="1645"/>
      <c r="R331" s="1644"/>
      <c r="S331" s="1644"/>
      <c r="T331" s="1644"/>
      <c r="U331" s="1644"/>
      <c r="V331" s="1644"/>
      <c r="W331" s="1650" t="s">
        <v>3653</v>
      </c>
      <c r="X331" s="1644"/>
      <c r="Y331" s="1647">
        <v>37334</v>
      </c>
      <c r="Z331" s="1647">
        <v>37699</v>
      </c>
      <c r="AA331" s="1650">
        <f t="shared" ca="1" si="20"/>
        <v>5.083333333333333</v>
      </c>
      <c r="AB331" s="2444" t="s">
        <v>3629</v>
      </c>
      <c r="AC331" s="2445"/>
      <c r="AD331" s="2438"/>
    </row>
    <row r="332" spans="1:30" ht="15.75" hidden="1" customHeight="1">
      <c r="A332" s="1644">
        <f t="shared" si="10"/>
        <v>0</v>
      </c>
      <c r="B332" s="1645" t="s">
        <v>4326</v>
      </c>
      <c r="C332" s="1645" t="s">
        <v>4324</v>
      </c>
      <c r="D332" s="1645" t="s">
        <v>4274</v>
      </c>
      <c r="E332" s="1646" t="s">
        <v>2798</v>
      </c>
      <c r="F332" s="1645">
        <f t="shared" si="19"/>
        <v>1990</v>
      </c>
      <c r="G332" s="1647">
        <v>33138</v>
      </c>
      <c r="H332" s="1644" t="s">
        <v>3642</v>
      </c>
      <c r="I332" s="1648" t="s">
        <v>3629</v>
      </c>
      <c r="J332" s="1645" t="s">
        <v>201</v>
      </c>
      <c r="K332" s="1645">
        <v>0</v>
      </c>
      <c r="L332" s="1645" t="s">
        <v>4327</v>
      </c>
      <c r="M332" s="1645">
        <v>0</v>
      </c>
      <c r="N332" s="1645"/>
      <c r="O332" s="1645" t="s">
        <v>3645</v>
      </c>
      <c r="P332" s="1649"/>
      <c r="Q332" s="1645"/>
      <c r="R332" s="1647" t="s">
        <v>3667</v>
      </c>
      <c r="S332" s="1644"/>
      <c r="T332" s="1644"/>
      <c r="U332" s="1644"/>
      <c r="V332" s="1644" t="s">
        <v>3649</v>
      </c>
      <c r="W332" s="1644">
        <v>0</v>
      </c>
      <c r="X332" s="1644"/>
      <c r="Y332" s="1647"/>
      <c r="Z332" s="1647"/>
      <c r="AA332" s="1650">
        <f t="shared" ca="1" si="20"/>
        <v>20.916666666666668</v>
      </c>
      <c r="AB332" s="2444" t="s">
        <v>3629</v>
      </c>
      <c r="AC332" s="2445"/>
      <c r="AD332" s="2438"/>
    </row>
    <row r="333" spans="1:30" ht="15.75" hidden="1" customHeight="1">
      <c r="A333" s="1644">
        <f t="shared" si="10"/>
        <v>0</v>
      </c>
      <c r="B333" s="1645" t="s">
        <v>4328</v>
      </c>
      <c r="C333" s="1645" t="s">
        <v>4324</v>
      </c>
      <c r="D333" s="1645" t="s">
        <v>4274</v>
      </c>
      <c r="E333" s="1646" t="s">
        <v>2797</v>
      </c>
      <c r="F333" s="1645">
        <f t="shared" si="19"/>
        <v>1974</v>
      </c>
      <c r="G333" s="1647">
        <v>27303</v>
      </c>
      <c r="H333" s="1644" t="s">
        <v>4139</v>
      </c>
      <c r="I333" s="1648" t="s">
        <v>3629</v>
      </c>
      <c r="J333" s="1645" t="s">
        <v>37</v>
      </c>
      <c r="K333" s="1645">
        <v>0</v>
      </c>
      <c r="L333" s="1645" t="s">
        <v>4329</v>
      </c>
      <c r="M333" s="1645" t="s">
        <v>506</v>
      </c>
      <c r="N333" s="1645"/>
      <c r="O333" s="1645" t="s">
        <v>3645</v>
      </c>
      <c r="P333" s="1649"/>
      <c r="Q333" s="1645"/>
      <c r="R333" s="1644" t="s">
        <v>4330</v>
      </c>
      <c r="S333" s="1644" t="s">
        <v>4331</v>
      </c>
      <c r="T333" s="1644"/>
      <c r="U333" s="1644"/>
      <c r="V333" s="1644" t="s">
        <v>4141</v>
      </c>
      <c r="W333" s="1644">
        <v>0</v>
      </c>
      <c r="X333" s="1644" t="s">
        <v>3633</v>
      </c>
      <c r="Y333" s="1647">
        <v>37235</v>
      </c>
      <c r="Z333" s="1647">
        <v>37600</v>
      </c>
      <c r="AA333" s="1650">
        <f t="shared" ca="1" si="20"/>
        <v>9.9166666666666661</v>
      </c>
      <c r="AB333" s="2444" t="s">
        <v>3629</v>
      </c>
      <c r="AC333" s="2445"/>
      <c r="AD333" s="2438"/>
    </row>
    <row r="334" spans="1:30" ht="15.75" hidden="1" customHeight="1">
      <c r="A334" s="1644">
        <f t="shared" si="10"/>
        <v>0</v>
      </c>
      <c r="B334" s="1645" t="s">
        <v>4332</v>
      </c>
      <c r="C334" s="1645" t="s">
        <v>4324</v>
      </c>
      <c r="D334" s="1645" t="s">
        <v>4274</v>
      </c>
      <c r="E334" s="1644" t="s">
        <v>2797</v>
      </c>
      <c r="F334" s="1645">
        <f t="shared" si="19"/>
        <v>1976</v>
      </c>
      <c r="G334" s="1647">
        <v>27942</v>
      </c>
      <c r="H334" s="1644" t="s">
        <v>3648</v>
      </c>
      <c r="I334" s="1648" t="s">
        <v>3629</v>
      </c>
      <c r="J334" s="1645" t="s">
        <v>201</v>
      </c>
      <c r="K334" s="1645">
        <v>0</v>
      </c>
      <c r="L334" s="1645" t="s">
        <v>3681</v>
      </c>
      <c r="M334" s="1645">
        <v>0</v>
      </c>
      <c r="N334" s="1645"/>
      <c r="O334" s="1645" t="s">
        <v>3645</v>
      </c>
      <c r="P334" s="1649"/>
      <c r="Q334" s="1645"/>
      <c r="R334" s="1644"/>
      <c r="S334" s="1644"/>
      <c r="T334" s="1644"/>
      <c r="U334" s="1644"/>
      <c r="V334" s="1644"/>
      <c r="W334" s="1650" t="s">
        <v>3653</v>
      </c>
      <c r="X334" s="1644"/>
      <c r="Y334" s="1647">
        <v>39792</v>
      </c>
      <c r="Z334" s="1647">
        <v>40157</v>
      </c>
      <c r="AA334" s="1650">
        <f t="shared" ca="1" si="20"/>
        <v>11.666666666666666</v>
      </c>
      <c r="AB334" s="2444" t="s">
        <v>3629</v>
      </c>
      <c r="AC334" s="2445"/>
      <c r="AD334" s="2438"/>
    </row>
    <row r="335" spans="1:30" ht="15.75" hidden="1" customHeight="1">
      <c r="A335" s="1644">
        <f t="shared" si="10"/>
        <v>0</v>
      </c>
      <c r="B335" s="1645" t="s">
        <v>4333</v>
      </c>
      <c r="C335" s="1645" t="s">
        <v>4324</v>
      </c>
      <c r="D335" s="1645" t="s">
        <v>4274</v>
      </c>
      <c r="E335" s="1644" t="s">
        <v>2797</v>
      </c>
      <c r="F335" s="1645">
        <f t="shared" si="19"/>
        <v>1971</v>
      </c>
      <c r="G335" s="1647">
        <v>26178</v>
      </c>
      <c r="H335" s="1644" t="s">
        <v>3642</v>
      </c>
      <c r="I335" s="1648" t="s">
        <v>3629</v>
      </c>
      <c r="J335" s="1645" t="s">
        <v>201</v>
      </c>
      <c r="K335" s="1645">
        <v>0</v>
      </c>
      <c r="L335" s="1645" t="s">
        <v>3681</v>
      </c>
      <c r="M335" s="1645">
        <v>0</v>
      </c>
      <c r="N335" s="1645"/>
      <c r="O335" s="1645" t="s">
        <v>3645</v>
      </c>
      <c r="P335" s="1649"/>
      <c r="Q335" s="1645"/>
      <c r="R335" s="1647" t="s">
        <v>3898</v>
      </c>
      <c r="S335" s="1644"/>
      <c r="T335" s="1644"/>
      <c r="U335" s="1644"/>
      <c r="V335" s="1644"/>
      <c r="W335" s="1644" t="s">
        <v>3658</v>
      </c>
      <c r="X335" s="1644" t="s">
        <v>3707</v>
      </c>
      <c r="Y335" s="1647">
        <v>39041</v>
      </c>
      <c r="Z335" s="1647">
        <v>39406</v>
      </c>
      <c r="AA335" s="1650">
        <f t="shared" ca="1" si="20"/>
        <v>6.833333333333333</v>
      </c>
      <c r="AB335" s="2444" t="s">
        <v>3629</v>
      </c>
      <c r="AC335" s="2445"/>
      <c r="AD335" s="2438"/>
    </row>
    <row r="336" spans="1:30" ht="15.75" hidden="1" customHeight="1">
      <c r="A336" s="1644">
        <f t="shared" si="10"/>
        <v>0</v>
      </c>
      <c r="B336" s="1645" t="s">
        <v>4334</v>
      </c>
      <c r="C336" s="1645" t="s">
        <v>4324</v>
      </c>
      <c r="D336" s="1645" t="s">
        <v>4335</v>
      </c>
      <c r="E336" s="1644" t="s">
        <v>2798</v>
      </c>
      <c r="F336" s="1645">
        <f t="shared" si="19"/>
        <v>1985</v>
      </c>
      <c r="G336" s="1647">
        <v>31168</v>
      </c>
      <c r="H336" s="1644" t="s">
        <v>4232</v>
      </c>
      <c r="I336" s="1648" t="s">
        <v>3629</v>
      </c>
      <c r="J336" s="1645" t="s">
        <v>201</v>
      </c>
      <c r="K336" s="1645">
        <v>0</v>
      </c>
      <c r="L336" s="1645" t="s">
        <v>4174</v>
      </c>
      <c r="M336" s="1645">
        <v>0</v>
      </c>
      <c r="N336" s="1645"/>
      <c r="O336" s="1645" t="s">
        <v>3645</v>
      </c>
      <c r="P336" s="1649"/>
      <c r="Q336" s="1645"/>
      <c r="R336" s="1644"/>
      <c r="S336" s="1644"/>
      <c r="T336" s="1644"/>
      <c r="U336" s="1644"/>
      <c r="V336" s="1644"/>
      <c r="W336" s="1644" t="s">
        <v>936</v>
      </c>
      <c r="X336" s="1644"/>
      <c r="Y336" s="1647"/>
      <c r="Z336" s="1647"/>
      <c r="AA336" s="1650">
        <f t="shared" ca="1" si="20"/>
        <v>15.5</v>
      </c>
      <c r="AB336" s="2444" t="s">
        <v>3629</v>
      </c>
      <c r="AC336" s="2445"/>
      <c r="AD336" s="2438"/>
    </row>
    <row r="337" spans="1:30" ht="15.75" hidden="1" customHeight="1">
      <c r="A337" s="1644">
        <f t="shared" si="10"/>
        <v>0</v>
      </c>
      <c r="B337" s="1645" t="s">
        <v>4336</v>
      </c>
      <c r="C337" s="1645" t="s">
        <v>4324</v>
      </c>
      <c r="D337" s="1645" t="s">
        <v>4335</v>
      </c>
      <c r="E337" s="1646" t="s">
        <v>2798</v>
      </c>
      <c r="F337" s="1645">
        <f t="shared" si="19"/>
        <v>1979</v>
      </c>
      <c r="G337" s="1647">
        <v>28856</v>
      </c>
      <c r="H337" s="1644" t="s">
        <v>3642</v>
      </c>
      <c r="I337" s="1648" t="s">
        <v>3629</v>
      </c>
      <c r="J337" s="1645" t="s">
        <v>37</v>
      </c>
      <c r="K337" s="1645">
        <v>0</v>
      </c>
      <c r="L337" s="1645" t="s">
        <v>4337</v>
      </c>
      <c r="M337" s="1645">
        <v>0</v>
      </c>
      <c r="N337" s="1645"/>
      <c r="O337" s="1645" t="s">
        <v>3645</v>
      </c>
      <c r="P337" s="1649"/>
      <c r="Q337" s="1645"/>
      <c r="R337" s="1644"/>
      <c r="S337" s="1644"/>
      <c r="T337" s="1644"/>
      <c r="U337" s="1644"/>
      <c r="V337" s="1644"/>
      <c r="W337" s="1650" t="s">
        <v>3653</v>
      </c>
      <c r="X337" s="1644" t="s">
        <v>3707</v>
      </c>
      <c r="Y337" s="1647">
        <v>42335</v>
      </c>
      <c r="Z337" s="1647">
        <v>42701</v>
      </c>
      <c r="AA337" s="1650">
        <f t="shared" ca="1" si="20"/>
        <v>9.1666666666666661</v>
      </c>
      <c r="AB337" s="2444" t="s">
        <v>3629</v>
      </c>
      <c r="AC337" s="2445"/>
      <c r="AD337" s="2438"/>
    </row>
    <row r="338" spans="1:30" ht="15.75" hidden="1" customHeight="1">
      <c r="A338" s="1644">
        <f t="shared" si="10"/>
        <v>0</v>
      </c>
      <c r="B338" s="1645" t="s">
        <v>4338</v>
      </c>
      <c r="C338" s="1645" t="s">
        <v>4324</v>
      </c>
      <c r="D338" s="1645" t="s">
        <v>4335</v>
      </c>
      <c r="E338" s="1644" t="s">
        <v>2798</v>
      </c>
      <c r="F338" s="1645">
        <f t="shared" si="19"/>
        <v>1977</v>
      </c>
      <c r="G338" s="1647">
        <v>28463</v>
      </c>
      <c r="H338" s="1644" t="s">
        <v>4232</v>
      </c>
      <c r="I338" s="1648" t="s">
        <v>3629</v>
      </c>
      <c r="J338" s="1645" t="s">
        <v>201</v>
      </c>
      <c r="K338" s="1645">
        <v>0</v>
      </c>
      <c r="L338" s="1645" t="s">
        <v>3681</v>
      </c>
      <c r="M338" s="1645">
        <v>0</v>
      </c>
      <c r="N338" s="1645"/>
      <c r="O338" s="1645" t="s">
        <v>3645</v>
      </c>
      <c r="P338" s="1649"/>
      <c r="Q338" s="1645"/>
      <c r="R338" s="1644"/>
      <c r="S338" s="1644"/>
      <c r="T338" s="1644"/>
      <c r="U338" s="1644"/>
      <c r="V338" s="1644"/>
      <c r="W338" s="1644">
        <v>0</v>
      </c>
      <c r="X338" s="1644"/>
      <c r="Y338" s="1647">
        <v>39183</v>
      </c>
      <c r="Z338" s="1647">
        <v>39549</v>
      </c>
      <c r="AA338" s="1650">
        <f t="shared" ca="1" si="20"/>
        <v>8.1666666666666661</v>
      </c>
      <c r="AB338" s="2444" t="s">
        <v>3629</v>
      </c>
      <c r="AC338" s="2445"/>
      <c r="AD338" s="2438"/>
    </row>
    <row r="339" spans="1:30" ht="15.75" hidden="1" customHeight="1">
      <c r="A339" s="1644">
        <f t="shared" si="10"/>
        <v>0</v>
      </c>
      <c r="B339" s="1645" t="s">
        <v>4339</v>
      </c>
      <c r="C339" s="1645" t="s">
        <v>4324</v>
      </c>
      <c r="D339" s="1645" t="s">
        <v>4335</v>
      </c>
      <c r="E339" s="1646" t="s">
        <v>2798</v>
      </c>
      <c r="F339" s="1645">
        <f t="shared" si="19"/>
        <v>1983</v>
      </c>
      <c r="G339" s="1647">
        <v>30629</v>
      </c>
      <c r="H339" s="1644" t="s">
        <v>3642</v>
      </c>
      <c r="I339" s="1648" t="s">
        <v>3629</v>
      </c>
      <c r="J339" s="1645" t="s">
        <v>201</v>
      </c>
      <c r="K339" s="1645">
        <v>0</v>
      </c>
      <c r="L339" s="1645" t="s">
        <v>4340</v>
      </c>
      <c r="M339" s="1645">
        <v>0</v>
      </c>
      <c r="N339" s="1645"/>
      <c r="O339" s="1645" t="s">
        <v>3645</v>
      </c>
      <c r="P339" s="1649"/>
      <c r="Q339" s="1645"/>
      <c r="R339" s="1644"/>
      <c r="S339" s="1644"/>
      <c r="T339" s="1644"/>
      <c r="U339" s="1644"/>
      <c r="V339" s="1644"/>
      <c r="W339" s="1644" t="s">
        <v>3968</v>
      </c>
      <c r="X339" s="1644"/>
      <c r="Y339" s="1647"/>
      <c r="Z339" s="1647"/>
      <c r="AA339" s="1650">
        <f t="shared" ca="1" si="20"/>
        <v>14.083333333333334</v>
      </c>
      <c r="AB339" s="2444" t="s">
        <v>3629</v>
      </c>
      <c r="AC339" s="2445"/>
      <c r="AD339" s="2438"/>
    </row>
    <row r="340" spans="1:30" ht="15.75" hidden="1" customHeight="1">
      <c r="A340" s="1644">
        <f t="shared" si="10"/>
        <v>0</v>
      </c>
      <c r="B340" s="1645" t="s">
        <v>4341</v>
      </c>
      <c r="C340" s="1645" t="s">
        <v>4324</v>
      </c>
      <c r="D340" s="1645" t="s">
        <v>4335</v>
      </c>
      <c r="E340" s="1646" t="s">
        <v>2798</v>
      </c>
      <c r="F340" s="1645">
        <f t="shared" si="19"/>
        <v>1986</v>
      </c>
      <c r="G340" s="1647">
        <v>31423</v>
      </c>
      <c r="H340" s="1644" t="s">
        <v>4232</v>
      </c>
      <c r="I340" s="1648" t="s">
        <v>3629</v>
      </c>
      <c r="J340" s="1645" t="s">
        <v>201</v>
      </c>
      <c r="K340" s="1645">
        <v>0</v>
      </c>
      <c r="L340" s="1645" t="s">
        <v>4174</v>
      </c>
      <c r="M340" s="1645">
        <v>0</v>
      </c>
      <c r="N340" s="1645"/>
      <c r="O340" s="1645" t="s">
        <v>3645</v>
      </c>
      <c r="P340" s="1649"/>
      <c r="Q340" s="1645"/>
      <c r="R340" s="1644"/>
      <c r="S340" s="1644"/>
      <c r="T340" s="1644"/>
      <c r="U340" s="1644"/>
      <c r="V340" s="1644"/>
      <c r="W340" s="1650" t="s">
        <v>3646</v>
      </c>
      <c r="X340" s="1644"/>
      <c r="Y340" s="1647"/>
      <c r="Z340" s="1647"/>
      <c r="AA340" s="1650">
        <f t="shared" ca="1" si="20"/>
        <v>16.25</v>
      </c>
      <c r="AB340" s="2444" t="s">
        <v>3629</v>
      </c>
      <c r="AC340" s="2445"/>
      <c r="AD340" s="2438"/>
    </row>
    <row r="341" spans="1:30" ht="15.75" hidden="1" customHeight="1">
      <c r="A341" s="1644">
        <f t="shared" si="10"/>
        <v>0</v>
      </c>
      <c r="B341" s="1645" t="s">
        <v>4342</v>
      </c>
      <c r="C341" s="1645" t="s">
        <v>4324</v>
      </c>
      <c r="D341" s="1645" t="s">
        <v>4335</v>
      </c>
      <c r="E341" s="1646" t="s">
        <v>2798</v>
      </c>
      <c r="F341" s="1645">
        <f t="shared" si="19"/>
        <v>1978</v>
      </c>
      <c r="G341" s="1647">
        <v>28583</v>
      </c>
      <c r="H341" s="1644" t="s">
        <v>3642</v>
      </c>
      <c r="I341" s="1648" t="s">
        <v>3629</v>
      </c>
      <c r="J341" s="1645" t="s">
        <v>201</v>
      </c>
      <c r="K341" s="1645">
        <v>0</v>
      </c>
      <c r="L341" s="1645" t="s">
        <v>4343</v>
      </c>
      <c r="M341" s="1645">
        <v>0</v>
      </c>
      <c r="N341" s="1645"/>
      <c r="O341" s="1645" t="s">
        <v>3645</v>
      </c>
      <c r="P341" s="1649"/>
      <c r="Q341" s="1645"/>
      <c r="R341" s="1644"/>
      <c r="S341" s="1644"/>
      <c r="T341" s="1644"/>
      <c r="U341" s="1644"/>
      <c r="V341" s="1644"/>
      <c r="W341" s="1650" t="s">
        <v>3646</v>
      </c>
      <c r="X341" s="1644"/>
      <c r="Y341" s="1647"/>
      <c r="Z341" s="1647"/>
      <c r="AA341" s="1650">
        <f t="shared" ca="1" si="20"/>
        <v>8.5</v>
      </c>
      <c r="AB341" s="2444" t="s">
        <v>3629</v>
      </c>
      <c r="AC341" s="2445"/>
      <c r="AD341" s="2438"/>
    </row>
    <row r="342" spans="1:30" ht="15.75" hidden="1" customHeight="1">
      <c r="A342" s="1644">
        <f t="shared" si="10"/>
        <v>0</v>
      </c>
      <c r="B342" s="1645" t="s">
        <v>4344</v>
      </c>
      <c r="C342" s="1645" t="s">
        <v>4324</v>
      </c>
      <c r="D342" s="1645" t="s">
        <v>4335</v>
      </c>
      <c r="E342" s="1646" t="s">
        <v>2798</v>
      </c>
      <c r="F342" s="1645">
        <f t="shared" si="19"/>
        <v>1981</v>
      </c>
      <c r="G342" s="1647">
        <v>29736</v>
      </c>
      <c r="H342" s="1644" t="s">
        <v>4232</v>
      </c>
      <c r="I342" s="1648" t="s">
        <v>3629</v>
      </c>
      <c r="J342" s="1645" t="s">
        <v>201</v>
      </c>
      <c r="K342" s="1645">
        <v>0</v>
      </c>
      <c r="L342" s="1645" t="s">
        <v>3681</v>
      </c>
      <c r="M342" s="1645">
        <v>0</v>
      </c>
      <c r="N342" s="1645"/>
      <c r="O342" s="1645" t="s">
        <v>3645</v>
      </c>
      <c r="P342" s="1649"/>
      <c r="Q342" s="1645"/>
      <c r="R342" s="1644"/>
      <c r="S342" s="1644"/>
      <c r="T342" s="1644"/>
      <c r="U342" s="1644"/>
      <c r="V342" s="1644"/>
      <c r="W342" s="1644" t="s">
        <v>3968</v>
      </c>
      <c r="X342" s="1644"/>
      <c r="Y342" s="1647"/>
      <c r="Z342" s="1647"/>
      <c r="AA342" s="1650">
        <f t="shared" ca="1" si="20"/>
        <v>11.583333333333334</v>
      </c>
      <c r="AB342" s="2444" t="s">
        <v>3629</v>
      </c>
      <c r="AC342" s="2445"/>
      <c r="AD342" s="2438"/>
    </row>
    <row r="343" spans="1:30" ht="15.75" hidden="1" customHeight="1">
      <c r="A343" s="1644">
        <f t="shared" si="10"/>
        <v>0</v>
      </c>
      <c r="B343" s="1645" t="s">
        <v>4345</v>
      </c>
      <c r="C343" s="1645" t="s">
        <v>4324</v>
      </c>
      <c r="D343" s="1645" t="s">
        <v>4346</v>
      </c>
      <c r="E343" s="1646" t="s">
        <v>2798</v>
      </c>
      <c r="F343" s="1645">
        <f t="shared" si="19"/>
        <v>1985</v>
      </c>
      <c r="G343" s="1647">
        <v>31323</v>
      </c>
      <c r="H343" s="1644" t="s">
        <v>4232</v>
      </c>
      <c r="I343" s="1648" t="s">
        <v>3629</v>
      </c>
      <c r="J343" s="1645" t="s">
        <v>201</v>
      </c>
      <c r="K343" s="1645">
        <v>0</v>
      </c>
      <c r="L343" s="1645" t="s">
        <v>3681</v>
      </c>
      <c r="M343" s="1645">
        <v>0</v>
      </c>
      <c r="N343" s="1645"/>
      <c r="O343" s="1645">
        <v>0</v>
      </c>
      <c r="P343" s="1649"/>
      <c r="Q343" s="1645"/>
      <c r="R343" s="1644"/>
      <c r="S343" s="1644"/>
      <c r="T343" s="1644"/>
      <c r="U343" s="1644"/>
      <c r="V343" s="1644"/>
      <c r="W343" s="1644">
        <v>0</v>
      </c>
      <c r="X343" s="1644"/>
      <c r="Y343" s="1647"/>
      <c r="Z343" s="1647"/>
      <c r="AA343" s="1650">
        <f t="shared" ca="1" si="20"/>
        <v>16</v>
      </c>
      <c r="AB343" s="2444" t="s">
        <v>3629</v>
      </c>
      <c r="AC343" s="2445"/>
      <c r="AD343" s="2438"/>
    </row>
    <row r="344" spans="1:30" ht="15.75" hidden="1" customHeight="1">
      <c r="A344" s="1644">
        <f t="shared" si="10"/>
        <v>0</v>
      </c>
      <c r="B344" s="1645" t="s">
        <v>4347</v>
      </c>
      <c r="C344" s="1645" t="s">
        <v>4324</v>
      </c>
      <c r="D344" s="1645" t="s">
        <v>4346</v>
      </c>
      <c r="E344" s="1646" t="s">
        <v>2798</v>
      </c>
      <c r="F344" s="1645">
        <f t="shared" si="19"/>
        <v>1986</v>
      </c>
      <c r="G344" s="1647">
        <v>31498</v>
      </c>
      <c r="H344" s="1644" t="s">
        <v>4232</v>
      </c>
      <c r="I344" s="1648" t="s">
        <v>3629</v>
      </c>
      <c r="J344" s="1645" t="s">
        <v>201</v>
      </c>
      <c r="K344" s="1645">
        <v>0</v>
      </c>
      <c r="L344" s="1645" t="s">
        <v>3681</v>
      </c>
      <c r="M344" s="1645">
        <v>0</v>
      </c>
      <c r="N344" s="1645"/>
      <c r="O344" s="1645" t="s">
        <v>3645</v>
      </c>
      <c r="P344" s="1649"/>
      <c r="Q344" s="1645"/>
      <c r="R344" s="1644"/>
      <c r="S344" s="1644"/>
      <c r="T344" s="1644"/>
      <c r="U344" s="1644"/>
      <c r="V344" s="1644"/>
      <c r="W344" s="1650" t="s">
        <v>3646</v>
      </c>
      <c r="X344" s="1644"/>
      <c r="Y344" s="1647"/>
      <c r="Z344" s="1647"/>
      <c r="AA344" s="1650">
        <f t="shared" ca="1" si="20"/>
        <v>16.416666666666668</v>
      </c>
      <c r="AB344" s="2444" t="s">
        <v>3629</v>
      </c>
      <c r="AC344" s="2445"/>
      <c r="AD344" s="2438"/>
    </row>
    <row r="345" spans="1:30" ht="15.75" hidden="1" customHeight="1">
      <c r="A345" s="1644">
        <f t="shared" si="10"/>
        <v>0</v>
      </c>
      <c r="B345" s="1645" t="s">
        <v>4348</v>
      </c>
      <c r="C345" s="1645" t="s">
        <v>4324</v>
      </c>
      <c r="D345" s="1645" t="s">
        <v>4346</v>
      </c>
      <c r="E345" s="1646" t="s">
        <v>2798</v>
      </c>
      <c r="F345" s="1645">
        <f t="shared" si="19"/>
        <v>1970</v>
      </c>
      <c r="G345" s="1647">
        <v>25633</v>
      </c>
      <c r="H345" s="1644" t="s">
        <v>3642</v>
      </c>
      <c r="I345" s="1648" t="s">
        <v>3629</v>
      </c>
      <c r="J345" s="1645" t="s">
        <v>201</v>
      </c>
      <c r="K345" s="1645">
        <v>0</v>
      </c>
      <c r="L345" s="1645" t="s">
        <v>4349</v>
      </c>
      <c r="M345" s="1645">
        <v>0</v>
      </c>
      <c r="N345" s="1645"/>
      <c r="O345" s="1645" t="s">
        <v>3645</v>
      </c>
      <c r="P345" s="1649"/>
      <c r="Q345" s="1645"/>
      <c r="R345" s="1644"/>
      <c r="S345" s="1644"/>
      <c r="T345" s="1644"/>
      <c r="U345" s="1644"/>
      <c r="V345" s="1644"/>
      <c r="W345" s="1644" t="s">
        <v>3939</v>
      </c>
      <c r="X345" s="1644"/>
      <c r="Y345" s="1647">
        <v>41333</v>
      </c>
      <c r="Z345" s="1647">
        <v>41698</v>
      </c>
      <c r="AA345" s="1650">
        <f t="shared" ca="1" si="20"/>
        <v>0.41666666666666669</v>
      </c>
      <c r="AB345" s="2444" t="s">
        <v>3629</v>
      </c>
      <c r="AC345" s="2445"/>
      <c r="AD345" s="2438"/>
    </row>
    <row r="346" spans="1:30" ht="15.75" hidden="1" customHeight="1">
      <c r="A346" s="1644">
        <f t="shared" si="10"/>
        <v>0</v>
      </c>
      <c r="B346" s="1645" t="s">
        <v>4350</v>
      </c>
      <c r="C346" s="1645" t="s">
        <v>4324</v>
      </c>
      <c r="D346" s="1645" t="s">
        <v>4346</v>
      </c>
      <c r="E346" s="1646" t="s">
        <v>2798</v>
      </c>
      <c r="F346" s="1645">
        <f t="shared" si="19"/>
        <v>1978</v>
      </c>
      <c r="G346" s="1647">
        <v>28773</v>
      </c>
      <c r="H346" s="1644" t="s">
        <v>3642</v>
      </c>
      <c r="I346" s="1648" t="s">
        <v>3629</v>
      </c>
      <c r="J346" s="1645" t="s">
        <v>201</v>
      </c>
      <c r="K346" s="1645">
        <v>0</v>
      </c>
      <c r="L346" s="1645" t="s">
        <v>4057</v>
      </c>
      <c r="M346" s="1645">
        <v>0</v>
      </c>
      <c r="N346" s="1645"/>
      <c r="O346" s="1645" t="s">
        <v>3645</v>
      </c>
      <c r="P346" s="1649"/>
      <c r="Q346" s="1645"/>
      <c r="R346" s="1644"/>
      <c r="S346" s="1644"/>
      <c r="T346" s="1644"/>
      <c r="U346" s="1644"/>
      <c r="V346" s="1644"/>
      <c r="W346" s="1644" t="s">
        <v>3679</v>
      </c>
      <c r="X346" s="1644"/>
      <c r="Y346" s="1647">
        <v>42663</v>
      </c>
      <c r="Z346" s="1647">
        <v>43028</v>
      </c>
      <c r="AA346" s="1650">
        <f t="shared" ca="1" si="20"/>
        <v>9</v>
      </c>
      <c r="AB346" s="2444" t="s">
        <v>3629</v>
      </c>
      <c r="AC346" s="2445"/>
      <c r="AD346" s="2438"/>
    </row>
    <row r="347" spans="1:30" ht="15.75" hidden="1" customHeight="1">
      <c r="A347" s="1644">
        <f t="shared" si="10"/>
        <v>0</v>
      </c>
      <c r="B347" s="1645" t="s">
        <v>4351</v>
      </c>
      <c r="C347" s="1645" t="s">
        <v>4324</v>
      </c>
      <c r="D347" s="1645" t="s">
        <v>4352</v>
      </c>
      <c r="E347" s="1646" t="s">
        <v>2798</v>
      </c>
      <c r="F347" s="1645">
        <f t="shared" si="19"/>
        <v>1986</v>
      </c>
      <c r="G347" s="1647">
        <v>31683</v>
      </c>
      <c r="H347" s="1644" t="s">
        <v>4232</v>
      </c>
      <c r="I347" s="1648" t="s">
        <v>3629</v>
      </c>
      <c r="J347" s="1645" t="s">
        <v>201</v>
      </c>
      <c r="K347" s="1645">
        <v>0</v>
      </c>
      <c r="L347" s="1645" t="s">
        <v>4174</v>
      </c>
      <c r="M347" s="1645">
        <v>0</v>
      </c>
      <c r="N347" s="1645"/>
      <c r="O347" s="1645" t="s">
        <v>3645</v>
      </c>
      <c r="P347" s="1649"/>
      <c r="Q347" s="1645"/>
      <c r="R347" s="1647" t="s">
        <v>3898</v>
      </c>
      <c r="S347" s="1644"/>
      <c r="T347" s="1644"/>
      <c r="U347" s="1644"/>
      <c r="V347" s="1644"/>
      <c r="W347" s="1650" t="s">
        <v>3646</v>
      </c>
      <c r="X347" s="1644"/>
      <c r="Y347" s="1647">
        <v>42509</v>
      </c>
      <c r="Z347" s="1647">
        <v>42874</v>
      </c>
      <c r="AA347" s="1650">
        <f t="shared" ca="1" si="20"/>
        <v>16.916666666666668</v>
      </c>
      <c r="AB347" s="2444" t="s">
        <v>3629</v>
      </c>
      <c r="AC347" s="2445"/>
      <c r="AD347" s="2438"/>
    </row>
    <row r="348" spans="1:30" ht="15.75" hidden="1" customHeight="1">
      <c r="A348" s="1644">
        <f t="shared" si="10"/>
        <v>0</v>
      </c>
      <c r="B348" s="1645" t="s">
        <v>4353</v>
      </c>
      <c r="C348" s="1645" t="s">
        <v>4324</v>
      </c>
      <c r="D348" s="1645" t="s">
        <v>4352</v>
      </c>
      <c r="E348" s="1644" t="s">
        <v>2798</v>
      </c>
      <c r="F348" s="1645">
        <f t="shared" si="19"/>
        <v>1980</v>
      </c>
      <c r="G348" s="1647">
        <v>29385</v>
      </c>
      <c r="H348" s="1644" t="s">
        <v>3642</v>
      </c>
      <c r="I348" s="1648" t="s">
        <v>3629</v>
      </c>
      <c r="J348" s="1645" t="s">
        <v>201</v>
      </c>
      <c r="K348" s="1645">
        <v>0</v>
      </c>
      <c r="L348" s="1645" t="s">
        <v>3794</v>
      </c>
      <c r="M348" s="1645">
        <v>0</v>
      </c>
      <c r="N348" s="1645"/>
      <c r="O348" s="1645" t="s">
        <v>3645</v>
      </c>
      <c r="P348" s="1649"/>
      <c r="Q348" s="1645"/>
      <c r="R348" s="1644"/>
      <c r="S348" s="1644" t="s">
        <v>4068</v>
      </c>
      <c r="T348" s="1644"/>
      <c r="U348" s="1644"/>
      <c r="V348" s="1644"/>
      <c r="W348" s="1644">
        <v>0</v>
      </c>
      <c r="X348" s="1644"/>
      <c r="Y348" s="1647">
        <v>40724</v>
      </c>
      <c r="Z348" s="1647">
        <v>41090</v>
      </c>
      <c r="AA348" s="1650">
        <f t="shared" ca="1" si="20"/>
        <v>10.666666666666666</v>
      </c>
      <c r="AB348" s="2444" t="s">
        <v>3629</v>
      </c>
      <c r="AC348" s="2445"/>
      <c r="AD348" s="2438"/>
    </row>
    <row r="349" spans="1:30" ht="15.75" hidden="1" customHeight="1">
      <c r="A349" s="1644">
        <f t="shared" si="10"/>
        <v>0</v>
      </c>
      <c r="B349" s="1645" t="s">
        <v>4354</v>
      </c>
      <c r="C349" s="1645" t="s">
        <v>4324</v>
      </c>
      <c r="D349" s="1645"/>
      <c r="E349" s="1646" t="s">
        <v>2797</v>
      </c>
      <c r="F349" s="1645">
        <f t="shared" si="19"/>
        <v>1977</v>
      </c>
      <c r="G349" s="1647">
        <v>28370</v>
      </c>
      <c r="H349" s="1644" t="s">
        <v>3642</v>
      </c>
      <c r="I349" s="1648" t="s">
        <v>3629</v>
      </c>
      <c r="J349" s="1645" t="s">
        <v>37</v>
      </c>
      <c r="K349" s="1645">
        <v>0</v>
      </c>
      <c r="L349" s="1645" t="s">
        <v>3752</v>
      </c>
      <c r="M349" s="1645" t="s">
        <v>4355</v>
      </c>
      <c r="N349" s="1645"/>
      <c r="O349" s="1645" t="s">
        <v>3645</v>
      </c>
      <c r="P349" s="1649"/>
      <c r="Q349" s="1645"/>
      <c r="R349" s="1644"/>
      <c r="S349" s="1644" t="s">
        <v>3743</v>
      </c>
      <c r="T349" s="1644">
        <v>2018</v>
      </c>
      <c r="U349" s="1644"/>
      <c r="V349" s="1644"/>
      <c r="W349" s="1644" t="s">
        <v>3687</v>
      </c>
      <c r="X349" s="1644" t="s">
        <v>3633</v>
      </c>
      <c r="Y349" s="1647"/>
      <c r="Z349" s="1647" t="s">
        <v>936</v>
      </c>
      <c r="AA349" s="1650">
        <f t="shared" ca="1" si="20"/>
        <v>12.833333333333334</v>
      </c>
      <c r="AB349" s="2444" t="s">
        <v>3629</v>
      </c>
      <c r="AC349" s="2445"/>
      <c r="AD349" s="2438"/>
    </row>
    <row r="350" spans="1:30" ht="15.75" hidden="1" customHeight="1">
      <c r="A350" s="1644">
        <f t="shared" si="10"/>
        <v>0</v>
      </c>
      <c r="B350" s="1645" t="s">
        <v>4356</v>
      </c>
      <c r="C350" s="1645" t="s">
        <v>4324</v>
      </c>
      <c r="D350" s="1645"/>
      <c r="E350" s="1644" t="s">
        <v>2798</v>
      </c>
      <c r="F350" s="1645">
        <f t="shared" si="19"/>
        <v>1979</v>
      </c>
      <c r="G350" s="1647">
        <v>28928</v>
      </c>
      <c r="H350" s="1644" t="s">
        <v>4232</v>
      </c>
      <c r="I350" s="1648" t="s">
        <v>3629</v>
      </c>
      <c r="J350" s="1645" t="s">
        <v>201</v>
      </c>
      <c r="K350" s="1645">
        <v>0</v>
      </c>
      <c r="L350" s="1645" t="s">
        <v>3681</v>
      </c>
      <c r="M350" s="1645">
        <v>0</v>
      </c>
      <c r="N350" s="1645"/>
      <c r="O350" s="1645" t="s">
        <v>3645</v>
      </c>
      <c r="P350" s="1649"/>
      <c r="Q350" s="1645"/>
      <c r="R350" s="1644"/>
      <c r="S350" s="1644"/>
      <c r="T350" s="1644"/>
      <c r="U350" s="1644"/>
      <c r="V350" s="1644"/>
      <c r="W350" s="1644" t="s">
        <v>3687</v>
      </c>
      <c r="X350" s="1644"/>
      <c r="Y350" s="1647">
        <v>39575</v>
      </c>
      <c r="Z350" s="1647">
        <v>39940</v>
      </c>
      <c r="AA350" s="1650">
        <f t="shared" ca="1" si="20"/>
        <v>9.4166666666666661</v>
      </c>
      <c r="AB350" s="2444" t="s">
        <v>3629</v>
      </c>
      <c r="AC350" s="2445"/>
      <c r="AD350" s="2438"/>
    </row>
    <row r="351" spans="1:30" ht="15.75" hidden="1" customHeight="1">
      <c r="A351" s="1644">
        <f t="shared" si="10"/>
        <v>0</v>
      </c>
      <c r="B351" s="1645" t="s">
        <v>4357</v>
      </c>
      <c r="C351" s="1645" t="s">
        <v>4324</v>
      </c>
      <c r="D351" s="1645"/>
      <c r="E351" s="1646" t="s">
        <v>2798</v>
      </c>
      <c r="F351" s="1645">
        <f t="shared" si="19"/>
        <v>1977</v>
      </c>
      <c r="G351" s="1647">
        <v>28294</v>
      </c>
      <c r="H351" s="1644" t="s">
        <v>3642</v>
      </c>
      <c r="I351" s="1648" t="s">
        <v>3629</v>
      </c>
      <c r="J351" s="1645" t="s">
        <v>201</v>
      </c>
      <c r="K351" s="1645">
        <v>0</v>
      </c>
      <c r="L351" s="1645" t="s">
        <v>3752</v>
      </c>
      <c r="M351" s="1645">
        <v>0</v>
      </c>
      <c r="N351" s="1645"/>
      <c r="O351" s="1645" t="s">
        <v>3645</v>
      </c>
      <c r="P351" s="1649"/>
      <c r="Q351" s="1645"/>
      <c r="R351" s="1644"/>
      <c r="S351" s="1644"/>
      <c r="T351" s="1644"/>
      <c r="U351" s="1644"/>
      <c r="V351" s="1644"/>
      <c r="W351" s="1644" t="s">
        <v>936</v>
      </c>
      <c r="X351" s="1644"/>
      <c r="Y351" s="1647"/>
      <c r="Z351" s="1647"/>
      <c r="AA351" s="1650">
        <f t="shared" ca="1" si="20"/>
        <v>7.666666666666667</v>
      </c>
      <c r="AB351" s="2444" t="s">
        <v>3629</v>
      </c>
      <c r="AC351" s="2445"/>
      <c r="AD351" s="2438"/>
    </row>
    <row r="352" spans="1:30" ht="15.75" hidden="1" customHeight="1">
      <c r="A352" s="1644">
        <f t="shared" si="10"/>
        <v>0</v>
      </c>
      <c r="B352" s="1645" t="s">
        <v>4358</v>
      </c>
      <c r="C352" s="1645" t="s">
        <v>4324</v>
      </c>
      <c r="D352" s="1645"/>
      <c r="E352" s="1646" t="s">
        <v>2797</v>
      </c>
      <c r="F352" s="1645">
        <f t="shared" si="19"/>
        <v>1974</v>
      </c>
      <c r="G352" s="1647">
        <v>27210</v>
      </c>
      <c r="H352" s="1644" t="s">
        <v>3642</v>
      </c>
      <c r="I352" s="1648" t="s">
        <v>3629</v>
      </c>
      <c r="J352" s="1645" t="s">
        <v>38</v>
      </c>
      <c r="K352" s="1645">
        <v>0</v>
      </c>
      <c r="L352" s="1645" t="s">
        <v>2755</v>
      </c>
      <c r="M352" s="1645" t="s">
        <v>2828</v>
      </c>
      <c r="N352" s="1645"/>
      <c r="O352" s="1645" t="s">
        <v>4359</v>
      </c>
      <c r="P352" s="1649">
        <v>44621</v>
      </c>
      <c r="Q352" s="1645"/>
      <c r="R352" s="1644" t="s">
        <v>3952</v>
      </c>
      <c r="S352" s="1647" t="s">
        <v>4360</v>
      </c>
      <c r="T352" s="1644"/>
      <c r="U352" s="1644"/>
      <c r="V352" s="1644"/>
      <c r="W352" s="1644" t="s">
        <v>3679</v>
      </c>
      <c r="X352" s="1644" t="s">
        <v>3633</v>
      </c>
      <c r="Y352" s="1647">
        <v>36332</v>
      </c>
      <c r="Z352" s="1647">
        <v>36698</v>
      </c>
      <c r="AA352" s="1650">
        <f t="shared" ca="1" si="20"/>
        <v>9.6666666666666661</v>
      </c>
      <c r="AB352" s="2444" t="s">
        <v>3629</v>
      </c>
      <c r="AC352" s="2445"/>
      <c r="AD352" s="2438"/>
    </row>
    <row r="353" spans="1:30" ht="15.75" hidden="1" customHeight="1">
      <c r="A353" s="1644">
        <f t="shared" si="10"/>
        <v>0</v>
      </c>
      <c r="B353" s="1645" t="s">
        <v>4361</v>
      </c>
      <c r="C353" s="1645" t="s">
        <v>4324</v>
      </c>
      <c r="D353" s="1645"/>
      <c r="E353" s="1644" t="s">
        <v>2798</v>
      </c>
      <c r="F353" s="1645">
        <f t="shared" si="19"/>
        <v>1982</v>
      </c>
      <c r="G353" s="1647">
        <v>30214</v>
      </c>
      <c r="H353" s="1644" t="s">
        <v>4232</v>
      </c>
      <c r="I353" s="1648" t="s">
        <v>3629</v>
      </c>
      <c r="J353" s="1645" t="s">
        <v>201</v>
      </c>
      <c r="K353" s="1645">
        <v>0</v>
      </c>
      <c r="L353" s="1645" t="s">
        <v>3681</v>
      </c>
      <c r="M353" s="1645">
        <v>0</v>
      </c>
      <c r="N353" s="1645"/>
      <c r="O353" s="1645" t="s">
        <v>3645</v>
      </c>
      <c r="P353" s="1649"/>
      <c r="Q353" s="1645"/>
      <c r="R353" s="1644"/>
      <c r="S353" s="1644"/>
      <c r="T353" s="1644"/>
      <c r="U353" s="1644"/>
      <c r="V353" s="1644"/>
      <c r="W353" s="1644">
        <v>0</v>
      </c>
      <c r="X353" s="1644"/>
      <c r="Y353" s="1647">
        <v>39450</v>
      </c>
      <c r="Z353" s="1647">
        <v>39816</v>
      </c>
      <c r="AA353" s="1650">
        <f t="shared" ca="1" si="20"/>
        <v>12.916666666666666</v>
      </c>
      <c r="AB353" s="2444" t="s">
        <v>3629</v>
      </c>
      <c r="AC353" s="2445"/>
      <c r="AD353" s="2438"/>
    </row>
    <row r="354" spans="1:30" ht="15.75" hidden="1" customHeight="1">
      <c r="A354" s="1644">
        <f t="shared" si="10"/>
        <v>0</v>
      </c>
      <c r="B354" s="1645" t="s">
        <v>4362</v>
      </c>
      <c r="C354" s="1645" t="s">
        <v>4363</v>
      </c>
      <c r="D354" s="1645" t="s">
        <v>1664</v>
      </c>
      <c r="E354" s="1644" t="s">
        <v>2798</v>
      </c>
      <c r="F354" s="1645">
        <f t="shared" si="19"/>
        <v>1974</v>
      </c>
      <c r="G354" s="1647">
        <v>27333</v>
      </c>
      <c r="H354" s="1644" t="s">
        <v>3648</v>
      </c>
      <c r="I354" s="1648" t="s">
        <v>3629</v>
      </c>
      <c r="J354" s="1645" t="s">
        <v>37</v>
      </c>
      <c r="K354" s="1645">
        <v>0</v>
      </c>
      <c r="L354" s="1645" t="s">
        <v>1664</v>
      </c>
      <c r="M354" s="1645" t="s">
        <v>4364</v>
      </c>
      <c r="N354" s="1645"/>
      <c r="O354" s="1645" t="s">
        <v>3645</v>
      </c>
      <c r="P354" s="1649"/>
      <c r="Q354" s="1645"/>
      <c r="R354" s="1644"/>
      <c r="S354" s="1644"/>
      <c r="T354" s="1644"/>
      <c r="U354" s="1644"/>
      <c r="V354" s="1644" t="s">
        <v>3649</v>
      </c>
      <c r="W354" s="1644" t="s">
        <v>3687</v>
      </c>
      <c r="X354" s="1644"/>
      <c r="Y354" s="1647">
        <v>41334</v>
      </c>
      <c r="Z354" s="1647">
        <v>41699</v>
      </c>
      <c r="AA354" s="1650">
        <f t="shared" ca="1" si="20"/>
        <v>5</v>
      </c>
      <c r="AB354" s="2444" t="s">
        <v>3629</v>
      </c>
      <c r="AC354" s="2445"/>
      <c r="AD354" s="2438"/>
    </row>
    <row r="355" spans="1:30" ht="15.75" hidden="1" customHeight="1">
      <c r="A355" s="1644">
        <f t="shared" si="10"/>
        <v>0</v>
      </c>
      <c r="B355" s="1645" t="s">
        <v>4365</v>
      </c>
      <c r="C355" s="1645" t="s">
        <v>4363</v>
      </c>
      <c r="D355" s="1645" t="s">
        <v>1664</v>
      </c>
      <c r="E355" s="1644" t="s">
        <v>2798</v>
      </c>
      <c r="F355" s="1645">
        <f t="shared" si="19"/>
        <v>1982</v>
      </c>
      <c r="G355" s="1647">
        <v>29990</v>
      </c>
      <c r="H355" s="1644" t="s">
        <v>3648</v>
      </c>
      <c r="I355" s="1648" t="s">
        <v>3629</v>
      </c>
      <c r="J355" s="1645" t="s">
        <v>37</v>
      </c>
      <c r="K355" s="1645">
        <v>0</v>
      </c>
      <c r="L355" s="1645" t="s">
        <v>1664</v>
      </c>
      <c r="M355" s="1645" t="s">
        <v>4366</v>
      </c>
      <c r="N355" s="1645"/>
      <c r="O355" s="1645" t="s">
        <v>3645</v>
      </c>
      <c r="P355" s="1649"/>
      <c r="Q355" s="1645"/>
      <c r="R355" s="1644"/>
      <c r="S355" s="1644"/>
      <c r="T355" s="1644"/>
      <c r="U355" s="1644"/>
      <c r="V355" s="1644" t="s">
        <v>3649</v>
      </c>
      <c r="W355" s="1650" t="s">
        <v>3646</v>
      </c>
      <c r="X355" s="1644"/>
      <c r="Y355" s="1647"/>
      <c r="Z355" s="1647"/>
      <c r="AA355" s="1650">
        <f t="shared" ca="1" si="20"/>
        <v>12.333333333333334</v>
      </c>
      <c r="AB355" s="2444" t="s">
        <v>3629</v>
      </c>
      <c r="AC355" s="2445"/>
      <c r="AD355" s="2438"/>
    </row>
    <row r="356" spans="1:30" ht="15.75" hidden="1" customHeight="1">
      <c r="A356" s="1644">
        <f t="shared" si="10"/>
        <v>0</v>
      </c>
      <c r="B356" s="1645" t="s">
        <v>4367</v>
      </c>
      <c r="C356" s="1645" t="s">
        <v>4363</v>
      </c>
      <c r="D356" s="1645" t="s">
        <v>1664</v>
      </c>
      <c r="E356" s="1646" t="s">
        <v>2798</v>
      </c>
      <c r="F356" s="1645">
        <f t="shared" si="19"/>
        <v>1983</v>
      </c>
      <c r="G356" s="1647">
        <v>30672</v>
      </c>
      <c r="H356" s="1644" t="s">
        <v>3642</v>
      </c>
      <c r="I356" s="1648" t="s">
        <v>3629</v>
      </c>
      <c r="J356" s="1645" t="s">
        <v>37</v>
      </c>
      <c r="K356" s="1645">
        <v>0</v>
      </c>
      <c r="L356" s="1645" t="s">
        <v>1664</v>
      </c>
      <c r="M356" s="1645" t="s">
        <v>4366</v>
      </c>
      <c r="N356" s="1645"/>
      <c r="O356" s="1645" t="s">
        <v>4155</v>
      </c>
      <c r="P356" s="1649"/>
      <c r="Q356" s="1645"/>
      <c r="R356" s="1647" t="s">
        <v>3952</v>
      </c>
      <c r="S356" s="1644" t="s">
        <v>3962</v>
      </c>
      <c r="T356" s="1644"/>
      <c r="U356" s="1644"/>
      <c r="V356" s="1644" t="s">
        <v>3657</v>
      </c>
      <c r="W356" s="1650" t="s">
        <v>3653</v>
      </c>
      <c r="X356" s="1644" t="s">
        <v>3633</v>
      </c>
      <c r="Y356" s="1647">
        <v>38386</v>
      </c>
      <c r="Z356" s="1647">
        <v>38751</v>
      </c>
      <c r="AA356" s="1650">
        <f t="shared" ca="1" si="20"/>
        <v>14.166666666666666</v>
      </c>
      <c r="AB356" s="2444" t="s">
        <v>3629</v>
      </c>
      <c r="AC356" s="2445"/>
      <c r="AD356" s="2438"/>
    </row>
    <row r="357" spans="1:30" ht="15.75" hidden="1" customHeight="1">
      <c r="A357" s="1644">
        <f t="shared" si="10"/>
        <v>0</v>
      </c>
      <c r="B357" s="1645" t="s">
        <v>4368</v>
      </c>
      <c r="C357" s="1645" t="s">
        <v>4363</v>
      </c>
      <c r="D357" s="1645" t="s">
        <v>1664</v>
      </c>
      <c r="E357" s="1644" t="s">
        <v>2798</v>
      </c>
      <c r="F357" s="1645">
        <f t="shared" si="19"/>
        <v>1980</v>
      </c>
      <c r="G357" s="1647">
        <v>29348</v>
      </c>
      <c r="H357" s="1644" t="s">
        <v>3648</v>
      </c>
      <c r="I357" s="1648" t="s">
        <v>3629</v>
      </c>
      <c r="J357" s="1645" t="s">
        <v>37</v>
      </c>
      <c r="K357" s="1645">
        <v>0</v>
      </c>
      <c r="L357" s="1645" t="s">
        <v>1664</v>
      </c>
      <c r="M357" s="1645" t="s">
        <v>4008</v>
      </c>
      <c r="N357" s="1645"/>
      <c r="O357" s="1645" t="s">
        <v>3645</v>
      </c>
      <c r="P357" s="1649"/>
      <c r="Q357" s="1645"/>
      <c r="R357" s="1644"/>
      <c r="S357" s="1644"/>
      <c r="T357" s="1644"/>
      <c r="U357" s="1644"/>
      <c r="V357" s="1644" t="s">
        <v>3649</v>
      </c>
      <c r="W357" s="1650" t="s">
        <v>3822</v>
      </c>
      <c r="X357" s="1644"/>
      <c r="Y357" s="1647">
        <v>37351</v>
      </c>
      <c r="Z357" s="1647">
        <v>37716</v>
      </c>
      <c r="AA357" s="1650">
        <f t="shared" ca="1" si="20"/>
        <v>10.583333333333334</v>
      </c>
      <c r="AB357" s="2444" t="s">
        <v>3629</v>
      </c>
      <c r="AC357" s="2445"/>
      <c r="AD357" s="2438"/>
    </row>
    <row r="358" spans="1:30" ht="15.75" hidden="1" customHeight="1">
      <c r="A358" s="1644">
        <f t="shared" si="10"/>
        <v>0</v>
      </c>
      <c r="B358" s="1645" t="s">
        <v>4369</v>
      </c>
      <c r="C358" s="1645" t="s">
        <v>4363</v>
      </c>
      <c r="D358" s="1645" t="s">
        <v>4370</v>
      </c>
      <c r="E358" s="1646" t="s">
        <v>2798</v>
      </c>
      <c r="F358" s="1645">
        <f t="shared" si="19"/>
        <v>1982</v>
      </c>
      <c r="G358" s="1647">
        <v>30023</v>
      </c>
      <c r="H358" s="1644" t="s">
        <v>3648</v>
      </c>
      <c r="I358" s="1648" t="s">
        <v>3629</v>
      </c>
      <c r="J358" s="1645" t="s">
        <v>37</v>
      </c>
      <c r="K358" s="1645">
        <v>0</v>
      </c>
      <c r="L358" s="1645" t="s">
        <v>1664</v>
      </c>
      <c r="M358" s="1645" t="s">
        <v>4364</v>
      </c>
      <c r="N358" s="1645"/>
      <c r="O358" s="1645" t="s">
        <v>3645</v>
      </c>
      <c r="P358" s="1649"/>
      <c r="Q358" s="1645"/>
      <c r="R358" s="1644"/>
      <c r="S358" s="1644"/>
      <c r="T358" s="1644"/>
      <c r="U358" s="1644"/>
      <c r="V358" s="1644" t="s">
        <v>3649</v>
      </c>
      <c r="W358" s="1644">
        <v>0</v>
      </c>
      <c r="X358" s="1644"/>
      <c r="Y358" s="1647"/>
      <c r="Z358" s="1647"/>
      <c r="AA358" s="1650">
        <f t="shared" ca="1" si="20"/>
        <v>12.416666666666666</v>
      </c>
      <c r="AB358" s="2444" t="s">
        <v>3629</v>
      </c>
      <c r="AC358" s="2445"/>
      <c r="AD358" s="2438"/>
    </row>
    <row r="359" spans="1:30" ht="15.75" hidden="1" customHeight="1">
      <c r="A359" s="1644">
        <f t="shared" si="10"/>
        <v>0</v>
      </c>
      <c r="B359" s="1645" t="s">
        <v>4371</v>
      </c>
      <c r="C359" s="1645" t="s">
        <v>4363</v>
      </c>
      <c r="D359" s="1645" t="s">
        <v>1664</v>
      </c>
      <c r="E359" s="1644" t="s">
        <v>2798</v>
      </c>
      <c r="F359" s="1645">
        <f t="shared" si="19"/>
        <v>1982</v>
      </c>
      <c r="G359" s="1647">
        <v>30294</v>
      </c>
      <c r="H359" s="1644" t="s">
        <v>3648</v>
      </c>
      <c r="I359" s="1648" t="s">
        <v>3629</v>
      </c>
      <c r="J359" s="1645" t="s">
        <v>201</v>
      </c>
      <c r="K359" s="1645">
        <v>0</v>
      </c>
      <c r="L359" s="1645" t="s">
        <v>1664</v>
      </c>
      <c r="M359" s="1645">
        <v>0</v>
      </c>
      <c r="N359" s="1645"/>
      <c r="O359" s="1645" t="s">
        <v>3645</v>
      </c>
      <c r="P359" s="1649"/>
      <c r="Q359" s="1645"/>
      <c r="R359" s="1644"/>
      <c r="S359" s="1644"/>
      <c r="T359" s="1644"/>
      <c r="U359" s="1644"/>
      <c r="V359" s="1644" t="s">
        <v>3649</v>
      </c>
      <c r="W359" s="1644">
        <v>0</v>
      </c>
      <c r="X359" s="1644"/>
      <c r="Y359" s="1647"/>
      <c r="Z359" s="1647"/>
      <c r="AA359" s="1650">
        <f t="shared" ca="1" si="20"/>
        <v>13.166666666666666</v>
      </c>
      <c r="AB359" s="2444" t="s">
        <v>3629</v>
      </c>
      <c r="AC359" s="2445"/>
      <c r="AD359" s="2438"/>
    </row>
    <row r="360" spans="1:30" ht="15.75" hidden="1" customHeight="1">
      <c r="A360" s="1644">
        <f t="shared" si="10"/>
        <v>0</v>
      </c>
      <c r="B360" s="1645" t="s">
        <v>4372</v>
      </c>
      <c r="C360" s="1645" t="s">
        <v>4363</v>
      </c>
      <c r="D360" s="1645" t="s">
        <v>1664</v>
      </c>
      <c r="E360" s="1646" t="s">
        <v>2798</v>
      </c>
      <c r="F360" s="1645">
        <f t="shared" si="19"/>
        <v>1977</v>
      </c>
      <c r="G360" s="1647">
        <v>28290</v>
      </c>
      <c r="H360" s="1644" t="s">
        <v>3648</v>
      </c>
      <c r="I360" s="1648" t="s">
        <v>3629</v>
      </c>
      <c r="J360" s="1645" t="s">
        <v>37</v>
      </c>
      <c r="K360" s="1645">
        <v>0</v>
      </c>
      <c r="L360" s="1645" t="s">
        <v>1701</v>
      </c>
      <c r="M360" s="1645" t="s">
        <v>3737</v>
      </c>
      <c r="N360" s="1645"/>
      <c r="O360" s="1645" t="s">
        <v>3645</v>
      </c>
      <c r="P360" s="1649"/>
      <c r="Q360" s="1645"/>
      <c r="R360" s="1644"/>
      <c r="S360" s="1644"/>
      <c r="T360" s="1644"/>
      <c r="U360" s="1644"/>
      <c r="V360" s="1644" t="s">
        <v>3649</v>
      </c>
      <c r="W360" s="1644">
        <v>0</v>
      </c>
      <c r="X360" s="1644"/>
      <c r="Y360" s="1647">
        <v>39456</v>
      </c>
      <c r="Z360" s="1647">
        <v>39822</v>
      </c>
      <c r="AA360" s="1650">
        <f t="shared" ca="1" si="20"/>
        <v>7.666666666666667</v>
      </c>
      <c r="AB360" s="2444" t="s">
        <v>3629</v>
      </c>
      <c r="AC360" s="2445"/>
      <c r="AD360" s="2438"/>
    </row>
    <row r="361" spans="1:30" ht="15.75" hidden="1" customHeight="1">
      <c r="A361" s="1644">
        <f t="shared" si="10"/>
        <v>0</v>
      </c>
      <c r="B361" s="1645" t="s">
        <v>4373</v>
      </c>
      <c r="C361" s="1645" t="s">
        <v>4363</v>
      </c>
      <c r="D361" s="1645" t="s">
        <v>1664</v>
      </c>
      <c r="E361" s="1644" t="s">
        <v>2798</v>
      </c>
      <c r="F361" s="1645">
        <f t="shared" si="19"/>
        <v>1984</v>
      </c>
      <c r="G361" s="1647">
        <v>30682</v>
      </c>
      <c r="H361" s="1644" t="s">
        <v>3648</v>
      </c>
      <c r="I361" s="1648" t="s">
        <v>3629</v>
      </c>
      <c r="J361" s="1645" t="s">
        <v>201</v>
      </c>
      <c r="K361" s="1645">
        <v>0</v>
      </c>
      <c r="L361" s="1645" t="s">
        <v>4374</v>
      </c>
      <c r="M361" s="1645">
        <v>0</v>
      </c>
      <c r="N361" s="1645"/>
      <c r="O361" s="1645" t="s">
        <v>3645</v>
      </c>
      <c r="P361" s="1649"/>
      <c r="Q361" s="1645"/>
      <c r="R361" s="1644"/>
      <c r="S361" s="1644"/>
      <c r="T361" s="1644"/>
      <c r="U361" s="1644"/>
      <c r="V361" s="1644" t="s">
        <v>3649</v>
      </c>
      <c r="W361" s="1644">
        <v>0</v>
      </c>
      <c r="X361" s="1644"/>
      <c r="Y361" s="1647"/>
      <c r="Z361" s="1647"/>
      <c r="AA361" s="1650">
        <f t="shared" ca="1" si="20"/>
        <v>14.166666666666666</v>
      </c>
      <c r="AB361" s="2444" t="s">
        <v>3629</v>
      </c>
      <c r="AC361" s="2445"/>
      <c r="AD361" s="2438"/>
    </row>
    <row r="362" spans="1:30" ht="15.75" hidden="1" customHeight="1">
      <c r="A362" s="1644">
        <f t="shared" si="10"/>
        <v>0</v>
      </c>
      <c r="B362" s="1645" t="s">
        <v>4375</v>
      </c>
      <c r="C362" s="1645" t="s">
        <v>4363</v>
      </c>
      <c r="D362" s="1645" t="s">
        <v>545</v>
      </c>
      <c r="E362" s="1646" t="s">
        <v>2797</v>
      </c>
      <c r="F362" s="1645">
        <f t="shared" si="19"/>
        <v>1979</v>
      </c>
      <c r="G362" s="1647">
        <v>29162</v>
      </c>
      <c r="H362" s="1644" t="s">
        <v>3628</v>
      </c>
      <c r="I362" s="1648" t="s">
        <v>3629</v>
      </c>
      <c r="J362" s="1645" t="s">
        <v>38</v>
      </c>
      <c r="K362" s="1645">
        <v>0</v>
      </c>
      <c r="L362" s="1645" t="s">
        <v>1733</v>
      </c>
      <c r="M362" s="1645" t="s">
        <v>1743</v>
      </c>
      <c r="N362" s="1645"/>
      <c r="O362" s="1645" t="s">
        <v>1743</v>
      </c>
      <c r="P362" s="1649"/>
      <c r="Q362" s="1645" t="s">
        <v>3693</v>
      </c>
      <c r="R362" s="1647" t="s">
        <v>3999</v>
      </c>
      <c r="S362" s="1644"/>
      <c r="T362" s="1644">
        <v>2017</v>
      </c>
      <c r="U362" s="1644" t="s">
        <v>3631</v>
      </c>
      <c r="V362" s="1644"/>
      <c r="W362" s="1644">
        <v>0</v>
      </c>
      <c r="X362" s="1644" t="s">
        <v>3633</v>
      </c>
      <c r="Y362" s="1647">
        <v>37420</v>
      </c>
      <c r="Z362" s="1647">
        <v>37785</v>
      </c>
      <c r="AA362" s="1650">
        <f t="shared" ca="1" si="20"/>
        <v>15.083333333333334</v>
      </c>
      <c r="AB362" s="2444" t="s">
        <v>3629</v>
      </c>
      <c r="AC362" s="2445"/>
      <c r="AD362" s="2438"/>
    </row>
    <row r="363" spans="1:30" ht="15.75" hidden="1" customHeight="1">
      <c r="A363" s="1644">
        <f t="shared" si="10"/>
        <v>0</v>
      </c>
      <c r="B363" s="1645" t="s">
        <v>4376</v>
      </c>
      <c r="C363" s="1645" t="s">
        <v>4363</v>
      </c>
      <c r="D363" s="1645" t="s">
        <v>4377</v>
      </c>
      <c r="E363" s="1646" t="s">
        <v>2798</v>
      </c>
      <c r="F363" s="1645">
        <f t="shared" si="19"/>
        <v>1981</v>
      </c>
      <c r="G363" s="1647">
        <v>29930</v>
      </c>
      <c r="H363" s="1644" t="s">
        <v>3648</v>
      </c>
      <c r="I363" s="1648" t="s">
        <v>3629</v>
      </c>
      <c r="J363" s="1645" t="s">
        <v>37</v>
      </c>
      <c r="K363" s="1645">
        <v>0</v>
      </c>
      <c r="L363" s="1645" t="s">
        <v>1701</v>
      </c>
      <c r="M363" s="1645" t="s">
        <v>4378</v>
      </c>
      <c r="N363" s="1645"/>
      <c r="O363" s="1645" t="s">
        <v>3645</v>
      </c>
      <c r="P363" s="1649"/>
      <c r="Q363" s="1645"/>
      <c r="R363" s="1644"/>
      <c r="S363" s="1644"/>
      <c r="T363" s="1644"/>
      <c r="U363" s="1644"/>
      <c r="V363" s="1644" t="s">
        <v>3649</v>
      </c>
      <c r="W363" s="1650" t="s">
        <v>3822</v>
      </c>
      <c r="X363" s="1644"/>
      <c r="Y363" s="1647"/>
      <c r="Z363" s="1647"/>
      <c r="AA363" s="1650">
        <f t="shared" ca="1" si="20"/>
        <v>12.166666666666666</v>
      </c>
      <c r="AB363" s="2444" t="s">
        <v>3629</v>
      </c>
      <c r="AC363" s="2445"/>
      <c r="AD363" s="2438"/>
    </row>
    <row r="364" spans="1:30" ht="15.75" hidden="1" customHeight="1">
      <c r="A364" s="1644">
        <f t="shared" si="10"/>
        <v>0</v>
      </c>
      <c r="B364" s="1645" t="s">
        <v>4379</v>
      </c>
      <c r="C364" s="1645" t="s">
        <v>4363</v>
      </c>
      <c r="D364" s="1645" t="s">
        <v>4377</v>
      </c>
      <c r="E364" s="1646" t="s">
        <v>2798</v>
      </c>
      <c r="F364" s="1645">
        <f t="shared" si="19"/>
        <v>1976</v>
      </c>
      <c r="G364" s="1647">
        <v>27999</v>
      </c>
      <c r="H364" s="1644" t="s">
        <v>3648</v>
      </c>
      <c r="I364" s="1648" t="s">
        <v>3629</v>
      </c>
      <c r="J364" s="1645" t="s">
        <v>37</v>
      </c>
      <c r="K364" s="1645">
        <v>0</v>
      </c>
      <c r="L364" s="1645" t="s">
        <v>1701</v>
      </c>
      <c r="M364" s="1645" t="s">
        <v>3737</v>
      </c>
      <c r="N364" s="1645"/>
      <c r="O364" s="1645" t="s">
        <v>3645</v>
      </c>
      <c r="P364" s="1649"/>
      <c r="Q364" s="1645"/>
      <c r="R364" s="1644"/>
      <c r="S364" s="1644"/>
      <c r="T364" s="1644"/>
      <c r="U364" s="1644"/>
      <c r="V364" s="1644" t="s">
        <v>3649</v>
      </c>
      <c r="W364" s="1644" t="s">
        <v>936</v>
      </c>
      <c r="X364" s="1644"/>
      <c r="Y364" s="1647"/>
      <c r="Z364" s="1647"/>
      <c r="AA364" s="1650">
        <f t="shared" ca="1" si="20"/>
        <v>6.833333333333333</v>
      </c>
      <c r="AB364" s="2444" t="s">
        <v>3629</v>
      </c>
      <c r="AC364" s="2445"/>
      <c r="AD364" s="2438"/>
    </row>
    <row r="365" spans="1:30" ht="15.75" hidden="1" customHeight="1">
      <c r="A365" s="1644">
        <f t="shared" si="10"/>
        <v>0</v>
      </c>
      <c r="B365" s="1645" t="s">
        <v>4380</v>
      </c>
      <c r="C365" s="1645" t="s">
        <v>4363</v>
      </c>
      <c r="D365" s="1645" t="s">
        <v>4377</v>
      </c>
      <c r="E365" s="1644" t="s">
        <v>2798</v>
      </c>
      <c r="F365" s="1645">
        <f t="shared" si="19"/>
        <v>1981</v>
      </c>
      <c r="G365" s="1647">
        <v>29675</v>
      </c>
      <c r="H365" s="1644" t="s">
        <v>3648</v>
      </c>
      <c r="I365" s="1648" t="s">
        <v>3629</v>
      </c>
      <c r="J365" s="1645" t="s">
        <v>37</v>
      </c>
      <c r="K365" s="1645">
        <v>0</v>
      </c>
      <c r="L365" s="1645" t="s">
        <v>1701</v>
      </c>
      <c r="M365" s="1645" t="s">
        <v>3737</v>
      </c>
      <c r="N365" s="1645"/>
      <c r="O365" s="1645" t="s">
        <v>3645</v>
      </c>
      <c r="P365" s="1649"/>
      <c r="Q365" s="1645"/>
      <c r="R365" s="1644"/>
      <c r="S365" s="1644" t="s">
        <v>3683</v>
      </c>
      <c r="T365" s="1644"/>
      <c r="U365" s="1644"/>
      <c r="V365" s="1644" t="s">
        <v>3649</v>
      </c>
      <c r="W365" s="1644" t="s">
        <v>3687</v>
      </c>
      <c r="X365" s="1644"/>
      <c r="Y365" s="1647">
        <v>40529</v>
      </c>
      <c r="Z365" s="1647">
        <v>40894</v>
      </c>
      <c r="AA365" s="1650">
        <f t="shared" ca="1" si="20"/>
        <v>11.416666666666666</v>
      </c>
      <c r="AB365" s="2444" t="s">
        <v>3629</v>
      </c>
      <c r="AC365" s="2445"/>
      <c r="AD365" s="2438"/>
    </row>
    <row r="366" spans="1:30" ht="15.75" hidden="1" customHeight="1">
      <c r="A366" s="1644">
        <f t="shared" si="10"/>
        <v>0</v>
      </c>
      <c r="B366" s="1645" t="s">
        <v>4381</v>
      </c>
      <c r="C366" s="1645" t="s">
        <v>4363</v>
      </c>
      <c r="D366" s="1645" t="s">
        <v>4382</v>
      </c>
      <c r="E366" s="1646" t="s">
        <v>2798</v>
      </c>
      <c r="F366" s="1645">
        <v>1980</v>
      </c>
      <c r="G366" s="1647">
        <v>29574</v>
      </c>
      <c r="H366" s="1644" t="s">
        <v>3648</v>
      </c>
      <c r="I366" s="1648" t="s">
        <v>3629</v>
      </c>
      <c r="J366" s="1645" t="s">
        <v>37</v>
      </c>
      <c r="K366" s="1645">
        <v>0</v>
      </c>
      <c r="L366" s="1645" t="s">
        <v>1664</v>
      </c>
      <c r="M366" s="1645" t="s">
        <v>4366</v>
      </c>
      <c r="N366" s="1645"/>
      <c r="O366" s="1645" t="s">
        <v>3645</v>
      </c>
      <c r="P366" s="1649"/>
      <c r="Q366" s="1645"/>
      <c r="R366" s="1644"/>
      <c r="S366" s="1644"/>
      <c r="T366" s="1644"/>
      <c r="U366" s="1644"/>
      <c r="V366" s="1644" t="s">
        <v>3649</v>
      </c>
      <c r="W366" s="1644">
        <v>0</v>
      </c>
      <c r="X366" s="1644"/>
      <c r="Y366" s="1647"/>
      <c r="Z366" s="1647"/>
      <c r="AA366" s="1650">
        <f t="shared" ca="1" si="20"/>
        <v>11.166666666666666</v>
      </c>
      <c r="AB366" s="2444" t="s">
        <v>3629</v>
      </c>
      <c r="AC366" s="2445"/>
      <c r="AD366" s="2438"/>
    </row>
    <row r="367" spans="1:30" ht="15.75" hidden="1" customHeight="1">
      <c r="A367" s="1644">
        <f t="shared" si="10"/>
        <v>0</v>
      </c>
      <c r="B367" s="1645" t="s">
        <v>4383</v>
      </c>
      <c r="C367" s="1645" t="s">
        <v>4363</v>
      </c>
      <c r="D367" s="1645" t="s">
        <v>4384</v>
      </c>
      <c r="E367" s="1644" t="s">
        <v>2798</v>
      </c>
      <c r="F367" s="1645">
        <f t="shared" ref="F367:F384" si="21">YEAR(G367)</f>
        <v>1982</v>
      </c>
      <c r="G367" s="1647">
        <v>30090</v>
      </c>
      <c r="H367" s="1644" t="s">
        <v>3648</v>
      </c>
      <c r="I367" s="1648" t="s">
        <v>3629</v>
      </c>
      <c r="J367" s="1645" t="s">
        <v>37</v>
      </c>
      <c r="K367" s="1645">
        <v>0</v>
      </c>
      <c r="L367" s="1645" t="s">
        <v>1766</v>
      </c>
      <c r="M367" s="1645" t="s">
        <v>3794</v>
      </c>
      <c r="N367" s="1645"/>
      <c r="O367" s="1645" t="s">
        <v>3645</v>
      </c>
      <c r="P367" s="1649"/>
      <c r="Q367" s="1645"/>
      <c r="R367" s="1644"/>
      <c r="S367" s="1644" t="s">
        <v>3795</v>
      </c>
      <c r="T367" s="1644"/>
      <c r="U367" s="1644"/>
      <c r="V367" s="1644" t="s">
        <v>3649</v>
      </c>
      <c r="W367" s="1650" t="s">
        <v>3646</v>
      </c>
      <c r="X367" s="1644" t="s">
        <v>3633</v>
      </c>
      <c r="Y367" s="1647">
        <v>43456</v>
      </c>
      <c r="Z367" s="1647">
        <v>43821</v>
      </c>
      <c r="AA367" s="1650">
        <f t="shared" ca="1" si="20"/>
        <v>12.583333333333334</v>
      </c>
      <c r="AB367" s="2444" t="s">
        <v>3629</v>
      </c>
      <c r="AC367" s="2445"/>
      <c r="AD367" s="2438"/>
    </row>
    <row r="368" spans="1:30" ht="15.75" hidden="1" customHeight="1">
      <c r="A368" s="1644">
        <f t="shared" si="10"/>
        <v>0</v>
      </c>
      <c r="B368" s="1645" t="s">
        <v>4385</v>
      </c>
      <c r="C368" s="1645" t="s">
        <v>4363</v>
      </c>
      <c r="D368" s="1645" t="s">
        <v>4386</v>
      </c>
      <c r="E368" s="1646" t="s">
        <v>2798</v>
      </c>
      <c r="F368" s="1645">
        <f t="shared" si="21"/>
        <v>1974</v>
      </c>
      <c r="G368" s="1647">
        <v>27250</v>
      </c>
      <c r="H368" s="1644" t="s">
        <v>3648</v>
      </c>
      <c r="I368" s="1648" t="s">
        <v>3629</v>
      </c>
      <c r="J368" s="1645" t="s">
        <v>37</v>
      </c>
      <c r="K368" s="1645">
        <v>0</v>
      </c>
      <c r="L368" s="1645" t="s">
        <v>1701</v>
      </c>
      <c r="M368" s="1645" t="s">
        <v>3014</v>
      </c>
      <c r="N368" s="1645"/>
      <c r="O368" s="1645" t="s">
        <v>3645</v>
      </c>
      <c r="P368" s="1649"/>
      <c r="Q368" s="1645"/>
      <c r="R368" s="1647" t="s">
        <v>3898</v>
      </c>
      <c r="S368" s="1644"/>
      <c r="T368" s="1644"/>
      <c r="U368" s="1644"/>
      <c r="V368" s="1644" t="s">
        <v>3649</v>
      </c>
      <c r="W368" s="1644">
        <v>0</v>
      </c>
      <c r="X368" s="1644"/>
      <c r="Y368" s="1647">
        <v>37936</v>
      </c>
      <c r="Z368" s="1647">
        <v>38302</v>
      </c>
      <c r="AA368" s="1650">
        <f t="shared" ca="1" si="20"/>
        <v>4.833333333333333</v>
      </c>
      <c r="AB368" s="2444" t="s">
        <v>3629</v>
      </c>
      <c r="AC368" s="2445"/>
      <c r="AD368" s="2438"/>
    </row>
    <row r="369" spans="1:30" ht="15.75" hidden="1" customHeight="1">
      <c r="A369" s="1644">
        <f t="shared" si="10"/>
        <v>0</v>
      </c>
      <c r="B369" s="1645" t="s">
        <v>4387</v>
      </c>
      <c r="C369" s="1645" t="s">
        <v>4363</v>
      </c>
      <c r="D369" s="1645" t="s">
        <v>4388</v>
      </c>
      <c r="E369" s="1646" t="s">
        <v>2797</v>
      </c>
      <c r="F369" s="1645">
        <f t="shared" si="21"/>
        <v>1980</v>
      </c>
      <c r="G369" s="1647">
        <v>29226</v>
      </c>
      <c r="H369" s="1644" t="s">
        <v>3648</v>
      </c>
      <c r="I369" s="1648" t="s">
        <v>3629</v>
      </c>
      <c r="J369" s="1645" t="s">
        <v>37</v>
      </c>
      <c r="K369" s="1645">
        <v>0</v>
      </c>
      <c r="L369" s="1645" t="s">
        <v>3902</v>
      </c>
      <c r="M369" s="1645" t="s">
        <v>4003</v>
      </c>
      <c r="N369" s="1645"/>
      <c r="O369" s="1645" t="s">
        <v>3645</v>
      </c>
      <c r="P369" s="1649"/>
      <c r="Q369" s="1645"/>
      <c r="R369" s="1644"/>
      <c r="S369" s="1644"/>
      <c r="T369" s="1644"/>
      <c r="U369" s="1644"/>
      <c r="V369" s="1644" t="s">
        <v>3649</v>
      </c>
      <c r="W369" s="1650" t="s">
        <v>3653</v>
      </c>
      <c r="X369" s="1644" t="s">
        <v>3633</v>
      </c>
      <c r="Y369" s="1647">
        <v>39333</v>
      </c>
      <c r="Z369" s="1647">
        <v>39699</v>
      </c>
      <c r="AA369" s="1650">
        <f t="shared" ca="1" si="20"/>
        <v>15.25</v>
      </c>
      <c r="AB369" s="2444" t="s">
        <v>3629</v>
      </c>
      <c r="AC369" s="2445"/>
      <c r="AD369" s="2438"/>
    </row>
    <row r="370" spans="1:30" ht="15.75" hidden="1" customHeight="1">
      <c r="A370" s="1644">
        <f t="shared" si="10"/>
        <v>0</v>
      </c>
      <c r="B370" s="1645" t="s">
        <v>4389</v>
      </c>
      <c r="C370" s="1645" t="s">
        <v>4363</v>
      </c>
      <c r="D370" s="1645" t="s">
        <v>4390</v>
      </c>
      <c r="E370" s="1644" t="s">
        <v>2798</v>
      </c>
      <c r="F370" s="1645">
        <f t="shared" si="21"/>
        <v>1976</v>
      </c>
      <c r="G370" s="1647">
        <v>27773</v>
      </c>
      <c r="H370" s="1644" t="s">
        <v>3648</v>
      </c>
      <c r="I370" s="1648" t="s">
        <v>3629</v>
      </c>
      <c r="J370" s="1645" t="s">
        <v>37</v>
      </c>
      <c r="K370" s="1645">
        <v>0</v>
      </c>
      <c r="L370" s="1645" t="s">
        <v>4391</v>
      </c>
      <c r="M370" s="1645" t="s">
        <v>1743</v>
      </c>
      <c r="N370" s="1645"/>
      <c r="O370" s="1645" t="s">
        <v>3645</v>
      </c>
      <c r="P370" s="1649"/>
      <c r="Q370" s="1645"/>
      <c r="R370" s="1644"/>
      <c r="S370" s="1644"/>
      <c r="T370" s="1644"/>
      <c r="U370" s="1644"/>
      <c r="V370" s="1644" t="s">
        <v>3649</v>
      </c>
      <c r="W370" s="1650" t="s">
        <v>3653</v>
      </c>
      <c r="X370" s="1644"/>
      <c r="Y370" s="1647"/>
      <c r="Z370" s="1647"/>
      <c r="AA370" s="1650">
        <f t="shared" ca="1" si="20"/>
        <v>6.25</v>
      </c>
      <c r="AB370" s="2444" t="s">
        <v>3629</v>
      </c>
      <c r="AC370" s="2445"/>
      <c r="AD370" s="2438"/>
    </row>
    <row r="371" spans="1:30" ht="15.75" hidden="1" customHeight="1">
      <c r="A371" s="1644">
        <f t="shared" si="10"/>
        <v>0</v>
      </c>
      <c r="B371" s="1645" t="s">
        <v>4392</v>
      </c>
      <c r="C371" s="1645" t="s">
        <v>4363</v>
      </c>
      <c r="D371" s="1645" t="s">
        <v>4390</v>
      </c>
      <c r="E371" s="1646" t="s">
        <v>2798</v>
      </c>
      <c r="F371" s="1645">
        <f t="shared" si="21"/>
        <v>1985</v>
      </c>
      <c r="G371" s="1647">
        <v>31206</v>
      </c>
      <c r="H371" s="1644" t="s">
        <v>3648</v>
      </c>
      <c r="I371" s="1648" t="s">
        <v>3629</v>
      </c>
      <c r="J371" s="1645" t="s">
        <v>38</v>
      </c>
      <c r="K371" s="1645">
        <v>0</v>
      </c>
      <c r="L371" s="1645" t="s">
        <v>4393</v>
      </c>
      <c r="M371" s="1645" t="s">
        <v>1743</v>
      </c>
      <c r="N371" s="1645"/>
      <c r="O371" s="1645" t="s">
        <v>1743</v>
      </c>
      <c r="P371" s="1649">
        <v>44328</v>
      </c>
      <c r="Q371" s="1645"/>
      <c r="R371" s="1644"/>
      <c r="S371" s="1644"/>
      <c r="T371" s="1644"/>
      <c r="U371" s="1644"/>
      <c r="V371" s="1644"/>
      <c r="W371" s="1644" t="s">
        <v>936</v>
      </c>
      <c r="X371" s="1644"/>
      <c r="Y371" s="1647"/>
      <c r="Z371" s="1647"/>
      <c r="AA371" s="1650">
        <f t="shared" ca="1" si="20"/>
        <v>15.666666666666666</v>
      </c>
      <c r="AB371" s="2444" t="s">
        <v>3629</v>
      </c>
      <c r="AC371" s="2445"/>
      <c r="AD371" s="2438"/>
    </row>
    <row r="372" spans="1:30" ht="15.75" hidden="1" customHeight="1">
      <c r="A372" s="1644">
        <f t="shared" si="10"/>
        <v>0</v>
      </c>
      <c r="B372" s="1645" t="s">
        <v>4394</v>
      </c>
      <c r="C372" s="1645" t="s">
        <v>4363</v>
      </c>
      <c r="D372" s="1645" t="s">
        <v>4390</v>
      </c>
      <c r="E372" s="1644" t="s">
        <v>2797</v>
      </c>
      <c r="F372" s="1645">
        <f t="shared" si="21"/>
        <v>1976</v>
      </c>
      <c r="G372" s="1647">
        <v>28113</v>
      </c>
      <c r="H372" s="1644" t="s">
        <v>3648</v>
      </c>
      <c r="I372" s="1648" t="s">
        <v>3629</v>
      </c>
      <c r="J372" s="1645" t="s">
        <v>201</v>
      </c>
      <c r="K372" s="1645">
        <v>0</v>
      </c>
      <c r="L372" s="1645" t="s">
        <v>3946</v>
      </c>
      <c r="M372" s="1645">
        <v>0</v>
      </c>
      <c r="N372" s="1645"/>
      <c r="O372" s="1645" t="s">
        <v>3645</v>
      </c>
      <c r="P372" s="1649"/>
      <c r="Q372" s="1645"/>
      <c r="R372" s="1644"/>
      <c r="S372" s="1644"/>
      <c r="T372" s="1644" t="s">
        <v>936</v>
      </c>
      <c r="U372" s="1644"/>
      <c r="V372" s="1644"/>
      <c r="W372" s="1650" t="s">
        <v>3653</v>
      </c>
      <c r="X372" s="1644"/>
      <c r="Y372" s="1647">
        <v>41319</v>
      </c>
      <c r="Z372" s="1647">
        <v>41684</v>
      </c>
      <c r="AA372" s="1650">
        <f t="shared" ca="1" si="20"/>
        <v>12.166666666666666</v>
      </c>
      <c r="AB372" s="2444" t="s">
        <v>3629</v>
      </c>
      <c r="AC372" s="2445"/>
      <c r="AD372" s="2438"/>
    </row>
    <row r="373" spans="1:30" ht="15.75" hidden="1" customHeight="1">
      <c r="A373" s="1644">
        <f t="shared" si="10"/>
        <v>0</v>
      </c>
      <c r="B373" s="1645" t="s">
        <v>4395</v>
      </c>
      <c r="C373" s="1645" t="s">
        <v>4363</v>
      </c>
      <c r="D373" s="1645" t="s">
        <v>4390</v>
      </c>
      <c r="E373" s="1646" t="s">
        <v>2797</v>
      </c>
      <c r="F373" s="1645">
        <f t="shared" si="21"/>
        <v>1992</v>
      </c>
      <c r="G373" s="1647">
        <v>33848</v>
      </c>
      <c r="H373" s="1644" t="s">
        <v>3648</v>
      </c>
      <c r="I373" s="1648" t="s">
        <v>3629</v>
      </c>
      <c r="J373" s="1645" t="s">
        <v>201</v>
      </c>
      <c r="K373" s="1645">
        <v>0</v>
      </c>
      <c r="L373" s="1645" t="s">
        <v>4396</v>
      </c>
      <c r="M373" s="1645">
        <v>0</v>
      </c>
      <c r="N373" s="1645"/>
      <c r="O373" s="1645">
        <v>0</v>
      </c>
      <c r="P373" s="1649"/>
      <c r="Q373" s="1645"/>
      <c r="R373" s="1644"/>
      <c r="S373" s="1644"/>
      <c r="T373" s="1644"/>
      <c r="U373" s="1644"/>
      <c r="V373" s="1644" t="s">
        <v>3649</v>
      </c>
      <c r="W373" s="1650" t="s">
        <v>3646</v>
      </c>
      <c r="X373" s="1644"/>
      <c r="Y373" s="1647"/>
      <c r="Z373" s="1647"/>
      <c r="AA373" s="1650">
        <f t="shared" ca="1" si="20"/>
        <v>27.833333333333332</v>
      </c>
      <c r="AB373" s="2444" t="s">
        <v>3629</v>
      </c>
      <c r="AC373" s="2445"/>
      <c r="AD373" s="2438"/>
    </row>
    <row r="374" spans="1:30" ht="15.75" hidden="1" customHeight="1">
      <c r="A374" s="1644">
        <f t="shared" si="10"/>
        <v>0</v>
      </c>
      <c r="B374" s="1645" t="s">
        <v>4397</v>
      </c>
      <c r="C374" s="1645" t="s">
        <v>4363</v>
      </c>
      <c r="D374" s="1645" t="s">
        <v>4390</v>
      </c>
      <c r="E374" s="1646" t="s">
        <v>2797</v>
      </c>
      <c r="F374" s="1645">
        <f t="shared" si="21"/>
        <v>1980</v>
      </c>
      <c r="G374" s="1647">
        <v>29484</v>
      </c>
      <c r="H374" s="1644" t="s">
        <v>3648</v>
      </c>
      <c r="I374" s="1648" t="s">
        <v>3629</v>
      </c>
      <c r="J374" s="1645" t="s">
        <v>37</v>
      </c>
      <c r="K374" s="1645">
        <v>0</v>
      </c>
      <c r="L374" s="1645" t="s">
        <v>1766</v>
      </c>
      <c r="M374" s="1645" t="s">
        <v>3794</v>
      </c>
      <c r="N374" s="1645"/>
      <c r="O374" s="1645" t="s">
        <v>3645</v>
      </c>
      <c r="P374" s="1649"/>
      <c r="Q374" s="1645"/>
      <c r="R374" s="1644"/>
      <c r="S374" s="1644" t="s">
        <v>3795</v>
      </c>
      <c r="T374" s="1644"/>
      <c r="U374" s="1644"/>
      <c r="V374" s="1644" t="s">
        <v>3649</v>
      </c>
      <c r="W374" s="1650" t="s">
        <v>3653</v>
      </c>
      <c r="X374" s="1644"/>
      <c r="Y374" s="1647">
        <v>39466</v>
      </c>
      <c r="Z374" s="1647">
        <v>39832</v>
      </c>
      <c r="AA374" s="1650">
        <f t="shared" ca="1" si="20"/>
        <v>15.916666666666666</v>
      </c>
      <c r="AB374" s="2444" t="s">
        <v>3629</v>
      </c>
      <c r="AC374" s="2445"/>
      <c r="AD374" s="2438"/>
    </row>
    <row r="375" spans="1:30" ht="15.75" hidden="1" customHeight="1">
      <c r="A375" s="1644">
        <f t="shared" si="10"/>
        <v>0</v>
      </c>
      <c r="B375" s="1645" t="s">
        <v>4398</v>
      </c>
      <c r="C375" s="1645" t="s">
        <v>4363</v>
      </c>
      <c r="D375" s="1645" t="s">
        <v>4390</v>
      </c>
      <c r="E375" s="1644" t="s">
        <v>2797</v>
      </c>
      <c r="F375" s="1645">
        <f t="shared" si="21"/>
        <v>1978</v>
      </c>
      <c r="G375" s="1647">
        <v>28640</v>
      </c>
      <c r="H375" s="1644" t="s">
        <v>3648</v>
      </c>
      <c r="I375" s="1648" t="s">
        <v>3629</v>
      </c>
      <c r="J375" s="1645" t="s">
        <v>38</v>
      </c>
      <c r="K375" s="1645">
        <v>0</v>
      </c>
      <c r="L375" s="1645" t="s">
        <v>1733</v>
      </c>
      <c r="M375" s="1645" t="s">
        <v>3692</v>
      </c>
      <c r="N375" s="1645"/>
      <c r="O375" s="1645" t="s">
        <v>1733</v>
      </c>
      <c r="P375" s="1649"/>
      <c r="Q375" s="1645"/>
      <c r="R375" s="1647" t="s">
        <v>3639</v>
      </c>
      <c r="S375" s="1644"/>
      <c r="T375" s="1644"/>
      <c r="U375" s="1644"/>
      <c r="V375" s="1644"/>
      <c r="W375" s="1650" t="s">
        <v>3646</v>
      </c>
      <c r="X375" s="1644" t="s">
        <v>3707</v>
      </c>
      <c r="Y375" s="1647">
        <v>39274</v>
      </c>
      <c r="Z375" s="1647">
        <v>39640</v>
      </c>
      <c r="AA375" s="1650">
        <f t="shared" ca="1" si="20"/>
        <v>13.583333333333334</v>
      </c>
      <c r="AB375" s="2444" t="s">
        <v>3629</v>
      </c>
      <c r="AC375" s="2445"/>
      <c r="AD375" s="2438"/>
    </row>
    <row r="376" spans="1:30" ht="15.75" hidden="1" customHeight="1">
      <c r="A376" s="1644">
        <f t="shared" si="10"/>
        <v>0</v>
      </c>
      <c r="B376" s="1645" t="s">
        <v>4399</v>
      </c>
      <c r="C376" s="1645" t="s">
        <v>4363</v>
      </c>
      <c r="D376" s="1645" t="s">
        <v>4390</v>
      </c>
      <c r="E376" s="1646" t="s">
        <v>2797</v>
      </c>
      <c r="F376" s="1645">
        <f t="shared" si="21"/>
        <v>1971</v>
      </c>
      <c r="G376" s="1647">
        <v>26078</v>
      </c>
      <c r="H376" s="1644" t="s">
        <v>3651</v>
      </c>
      <c r="I376" s="1648" t="s">
        <v>3629</v>
      </c>
      <c r="J376" s="1645" t="s">
        <v>37</v>
      </c>
      <c r="K376" s="1645">
        <v>0</v>
      </c>
      <c r="L376" s="1645" t="s">
        <v>3946</v>
      </c>
      <c r="M376" s="1645" t="s">
        <v>3946</v>
      </c>
      <c r="N376" s="1645"/>
      <c r="O376" s="1645" t="s">
        <v>3645</v>
      </c>
      <c r="P376" s="1649"/>
      <c r="Q376" s="1645"/>
      <c r="R376" s="1644"/>
      <c r="S376" s="1644"/>
      <c r="T376" s="1644"/>
      <c r="U376" s="1644"/>
      <c r="V376" s="1644"/>
      <c r="W376" s="1644">
        <v>0</v>
      </c>
      <c r="X376" s="1644" t="s">
        <v>3633</v>
      </c>
      <c r="Y376" s="1647">
        <v>37410</v>
      </c>
      <c r="Z376" s="1647">
        <v>37775</v>
      </c>
      <c r="AA376" s="1650">
        <f t="shared" ca="1" si="20"/>
        <v>6.583333333333333</v>
      </c>
      <c r="AB376" s="2444" t="s">
        <v>3629</v>
      </c>
      <c r="AC376" s="2445"/>
      <c r="AD376" s="2438"/>
    </row>
    <row r="377" spans="1:30" ht="15.75" hidden="1" customHeight="1">
      <c r="A377" s="1644">
        <f t="shared" si="10"/>
        <v>0</v>
      </c>
      <c r="B377" s="1645" t="s">
        <v>4400</v>
      </c>
      <c r="C377" s="1645" t="s">
        <v>4363</v>
      </c>
      <c r="D377" s="1645" t="s">
        <v>4390</v>
      </c>
      <c r="E377" s="1644" t="s">
        <v>2798</v>
      </c>
      <c r="F377" s="1645">
        <f t="shared" si="21"/>
        <v>1980</v>
      </c>
      <c r="G377" s="1647">
        <v>29537</v>
      </c>
      <c r="H377" s="1644" t="s">
        <v>3648</v>
      </c>
      <c r="I377" s="1648" t="s">
        <v>3629</v>
      </c>
      <c r="J377" s="1645" t="s">
        <v>37</v>
      </c>
      <c r="K377" s="1645">
        <v>0</v>
      </c>
      <c r="L377" s="1645" t="s">
        <v>3794</v>
      </c>
      <c r="M377" s="1645" t="s">
        <v>3794</v>
      </c>
      <c r="N377" s="1645"/>
      <c r="O377" s="1645" t="s">
        <v>3645</v>
      </c>
      <c r="P377" s="1649"/>
      <c r="Q377" s="1645"/>
      <c r="R377" s="1644"/>
      <c r="S377" s="1644" t="s">
        <v>3795</v>
      </c>
      <c r="T377" s="1644"/>
      <c r="U377" s="1644"/>
      <c r="V377" s="1644" t="s">
        <v>3649</v>
      </c>
      <c r="W377" s="1650" t="s">
        <v>3822</v>
      </c>
      <c r="X377" s="1644"/>
      <c r="Y377" s="1647"/>
      <c r="Z377" s="1647"/>
      <c r="AA377" s="1650">
        <f t="shared" ca="1" si="20"/>
        <v>11.083333333333334</v>
      </c>
      <c r="AB377" s="2444" t="s">
        <v>3629</v>
      </c>
      <c r="AC377" s="2445"/>
      <c r="AD377" s="2438"/>
    </row>
    <row r="378" spans="1:30" ht="15.75" hidden="1" customHeight="1">
      <c r="A378" s="1644">
        <f t="shared" si="10"/>
        <v>0</v>
      </c>
      <c r="B378" s="1645" t="s">
        <v>4401</v>
      </c>
      <c r="C378" s="1645" t="s">
        <v>4363</v>
      </c>
      <c r="D378" s="1645" t="s">
        <v>4390</v>
      </c>
      <c r="E378" s="1644" t="s">
        <v>2798</v>
      </c>
      <c r="F378" s="1645">
        <f t="shared" si="21"/>
        <v>1979</v>
      </c>
      <c r="G378" s="1647">
        <v>29169</v>
      </c>
      <c r="H378" s="1644" t="s">
        <v>3648</v>
      </c>
      <c r="I378" s="1648" t="s">
        <v>3629</v>
      </c>
      <c r="J378" s="1645" t="s">
        <v>37</v>
      </c>
      <c r="K378" s="1645">
        <v>0</v>
      </c>
      <c r="L378" s="1645" t="s">
        <v>1733</v>
      </c>
      <c r="M378" s="1645" t="s">
        <v>1733</v>
      </c>
      <c r="N378" s="1645"/>
      <c r="O378" s="1645" t="s">
        <v>3645</v>
      </c>
      <c r="P378" s="1649"/>
      <c r="Q378" s="1645"/>
      <c r="R378" s="1644"/>
      <c r="S378" s="1644"/>
      <c r="T378" s="1644"/>
      <c r="U378" s="1644"/>
      <c r="V378" s="1644" t="s">
        <v>3649</v>
      </c>
      <c r="W378" s="1650" t="s">
        <v>3822</v>
      </c>
      <c r="X378" s="1644"/>
      <c r="Y378" s="1647"/>
      <c r="Z378" s="1647"/>
      <c r="AA378" s="1650">
        <f t="shared" ca="1" si="20"/>
        <v>10.083333333333334</v>
      </c>
      <c r="AB378" s="2444" t="s">
        <v>3629</v>
      </c>
      <c r="AC378" s="2445"/>
      <c r="AD378" s="2438"/>
    </row>
    <row r="379" spans="1:30" ht="15.75" hidden="1" customHeight="1">
      <c r="A379" s="1644">
        <f t="shared" si="10"/>
        <v>0</v>
      </c>
      <c r="B379" s="1645" t="s">
        <v>4402</v>
      </c>
      <c r="C379" s="1645" t="s">
        <v>4363</v>
      </c>
      <c r="D379" s="1645" t="s">
        <v>4390</v>
      </c>
      <c r="E379" s="1646" t="s">
        <v>2797</v>
      </c>
      <c r="F379" s="1645">
        <f t="shared" si="21"/>
        <v>1983</v>
      </c>
      <c r="G379" s="1647">
        <v>30383</v>
      </c>
      <c r="H379" s="1644" t="s">
        <v>3648</v>
      </c>
      <c r="I379" s="1648" t="s">
        <v>3629</v>
      </c>
      <c r="J379" s="1645" t="s">
        <v>201</v>
      </c>
      <c r="K379" s="1645">
        <v>0</v>
      </c>
      <c r="L379" s="1645" t="s">
        <v>3946</v>
      </c>
      <c r="M379" s="1645">
        <v>0</v>
      </c>
      <c r="N379" s="1645"/>
      <c r="O379" s="1645" t="s">
        <v>3645</v>
      </c>
      <c r="P379" s="1649"/>
      <c r="Q379" s="1645"/>
      <c r="R379" s="1644"/>
      <c r="S379" s="1644"/>
      <c r="T379" s="1644"/>
      <c r="U379" s="1644"/>
      <c r="V379" s="1644"/>
      <c r="W379" s="1650" t="s">
        <v>3822</v>
      </c>
      <c r="X379" s="1644"/>
      <c r="Y379" s="1647">
        <v>39182</v>
      </c>
      <c r="Z379" s="1647">
        <v>39548</v>
      </c>
      <c r="AA379" s="1650">
        <f t="shared" ca="1" si="20"/>
        <v>18.416666666666668</v>
      </c>
      <c r="AB379" s="2444" t="s">
        <v>3629</v>
      </c>
      <c r="AC379" s="2445"/>
      <c r="AD379" s="2438"/>
    </row>
    <row r="380" spans="1:30" ht="15.75" hidden="1" customHeight="1">
      <c r="A380" s="1644">
        <f t="shared" si="10"/>
        <v>0</v>
      </c>
      <c r="B380" s="1645" t="s">
        <v>4403</v>
      </c>
      <c r="C380" s="1645" t="s">
        <v>4363</v>
      </c>
      <c r="D380" s="1645" t="s">
        <v>4001</v>
      </c>
      <c r="E380" s="1644" t="s">
        <v>2797</v>
      </c>
      <c r="F380" s="1645">
        <f t="shared" si="21"/>
        <v>1984</v>
      </c>
      <c r="G380" s="1647">
        <v>30921</v>
      </c>
      <c r="H380" s="1644" t="s">
        <v>3648</v>
      </c>
      <c r="I380" s="1648" t="s">
        <v>3629</v>
      </c>
      <c r="J380" s="1645" t="s">
        <v>201</v>
      </c>
      <c r="K380" s="1645">
        <v>0</v>
      </c>
      <c r="L380" s="1645" t="s">
        <v>3923</v>
      </c>
      <c r="M380" s="1645">
        <v>0</v>
      </c>
      <c r="N380" s="1645"/>
      <c r="O380" s="1645">
        <v>0</v>
      </c>
      <c r="P380" s="1649"/>
      <c r="Q380" s="1645"/>
      <c r="R380" s="1644"/>
      <c r="S380" s="1644"/>
      <c r="T380" s="1644"/>
      <c r="U380" s="1644"/>
      <c r="V380" s="1644" t="s">
        <v>3649</v>
      </c>
      <c r="W380" s="1644" t="s">
        <v>936</v>
      </c>
      <c r="X380" s="1644"/>
      <c r="Y380" s="1647">
        <v>40271</v>
      </c>
      <c r="Z380" s="1647">
        <v>40663</v>
      </c>
      <c r="AA380" s="1650">
        <f t="shared" ca="1" si="20"/>
        <v>19.833333333333332</v>
      </c>
      <c r="AB380" s="2444" t="s">
        <v>3629</v>
      </c>
      <c r="AC380" s="2445"/>
      <c r="AD380" s="2438"/>
    </row>
    <row r="381" spans="1:30" ht="15.75" hidden="1" customHeight="1">
      <c r="A381" s="1644">
        <f t="shared" si="10"/>
        <v>0</v>
      </c>
      <c r="B381" s="1645" t="s">
        <v>4404</v>
      </c>
      <c r="C381" s="1645" t="s">
        <v>4363</v>
      </c>
      <c r="D381" s="1645" t="s">
        <v>4001</v>
      </c>
      <c r="E381" s="1644" t="s">
        <v>2798</v>
      </c>
      <c r="F381" s="1645">
        <f t="shared" si="21"/>
        <v>1983</v>
      </c>
      <c r="G381" s="1647">
        <v>30336</v>
      </c>
      <c r="H381" s="1644" t="s">
        <v>3648</v>
      </c>
      <c r="I381" s="1648" t="s">
        <v>3629</v>
      </c>
      <c r="J381" s="1645" t="s">
        <v>37</v>
      </c>
      <c r="K381" s="1645">
        <v>0</v>
      </c>
      <c r="L381" s="1645" t="s">
        <v>3673</v>
      </c>
      <c r="M381" s="1645">
        <v>0</v>
      </c>
      <c r="N381" s="1645"/>
      <c r="O381" s="1645" t="s">
        <v>3645</v>
      </c>
      <c r="P381" s="1649"/>
      <c r="Q381" s="1645"/>
      <c r="R381" s="1644"/>
      <c r="S381" s="1644"/>
      <c r="T381" s="1644"/>
      <c r="U381" s="1644"/>
      <c r="V381" s="1644" t="s">
        <v>3649</v>
      </c>
      <c r="W381" s="1650" t="s">
        <v>3653</v>
      </c>
      <c r="X381" s="1644"/>
      <c r="Y381" s="1647">
        <v>43829</v>
      </c>
      <c r="Z381" s="1647">
        <v>44195</v>
      </c>
      <c r="AA381" s="1650">
        <f t="shared" ca="1" si="20"/>
        <v>13.25</v>
      </c>
      <c r="AB381" s="2444" t="s">
        <v>3629</v>
      </c>
      <c r="AC381" s="2445"/>
      <c r="AD381" s="2438"/>
    </row>
    <row r="382" spans="1:30" ht="15.75" hidden="1" customHeight="1">
      <c r="A382" s="1644">
        <f t="shared" si="10"/>
        <v>0</v>
      </c>
      <c r="B382" s="1645" t="s">
        <v>4405</v>
      </c>
      <c r="C382" s="1645" t="s">
        <v>4363</v>
      </c>
      <c r="D382" s="1645" t="s">
        <v>4001</v>
      </c>
      <c r="E382" s="1646" t="s">
        <v>2797</v>
      </c>
      <c r="F382" s="1645">
        <f t="shared" si="21"/>
        <v>1978</v>
      </c>
      <c r="G382" s="1647">
        <v>28736</v>
      </c>
      <c r="H382" s="1644" t="s">
        <v>3648</v>
      </c>
      <c r="I382" s="1648" t="s">
        <v>3629</v>
      </c>
      <c r="J382" s="1645" t="s">
        <v>37</v>
      </c>
      <c r="K382" s="1645">
        <v>0</v>
      </c>
      <c r="L382" s="1645" t="s">
        <v>3873</v>
      </c>
      <c r="M382" s="1645" t="s">
        <v>3870</v>
      </c>
      <c r="N382" s="1645"/>
      <c r="O382" s="1645" t="s">
        <v>3645</v>
      </c>
      <c r="P382" s="1649"/>
      <c r="Q382" s="1645"/>
      <c r="R382" s="1647" t="s">
        <v>3683</v>
      </c>
      <c r="S382" s="1644"/>
      <c r="T382" s="1644"/>
      <c r="U382" s="1644"/>
      <c r="V382" s="1644" t="s">
        <v>3649</v>
      </c>
      <c r="W382" s="1644">
        <v>0</v>
      </c>
      <c r="X382" s="1644"/>
      <c r="Y382" s="1647"/>
      <c r="Z382" s="1647"/>
      <c r="AA382" s="1650">
        <f t="shared" ca="1" si="20"/>
        <v>13.916666666666666</v>
      </c>
      <c r="AB382" s="2444" t="s">
        <v>3629</v>
      </c>
      <c r="AC382" s="2445"/>
      <c r="AD382" s="2438"/>
    </row>
    <row r="383" spans="1:30" ht="15.75" hidden="1" customHeight="1">
      <c r="A383" s="1644">
        <f t="shared" si="10"/>
        <v>0</v>
      </c>
      <c r="B383" s="1645" t="s">
        <v>4406</v>
      </c>
      <c r="C383" s="1645" t="s">
        <v>4363</v>
      </c>
      <c r="D383" s="1645" t="s">
        <v>4001</v>
      </c>
      <c r="E383" s="1646" t="s">
        <v>2797</v>
      </c>
      <c r="F383" s="1645">
        <f t="shared" si="21"/>
        <v>1983</v>
      </c>
      <c r="G383" s="1647">
        <v>30655</v>
      </c>
      <c r="H383" s="1644" t="s">
        <v>3648</v>
      </c>
      <c r="I383" s="1648" t="s">
        <v>3629</v>
      </c>
      <c r="J383" s="1645" t="s">
        <v>201</v>
      </c>
      <c r="K383" s="1645">
        <v>0</v>
      </c>
      <c r="L383" s="1645" t="s">
        <v>3923</v>
      </c>
      <c r="M383" s="1645">
        <v>0</v>
      </c>
      <c r="N383" s="1645"/>
      <c r="O383" s="1645">
        <v>0</v>
      </c>
      <c r="P383" s="1649"/>
      <c r="Q383" s="1645"/>
      <c r="R383" s="1644"/>
      <c r="S383" s="1644"/>
      <c r="T383" s="1644"/>
      <c r="U383" s="1644"/>
      <c r="V383" s="1644" t="s">
        <v>3649</v>
      </c>
      <c r="W383" s="1650" t="s">
        <v>3653</v>
      </c>
      <c r="X383" s="1644"/>
      <c r="Y383" s="1647">
        <v>43456</v>
      </c>
      <c r="Z383" s="1647">
        <v>43821</v>
      </c>
      <c r="AA383" s="1650">
        <f t="shared" ca="1" si="20"/>
        <v>19.166666666666668</v>
      </c>
      <c r="AB383" s="2444" t="s">
        <v>3629</v>
      </c>
      <c r="AC383" s="2445"/>
      <c r="AD383" s="2438"/>
    </row>
    <row r="384" spans="1:30" ht="15.75" hidden="1" customHeight="1">
      <c r="A384" s="1644">
        <f t="shared" si="10"/>
        <v>0</v>
      </c>
      <c r="B384" s="1645" t="s">
        <v>4407</v>
      </c>
      <c r="C384" s="1645" t="s">
        <v>4363</v>
      </c>
      <c r="D384" s="1645" t="s">
        <v>4001</v>
      </c>
      <c r="E384" s="1644" t="s">
        <v>2798</v>
      </c>
      <c r="F384" s="1645">
        <f t="shared" si="21"/>
        <v>1969</v>
      </c>
      <c r="G384" s="1647">
        <v>25250</v>
      </c>
      <c r="H384" s="1644" t="s">
        <v>3669</v>
      </c>
      <c r="I384" s="1648" t="s">
        <v>3629</v>
      </c>
      <c r="J384" s="1645" t="s">
        <v>220</v>
      </c>
      <c r="K384" s="1645">
        <v>0</v>
      </c>
      <c r="L384" s="1651">
        <v>0</v>
      </c>
      <c r="M384" s="1645">
        <v>0</v>
      </c>
      <c r="N384" s="1645"/>
      <c r="O384" s="1645">
        <v>0</v>
      </c>
      <c r="P384" s="1649"/>
      <c r="Q384" s="1645"/>
      <c r="R384" s="1644" t="s">
        <v>4408</v>
      </c>
      <c r="S384" s="1644"/>
      <c r="T384" s="1644"/>
      <c r="U384" s="1644"/>
      <c r="V384" s="1644"/>
      <c r="W384" s="1644">
        <v>0</v>
      </c>
      <c r="X384" s="1644"/>
      <c r="Y384" s="1647"/>
      <c r="Z384" s="1647"/>
      <c r="AA384" s="1650">
        <f t="shared" ca="1" si="20"/>
        <v>-0.66666666666666663</v>
      </c>
      <c r="AB384" s="2444" t="s">
        <v>3629</v>
      </c>
      <c r="AC384" s="2445"/>
      <c r="AD384" s="2438"/>
    </row>
    <row r="385" spans="1:30" ht="15.75" hidden="1" customHeight="1">
      <c r="A385" s="1644">
        <f t="shared" si="10"/>
        <v>0</v>
      </c>
      <c r="B385" s="1645" t="s">
        <v>4409</v>
      </c>
      <c r="C385" s="1645" t="s">
        <v>4363</v>
      </c>
      <c r="D385" s="1645"/>
      <c r="E385" s="1646" t="s">
        <v>2798</v>
      </c>
      <c r="F385" s="1645">
        <f>+YEAR(G385)</f>
        <v>1995</v>
      </c>
      <c r="G385" s="1647">
        <v>34720</v>
      </c>
      <c r="H385" s="1646" t="s">
        <v>3648</v>
      </c>
      <c r="I385" s="1648" t="s">
        <v>3629</v>
      </c>
      <c r="J385" s="1645" t="s">
        <v>201</v>
      </c>
      <c r="K385" s="1645"/>
      <c r="L385" s="1645" t="s">
        <v>4410</v>
      </c>
      <c r="M385" s="1645">
        <v>0</v>
      </c>
      <c r="N385" s="1645"/>
      <c r="O385" s="1645">
        <v>0</v>
      </c>
      <c r="P385" s="1649"/>
      <c r="Q385" s="1645"/>
      <c r="R385" s="1644"/>
      <c r="S385" s="1644"/>
      <c r="T385" s="1644"/>
      <c r="U385" s="1644"/>
      <c r="V385" s="1644"/>
      <c r="W385" s="1644"/>
      <c r="X385" s="1644"/>
      <c r="Y385" s="1647">
        <v>43241</v>
      </c>
      <c r="Z385" s="1647">
        <v>43606</v>
      </c>
      <c r="AA385" s="1654"/>
      <c r="AB385" s="2444" t="s">
        <v>3629</v>
      </c>
      <c r="AC385" s="2445"/>
      <c r="AD385" s="2438"/>
    </row>
    <row r="386" spans="1:30" ht="15.75" hidden="1" customHeight="1">
      <c r="A386" s="1644">
        <f t="shared" si="10"/>
        <v>0</v>
      </c>
      <c r="B386" s="1645" t="s">
        <v>4411</v>
      </c>
      <c r="C386" s="1645" t="s">
        <v>4412</v>
      </c>
      <c r="D386" s="1645" t="s">
        <v>4413</v>
      </c>
      <c r="E386" s="1644" t="s">
        <v>2797</v>
      </c>
      <c r="F386" s="1645">
        <f t="shared" ref="F386:F640" si="22">YEAR(G386)</f>
        <v>1958</v>
      </c>
      <c r="G386" s="1647">
        <v>21245</v>
      </c>
      <c r="H386" s="1644" t="s">
        <v>3797</v>
      </c>
      <c r="I386" s="1648" t="s">
        <v>3629</v>
      </c>
      <c r="J386" s="1645" t="s">
        <v>38</v>
      </c>
      <c r="K386" s="1645" t="s">
        <v>3798</v>
      </c>
      <c r="L386" s="1645" t="s">
        <v>4414</v>
      </c>
      <c r="M386" s="1645" t="s">
        <v>4250</v>
      </c>
      <c r="N386" s="1645"/>
      <c r="O386" s="1645" t="s">
        <v>4415</v>
      </c>
      <c r="P386" s="1649"/>
      <c r="Q386" s="1645" t="s">
        <v>3693</v>
      </c>
      <c r="R386" s="1644" t="s">
        <v>3699</v>
      </c>
      <c r="S386" s="1644"/>
      <c r="T386" s="1644" t="s">
        <v>936</v>
      </c>
      <c r="U386" s="1644" t="s">
        <v>3802</v>
      </c>
      <c r="V386" s="1644"/>
      <c r="W386" s="1644">
        <v>0</v>
      </c>
      <c r="X386" s="1644" t="s">
        <v>3633</v>
      </c>
      <c r="Y386" s="1647">
        <v>29245</v>
      </c>
      <c r="Z386" s="1647">
        <v>29792</v>
      </c>
      <c r="AA386" s="1650">
        <f t="shared" ref="AA386:AA485" ca="1" si="23">IF(E386="nữ",660-DATEDIF(G386,TODAY(),"m"),720-DATEDIF(G386,TODAY(),"m"))/12</f>
        <v>-6.666666666666667</v>
      </c>
      <c r="AB386" s="2444" t="s">
        <v>3629</v>
      </c>
      <c r="AC386" s="2445"/>
      <c r="AD386" s="2438"/>
    </row>
    <row r="387" spans="1:30" ht="15.75" hidden="1" customHeight="1">
      <c r="A387" s="1644">
        <f t="shared" si="10"/>
        <v>0</v>
      </c>
      <c r="B387" s="1645" t="s">
        <v>4416</v>
      </c>
      <c r="C387" s="1645" t="s">
        <v>4412</v>
      </c>
      <c r="D387" s="1645" t="s">
        <v>4413</v>
      </c>
      <c r="E387" s="1644" t="s">
        <v>2797</v>
      </c>
      <c r="F387" s="1645">
        <f t="shared" si="22"/>
        <v>1979</v>
      </c>
      <c r="G387" s="1647">
        <v>28898</v>
      </c>
      <c r="H387" s="1644" t="s">
        <v>3628</v>
      </c>
      <c r="I387" s="1648" t="s">
        <v>3629</v>
      </c>
      <c r="J387" s="1645" t="s">
        <v>38</v>
      </c>
      <c r="K387" s="1645">
        <v>0</v>
      </c>
      <c r="L387" s="1645" t="s">
        <v>4417</v>
      </c>
      <c r="M387" s="1645" t="s">
        <v>3655</v>
      </c>
      <c r="N387" s="1645"/>
      <c r="O387" s="1645" t="s">
        <v>4418</v>
      </c>
      <c r="P387" s="1649"/>
      <c r="Q387" s="1645" t="s">
        <v>3800</v>
      </c>
      <c r="R387" s="1644" t="s">
        <v>3993</v>
      </c>
      <c r="S387" s="1644"/>
      <c r="T387" s="1644" t="s">
        <v>936</v>
      </c>
      <c r="U387" s="1644" t="s">
        <v>3697</v>
      </c>
      <c r="V387" s="1644"/>
      <c r="W387" s="1644">
        <v>0</v>
      </c>
      <c r="X387" s="1644" t="s">
        <v>3759</v>
      </c>
      <c r="Y387" s="1647">
        <v>37989</v>
      </c>
      <c r="Z387" s="1647">
        <v>38355</v>
      </c>
      <c r="AA387" s="1650">
        <f t="shared" ca="1" si="23"/>
        <v>14.333333333333334</v>
      </c>
      <c r="AB387" s="2444" t="e">
        <v>#REF!</v>
      </c>
      <c r="AC387" s="2446" t="e">
        <f>+#REF!-#REF!</f>
        <v>#REF!</v>
      </c>
      <c r="AD387" s="2438"/>
    </row>
    <row r="388" spans="1:30" ht="15.75" hidden="1" customHeight="1">
      <c r="A388" s="1644">
        <f t="shared" si="10"/>
        <v>0</v>
      </c>
      <c r="B388" s="1645" t="s">
        <v>4419</v>
      </c>
      <c r="C388" s="1645" t="s">
        <v>4412</v>
      </c>
      <c r="D388" s="1645" t="s">
        <v>4413</v>
      </c>
      <c r="E388" s="1646" t="s">
        <v>2798</v>
      </c>
      <c r="F388" s="1645">
        <f t="shared" si="22"/>
        <v>1988</v>
      </c>
      <c r="G388" s="1647">
        <v>32504</v>
      </c>
      <c r="H388" s="1644" t="s">
        <v>3636</v>
      </c>
      <c r="I388" s="1648" t="s">
        <v>3629</v>
      </c>
      <c r="J388" s="1645" t="s">
        <v>37</v>
      </c>
      <c r="K388" s="1645">
        <v>0</v>
      </c>
      <c r="L388" s="1645" t="s">
        <v>4420</v>
      </c>
      <c r="M388" s="1645" t="s">
        <v>4420</v>
      </c>
      <c r="N388" s="1645"/>
      <c r="O388" s="1645" t="s">
        <v>3645</v>
      </c>
      <c r="P388" s="1649"/>
      <c r="Q388" s="1645"/>
      <c r="R388" s="1644"/>
      <c r="S388" s="1644"/>
      <c r="T388" s="1644" t="s">
        <v>936</v>
      </c>
      <c r="U388" s="1644" t="s">
        <v>3711</v>
      </c>
      <c r="V388" s="1644"/>
      <c r="W388" s="1644">
        <v>0</v>
      </c>
      <c r="X388" s="1644"/>
      <c r="Y388" s="1647">
        <v>43531</v>
      </c>
      <c r="Z388" s="1647">
        <v>43897</v>
      </c>
      <c r="AA388" s="1650">
        <f t="shared" ca="1" si="23"/>
        <v>19.166666666666668</v>
      </c>
      <c r="AB388" s="2444" t="s">
        <v>3629</v>
      </c>
      <c r="AC388" s="2445"/>
      <c r="AD388" s="2438"/>
    </row>
    <row r="389" spans="1:30" ht="15.75" hidden="1" customHeight="1">
      <c r="A389" s="1644">
        <f t="shared" si="10"/>
        <v>0</v>
      </c>
      <c r="B389" s="1645" t="s">
        <v>4421</v>
      </c>
      <c r="C389" s="1645" t="s">
        <v>4412</v>
      </c>
      <c r="D389" s="1645" t="s">
        <v>4413</v>
      </c>
      <c r="E389" s="1646" t="s">
        <v>2798</v>
      </c>
      <c r="F389" s="1645">
        <f t="shared" si="22"/>
        <v>1988</v>
      </c>
      <c r="G389" s="1647">
        <v>32340</v>
      </c>
      <c r="H389" s="1644" t="s">
        <v>3636</v>
      </c>
      <c r="I389" s="1648" t="s">
        <v>3629</v>
      </c>
      <c r="J389" s="1645" t="s">
        <v>38</v>
      </c>
      <c r="K389" s="1645">
        <v>0</v>
      </c>
      <c r="L389" s="1645" t="s">
        <v>4057</v>
      </c>
      <c r="M389" s="1645" t="s">
        <v>4250</v>
      </c>
      <c r="N389" s="1645"/>
      <c r="O389" s="1645" t="s">
        <v>4250</v>
      </c>
      <c r="P389" s="1649">
        <v>44718</v>
      </c>
      <c r="Q389" s="1645" t="s">
        <v>3693</v>
      </c>
      <c r="R389" s="1647" t="s">
        <v>4422</v>
      </c>
      <c r="S389" s="1644"/>
      <c r="T389" s="1644" t="s">
        <v>936</v>
      </c>
      <c r="U389" s="1644" t="s">
        <v>3711</v>
      </c>
      <c r="V389" s="1644"/>
      <c r="W389" s="1644" t="s">
        <v>936</v>
      </c>
      <c r="X389" s="1644" t="s">
        <v>3759</v>
      </c>
      <c r="Y389" s="1647"/>
      <c r="Z389" s="1647" t="s">
        <v>936</v>
      </c>
      <c r="AA389" s="1650">
        <f t="shared" ca="1" si="23"/>
        <v>18.75</v>
      </c>
      <c r="AB389" s="2444" t="s">
        <v>3629</v>
      </c>
      <c r="AC389" s="2445"/>
      <c r="AD389" s="2438"/>
    </row>
    <row r="390" spans="1:30" ht="15.75" hidden="1" customHeight="1">
      <c r="A390" s="1644">
        <f t="shared" si="10"/>
        <v>0</v>
      </c>
      <c r="B390" s="1645" t="s">
        <v>4423</v>
      </c>
      <c r="C390" s="1645" t="s">
        <v>4412</v>
      </c>
      <c r="D390" s="1645" t="s">
        <v>4413</v>
      </c>
      <c r="E390" s="1644" t="s">
        <v>2798</v>
      </c>
      <c r="F390" s="1645">
        <f t="shared" si="22"/>
        <v>1988</v>
      </c>
      <c r="G390" s="1647">
        <v>32398</v>
      </c>
      <c r="H390" s="1644" t="s">
        <v>3636</v>
      </c>
      <c r="I390" s="1648" t="s">
        <v>3629</v>
      </c>
      <c r="J390" s="1645" t="s">
        <v>37</v>
      </c>
      <c r="K390" s="1645">
        <v>0</v>
      </c>
      <c r="L390" s="1645" t="s">
        <v>4424</v>
      </c>
      <c r="M390" s="1645" t="s">
        <v>4425</v>
      </c>
      <c r="N390" s="1645"/>
      <c r="O390" s="1645" t="s">
        <v>4426</v>
      </c>
      <c r="P390" s="1649"/>
      <c r="Q390" s="1645"/>
      <c r="R390" s="1647" t="s">
        <v>4427</v>
      </c>
      <c r="S390" s="1644"/>
      <c r="T390" s="1644">
        <v>2018</v>
      </c>
      <c r="U390" s="1644"/>
      <c r="V390" s="1644"/>
      <c r="W390" s="1644">
        <v>0</v>
      </c>
      <c r="X390" s="1644" t="s">
        <v>3633</v>
      </c>
      <c r="Y390" s="1647"/>
      <c r="Z390" s="1647"/>
      <c r="AA390" s="1650">
        <f t="shared" ca="1" si="23"/>
        <v>18.916666666666668</v>
      </c>
      <c r="AB390" s="2444" t="s">
        <v>3629</v>
      </c>
      <c r="AC390" s="2445"/>
      <c r="AD390" s="2438"/>
    </row>
    <row r="391" spans="1:30" ht="15.75" hidden="1" customHeight="1">
      <c r="A391" s="1644">
        <f t="shared" si="10"/>
        <v>0</v>
      </c>
      <c r="B391" s="1645" t="s">
        <v>4428</v>
      </c>
      <c r="C391" s="1645" t="s">
        <v>4412</v>
      </c>
      <c r="D391" s="1645" t="s">
        <v>4413</v>
      </c>
      <c r="E391" s="1644" t="s">
        <v>4429</v>
      </c>
      <c r="F391" s="1645">
        <f t="shared" si="22"/>
        <v>1989</v>
      </c>
      <c r="G391" s="1647">
        <v>32629</v>
      </c>
      <c r="H391" s="1644" t="s">
        <v>3636</v>
      </c>
      <c r="I391" s="1648" t="s">
        <v>3629</v>
      </c>
      <c r="J391" s="1645" t="s">
        <v>37</v>
      </c>
      <c r="K391" s="1645"/>
      <c r="L391" s="1651" t="s">
        <v>4081</v>
      </c>
      <c r="M391" s="1645" t="s">
        <v>4081</v>
      </c>
      <c r="N391" s="1645"/>
      <c r="O391" s="1645">
        <v>0</v>
      </c>
      <c r="P391" s="1649"/>
      <c r="Q391" s="1645"/>
      <c r="R391" s="1647" t="s">
        <v>4430</v>
      </c>
      <c r="S391" s="1644"/>
      <c r="T391" s="1644">
        <v>0</v>
      </c>
      <c r="U391" s="1644"/>
      <c r="V391" s="1644"/>
      <c r="W391" s="1644">
        <v>0</v>
      </c>
      <c r="X391" s="1644"/>
      <c r="Y391" s="1647"/>
      <c r="Z391" s="1647"/>
      <c r="AA391" s="1650">
        <f t="shared" ca="1" si="23"/>
        <v>19.5</v>
      </c>
      <c r="AB391" s="2444" t="s">
        <v>3629</v>
      </c>
      <c r="AC391" s="2445"/>
      <c r="AD391" s="2438"/>
    </row>
    <row r="392" spans="1:30" ht="15.75" hidden="1" customHeight="1">
      <c r="A392" s="1644">
        <f t="shared" si="10"/>
        <v>0</v>
      </c>
      <c r="B392" s="1645" t="s">
        <v>4431</v>
      </c>
      <c r="C392" s="1645" t="s">
        <v>4412</v>
      </c>
      <c r="D392" s="1645" t="s">
        <v>4413</v>
      </c>
      <c r="E392" s="1644" t="s">
        <v>2798</v>
      </c>
      <c r="F392" s="1645">
        <f t="shared" si="22"/>
        <v>1988</v>
      </c>
      <c r="G392" s="1647">
        <v>32455</v>
      </c>
      <c r="H392" s="1644" t="s">
        <v>3636</v>
      </c>
      <c r="I392" s="1648" t="s">
        <v>3629</v>
      </c>
      <c r="J392" s="1645" t="s">
        <v>37</v>
      </c>
      <c r="K392" s="1645">
        <v>0</v>
      </c>
      <c r="L392" s="1645" t="s">
        <v>3756</v>
      </c>
      <c r="M392" s="1645" t="s">
        <v>4250</v>
      </c>
      <c r="N392" s="1645"/>
      <c r="O392" s="1645" t="s">
        <v>3645</v>
      </c>
      <c r="P392" s="1649"/>
      <c r="Q392" s="1645" t="s">
        <v>3693</v>
      </c>
      <c r="R392" s="1647" t="s">
        <v>3904</v>
      </c>
      <c r="S392" s="1644" t="s">
        <v>3696</v>
      </c>
      <c r="T392" s="1644" t="s">
        <v>936</v>
      </c>
      <c r="U392" s="1644" t="s">
        <v>3711</v>
      </c>
      <c r="V392" s="1644"/>
      <c r="W392" s="1644">
        <v>0</v>
      </c>
      <c r="X392" s="1644"/>
      <c r="Y392" s="1647">
        <v>38514</v>
      </c>
      <c r="Z392" s="1647">
        <v>38879</v>
      </c>
      <c r="AA392" s="1650">
        <f t="shared" ca="1" si="23"/>
        <v>19.083333333333332</v>
      </c>
      <c r="AB392" s="2444" t="s">
        <v>3629</v>
      </c>
      <c r="AC392" s="2445"/>
      <c r="AD392" s="2438"/>
    </row>
    <row r="393" spans="1:30" ht="15.75" hidden="1" customHeight="1">
      <c r="A393" s="1644">
        <f t="shared" si="10"/>
        <v>0</v>
      </c>
      <c r="B393" s="1645" t="s">
        <v>4432</v>
      </c>
      <c r="C393" s="1645" t="s">
        <v>4412</v>
      </c>
      <c r="D393" s="1645" t="s">
        <v>4413</v>
      </c>
      <c r="E393" s="1644" t="s">
        <v>2798</v>
      </c>
      <c r="F393" s="1645">
        <f t="shared" si="22"/>
        <v>1988</v>
      </c>
      <c r="G393" s="1647">
        <v>32309</v>
      </c>
      <c r="H393" s="1644" t="s">
        <v>3636</v>
      </c>
      <c r="I393" s="1648" t="s">
        <v>3629</v>
      </c>
      <c r="J393" s="1645" t="s">
        <v>37</v>
      </c>
      <c r="K393" s="1645">
        <v>0</v>
      </c>
      <c r="L393" s="1645" t="s">
        <v>4420</v>
      </c>
      <c r="M393" s="1645" t="s">
        <v>4420</v>
      </c>
      <c r="N393" s="1645"/>
      <c r="O393" s="1645" t="s">
        <v>4426</v>
      </c>
      <c r="P393" s="1649"/>
      <c r="Q393" s="1645"/>
      <c r="R393" s="1644" t="s">
        <v>3904</v>
      </c>
      <c r="S393" s="1644"/>
      <c r="T393" s="1644">
        <v>2018</v>
      </c>
      <c r="U393" s="1644" t="s">
        <v>3711</v>
      </c>
      <c r="V393" s="1644"/>
      <c r="W393" s="1644">
        <v>0</v>
      </c>
      <c r="X393" s="1644"/>
      <c r="Y393" s="1647"/>
      <c r="Z393" s="1647"/>
      <c r="AA393" s="1650">
        <f t="shared" ca="1" si="23"/>
        <v>18.666666666666668</v>
      </c>
      <c r="AB393" s="2444" t="s">
        <v>3629</v>
      </c>
      <c r="AC393" s="2445"/>
      <c r="AD393" s="2438"/>
    </row>
    <row r="394" spans="1:30" ht="15.75" hidden="1" customHeight="1">
      <c r="A394" s="1644">
        <f t="shared" si="10"/>
        <v>0</v>
      </c>
      <c r="B394" s="1645" t="s">
        <v>4433</v>
      </c>
      <c r="C394" s="1645" t="s">
        <v>4412</v>
      </c>
      <c r="D394" s="1645" t="s">
        <v>4413</v>
      </c>
      <c r="E394" s="1644" t="s">
        <v>2798</v>
      </c>
      <c r="F394" s="1645">
        <f t="shared" si="22"/>
        <v>1971</v>
      </c>
      <c r="G394" s="1647">
        <v>25987</v>
      </c>
      <c r="H394" s="1644" t="s">
        <v>3628</v>
      </c>
      <c r="I394" s="1648" t="s">
        <v>3629</v>
      </c>
      <c r="J394" s="1645" t="s">
        <v>38</v>
      </c>
      <c r="K394" s="1645">
        <v>0</v>
      </c>
      <c r="L394" s="1645" t="s">
        <v>4057</v>
      </c>
      <c r="M394" s="1645" t="s">
        <v>4153</v>
      </c>
      <c r="N394" s="1645"/>
      <c r="O394" s="1645" t="s">
        <v>4153</v>
      </c>
      <c r="P394" s="1649"/>
      <c r="Q394" s="1645" t="s">
        <v>3800</v>
      </c>
      <c r="R394" s="1647" t="s">
        <v>3699</v>
      </c>
      <c r="S394" s="1644" t="s">
        <v>3696</v>
      </c>
      <c r="T394" s="1644" t="s">
        <v>936</v>
      </c>
      <c r="U394" s="1644" t="s">
        <v>3631</v>
      </c>
      <c r="V394" s="1644"/>
      <c r="W394" s="1650" t="s">
        <v>3632</v>
      </c>
      <c r="X394" s="1644" t="s">
        <v>3759</v>
      </c>
      <c r="Y394" s="1647">
        <v>36074</v>
      </c>
      <c r="Z394" s="1647">
        <v>36439</v>
      </c>
      <c r="AA394" s="1650">
        <f t="shared" ca="1" si="23"/>
        <v>1.3333333333333333</v>
      </c>
      <c r="AB394" s="2444" t="s">
        <v>3629</v>
      </c>
      <c r="AC394" s="2445"/>
      <c r="AD394" s="2438"/>
    </row>
    <row r="395" spans="1:30" ht="15.75" hidden="1" customHeight="1">
      <c r="A395" s="1644">
        <f t="shared" si="10"/>
        <v>0</v>
      </c>
      <c r="B395" s="1645" t="s">
        <v>4434</v>
      </c>
      <c r="C395" s="1645" t="s">
        <v>4412</v>
      </c>
      <c r="D395" s="1645" t="s">
        <v>4413</v>
      </c>
      <c r="E395" s="1646" t="s">
        <v>2798</v>
      </c>
      <c r="F395" s="1645">
        <f t="shared" si="22"/>
        <v>1984</v>
      </c>
      <c r="G395" s="1647">
        <v>30844</v>
      </c>
      <c r="H395" s="1644" t="s">
        <v>3636</v>
      </c>
      <c r="I395" s="1648" t="s">
        <v>3629</v>
      </c>
      <c r="J395" s="1645" t="s">
        <v>37</v>
      </c>
      <c r="K395" s="1645">
        <v>0</v>
      </c>
      <c r="L395" s="1645" t="s">
        <v>4057</v>
      </c>
      <c r="M395" s="1645" t="s">
        <v>4250</v>
      </c>
      <c r="N395" s="1645"/>
      <c r="O395" s="1645" t="s">
        <v>4250</v>
      </c>
      <c r="P395" s="1649"/>
      <c r="Q395" s="1645" t="s">
        <v>3693</v>
      </c>
      <c r="R395" s="1647" t="s">
        <v>3710</v>
      </c>
      <c r="S395" s="1644" t="s">
        <v>3696</v>
      </c>
      <c r="T395" s="1644" t="s">
        <v>936</v>
      </c>
      <c r="U395" s="1644" t="s">
        <v>3711</v>
      </c>
      <c r="V395" s="1644"/>
      <c r="W395" s="1650" t="s">
        <v>3646</v>
      </c>
      <c r="X395" s="1644"/>
      <c r="Y395" s="1647">
        <v>38514</v>
      </c>
      <c r="Z395" s="1647">
        <v>38879</v>
      </c>
      <c r="AA395" s="1650">
        <f t="shared" ca="1" si="23"/>
        <v>14.666666666666666</v>
      </c>
      <c r="AB395" s="2444" t="s">
        <v>3629</v>
      </c>
      <c r="AC395" s="2445"/>
      <c r="AD395" s="2438"/>
    </row>
    <row r="396" spans="1:30" ht="15.75" hidden="1" customHeight="1">
      <c r="A396" s="1644">
        <f t="shared" si="10"/>
        <v>0</v>
      </c>
      <c r="B396" s="1645" t="s">
        <v>4435</v>
      </c>
      <c r="C396" s="1645" t="s">
        <v>4412</v>
      </c>
      <c r="D396" s="1645" t="s">
        <v>4413</v>
      </c>
      <c r="E396" s="1646" t="s">
        <v>2797</v>
      </c>
      <c r="F396" s="1645">
        <f t="shared" si="22"/>
        <v>1983</v>
      </c>
      <c r="G396" s="1647">
        <v>30415</v>
      </c>
      <c r="H396" s="1644" t="s">
        <v>3636</v>
      </c>
      <c r="I396" s="1648" t="s">
        <v>3629</v>
      </c>
      <c r="J396" s="1645" t="s">
        <v>38</v>
      </c>
      <c r="K396" s="1645">
        <v>0</v>
      </c>
      <c r="L396" s="1645" t="s">
        <v>4057</v>
      </c>
      <c r="M396" s="1645" t="s">
        <v>4250</v>
      </c>
      <c r="N396" s="1645"/>
      <c r="O396" s="1645" t="s">
        <v>4250</v>
      </c>
      <c r="P396" s="1649"/>
      <c r="Q396" s="1645" t="s">
        <v>3757</v>
      </c>
      <c r="R396" s="1644"/>
      <c r="S396" s="1644" t="s">
        <v>3696</v>
      </c>
      <c r="T396" s="1644"/>
      <c r="U396" s="1644" t="s">
        <v>3761</v>
      </c>
      <c r="V396" s="1644"/>
      <c r="W396" s="1644">
        <v>0</v>
      </c>
      <c r="X396" s="1644" t="s">
        <v>4436</v>
      </c>
      <c r="Y396" s="1647">
        <v>38113</v>
      </c>
      <c r="Z396" s="1647">
        <v>38478</v>
      </c>
      <c r="AA396" s="1650">
        <f t="shared" ca="1" si="23"/>
        <v>18.5</v>
      </c>
      <c r="AB396" s="2444" t="s">
        <v>3629</v>
      </c>
      <c r="AC396" s="2446" t="e">
        <f t="shared" ref="AC396:AC397" si="24">+#REF!-#REF!</f>
        <v>#REF!</v>
      </c>
      <c r="AD396" s="2438"/>
    </row>
    <row r="397" spans="1:30" ht="15.75" hidden="1" customHeight="1">
      <c r="A397" s="1644">
        <f t="shared" si="10"/>
        <v>0</v>
      </c>
      <c r="B397" s="1645" t="s">
        <v>4437</v>
      </c>
      <c r="C397" s="1645" t="s">
        <v>4412</v>
      </c>
      <c r="D397" s="1645" t="s">
        <v>4413</v>
      </c>
      <c r="E397" s="1644" t="s">
        <v>2797</v>
      </c>
      <c r="F397" s="1645">
        <f t="shared" si="22"/>
        <v>1963</v>
      </c>
      <c r="G397" s="1647">
        <v>23016</v>
      </c>
      <c r="H397" s="1644" t="s">
        <v>3797</v>
      </c>
      <c r="I397" s="1648" t="s">
        <v>3629</v>
      </c>
      <c r="J397" s="1645" t="s">
        <v>38</v>
      </c>
      <c r="K397" s="1645" t="s">
        <v>3798</v>
      </c>
      <c r="L397" s="1645" t="s">
        <v>4153</v>
      </c>
      <c r="M397" s="1645" t="s">
        <v>4153</v>
      </c>
      <c r="N397" s="1645"/>
      <c r="O397" s="1645" t="s">
        <v>4153</v>
      </c>
      <c r="P397" s="1649"/>
      <c r="Q397" s="1645" t="s">
        <v>3693</v>
      </c>
      <c r="R397" s="1644" t="s">
        <v>3683</v>
      </c>
      <c r="S397" s="1644" t="s">
        <v>3696</v>
      </c>
      <c r="T397" s="1644" t="s">
        <v>936</v>
      </c>
      <c r="U397" s="1644" t="s">
        <v>3802</v>
      </c>
      <c r="V397" s="1644"/>
      <c r="W397" s="1644">
        <v>0</v>
      </c>
      <c r="X397" s="1644" t="s">
        <v>3759</v>
      </c>
      <c r="Y397" s="1647">
        <v>33714</v>
      </c>
      <c r="Z397" s="1647">
        <v>33714</v>
      </c>
      <c r="AA397" s="1650">
        <f t="shared" ca="1" si="23"/>
        <v>-1.75</v>
      </c>
      <c r="AB397" s="2444" t="s">
        <v>3629</v>
      </c>
      <c r="AC397" s="2446" t="e">
        <f t="shared" si="24"/>
        <v>#REF!</v>
      </c>
      <c r="AD397" s="2438"/>
    </row>
    <row r="398" spans="1:30" ht="15.75" hidden="1" customHeight="1">
      <c r="A398" s="1644">
        <f t="shared" si="10"/>
        <v>0</v>
      </c>
      <c r="B398" s="1645" t="s">
        <v>4438</v>
      </c>
      <c r="C398" s="1645" t="s">
        <v>4412</v>
      </c>
      <c r="D398" s="1645" t="s">
        <v>4413</v>
      </c>
      <c r="E398" s="1644" t="s">
        <v>2798</v>
      </c>
      <c r="F398" s="1645">
        <f t="shared" si="22"/>
        <v>1982</v>
      </c>
      <c r="G398" s="1647">
        <v>30241</v>
      </c>
      <c r="H398" s="1644" t="s">
        <v>3636</v>
      </c>
      <c r="I398" s="1648" t="s">
        <v>3629</v>
      </c>
      <c r="J398" s="1645" t="s">
        <v>38</v>
      </c>
      <c r="K398" s="1645">
        <v>0</v>
      </c>
      <c r="L398" s="1645" t="s">
        <v>4439</v>
      </c>
      <c r="M398" s="1645" t="s">
        <v>4153</v>
      </c>
      <c r="N398" s="1645"/>
      <c r="O398" s="1645" t="s">
        <v>4153</v>
      </c>
      <c r="P398" s="1649">
        <v>44196</v>
      </c>
      <c r="Q398" s="1645" t="s">
        <v>3693</v>
      </c>
      <c r="R398" s="1647" t="s">
        <v>3699</v>
      </c>
      <c r="S398" s="1644"/>
      <c r="T398" s="1644" t="s">
        <v>936</v>
      </c>
      <c r="U398" s="1644" t="s">
        <v>3711</v>
      </c>
      <c r="V398" s="1644"/>
      <c r="W398" s="1644" t="s">
        <v>4440</v>
      </c>
      <c r="X398" s="1644" t="s">
        <v>3633</v>
      </c>
      <c r="Y398" s="1647">
        <v>37735</v>
      </c>
      <c r="Z398" s="1647">
        <v>38101</v>
      </c>
      <c r="AA398" s="1650">
        <f t="shared" ca="1" si="23"/>
        <v>13</v>
      </c>
      <c r="AB398" s="2444" t="e">
        <v>#REF!</v>
      </c>
      <c r="AC398" s="2445"/>
      <c r="AD398" s="2438"/>
    </row>
    <row r="399" spans="1:30" ht="15.75" hidden="1" customHeight="1">
      <c r="A399" s="1644">
        <f t="shared" si="10"/>
        <v>0</v>
      </c>
      <c r="B399" s="1645" t="s">
        <v>4441</v>
      </c>
      <c r="C399" s="1645" t="s">
        <v>4412</v>
      </c>
      <c r="D399" s="1645" t="s">
        <v>4413</v>
      </c>
      <c r="E399" s="1646" t="s">
        <v>2798</v>
      </c>
      <c r="F399" s="1645">
        <f t="shared" si="22"/>
        <v>1975</v>
      </c>
      <c r="G399" s="1647">
        <v>27514</v>
      </c>
      <c r="H399" s="1644" t="s">
        <v>3628</v>
      </c>
      <c r="I399" s="1648" t="s">
        <v>3629</v>
      </c>
      <c r="J399" s="1645" t="s">
        <v>38</v>
      </c>
      <c r="K399" s="1645">
        <v>0</v>
      </c>
      <c r="L399" s="1645" t="s">
        <v>4442</v>
      </c>
      <c r="M399" s="1645" t="s">
        <v>4443</v>
      </c>
      <c r="N399" s="1645"/>
      <c r="O399" s="1645" t="s">
        <v>4443</v>
      </c>
      <c r="P399" s="1649"/>
      <c r="Q399" s="1645" t="s">
        <v>3693</v>
      </c>
      <c r="R399" s="1647" t="s">
        <v>3952</v>
      </c>
      <c r="S399" s="1644" t="s">
        <v>3696</v>
      </c>
      <c r="T399" s="1644" t="s">
        <v>936</v>
      </c>
      <c r="U399" s="1644" t="s">
        <v>3631</v>
      </c>
      <c r="V399" s="1644"/>
      <c r="W399" s="1650" t="s">
        <v>3653</v>
      </c>
      <c r="X399" s="1644" t="s">
        <v>3759</v>
      </c>
      <c r="Y399" s="1647">
        <v>34883</v>
      </c>
      <c r="Z399" s="1647">
        <v>35249</v>
      </c>
      <c r="AA399" s="1650">
        <f t="shared" ca="1" si="23"/>
        <v>5.5</v>
      </c>
      <c r="AB399" s="2444" t="e">
        <v>#REF!</v>
      </c>
      <c r="AC399" s="2446" t="e">
        <f>+#REF!-#REF!</f>
        <v>#REF!</v>
      </c>
      <c r="AD399" s="2438"/>
    </row>
    <row r="400" spans="1:30" ht="15.75" hidden="1" customHeight="1">
      <c r="A400" s="1644">
        <f t="shared" si="10"/>
        <v>0</v>
      </c>
      <c r="B400" s="1645" t="s">
        <v>4444</v>
      </c>
      <c r="C400" s="1645" t="s">
        <v>4412</v>
      </c>
      <c r="D400" s="1648" t="s">
        <v>3627</v>
      </c>
      <c r="E400" s="1644" t="s">
        <v>2797</v>
      </c>
      <c r="F400" s="1645">
        <f t="shared" si="22"/>
        <v>1978</v>
      </c>
      <c r="G400" s="1647">
        <v>28771</v>
      </c>
      <c r="H400" s="1644" t="s">
        <v>3628</v>
      </c>
      <c r="I400" s="1648" t="s">
        <v>3629</v>
      </c>
      <c r="J400" s="1645" t="s">
        <v>38</v>
      </c>
      <c r="K400" s="1645">
        <v>0</v>
      </c>
      <c r="L400" s="1645" t="s">
        <v>4445</v>
      </c>
      <c r="M400" s="1645" t="s">
        <v>4445</v>
      </c>
      <c r="N400" s="1645"/>
      <c r="O400" s="1645" t="s">
        <v>4445</v>
      </c>
      <c r="P400" s="1649"/>
      <c r="Q400" s="1645" t="s">
        <v>3693</v>
      </c>
      <c r="R400" s="1647" t="s">
        <v>3882</v>
      </c>
      <c r="S400" s="1644"/>
      <c r="T400" s="1644" t="s">
        <v>936</v>
      </c>
      <c r="U400" s="1644" t="s">
        <v>3631</v>
      </c>
      <c r="V400" s="1644"/>
      <c r="W400" s="1650" t="s">
        <v>3653</v>
      </c>
      <c r="X400" s="1644" t="s">
        <v>3707</v>
      </c>
      <c r="Y400" s="1647">
        <v>40881</v>
      </c>
      <c r="Z400" s="1647">
        <v>41247</v>
      </c>
      <c r="AA400" s="1650">
        <f t="shared" ca="1" si="23"/>
        <v>14</v>
      </c>
      <c r="AB400" s="2444" t="s">
        <v>3629</v>
      </c>
      <c r="AC400" s="2445"/>
      <c r="AD400" s="2438"/>
    </row>
    <row r="401" spans="1:30" ht="15.75" hidden="1" customHeight="1">
      <c r="A401" s="1644">
        <f t="shared" si="10"/>
        <v>0</v>
      </c>
      <c r="B401" s="1645" t="s">
        <v>4446</v>
      </c>
      <c r="C401" s="1645" t="s">
        <v>4412</v>
      </c>
      <c r="D401" s="1648" t="s">
        <v>3627</v>
      </c>
      <c r="E401" s="1646" t="s">
        <v>2797</v>
      </c>
      <c r="F401" s="1645">
        <f t="shared" si="22"/>
        <v>1962</v>
      </c>
      <c r="G401" s="1647">
        <v>22681</v>
      </c>
      <c r="H401" s="1644" t="s">
        <v>3797</v>
      </c>
      <c r="I401" s="1648" t="s">
        <v>3629</v>
      </c>
      <c r="J401" s="1645" t="s">
        <v>38</v>
      </c>
      <c r="K401" s="1645" t="s">
        <v>3798</v>
      </c>
      <c r="L401" s="1645" t="s">
        <v>2682</v>
      </c>
      <c r="M401" s="1645" t="s">
        <v>3655</v>
      </c>
      <c r="N401" s="1645"/>
      <c r="O401" s="1645" t="s">
        <v>3655</v>
      </c>
      <c r="P401" s="1649"/>
      <c r="Q401" s="1645" t="s">
        <v>3800</v>
      </c>
      <c r="R401" s="1644" t="s">
        <v>3710</v>
      </c>
      <c r="S401" s="1644"/>
      <c r="T401" s="1644" t="s">
        <v>936</v>
      </c>
      <c r="U401" s="1644" t="s">
        <v>3802</v>
      </c>
      <c r="V401" s="1644"/>
      <c r="W401" s="1644">
        <v>0</v>
      </c>
      <c r="X401" s="1644"/>
      <c r="Y401" s="1647">
        <v>35244</v>
      </c>
      <c r="Z401" s="1647">
        <v>35609</v>
      </c>
      <c r="AA401" s="1650">
        <f t="shared" ca="1" si="23"/>
        <v>-2.6666666666666665</v>
      </c>
      <c r="AB401" s="2444" t="s">
        <v>3629</v>
      </c>
      <c r="AC401" s="2445"/>
      <c r="AD401" s="2438"/>
    </row>
    <row r="402" spans="1:30" ht="15.75" hidden="1" customHeight="1">
      <c r="A402" s="1644">
        <f t="shared" si="10"/>
        <v>0</v>
      </c>
      <c r="B402" s="1645" t="s">
        <v>4447</v>
      </c>
      <c r="C402" s="1645" t="s">
        <v>4412</v>
      </c>
      <c r="D402" s="1648" t="s">
        <v>3627</v>
      </c>
      <c r="E402" s="1644" t="s">
        <v>2798</v>
      </c>
      <c r="F402" s="1645">
        <f t="shared" si="22"/>
        <v>1985</v>
      </c>
      <c r="G402" s="1647">
        <v>31065</v>
      </c>
      <c r="H402" s="1644" t="s">
        <v>3636</v>
      </c>
      <c r="I402" s="1648" t="s">
        <v>3629</v>
      </c>
      <c r="J402" s="1645" t="s">
        <v>37</v>
      </c>
      <c r="K402" s="1645">
        <v>0</v>
      </c>
      <c r="L402" s="1645" t="s">
        <v>4448</v>
      </c>
      <c r="M402" s="1645" t="s">
        <v>4448</v>
      </c>
      <c r="N402" s="1645"/>
      <c r="O402" s="1645" t="s">
        <v>3645</v>
      </c>
      <c r="P402" s="1649"/>
      <c r="Q402" s="1645"/>
      <c r="R402" s="1644"/>
      <c r="S402" s="1644" t="s">
        <v>3696</v>
      </c>
      <c r="T402" s="1644" t="s">
        <v>936</v>
      </c>
      <c r="U402" s="1644" t="s">
        <v>3711</v>
      </c>
      <c r="V402" s="1644"/>
      <c r="W402" s="1650" t="s">
        <v>3653</v>
      </c>
      <c r="X402" s="1644"/>
      <c r="Y402" s="1647">
        <v>43747</v>
      </c>
      <c r="Z402" s="1647">
        <v>44113</v>
      </c>
      <c r="AA402" s="1650">
        <f t="shared" ca="1" si="23"/>
        <v>15.25</v>
      </c>
      <c r="AB402" s="2444" t="s">
        <v>3629</v>
      </c>
      <c r="AC402" s="2445"/>
      <c r="AD402" s="2438"/>
    </row>
    <row r="403" spans="1:30" ht="15.75" hidden="1" customHeight="1">
      <c r="A403" s="1644">
        <f t="shared" si="10"/>
        <v>0</v>
      </c>
      <c r="B403" s="1645" t="s">
        <v>4449</v>
      </c>
      <c r="C403" s="1645" t="s">
        <v>4412</v>
      </c>
      <c r="D403" s="1648" t="s">
        <v>3627</v>
      </c>
      <c r="E403" s="1646" t="s">
        <v>2798</v>
      </c>
      <c r="F403" s="1645">
        <f t="shared" si="22"/>
        <v>1980</v>
      </c>
      <c r="G403" s="1647">
        <v>29493</v>
      </c>
      <c r="H403" s="1644" t="s">
        <v>3628</v>
      </c>
      <c r="I403" s="1648" t="s">
        <v>3629</v>
      </c>
      <c r="J403" s="1645" t="s">
        <v>38</v>
      </c>
      <c r="K403" s="1645">
        <v>0</v>
      </c>
      <c r="L403" s="1645" t="s">
        <v>2682</v>
      </c>
      <c r="M403" s="1645" t="s">
        <v>4450</v>
      </c>
      <c r="N403" s="1645"/>
      <c r="O403" s="1645" t="s">
        <v>4451</v>
      </c>
      <c r="P403" s="1649"/>
      <c r="Q403" s="1645" t="s">
        <v>3693</v>
      </c>
      <c r="R403" s="1647" t="s">
        <v>4203</v>
      </c>
      <c r="S403" s="1644" t="s">
        <v>3696</v>
      </c>
      <c r="T403" s="1644" t="s">
        <v>936</v>
      </c>
      <c r="U403" s="1644" t="s">
        <v>3631</v>
      </c>
      <c r="V403" s="1644"/>
      <c r="W403" s="1644">
        <v>0</v>
      </c>
      <c r="X403" s="1644" t="s">
        <v>3707</v>
      </c>
      <c r="Y403" s="1647">
        <v>37798</v>
      </c>
      <c r="Z403" s="1647">
        <v>38164</v>
      </c>
      <c r="AA403" s="1650">
        <f t="shared" ca="1" si="23"/>
        <v>10.916666666666666</v>
      </c>
      <c r="AB403" s="2444" t="e">
        <v>#REF!</v>
      </c>
      <c r="AC403" s="2446" t="e">
        <f>+#REF!-#REF!</f>
        <v>#REF!</v>
      </c>
      <c r="AD403" s="2438"/>
    </row>
    <row r="404" spans="1:30" ht="15.75" hidden="1" customHeight="1">
      <c r="A404" s="1644">
        <f t="shared" si="10"/>
        <v>0</v>
      </c>
      <c r="B404" s="1645" t="s">
        <v>4452</v>
      </c>
      <c r="C404" s="1645" t="s">
        <v>4412</v>
      </c>
      <c r="D404" s="1648" t="s">
        <v>3627</v>
      </c>
      <c r="E404" s="1644" t="s">
        <v>2798</v>
      </c>
      <c r="F404" s="1645">
        <f t="shared" si="22"/>
        <v>1988</v>
      </c>
      <c r="G404" s="1647">
        <v>32445</v>
      </c>
      <c r="H404" s="1644" t="s">
        <v>3636</v>
      </c>
      <c r="I404" s="1648" t="s">
        <v>3629</v>
      </c>
      <c r="J404" s="1645" t="s">
        <v>37</v>
      </c>
      <c r="K404" s="1645">
        <v>0</v>
      </c>
      <c r="L404" s="1645" t="s">
        <v>4453</v>
      </c>
      <c r="M404" s="1645" t="s">
        <v>4453</v>
      </c>
      <c r="N404" s="1645"/>
      <c r="O404" s="1645" t="s">
        <v>3645</v>
      </c>
      <c r="P404" s="1649"/>
      <c r="Q404" s="1645"/>
      <c r="R404" s="1647" t="s">
        <v>3710</v>
      </c>
      <c r="S404" s="1644" t="s">
        <v>3696</v>
      </c>
      <c r="T404" s="1644" t="s">
        <v>936</v>
      </c>
      <c r="U404" s="1644" t="s">
        <v>3711</v>
      </c>
      <c r="V404" s="1644"/>
      <c r="W404" s="1644">
        <v>0</v>
      </c>
      <c r="X404" s="1644"/>
      <c r="Y404" s="1647">
        <v>0</v>
      </c>
      <c r="Z404" s="1647">
        <v>0</v>
      </c>
      <c r="AA404" s="1650">
        <f t="shared" ca="1" si="23"/>
        <v>19</v>
      </c>
      <c r="AB404" s="2444" t="s">
        <v>3629</v>
      </c>
      <c r="AC404" s="2445"/>
      <c r="AD404" s="2438"/>
    </row>
    <row r="405" spans="1:30" ht="15.75" hidden="1" customHeight="1">
      <c r="A405" s="1644">
        <f t="shared" si="10"/>
        <v>0</v>
      </c>
      <c r="B405" s="1645" t="s">
        <v>4454</v>
      </c>
      <c r="C405" s="1645" t="s">
        <v>4412</v>
      </c>
      <c r="D405" s="1648" t="s">
        <v>3627</v>
      </c>
      <c r="E405" s="1646" t="s">
        <v>2798</v>
      </c>
      <c r="F405" s="1645">
        <f t="shared" si="22"/>
        <v>1984</v>
      </c>
      <c r="G405" s="1647">
        <v>31026</v>
      </c>
      <c r="H405" s="1644" t="s">
        <v>3636</v>
      </c>
      <c r="I405" s="1648" t="s">
        <v>3629</v>
      </c>
      <c r="J405" s="1645" t="s">
        <v>37</v>
      </c>
      <c r="K405" s="1645">
        <v>0</v>
      </c>
      <c r="L405" s="1645" t="s">
        <v>4448</v>
      </c>
      <c r="M405" s="1645" t="s">
        <v>4448</v>
      </c>
      <c r="N405" s="1645"/>
      <c r="O405" s="1645" t="s">
        <v>4448</v>
      </c>
      <c r="P405" s="1649"/>
      <c r="Q405" s="1645"/>
      <c r="R405" s="1644" t="s">
        <v>3683</v>
      </c>
      <c r="S405" s="1644"/>
      <c r="T405" s="1644" t="s">
        <v>936</v>
      </c>
      <c r="U405" s="1644" t="s">
        <v>3711</v>
      </c>
      <c r="V405" s="1644"/>
      <c r="W405" s="1644">
        <v>0</v>
      </c>
      <c r="X405" s="1644"/>
      <c r="Y405" s="1647"/>
      <c r="Z405" s="1647"/>
      <c r="AA405" s="1650">
        <f t="shared" ca="1" si="23"/>
        <v>15.166666666666666</v>
      </c>
      <c r="AB405" s="2444" t="s">
        <v>3629</v>
      </c>
      <c r="AC405" s="2445"/>
      <c r="AD405" s="2438"/>
    </row>
    <row r="406" spans="1:30" ht="15.75" hidden="1" customHeight="1">
      <c r="A406" s="1644">
        <f t="shared" si="10"/>
        <v>0</v>
      </c>
      <c r="B406" s="1645" t="s">
        <v>4455</v>
      </c>
      <c r="C406" s="1645" t="s">
        <v>4412</v>
      </c>
      <c r="D406" s="1645" t="s">
        <v>3627</v>
      </c>
      <c r="E406" s="1644" t="s">
        <v>2797</v>
      </c>
      <c r="F406" s="1645">
        <f t="shared" si="22"/>
        <v>1978</v>
      </c>
      <c r="G406" s="1647">
        <v>28529</v>
      </c>
      <c r="H406" s="1644" t="s">
        <v>3628</v>
      </c>
      <c r="I406" s="1648" t="s">
        <v>3629</v>
      </c>
      <c r="J406" s="1645" t="s">
        <v>38</v>
      </c>
      <c r="K406" s="1645">
        <v>0</v>
      </c>
      <c r="L406" s="1645" t="s">
        <v>2682</v>
      </c>
      <c r="M406" s="1645" t="s">
        <v>4456</v>
      </c>
      <c r="N406" s="1645"/>
      <c r="O406" s="1645" t="s">
        <v>4456</v>
      </c>
      <c r="P406" s="1649"/>
      <c r="Q406" s="1645" t="s">
        <v>3757</v>
      </c>
      <c r="R406" s="1644"/>
      <c r="S406" s="1644" t="s">
        <v>3696</v>
      </c>
      <c r="T406" s="1644" t="s">
        <v>936</v>
      </c>
      <c r="U406" s="1644" t="s">
        <v>3697</v>
      </c>
      <c r="V406" s="1644"/>
      <c r="W406" s="1644" t="s">
        <v>3687</v>
      </c>
      <c r="X406" s="1644" t="s">
        <v>3633</v>
      </c>
      <c r="Y406" s="1647">
        <v>37763</v>
      </c>
      <c r="Z406" s="1647">
        <v>38129</v>
      </c>
      <c r="AA406" s="1650">
        <f t="shared" ca="1" si="23"/>
        <v>13.333333333333334</v>
      </c>
      <c r="AB406" s="2444" t="e">
        <v>#REF!</v>
      </c>
      <c r="AC406" s="2446" t="e">
        <f>+#REF!-#REF!</f>
        <v>#REF!</v>
      </c>
      <c r="AD406" s="2438"/>
    </row>
    <row r="407" spans="1:30" ht="15.75" hidden="1" customHeight="1">
      <c r="A407" s="1644">
        <f t="shared" si="10"/>
        <v>0</v>
      </c>
      <c r="B407" s="1645" t="s">
        <v>4457</v>
      </c>
      <c r="C407" s="1645" t="s">
        <v>4412</v>
      </c>
      <c r="D407" s="1648" t="s">
        <v>3627</v>
      </c>
      <c r="E407" s="1646" t="s">
        <v>2798</v>
      </c>
      <c r="F407" s="1645">
        <f t="shared" si="22"/>
        <v>1985</v>
      </c>
      <c r="G407" s="1647">
        <v>31338</v>
      </c>
      <c r="H407" s="1644" t="s">
        <v>3636</v>
      </c>
      <c r="I407" s="1648" t="s">
        <v>3629</v>
      </c>
      <c r="J407" s="1645" t="s">
        <v>37</v>
      </c>
      <c r="K407" s="1645">
        <v>0</v>
      </c>
      <c r="L407" s="1645" t="s">
        <v>4453</v>
      </c>
      <c r="M407" s="1645" t="s">
        <v>4458</v>
      </c>
      <c r="N407" s="1645"/>
      <c r="O407" s="1645" t="s">
        <v>3645</v>
      </c>
      <c r="P407" s="1649"/>
      <c r="Q407" s="1645"/>
      <c r="R407" s="1647" t="s">
        <v>3683</v>
      </c>
      <c r="S407" s="1644" t="s">
        <v>3696</v>
      </c>
      <c r="T407" s="1644" t="s">
        <v>936</v>
      </c>
      <c r="U407" s="1644" t="s">
        <v>3711</v>
      </c>
      <c r="V407" s="1644"/>
      <c r="W407" s="1644">
        <v>0</v>
      </c>
      <c r="X407" s="1644"/>
      <c r="Y407" s="1647">
        <v>42669</v>
      </c>
      <c r="Z407" s="1647">
        <v>43034</v>
      </c>
      <c r="AA407" s="1650">
        <f t="shared" ca="1" si="23"/>
        <v>16</v>
      </c>
      <c r="AB407" s="2444" t="s">
        <v>3629</v>
      </c>
      <c r="AC407" s="2445"/>
      <c r="AD407" s="2438"/>
    </row>
    <row r="408" spans="1:30" ht="15.75" hidden="1" customHeight="1">
      <c r="A408" s="1644">
        <f t="shared" si="10"/>
        <v>0</v>
      </c>
      <c r="B408" s="1645" t="s">
        <v>4459</v>
      </c>
      <c r="C408" s="1645" t="s">
        <v>4412</v>
      </c>
      <c r="D408" s="1648" t="s">
        <v>3627</v>
      </c>
      <c r="E408" s="1644" t="s">
        <v>2798</v>
      </c>
      <c r="F408" s="1645">
        <f t="shared" si="22"/>
        <v>1985</v>
      </c>
      <c r="G408" s="1647">
        <v>31102</v>
      </c>
      <c r="H408" s="1644" t="s">
        <v>3636</v>
      </c>
      <c r="I408" s="1648" t="s">
        <v>3629</v>
      </c>
      <c r="J408" s="1645" t="s">
        <v>37</v>
      </c>
      <c r="K408" s="1645">
        <v>0</v>
      </c>
      <c r="L408" s="1645" t="s">
        <v>4453</v>
      </c>
      <c r="M408" s="1645" t="s">
        <v>4453</v>
      </c>
      <c r="N408" s="1645"/>
      <c r="O408" s="1645" t="s">
        <v>3645</v>
      </c>
      <c r="P408" s="1649"/>
      <c r="Q408" s="1645"/>
      <c r="R408" s="1647" t="s">
        <v>3699</v>
      </c>
      <c r="S408" s="1644" t="s">
        <v>3696</v>
      </c>
      <c r="T408" s="1644" t="s">
        <v>936</v>
      </c>
      <c r="U408" s="1644" t="s">
        <v>3711</v>
      </c>
      <c r="V408" s="1644"/>
      <c r="W408" s="1644">
        <v>0</v>
      </c>
      <c r="X408" s="1644"/>
      <c r="Y408" s="1647">
        <v>43747</v>
      </c>
      <c r="Z408" s="1647">
        <v>44113</v>
      </c>
      <c r="AA408" s="1650">
        <f t="shared" ca="1" si="23"/>
        <v>15.333333333333334</v>
      </c>
      <c r="AB408" s="2444" t="s">
        <v>3629</v>
      </c>
      <c r="AC408" s="2445"/>
      <c r="AD408" s="2438"/>
    </row>
    <row r="409" spans="1:30" ht="15.75" hidden="1" customHeight="1">
      <c r="A409" s="1644">
        <f t="shared" si="10"/>
        <v>0</v>
      </c>
      <c r="B409" s="1645" t="s">
        <v>4460</v>
      </c>
      <c r="C409" s="1645" t="s">
        <v>4412</v>
      </c>
      <c r="D409" s="1648" t="s">
        <v>3627</v>
      </c>
      <c r="E409" s="1646" t="s">
        <v>2798</v>
      </c>
      <c r="F409" s="1645">
        <f t="shared" si="22"/>
        <v>1984</v>
      </c>
      <c r="G409" s="1647">
        <v>31041</v>
      </c>
      <c r="H409" s="1644" t="s">
        <v>3636</v>
      </c>
      <c r="I409" s="1648" t="s">
        <v>3629</v>
      </c>
      <c r="J409" s="1645" t="s">
        <v>37</v>
      </c>
      <c r="K409" s="1645">
        <v>0</v>
      </c>
      <c r="L409" s="1645" t="s">
        <v>4458</v>
      </c>
      <c r="M409" s="1645" t="s">
        <v>4453</v>
      </c>
      <c r="N409" s="1645"/>
      <c r="O409" s="1645" t="s">
        <v>3645</v>
      </c>
      <c r="P409" s="1649"/>
      <c r="Q409" s="1645"/>
      <c r="R409" s="1647" t="s">
        <v>3683</v>
      </c>
      <c r="S409" s="1644" t="s">
        <v>3696</v>
      </c>
      <c r="T409" s="1644" t="s">
        <v>936</v>
      </c>
      <c r="U409" s="1644" t="s">
        <v>3711</v>
      </c>
      <c r="V409" s="1644"/>
      <c r="W409" s="1644">
        <v>0</v>
      </c>
      <c r="X409" s="1644"/>
      <c r="Y409" s="1647">
        <v>43531</v>
      </c>
      <c r="Z409" s="1647">
        <v>43897</v>
      </c>
      <c r="AA409" s="1650">
        <f t="shared" ca="1" si="23"/>
        <v>15.166666666666666</v>
      </c>
      <c r="AB409" s="2444" t="s">
        <v>3629</v>
      </c>
      <c r="AC409" s="2445"/>
      <c r="AD409" s="2438"/>
    </row>
    <row r="410" spans="1:30" ht="15.75" hidden="1" customHeight="1">
      <c r="A410" s="1644">
        <f t="shared" si="10"/>
        <v>0</v>
      </c>
      <c r="B410" s="1645" t="s">
        <v>4461</v>
      </c>
      <c r="C410" s="1645" t="s">
        <v>4412</v>
      </c>
      <c r="D410" s="1648" t="s">
        <v>3627</v>
      </c>
      <c r="E410" s="1644" t="s">
        <v>2797</v>
      </c>
      <c r="F410" s="1645">
        <f t="shared" si="22"/>
        <v>1979</v>
      </c>
      <c r="G410" s="1647">
        <v>29100</v>
      </c>
      <c r="H410" s="1644" t="s">
        <v>3636</v>
      </c>
      <c r="I410" s="1648" t="s">
        <v>3629</v>
      </c>
      <c r="J410" s="1645" t="s">
        <v>37</v>
      </c>
      <c r="K410" s="1645">
        <v>0</v>
      </c>
      <c r="L410" s="1645" t="s">
        <v>4453</v>
      </c>
      <c r="M410" s="1645" t="s">
        <v>4453</v>
      </c>
      <c r="N410" s="1645"/>
      <c r="O410" s="1645" t="s">
        <v>3645</v>
      </c>
      <c r="P410" s="1649"/>
      <c r="Q410" s="1645"/>
      <c r="R410" s="1647" t="s">
        <v>3699</v>
      </c>
      <c r="S410" s="1644"/>
      <c r="T410" s="1644" t="s">
        <v>936</v>
      </c>
      <c r="U410" s="1644" t="s">
        <v>3711</v>
      </c>
      <c r="V410" s="1644"/>
      <c r="W410" s="1650" t="s">
        <v>3822</v>
      </c>
      <c r="X410" s="1644" t="s">
        <v>3633</v>
      </c>
      <c r="Y410" s="1647">
        <v>37597</v>
      </c>
      <c r="Z410" s="1647">
        <v>37962</v>
      </c>
      <c r="AA410" s="1650">
        <f t="shared" ca="1" si="23"/>
        <v>14.833333333333334</v>
      </c>
      <c r="AB410" s="2444" t="s">
        <v>3629</v>
      </c>
      <c r="AC410" s="2445"/>
      <c r="AD410" s="2438"/>
    </row>
    <row r="411" spans="1:30" ht="15.75" hidden="1" customHeight="1">
      <c r="A411" s="1644">
        <f t="shared" si="10"/>
        <v>0</v>
      </c>
      <c r="B411" s="1645" t="s">
        <v>4462</v>
      </c>
      <c r="C411" s="1645" t="s">
        <v>4412</v>
      </c>
      <c r="D411" s="1648" t="s">
        <v>3627</v>
      </c>
      <c r="E411" s="1646" t="s">
        <v>2798</v>
      </c>
      <c r="F411" s="1645">
        <f t="shared" si="22"/>
        <v>1987</v>
      </c>
      <c r="G411" s="1647">
        <v>32012</v>
      </c>
      <c r="H411" s="1644" t="s">
        <v>3636</v>
      </c>
      <c r="I411" s="1648" t="s">
        <v>3629</v>
      </c>
      <c r="J411" s="1645" t="s">
        <v>37</v>
      </c>
      <c r="K411" s="1645">
        <v>0</v>
      </c>
      <c r="L411" s="1645" t="s">
        <v>4463</v>
      </c>
      <c r="M411" s="1645" t="s">
        <v>4453</v>
      </c>
      <c r="N411" s="1645"/>
      <c r="O411" s="1645">
        <v>0</v>
      </c>
      <c r="P411" s="1649"/>
      <c r="Q411" s="1645"/>
      <c r="R411" s="1644"/>
      <c r="S411" s="1644"/>
      <c r="T411" s="1644" t="s">
        <v>936</v>
      </c>
      <c r="U411" s="1644" t="s">
        <v>3711</v>
      </c>
      <c r="V411" s="1644"/>
      <c r="W411" s="1644" t="s">
        <v>3687</v>
      </c>
      <c r="X411" s="1644"/>
      <c r="Y411" s="1647">
        <v>43747</v>
      </c>
      <c r="Z411" s="1647">
        <v>44113</v>
      </c>
      <c r="AA411" s="1650">
        <f t="shared" ca="1" si="23"/>
        <v>17.833333333333332</v>
      </c>
      <c r="AB411" s="2444" t="e">
        <v>#REF!</v>
      </c>
      <c r="AC411" s="2445"/>
      <c r="AD411" s="2438"/>
    </row>
    <row r="412" spans="1:30" ht="15.75" hidden="1" customHeight="1">
      <c r="A412" s="1644">
        <f t="shared" si="10"/>
        <v>0</v>
      </c>
      <c r="B412" s="1645" t="s">
        <v>4464</v>
      </c>
      <c r="C412" s="1645" t="s">
        <v>4412</v>
      </c>
      <c r="D412" s="1648" t="s">
        <v>3627</v>
      </c>
      <c r="E412" s="1644" t="s">
        <v>2798</v>
      </c>
      <c r="F412" s="1645">
        <f t="shared" si="22"/>
        <v>1983</v>
      </c>
      <c r="G412" s="1647">
        <v>30661</v>
      </c>
      <c r="H412" s="1644" t="s">
        <v>3636</v>
      </c>
      <c r="I412" s="1648" t="s">
        <v>3629</v>
      </c>
      <c r="J412" s="1645" t="s">
        <v>37</v>
      </c>
      <c r="K412" s="1645">
        <v>0</v>
      </c>
      <c r="L412" s="1645" t="s">
        <v>4448</v>
      </c>
      <c r="M412" s="1645" t="s">
        <v>4448</v>
      </c>
      <c r="N412" s="1645"/>
      <c r="O412" s="1645" t="s">
        <v>3645</v>
      </c>
      <c r="P412" s="1649"/>
      <c r="Q412" s="1645"/>
      <c r="R412" s="1644" t="s">
        <v>3683</v>
      </c>
      <c r="S412" s="1644" t="s">
        <v>3696</v>
      </c>
      <c r="T412" s="1644" t="s">
        <v>936</v>
      </c>
      <c r="U412" s="1644" t="s">
        <v>3711</v>
      </c>
      <c r="V412" s="1644"/>
      <c r="W412" s="1644">
        <v>0</v>
      </c>
      <c r="X412" s="1644"/>
      <c r="Y412" s="1647">
        <v>41724</v>
      </c>
      <c r="Z412" s="1647">
        <v>42089</v>
      </c>
      <c r="AA412" s="1650">
        <f t="shared" ca="1" si="23"/>
        <v>14.166666666666666</v>
      </c>
      <c r="AB412" s="2444" t="s">
        <v>3629</v>
      </c>
      <c r="AC412" s="2445"/>
      <c r="AD412" s="2438"/>
    </row>
    <row r="413" spans="1:30" ht="15.75" hidden="1" customHeight="1">
      <c r="A413" s="1644">
        <f t="shared" si="10"/>
        <v>0</v>
      </c>
      <c r="B413" s="1645" t="s">
        <v>4465</v>
      </c>
      <c r="C413" s="1645" t="s">
        <v>4412</v>
      </c>
      <c r="D413" s="1648" t="s">
        <v>3627</v>
      </c>
      <c r="E413" s="1646" t="s">
        <v>2798</v>
      </c>
      <c r="F413" s="1645">
        <f t="shared" si="22"/>
        <v>1986</v>
      </c>
      <c r="G413" s="1647">
        <v>31727</v>
      </c>
      <c r="H413" s="1644" t="s">
        <v>3636</v>
      </c>
      <c r="I413" s="1648" t="s">
        <v>3629</v>
      </c>
      <c r="J413" s="1645" t="s">
        <v>37</v>
      </c>
      <c r="K413" s="1645">
        <v>0</v>
      </c>
      <c r="L413" s="1645" t="s">
        <v>4448</v>
      </c>
      <c r="M413" s="1645" t="s">
        <v>4448</v>
      </c>
      <c r="N413" s="1645"/>
      <c r="O413" s="1645" t="s">
        <v>3645</v>
      </c>
      <c r="P413" s="1649"/>
      <c r="Q413" s="1645"/>
      <c r="R413" s="1647" t="s">
        <v>3683</v>
      </c>
      <c r="S413" s="1644" t="s">
        <v>3696</v>
      </c>
      <c r="T413" s="1644" t="s">
        <v>936</v>
      </c>
      <c r="U413" s="1644" t="s">
        <v>3711</v>
      </c>
      <c r="V413" s="1644"/>
      <c r="W413" s="1644">
        <v>0</v>
      </c>
      <c r="X413" s="1644"/>
      <c r="Y413" s="1647"/>
      <c r="Z413" s="1647"/>
      <c r="AA413" s="1650">
        <f t="shared" ca="1" si="23"/>
        <v>17.083333333333332</v>
      </c>
      <c r="AB413" s="2444" t="s">
        <v>3629</v>
      </c>
      <c r="AC413" s="2445"/>
      <c r="AD413" s="2438"/>
    </row>
    <row r="414" spans="1:30" ht="15.75" hidden="1" customHeight="1">
      <c r="A414" s="1644">
        <f t="shared" si="10"/>
        <v>0</v>
      </c>
      <c r="B414" s="1645" t="s">
        <v>4466</v>
      </c>
      <c r="C414" s="1645" t="s">
        <v>4412</v>
      </c>
      <c r="D414" s="1648" t="s">
        <v>3627</v>
      </c>
      <c r="E414" s="1644" t="s">
        <v>2798</v>
      </c>
      <c r="F414" s="1645">
        <f t="shared" si="22"/>
        <v>1978</v>
      </c>
      <c r="G414" s="1647">
        <v>28828</v>
      </c>
      <c r="H414" s="1644" t="s">
        <v>3628</v>
      </c>
      <c r="I414" s="1648" t="s">
        <v>3629</v>
      </c>
      <c r="J414" s="1645" t="s">
        <v>38</v>
      </c>
      <c r="K414" s="1645">
        <v>0</v>
      </c>
      <c r="L414" s="1645" t="s">
        <v>4458</v>
      </c>
      <c r="M414" s="1645" t="s">
        <v>4458</v>
      </c>
      <c r="N414" s="1645"/>
      <c r="O414" s="1645" t="s">
        <v>2682</v>
      </c>
      <c r="P414" s="1649"/>
      <c r="Q414" s="1645" t="s">
        <v>3693</v>
      </c>
      <c r="R414" s="1647" t="s">
        <v>3683</v>
      </c>
      <c r="S414" s="1644" t="s">
        <v>3696</v>
      </c>
      <c r="T414" s="1644" t="s">
        <v>936</v>
      </c>
      <c r="U414" s="1644" t="s">
        <v>3697</v>
      </c>
      <c r="V414" s="1644"/>
      <c r="W414" s="1644">
        <v>0</v>
      </c>
      <c r="X414" s="1644"/>
      <c r="Y414" s="1647">
        <v>41558</v>
      </c>
      <c r="Z414" s="1647">
        <v>41975</v>
      </c>
      <c r="AA414" s="1650">
        <f t="shared" ca="1" si="23"/>
        <v>9.1666666666666661</v>
      </c>
      <c r="AB414" s="2444" t="s">
        <v>3629</v>
      </c>
      <c r="AC414" s="2445"/>
      <c r="AD414" s="2438"/>
    </row>
    <row r="415" spans="1:30" ht="15.75" hidden="1" customHeight="1">
      <c r="A415" s="1644">
        <f t="shared" si="10"/>
        <v>0</v>
      </c>
      <c r="B415" s="1645" t="s">
        <v>4467</v>
      </c>
      <c r="C415" s="1645" t="s">
        <v>4412</v>
      </c>
      <c r="D415" s="1645" t="s">
        <v>4468</v>
      </c>
      <c r="E415" s="1644" t="s">
        <v>2798</v>
      </c>
      <c r="F415" s="1645">
        <f t="shared" si="22"/>
        <v>1995</v>
      </c>
      <c r="G415" s="1647">
        <v>34941</v>
      </c>
      <c r="H415" s="1644" t="s">
        <v>3636</v>
      </c>
      <c r="I415" s="1648" t="s">
        <v>3629</v>
      </c>
      <c r="J415" s="1645" t="s">
        <v>37</v>
      </c>
      <c r="K415" s="1645"/>
      <c r="L415" s="1645" t="s">
        <v>4469</v>
      </c>
      <c r="M415" s="1645" t="s">
        <v>4470</v>
      </c>
      <c r="N415" s="1645"/>
      <c r="O415" s="1645">
        <v>0</v>
      </c>
      <c r="P415" s="1649"/>
      <c r="Q415" s="1645"/>
      <c r="R415" s="1647" t="s">
        <v>3727</v>
      </c>
      <c r="S415" s="1644" t="s">
        <v>3743</v>
      </c>
      <c r="T415" s="1644">
        <v>2018</v>
      </c>
      <c r="U415" s="1644"/>
      <c r="V415" s="1644"/>
      <c r="W415" s="1644">
        <v>0</v>
      </c>
      <c r="X415" s="1644"/>
      <c r="Y415" s="1647"/>
      <c r="Z415" s="1647"/>
      <c r="AA415" s="1650">
        <f t="shared" ca="1" si="23"/>
        <v>25.833333333333332</v>
      </c>
      <c r="AB415" s="2444" t="s">
        <v>3629</v>
      </c>
      <c r="AC415" s="2445"/>
      <c r="AD415" s="2438"/>
    </row>
    <row r="416" spans="1:30" ht="15.75" hidden="1" customHeight="1">
      <c r="A416" s="1644">
        <f t="shared" si="10"/>
        <v>0</v>
      </c>
      <c r="B416" s="1645" t="s">
        <v>4471</v>
      </c>
      <c r="C416" s="1645" t="s">
        <v>4412</v>
      </c>
      <c r="D416" s="1645" t="s">
        <v>4468</v>
      </c>
      <c r="E416" s="1646" t="s">
        <v>2798</v>
      </c>
      <c r="F416" s="1645">
        <f t="shared" si="22"/>
        <v>1984</v>
      </c>
      <c r="G416" s="1647">
        <v>30971</v>
      </c>
      <c r="H416" s="1644" t="s">
        <v>3636</v>
      </c>
      <c r="I416" s="1648" t="s">
        <v>3629</v>
      </c>
      <c r="J416" s="1645" t="s">
        <v>38</v>
      </c>
      <c r="K416" s="1645">
        <v>0</v>
      </c>
      <c r="L416" s="1645" t="s">
        <v>4469</v>
      </c>
      <c r="M416" s="1645">
        <v>0</v>
      </c>
      <c r="N416" s="1645"/>
      <c r="O416" s="1645" t="s">
        <v>3890</v>
      </c>
      <c r="P416" s="1649"/>
      <c r="Q416" s="1645"/>
      <c r="R416" s="1647" t="s">
        <v>3699</v>
      </c>
      <c r="S416" s="1644"/>
      <c r="T416" s="1644" t="s">
        <v>936</v>
      </c>
      <c r="U416" s="1644" t="s">
        <v>3631</v>
      </c>
      <c r="V416" s="1644"/>
      <c r="W416" s="1650" t="s">
        <v>3646</v>
      </c>
      <c r="X416" s="1644" t="s">
        <v>3633</v>
      </c>
      <c r="Y416" s="1647">
        <v>40885</v>
      </c>
      <c r="Z416" s="1647">
        <v>41251</v>
      </c>
      <c r="AA416" s="1650">
        <f t="shared" ca="1" si="23"/>
        <v>15</v>
      </c>
      <c r="AB416" s="2444" t="s">
        <v>3629</v>
      </c>
      <c r="AC416" s="2445"/>
      <c r="AD416" s="2438"/>
    </row>
    <row r="417" spans="1:30" ht="15.75" hidden="1" customHeight="1">
      <c r="A417" s="1644">
        <f t="shared" si="10"/>
        <v>0</v>
      </c>
      <c r="B417" s="1645" t="s">
        <v>4472</v>
      </c>
      <c r="C417" s="1645" t="s">
        <v>4412</v>
      </c>
      <c r="D417" s="1645" t="s">
        <v>4468</v>
      </c>
      <c r="E417" s="1644" t="s">
        <v>2798</v>
      </c>
      <c r="F417" s="1645">
        <f t="shared" si="22"/>
        <v>1989</v>
      </c>
      <c r="G417" s="1647">
        <v>32669</v>
      </c>
      <c r="H417" s="1644" t="s">
        <v>3636</v>
      </c>
      <c r="I417" s="1648" t="s">
        <v>3629</v>
      </c>
      <c r="J417" s="1645" t="s">
        <v>37</v>
      </c>
      <c r="K417" s="1645">
        <v>0</v>
      </c>
      <c r="L417" s="1645" t="s">
        <v>4469</v>
      </c>
      <c r="M417" s="1645" t="s">
        <v>4473</v>
      </c>
      <c r="N417" s="1645"/>
      <c r="O417" s="1645" t="s">
        <v>3645</v>
      </c>
      <c r="P417" s="1649"/>
      <c r="Q417" s="1645"/>
      <c r="R417" s="1647" t="s">
        <v>3683</v>
      </c>
      <c r="S417" s="1644"/>
      <c r="T417" s="1644" t="s">
        <v>936</v>
      </c>
      <c r="U417" s="1644" t="s">
        <v>3711</v>
      </c>
      <c r="V417" s="1644"/>
      <c r="W417" s="1644">
        <v>0</v>
      </c>
      <c r="X417" s="1644"/>
      <c r="Y417" s="1647">
        <v>40400</v>
      </c>
      <c r="Z417" s="1647">
        <v>40765</v>
      </c>
      <c r="AA417" s="1650">
        <f t="shared" ca="1" si="23"/>
        <v>19.666666666666668</v>
      </c>
      <c r="AB417" s="2444" t="s">
        <v>3629</v>
      </c>
      <c r="AC417" s="2445"/>
      <c r="AD417" s="2438"/>
    </row>
    <row r="418" spans="1:30" ht="15.75" hidden="1" customHeight="1">
      <c r="A418" s="1644">
        <f t="shared" si="10"/>
        <v>0</v>
      </c>
      <c r="B418" s="1645" t="s">
        <v>4474</v>
      </c>
      <c r="C418" s="1645" t="s">
        <v>4412</v>
      </c>
      <c r="D418" s="1645" t="s">
        <v>4468</v>
      </c>
      <c r="E418" s="1644" t="s">
        <v>2798</v>
      </c>
      <c r="F418" s="1645">
        <f t="shared" si="22"/>
        <v>1988</v>
      </c>
      <c r="G418" s="1647">
        <v>32225</v>
      </c>
      <c r="H418" s="1644" t="s">
        <v>3636</v>
      </c>
      <c r="I418" s="1648" t="s">
        <v>3629</v>
      </c>
      <c r="J418" s="1645" t="s">
        <v>37</v>
      </c>
      <c r="K418" s="1645">
        <v>0</v>
      </c>
      <c r="L418" s="1645" t="s">
        <v>4469</v>
      </c>
      <c r="M418" s="1645" t="s">
        <v>4475</v>
      </c>
      <c r="N418" s="1645"/>
      <c r="O418" s="1645" t="s">
        <v>3645</v>
      </c>
      <c r="P418" s="1649"/>
      <c r="Q418" s="1645"/>
      <c r="R418" s="1647" t="s">
        <v>3710</v>
      </c>
      <c r="S418" s="1644"/>
      <c r="T418" s="1644" t="s">
        <v>936</v>
      </c>
      <c r="U418" s="1644" t="s">
        <v>3711</v>
      </c>
      <c r="V418" s="1644"/>
      <c r="W418" s="1644">
        <v>0</v>
      </c>
      <c r="X418" s="1644"/>
      <c r="Y418" s="1647">
        <v>41628</v>
      </c>
      <c r="Z418" s="1647">
        <v>41993</v>
      </c>
      <c r="AA418" s="1650">
        <f t="shared" ca="1" si="23"/>
        <v>18.416666666666668</v>
      </c>
      <c r="AB418" s="2444" t="s">
        <v>3629</v>
      </c>
      <c r="AC418" s="2445"/>
      <c r="AD418" s="2438"/>
    </row>
    <row r="419" spans="1:30" ht="15.75" hidden="1" customHeight="1">
      <c r="A419" s="1644">
        <f t="shared" si="10"/>
        <v>0</v>
      </c>
      <c r="B419" s="1645" t="s">
        <v>4476</v>
      </c>
      <c r="C419" s="1645" t="s">
        <v>4412</v>
      </c>
      <c r="D419" s="1645" t="s">
        <v>4468</v>
      </c>
      <c r="E419" s="1646" t="s">
        <v>2797</v>
      </c>
      <c r="F419" s="1645">
        <f t="shared" si="22"/>
        <v>1971</v>
      </c>
      <c r="G419" s="1647">
        <v>26134</v>
      </c>
      <c r="H419" s="1644" t="s">
        <v>3628</v>
      </c>
      <c r="I419" s="1648" t="s">
        <v>3629</v>
      </c>
      <c r="J419" s="1645" t="s">
        <v>38</v>
      </c>
      <c r="K419" s="1645">
        <v>0</v>
      </c>
      <c r="L419" s="1645" t="s">
        <v>4442</v>
      </c>
      <c r="M419" s="1645" t="s">
        <v>4469</v>
      </c>
      <c r="N419" s="1645"/>
      <c r="O419" s="1645" t="s">
        <v>4469</v>
      </c>
      <c r="P419" s="1649"/>
      <c r="Q419" s="1645" t="s">
        <v>3693</v>
      </c>
      <c r="R419" s="1647" t="s">
        <v>4203</v>
      </c>
      <c r="S419" s="1644"/>
      <c r="T419" s="1644" t="s">
        <v>936</v>
      </c>
      <c r="U419" s="1644"/>
      <c r="V419" s="1644"/>
      <c r="W419" s="1650" t="s">
        <v>3632</v>
      </c>
      <c r="X419" s="1644" t="s">
        <v>3759</v>
      </c>
      <c r="Y419" s="1647">
        <v>34108</v>
      </c>
      <c r="Z419" s="1647">
        <v>34473</v>
      </c>
      <c r="AA419" s="1650">
        <f t="shared" ca="1" si="23"/>
        <v>6.75</v>
      </c>
      <c r="AB419" s="2444" t="s">
        <v>3629</v>
      </c>
      <c r="AC419" s="2445"/>
      <c r="AD419" s="2438"/>
    </row>
    <row r="420" spans="1:30" ht="15.75" hidden="1" customHeight="1">
      <c r="A420" s="1644">
        <f t="shared" si="10"/>
        <v>0</v>
      </c>
      <c r="B420" s="1645" t="s">
        <v>4477</v>
      </c>
      <c r="C420" s="1645" t="s">
        <v>4412</v>
      </c>
      <c r="D420" s="1645" t="s">
        <v>4468</v>
      </c>
      <c r="E420" s="1644" t="s">
        <v>2797</v>
      </c>
      <c r="F420" s="1645">
        <f t="shared" si="22"/>
        <v>1984</v>
      </c>
      <c r="G420" s="1647">
        <v>30976</v>
      </c>
      <c r="H420" s="1644" t="s">
        <v>3636</v>
      </c>
      <c r="I420" s="1648" t="s">
        <v>3629</v>
      </c>
      <c r="J420" s="1645" t="s">
        <v>38</v>
      </c>
      <c r="K420" s="1645">
        <v>0</v>
      </c>
      <c r="L420" s="1645" t="s">
        <v>4469</v>
      </c>
      <c r="M420" s="1645" t="s">
        <v>4478</v>
      </c>
      <c r="N420" s="1645"/>
      <c r="O420" s="1645" t="s">
        <v>4479</v>
      </c>
      <c r="P420" s="1649"/>
      <c r="Q420" s="1645"/>
      <c r="R420" s="1647" t="s">
        <v>3789</v>
      </c>
      <c r="S420" s="1647" t="s">
        <v>4480</v>
      </c>
      <c r="T420" s="1644" t="s">
        <v>936</v>
      </c>
      <c r="U420" s="1644" t="s">
        <v>3631</v>
      </c>
      <c r="V420" s="1644"/>
      <c r="W420" s="1650" t="s">
        <v>3653</v>
      </c>
      <c r="X420" s="1644" t="s">
        <v>4481</v>
      </c>
      <c r="Y420" s="1647">
        <v>39474</v>
      </c>
      <c r="Z420" s="1647">
        <v>39840</v>
      </c>
      <c r="AA420" s="1650">
        <f t="shared" ca="1" si="23"/>
        <v>20</v>
      </c>
      <c r="AB420" s="2444" t="e">
        <v>#REF!</v>
      </c>
      <c r="AC420" s="2446" t="e">
        <f>+#REF!-#REF!</f>
        <v>#REF!</v>
      </c>
      <c r="AD420" s="2438"/>
    </row>
    <row r="421" spans="1:30" ht="15.75" hidden="1" customHeight="1">
      <c r="A421" s="1644">
        <f t="shared" si="10"/>
        <v>0</v>
      </c>
      <c r="B421" s="1645" t="s">
        <v>4482</v>
      </c>
      <c r="C421" s="1645" t="s">
        <v>4412</v>
      </c>
      <c r="D421" s="1645" t="s">
        <v>4468</v>
      </c>
      <c r="E421" s="1646" t="s">
        <v>2798</v>
      </c>
      <c r="F421" s="1645">
        <f t="shared" si="22"/>
        <v>1987</v>
      </c>
      <c r="G421" s="1647">
        <v>31898</v>
      </c>
      <c r="H421" s="1644" t="s">
        <v>3636</v>
      </c>
      <c r="I421" s="1648" t="s">
        <v>3629</v>
      </c>
      <c r="J421" s="1645" t="s">
        <v>37</v>
      </c>
      <c r="K421" s="1645"/>
      <c r="L421" s="1645" t="s">
        <v>4483</v>
      </c>
      <c r="M421" s="1645" t="s">
        <v>4011</v>
      </c>
      <c r="N421" s="1645"/>
      <c r="O421" s="1645">
        <v>0</v>
      </c>
      <c r="P421" s="1649"/>
      <c r="Q421" s="1645"/>
      <c r="R421" s="1647" t="s">
        <v>3882</v>
      </c>
      <c r="S421" s="1644"/>
      <c r="T421" s="1644">
        <v>2018</v>
      </c>
      <c r="U421" s="1644"/>
      <c r="V421" s="1644"/>
      <c r="W421" s="1644">
        <v>0</v>
      </c>
      <c r="X421" s="1644"/>
      <c r="Y421" s="1647">
        <v>39436</v>
      </c>
      <c r="Z421" s="1647">
        <v>39802</v>
      </c>
      <c r="AA421" s="1650">
        <f t="shared" ca="1" si="23"/>
        <v>17.5</v>
      </c>
      <c r="AB421" s="2444" t="s">
        <v>3629</v>
      </c>
      <c r="AC421" s="2445"/>
      <c r="AD421" s="2438"/>
    </row>
    <row r="422" spans="1:30" ht="15.75" hidden="1" customHeight="1">
      <c r="A422" s="1644">
        <f t="shared" si="10"/>
        <v>0</v>
      </c>
      <c r="B422" s="1645" t="s">
        <v>4484</v>
      </c>
      <c r="C422" s="1645" t="s">
        <v>4412</v>
      </c>
      <c r="D422" s="1645" t="s">
        <v>4468</v>
      </c>
      <c r="E422" s="1646" t="s">
        <v>2798</v>
      </c>
      <c r="F422" s="1645">
        <f t="shared" si="22"/>
        <v>1984</v>
      </c>
      <c r="G422" s="1647">
        <v>30706</v>
      </c>
      <c r="H422" s="1644" t="s">
        <v>3636</v>
      </c>
      <c r="I422" s="1648" t="s">
        <v>3629</v>
      </c>
      <c r="J422" s="1645" t="s">
        <v>38</v>
      </c>
      <c r="K422" s="1645">
        <v>0</v>
      </c>
      <c r="L422" s="1645" t="s">
        <v>4469</v>
      </c>
      <c r="M422" s="1645" t="s">
        <v>4478</v>
      </c>
      <c r="N422" s="1645"/>
      <c r="O422" s="1645" t="s">
        <v>3890</v>
      </c>
      <c r="P422" s="1649"/>
      <c r="Q422" s="1645"/>
      <c r="R422" s="1647" t="s">
        <v>3699</v>
      </c>
      <c r="S422" s="1644"/>
      <c r="T422" s="1644" t="s">
        <v>936</v>
      </c>
      <c r="U422" s="1644"/>
      <c r="V422" s="1644"/>
      <c r="W422" s="1650" t="s">
        <v>3822</v>
      </c>
      <c r="X422" s="1644" t="s">
        <v>3633</v>
      </c>
      <c r="Y422" s="1647">
        <v>40400</v>
      </c>
      <c r="Z422" s="1647">
        <v>40765</v>
      </c>
      <c r="AA422" s="1650">
        <f t="shared" ca="1" si="23"/>
        <v>14.25</v>
      </c>
      <c r="AB422" s="2444" t="s">
        <v>3629</v>
      </c>
      <c r="AC422" s="2445"/>
      <c r="AD422" s="2438"/>
    </row>
    <row r="423" spans="1:30" ht="15.75" hidden="1" customHeight="1">
      <c r="A423" s="1644">
        <f t="shared" si="10"/>
        <v>0</v>
      </c>
      <c r="B423" s="1645" t="s">
        <v>4485</v>
      </c>
      <c r="C423" s="1645" t="s">
        <v>4412</v>
      </c>
      <c r="D423" s="1645" t="s">
        <v>4468</v>
      </c>
      <c r="E423" s="1646" t="s">
        <v>2797</v>
      </c>
      <c r="F423" s="1645">
        <f t="shared" si="22"/>
        <v>1989</v>
      </c>
      <c r="G423" s="1647">
        <v>32724</v>
      </c>
      <c r="H423" s="1644" t="s">
        <v>3636</v>
      </c>
      <c r="I423" s="1648" t="s">
        <v>3629</v>
      </c>
      <c r="J423" s="1645" t="s">
        <v>37</v>
      </c>
      <c r="K423" s="1645">
        <v>0</v>
      </c>
      <c r="L423" s="1645" t="s">
        <v>4469</v>
      </c>
      <c r="M423" s="1645" t="s">
        <v>4475</v>
      </c>
      <c r="N423" s="1645"/>
      <c r="O423" s="1645" t="s">
        <v>4486</v>
      </c>
      <c r="P423" s="1649"/>
      <c r="Q423" s="1645"/>
      <c r="R423" s="1647" t="s">
        <v>3727</v>
      </c>
      <c r="S423" s="1644" t="s">
        <v>3743</v>
      </c>
      <c r="T423" s="1644">
        <v>2018</v>
      </c>
      <c r="U423" s="1644"/>
      <c r="V423" s="1644"/>
      <c r="W423" s="1650" t="s">
        <v>3646</v>
      </c>
      <c r="X423" s="1644"/>
      <c r="Y423" s="1647">
        <v>40602</v>
      </c>
      <c r="Z423" s="1647">
        <v>40967</v>
      </c>
      <c r="AA423" s="1650">
        <f t="shared" ca="1" si="23"/>
        <v>24.833333333333332</v>
      </c>
      <c r="AB423" s="2444" t="s">
        <v>3629</v>
      </c>
      <c r="AC423" s="2445"/>
      <c r="AD423" s="2438"/>
    </row>
    <row r="424" spans="1:30" ht="15.75" hidden="1" customHeight="1">
      <c r="A424" s="1644">
        <f t="shared" si="10"/>
        <v>0</v>
      </c>
      <c r="B424" s="1645" t="s">
        <v>4487</v>
      </c>
      <c r="C424" s="1645" t="s">
        <v>4412</v>
      </c>
      <c r="D424" s="1645" t="s">
        <v>4468</v>
      </c>
      <c r="E424" s="1646" t="s">
        <v>2798</v>
      </c>
      <c r="F424" s="1645">
        <f t="shared" si="22"/>
        <v>1986</v>
      </c>
      <c r="G424" s="1647">
        <v>31428</v>
      </c>
      <c r="H424" s="1644" t="s">
        <v>3636</v>
      </c>
      <c r="I424" s="1648" t="s">
        <v>3629</v>
      </c>
      <c r="J424" s="1645" t="s">
        <v>38</v>
      </c>
      <c r="K424" s="1645">
        <v>0</v>
      </c>
      <c r="L424" s="1645" t="s">
        <v>4478</v>
      </c>
      <c r="M424" s="1645" t="s">
        <v>4478</v>
      </c>
      <c r="N424" s="1645"/>
      <c r="O424" s="1645" t="s">
        <v>3890</v>
      </c>
      <c r="P424" s="1653" t="s">
        <v>4488</v>
      </c>
      <c r="Q424" s="1645"/>
      <c r="R424" s="1647" t="s">
        <v>3710</v>
      </c>
      <c r="S424" s="1644"/>
      <c r="T424" s="1644" t="s">
        <v>936</v>
      </c>
      <c r="U424" s="1644" t="s">
        <v>3711</v>
      </c>
      <c r="V424" s="1644"/>
      <c r="W424" s="1644">
        <v>0</v>
      </c>
      <c r="X424" s="1644"/>
      <c r="Y424" s="1647">
        <v>41087</v>
      </c>
      <c r="Z424" s="1647">
        <v>41452</v>
      </c>
      <c r="AA424" s="1650">
        <f t="shared" ca="1" si="23"/>
        <v>16.25</v>
      </c>
      <c r="AB424" s="2444" t="s">
        <v>3629</v>
      </c>
      <c r="AC424" s="2445"/>
      <c r="AD424" s="2438"/>
    </row>
    <row r="425" spans="1:30" ht="15.75" hidden="1" customHeight="1">
      <c r="A425" s="1644">
        <f t="shared" si="10"/>
        <v>0</v>
      </c>
      <c r="B425" s="1645" t="s">
        <v>4489</v>
      </c>
      <c r="C425" s="1645" t="s">
        <v>4412</v>
      </c>
      <c r="D425" s="1645" t="s">
        <v>4468</v>
      </c>
      <c r="E425" s="1644" t="s">
        <v>2798</v>
      </c>
      <c r="F425" s="1645">
        <f t="shared" si="22"/>
        <v>1986</v>
      </c>
      <c r="G425" s="1647">
        <v>31422</v>
      </c>
      <c r="H425" s="1644" t="s">
        <v>3636</v>
      </c>
      <c r="I425" s="1648" t="s">
        <v>3629</v>
      </c>
      <c r="J425" s="1645" t="s">
        <v>38</v>
      </c>
      <c r="K425" s="1645">
        <v>0</v>
      </c>
      <c r="L425" s="1645" t="s">
        <v>4469</v>
      </c>
      <c r="M425" s="1645" t="s">
        <v>4490</v>
      </c>
      <c r="N425" s="1645"/>
      <c r="O425" s="1645" t="s">
        <v>3890</v>
      </c>
      <c r="P425" s="1649"/>
      <c r="Q425" s="1645"/>
      <c r="R425" s="1644"/>
      <c r="S425" s="1644"/>
      <c r="T425" s="1644" t="s">
        <v>936</v>
      </c>
      <c r="U425" s="1644" t="s">
        <v>3631</v>
      </c>
      <c r="V425" s="1644"/>
      <c r="W425" s="1650" t="s">
        <v>3822</v>
      </c>
      <c r="X425" s="1644" t="s">
        <v>3633</v>
      </c>
      <c r="Y425" s="1647">
        <v>40522</v>
      </c>
      <c r="Z425" s="1647">
        <v>40887</v>
      </c>
      <c r="AA425" s="1650">
        <f t="shared" ca="1" si="23"/>
        <v>16.25</v>
      </c>
      <c r="AB425" s="2444" t="s">
        <v>3629</v>
      </c>
      <c r="AC425" s="2445"/>
      <c r="AD425" s="2438"/>
    </row>
    <row r="426" spans="1:30" ht="15.75" hidden="1" customHeight="1">
      <c r="A426" s="1644">
        <f t="shared" si="10"/>
        <v>0</v>
      </c>
      <c r="B426" s="1645" t="s">
        <v>4491</v>
      </c>
      <c r="C426" s="1645" t="s">
        <v>4412</v>
      </c>
      <c r="D426" s="1645" t="s">
        <v>4468</v>
      </c>
      <c r="E426" s="1646" t="s">
        <v>2798</v>
      </c>
      <c r="F426" s="1645">
        <f t="shared" si="22"/>
        <v>1986</v>
      </c>
      <c r="G426" s="1647">
        <v>31487</v>
      </c>
      <c r="H426" s="1644" t="s">
        <v>3636</v>
      </c>
      <c r="I426" s="1648" t="s">
        <v>3629</v>
      </c>
      <c r="J426" s="1645" t="s">
        <v>38</v>
      </c>
      <c r="K426" s="1645">
        <v>0</v>
      </c>
      <c r="L426" s="1645" t="s">
        <v>4469</v>
      </c>
      <c r="M426" s="1645" t="s">
        <v>4490</v>
      </c>
      <c r="N426" s="1645"/>
      <c r="O426" s="1645" t="s">
        <v>3890</v>
      </c>
      <c r="P426" s="1649"/>
      <c r="Q426" s="1645"/>
      <c r="R426" s="1647" t="s">
        <v>3710</v>
      </c>
      <c r="S426" s="1644"/>
      <c r="T426" s="1644" t="s">
        <v>936</v>
      </c>
      <c r="U426" s="1644" t="s">
        <v>3711</v>
      </c>
      <c r="V426" s="1644"/>
      <c r="W426" s="1650" t="s">
        <v>3646</v>
      </c>
      <c r="X426" s="1644" t="s">
        <v>3633</v>
      </c>
      <c r="Y426" s="1647">
        <v>41277</v>
      </c>
      <c r="Z426" s="1647">
        <v>41642</v>
      </c>
      <c r="AA426" s="1650">
        <f t="shared" ca="1" si="23"/>
        <v>16.416666666666668</v>
      </c>
      <c r="AB426" s="2444" t="s">
        <v>3629</v>
      </c>
      <c r="AC426" s="2445"/>
      <c r="AD426" s="2438"/>
    </row>
    <row r="427" spans="1:30" ht="15.75" hidden="1" customHeight="1">
      <c r="A427" s="1644">
        <f t="shared" si="10"/>
        <v>0</v>
      </c>
      <c r="B427" s="1645" t="s">
        <v>4492</v>
      </c>
      <c r="C427" s="1645" t="s">
        <v>4412</v>
      </c>
      <c r="D427" s="1645" t="s">
        <v>4468</v>
      </c>
      <c r="E427" s="1644" t="s">
        <v>2798</v>
      </c>
      <c r="F427" s="1645">
        <f t="shared" si="22"/>
        <v>1992</v>
      </c>
      <c r="G427" s="1647">
        <v>33803</v>
      </c>
      <c r="H427" s="1644" t="s">
        <v>3636</v>
      </c>
      <c r="I427" s="1648" t="s">
        <v>3629</v>
      </c>
      <c r="J427" s="1645" t="s">
        <v>37</v>
      </c>
      <c r="K427" s="1645">
        <v>0</v>
      </c>
      <c r="L427" s="1645" t="s">
        <v>4490</v>
      </c>
      <c r="M427" s="1645" t="s">
        <v>4490</v>
      </c>
      <c r="N427" s="1645"/>
      <c r="O427" s="1645" t="s">
        <v>3645</v>
      </c>
      <c r="P427" s="1649"/>
      <c r="Q427" s="1645"/>
      <c r="R427" s="1647" t="s">
        <v>3683</v>
      </c>
      <c r="S427" s="1644"/>
      <c r="T427" s="1644">
        <v>0</v>
      </c>
      <c r="U427" s="1644" t="s">
        <v>3711</v>
      </c>
      <c r="V427" s="1644"/>
      <c r="W427" s="1644">
        <v>0</v>
      </c>
      <c r="X427" s="1644"/>
      <c r="Y427" s="1647">
        <v>0</v>
      </c>
      <c r="Z427" s="1647">
        <v>0</v>
      </c>
      <c r="AA427" s="1650">
        <f t="shared" ca="1" si="23"/>
        <v>22.75</v>
      </c>
      <c r="AB427" s="2444" t="s">
        <v>3629</v>
      </c>
      <c r="AC427" s="2445"/>
      <c r="AD427" s="2438"/>
    </row>
    <row r="428" spans="1:30" ht="15.75" hidden="1" customHeight="1">
      <c r="A428" s="1644">
        <f t="shared" si="10"/>
        <v>0</v>
      </c>
      <c r="B428" s="1645" t="s">
        <v>4493</v>
      </c>
      <c r="C428" s="1645" t="s">
        <v>4412</v>
      </c>
      <c r="D428" s="1645" t="s">
        <v>4468</v>
      </c>
      <c r="E428" s="1644" t="s">
        <v>2798</v>
      </c>
      <c r="F428" s="1645">
        <f t="shared" si="22"/>
        <v>1987</v>
      </c>
      <c r="G428" s="1647">
        <v>32083</v>
      </c>
      <c r="H428" s="1644" t="s">
        <v>3636</v>
      </c>
      <c r="I428" s="1648" t="s">
        <v>3629</v>
      </c>
      <c r="J428" s="1645" t="s">
        <v>37</v>
      </c>
      <c r="K428" s="1645">
        <v>0</v>
      </c>
      <c r="L428" s="1645" t="s">
        <v>4475</v>
      </c>
      <c r="M428" s="1645" t="s">
        <v>4494</v>
      </c>
      <c r="N428" s="1645"/>
      <c r="O428" s="1645" t="s">
        <v>3645</v>
      </c>
      <c r="P428" s="1649"/>
      <c r="Q428" s="1645"/>
      <c r="R428" s="1647" t="s">
        <v>3683</v>
      </c>
      <c r="S428" s="1644"/>
      <c r="T428" s="1644" t="s">
        <v>936</v>
      </c>
      <c r="U428" s="1644" t="s">
        <v>3711</v>
      </c>
      <c r="V428" s="1644"/>
      <c r="W428" s="1644">
        <v>0</v>
      </c>
      <c r="X428" s="1644"/>
      <c r="Y428" s="1647">
        <v>43557</v>
      </c>
      <c r="Z428" s="1647">
        <v>43923</v>
      </c>
      <c r="AA428" s="1650">
        <f t="shared" ca="1" si="23"/>
        <v>18</v>
      </c>
      <c r="AB428" s="2444" t="s">
        <v>3629</v>
      </c>
      <c r="AC428" s="2445"/>
      <c r="AD428" s="2438"/>
    </row>
    <row r="429" spans="1:30" ht="15.75" hidden="1" customHeight="1">
      <c r="A429" s="1644">
        <f t="shared" si="10"/>
        <v>0</v>
      </c>
      <c r="B429" s="1645" t="s">
        <v>4495</v>
      </c>
      <c r="C429" s="1645" t="s">
        <v>4412</v>
      </c>
      <c r="D429" s="1645" t="s">
        <v>4468</v>
      </c>
      <c r="E429" s="1646" t="s">
        <v>2798</v>
      </c>
      <c r="F429" s="1645">
        <f t="shared" si="22"/>
        <v>1987</v>
      </c>
      <c r="G429" s="1647">
        <v>32137</v>
      </c>
      <c r="H429" s="1644" t="s">
        <v>3636</v>
      </c>
      <c r="I429" s="1648" t="s">
        <v>3629</v>
      </c>
      <c r="J429" s="1645" t="s">
        <v>38</v>
      </c>
      <c r="K429" s="1645">
        <v>0</v>
      </c>
      <c r="L429" s="1645" t="s">
        <v>4469</v>
      </c>
      <c r="M429" s="1645" t="s">
        <v>4469</v>
      </c>
      <c r="N429" s="1645"/>
      <c r="O429" s="1645" t="s">
        <v>3645</v>
      </c>
      <c r="P429" s="1649">
        <v>44491</v>
      </c>
      <c r="Q429" s="1645"/>
      <c r="R429" s="1647" t="s">
        <v>3710</v>
      </c>
      <c r="S429" s="1644"/>
      <c r="T429" s="1644" t="s">
        <v>936</v>
      </c>
      <c r="U429" s="1644" t="s">
        <v>3711</v>
      </c>
      <c r="V429" s="1644"/>
      <c r="W429" s="1644">
        <v>0</v>
      </c>
      <c r="X429" s="1644"/>
      <c r="Y429" s="1647">
        <v>43018</v>
      </c>
      <c r="Z429" s="1647">
        <v>43383</v>
      </c>
      <c r="AA429" s="1650">
        <f t="shared" ca="1" si="23"/>
        <v>18.166666666666668</v>
      </c>
      <c r="AB429" s="2444" t="s">
        <v>3629</v>
      </c>
      <c r="AC429" s="2445"/>
      <c r="AD429" s="2438"/>
    </row>
    <row r="430" spans="1:30" ht="15.75" hidden="1" customHeight="1">
      <c r="A430" s="1644">
        <f t="shared" si="10"/>
        <v>0</v>
      </c>
      <c r="B430" s="1645" t="s">
        <v>4496</v>
      </c>
      <c r="C430" s="1645" t="s">
        <v>4412</v>
      </c>
      <c r="D430" s="1645" t="s">
        <v>4468</v>
      </c>
      <c r="E430" s="1646" t="s">
        <v>2798</v>
      </c>
      <c r="F430" s="1645">
        <f t="shared" si="22"/>
        <v>1988</v>
      </c>
      <c r="G430" s="1647">
        <v>32253</v>
      </c>
      <c r="H430" s="1644" t="s">
        <v>3636</v>
      </c>
      <c r="I430" s="1648" t="s">
        <v>3629</v>
      </c>
      <c r="J430" s="1645" t="s">
        <v>38</v>
      </c>
      <c r="K430" s="1645">
        <v>0</v>
      </c>
      <c r="L430" s="1645" t="s">
        <v>4490</v>
      </c>
      <c r="M430" s="1645" t="s">
        <v>4490</v>
      </c>
      <c r="N430" s="1645"/>
      <c r="O430" s="1645" t="s">
        <v>3645</v>
      </c>
      <c r="P430" s="1649">
        <v>44166</v>
      </c>
      <c r="Q430" s="1645"/>
      <c r="R430" s="1647" t="s">
        <v>3683</v>
      </c>
      <c r="S430" s="1644"/>
      <c r="T430" s="1644" t="s">
        <v>936</v>
      </c>
      <c r="U430" s="1644" t="s">
        <v>3711</v>
      </c>
      <c r="V430" s="1644"/>
      <c r="W430" s="1650" t="s">
        <v>3646</v>
      </c>
      <c r="X430" s="1644"/>
      <c r="Y430" s="1647">
        <v>42802</v>
      </c>
      <c r="Z430" s="1647">
        <v>43167</v>
      </c>
      <c r="AA430" s="1650">
        <f t="shared" ca="1" si="23"/>
        <v>18.5</v>
      </c>
      <c r="AB430" s="2444" t="s">
        <v>3629</v>
      </c>
      <c r="AC430" s="2445"/>
      <c r="AD430" s="2438"/>
    </row>
    <row r="431" spans="1:30" ht="15.75" hidden="1" customHeight="1">
      <c r="A431" s="1644">
        <f t="shared" si="10"/>
        <v>0</v>
      </c>
      <c r="B431" s="1645" t="s">
        <v>4497</v>
      </c>
      <c r="C431" s="1645" t="s">
        <v>4412</v>
      </c>
      <c r="D431" s="1645" t="s">
        <v>4468</v>
      </c>
      <c r="E431" s="1644" t="s">
        <v>2797</v>
      </c>
      <c r="F431" s="1645">
        <f t="shared" si="22"/>
        <v>1986</v>
      </c>
      <c r="G431" s="1647">
        <v>31422</v>
      </c>
      <c r="H431" s="1644" t="s">
        <v>3636</v>
      </c>
      <c r="I431" s="1648" t="s">
        <v>3629</v>
      </c>
      <c r="J431" s="1645" t="s">
        <v>38</v>
      </c>
      <c r="K431" s="1645">
        <v>0</v>
      </c>
      <c r="L431" s="1645" t="s">
        <v>4469</v>
      </c>
      <c r="M431" s="1645" t="s">
        <v>4478</v>
      </c>
      <c r="N431" s="1645"/>
      <c r="O431" s="1645" t="s">
        <v>3890</v>
      </c>
      <c r="P431" s="1649"/>
      <c r="Q431" s="1645"/>
      <c r="R431" s="1647" t="s">
        <v>3699</v>
      </c>
      <c r="S431" s="1644"/>
      <c r="T431" s="1644" t="s">
        <v>936</v>
      </c>
      <c r="U431" s="1644" t="s">
        <v>3631</v>
      </c>
      <c r="V431" s="1644"/>
      <c r="W431" s="1650" t="s">
        <v>3653</v>
      </c>
      <c r="X431" s="1644" t="s">
        <v>3633</v>
      </c>
      <c r="Y431" s="1647">
        <v>39872</v>
      </c>
      <c r="Z431" s="1647">
        <v>40237</v>
      </c>
      <c r="AA431" s="1650">
        <f t="shared" ca="1" si="23"/>
        <v>21.25</v>
      </c>
      <c r="AB431" s="2444" t="s">
        <v>3629</v>
      </c>
      <c r="AC431" s="2446" t="e">
        <f t="shared" ref="AC431:AC432" si="25">+#REF!-#REF!</f>
        <v>#REF!</v>
      </c>
      <c r="AD431" s="2438"/>
    </row>
    <row r="432" spans="1:30" ht="15.75" hidden="1" customHeight="1">
      <c r="A432" s="1644">
        <f t="shared" si="10"/>
        <v>0</v>
      </c>
      <c r="B432" s="1645" t="s">
        <v>4498</v>
      </c>
      <c r="C432" s="1645" t="s">
        <v>4412</v>
      </c>
      <c r="D432" s="1645" t="s">
        <v>4468</v>
      </c>
      <c r="E432" s="1644" t="s">
        <v>2797</v>
      </c>
      <c r="F432" s="1645">
        <f t="shared" si="22"/>
        <v>1974</v>
      </c>
      <c r="G432" s="1647">
        <v>27248</v>
      </c>
      <c r="H432" s="1644" t="s">
        <v>3636</v>
      </c>
      <c r="I432" s="1648" t="s">
        <v>3629</v>
      </c>
      <c r="J432" s="1645" t="s">
        <v>38</v>
      </c>
      <c r="K432" s="1645">
        <v>0</v>
      </c>
      <c r="L432" s="1645" t="s">
        <v>4469</v>
      </c>
      <c r="M432" s="1645" t="s">
        <v>4499</v>
      </c>
      <c r="N432" s="1645"/>
      <c r="O432" s="1645" t="s">
        <v>4469</v>
      </c>
      <c r="P432" s="1649"/>
      <c r="Q432" s="1645"/>
      <c r="R432" s="1647" t="s">
        <v>3904</v>
      </c>
      <c r="S432" s="1644"/>
      <c r="T432" s="1644">
        <v>0</v>
      </c>
      <c r="U432" s="1644"/>
      <c r="V432" s="1644"/>
      <c r="W432" s="1650" t="s">
        <v>3653</v>
      </c>
      <c r="X432" s="1644"/>
      <c r="Y432" s="1647">
        <v>43844</v>
      </c>
      <c r="Z432" s="1647">
        <v>0</v>
      </c>
      <c r="AA432" s="1650">
        <f t="shared" ca="1" si="23"/>
        <v>9.8333333333333339</v>
      </c>
      <c r="AB432" s="2444" t="s">
        <v>3629</v>
      </c>
      <c r="AC432" s="2446" t="e">
        <f t="shared" si="25"/>
        <v>#REF!</v>
      </c>
      <c r="AD432" s="2438"/>
    </row>
    <row r="433" spans="1:30" ht="15.75" hidden="1" customHeight="1">
      <c r="A433" s="1644">
        <f t="shared" si="10"/>
        <v>0</v>
      </c>
      <c r="B433" s="1645" t="s">
        <v>4500</v>
      </c>
      <c r="C433" s="1645" t="s">
        <v>4412</v>
      </c>
      <c r="D433" s="1645" t="s">
        <v>4501</v>
      </c>
      <c r="E433" s="1644" t="s">
        <v>2798</v>
      </c>
      <c r="F433" s="1645">
        <f t="shared" si="22"/>
        <v>1988</v>
      </c>
      <c r="G433" s="1647">
        <v>32481</v>
      </c>
      <c r="H433" s="1644" t="s">
        <v>3636</v>
      </c>
      <c r="I433" s="1648" t="s">
        <v>3629</v>
      </c>
      <c r="J433" s="1645" t="s">
        <v>37</v>
      </c>
      <c r="K433" s="1645">
        <v>0</v>
      </c>
      <c r="L433" s="1645" t="s">
        <v>4469</v>
      </c>
      <c r="M433" s="1645" t="s">
        <v>4502</v>
      </c>
      <c r="N433" s="1645"/>
      <c r="O433" s="1645" t="s">
        <v>3645</v>
      </c>
      <c r="P433" s="1649"/>
      <c r="Q433" s="1645"/>
      <c r="R433" s="1647" t="s">
        <v>3710</v>
      </c>
      <c r="S433" s="1644"/>
      <c r="T433" s="1644" t="s">
        <v>936</v>
      </c>
      <c r="U433" s="1644" t="s">
        <v>3711</v>
      </c>
      <c r="V433" s="1644"/>
      <c r="W433" s="1644">
        <v>0</v>
      </c>
      <c r="X433" s="1644"/>
      <c r="Y433" s="1647">
        <v>42529</v>
      </c>
      <c r="Z433" s="1647">
        <v>42894</v>
      </c>
      <c r="AA433" s="1650">
        <f t="shared" ca="1" si="23"/>
        <v>19.166666666666668</v>
      </c>
      <c r="AB433" s="2444" t="s">
        <v>3629</v>
      </c>
      <c r="AC433" s="2445"/>
      <c r="AD433" s="2438"/>
    </row>
    <row r="434" spans="1:30" ht="15.75" hidden="1" customHeight="1">
      <c r="A434" s="1644">
        <f t="shared" si="10"/>
        <v>0</v>
      </c>
      <c r="B434" s="1645" t="s">
        <v>4503</v>
      </c>
      <c r="C434" s="1645" t="s">
        <v>4412</v>
      </c>
      <c r="D434" s="1645" t="s">
        <v>4501</v>
      </c>
      <c r="E434" s="1646" t="s">
        <v>2798</v>
      </c>
      <c r="F434" s="1645">
        <f t="shared" si="22"/>
        <v>1987</v>
      </c>
      <c r="G434" s="1647">
        <v>31983</v>
      </c>
      <c r="H434" s="1644" t="s">
        <v>3636</v>
      </c>
      <c r="I434" s="1648" t="s">
        <v>3629</v>
      </c>
      <c r="J434" s="1645" t="s">
        <v>37</v>
      </c>
      <c r="K434" s="1645">
        <v>0</v>
      </c>
      <c r="L434" s="1645" t="s">
        <v>4469</v>
      </c>
      <c r="M434" s="1645" t="s">
        <v>4502</v>
      </c>
      <c r="N434" s="1645"/>
      <c r="O434" s="1645" t="s">
        <v>3645</v>
      </c>
      <c r="P434" s="1649"/>
      <c r="Q434" s="1645"/>
      <c r="R434" s="1647" t="s">
        <v>4504</v>
      </c>
      <c r="S434" s="1644"/>
      <c r="T434" s="1644" t="s">
        <v>936</v>
      </c>
      <c r="U434" s="1644" t="s">
        <v>3631</v>
      </c>
      <c r="V434" s="1644"/>
      <c r="W434" s="1644">
        <v>0</v>
      </c>
      <c r="X434" s="1644"/>
      <c r="Y434" s="1647">
        <v>41749</v>
      </c>
      <c r="Z434" s="1647">
        <v>42114</v>
      </c>
      <c r="AA434" s="1650">
        <f t="shared" ca="1" si="23"/>
        <v>17.75</v>
      </c>
      <c r="AB434" s="2444" t="s">
        <v>3629</v>
      </c>
      <c r="AC434" s="2445"/>
      <c r="AD434" s="2438"/>
    </row>
    <row r="435" spans="1:30" ht="15.75" hidden="1" customHeight="1">
      <c r="A435" s="1644">
        <f t="shared" si="10"/>
        <v>0</v>
      </c>
      <c r="B435" s="1645" t="s">
        <v>4505</v>
      </c>
      <c r="C435" s="1645" t="s">
        <v>4412</v>
      </c>
      <c r="D435" s="1645" t="s">
        <v>4501</v>
      </c>
      <c r="E435" s="1644" t="s">
        <v>2798</v>
      </c>
      <c r="F435" s="1645">
        <f t="shared" si="22"/>
        <v>1987</v>
      </c>
      <c r="G435" s="1647">
        <v>32030</v>
      </c>
      <c r="H435" s="1644" t="s">
        <v>3636</v>
      </c>
      <c r="I435" s="1648" t="s">
        <v>3629</v>
      </c>
      <c r="J435" s="1645" t="s">
        <v>38</v>
      </c>
      <c r="K435" s="1645">
        <v>0</v>
      </c>
      <c r="L435" s="1645" t="s">
        <v>4469</v>
      </c>
      <c r="M435" s="1645" t="s">
        <v>4502</v>
      </c>
      <c r="N435" s="1645"/>
      <c r="O435" s="1645" t="s">
        <v>4506</v>
      </c>
      <c r="P435" s="1649"/>
      <c r="Q435" s="1645"/>
      <c r="R435" s="1647" t="s">
        <v>4504</v>
      </c>
      <c r="S435" s="1644"/>
      <c r="T435" s="1644" t="s">
        <v>936</v>
      </c>
      <c r="U435" s="1644" t="s">
        <v>3631</v>
      </c>
      <c r="V435" s="1644"/>
      <c r="W435" s="1644">
        <v>0</v>
      </c>
      <c r="X435" s="1644" t="s">
        <v>3633</v>
      </c>
      <c r="Y435" s="1647">
        <v>43018</v>
      </c>
      <c r="Z435" s="1647">
        <v>43383</v>
      </c>
      <c r="AA435" s="1650">
        <f t="shared" ca="1" si="23"/>
        <v>17.916666666666668</v>
      </c>
      <c r="AB435" s="2444" t="s">
        <v>3629</v>
      </c>
      <c r="AC435" s="2445"/>
      <c r="AD435" s="2438"/>
    </row>
    <row r="436" spans="1:30" ht="15.75" hidden="1" customHeight="1">
      <c r="A436" s="1644">
        <f t="shared" si="10"/>
        <v>0</v>
      </c>
      <c r="B436" s="1645" t="s">
        <v>4507</v>
      </c>
      <c r="C436" s="1645" t="s">
        <v>4412</v>
      </c>
      <c r="D436" s="1645" t="s">
        <v>4501</v>
      </c>
      <c r="E436" s="1646" t="s">
        <v>2798</v>
      </c>
      <c r="F436" s="1645">
        <f t="shared" si="22"/>
        <v>1984</v>
      </c>
      <c r="G436" s="1647">
        <v>30828</v>
      </c>
      <c r="H436" s="1644" t="s">
        <v>3636</v>
      </c>
      <c r="I436" s="1648" t="s">
        <v>3629</v>
      </c>
      <c r="J436" s="1645" t="s">
        <v>38</v>
      </c>
      <c r="K436" s="1645">
        <v>0</v>
      </c>
      <c r="L436" s="1645" t="s">
        <v>4469</v>
      </c>
      <c r="M436" s="1645" t="s">
        <v>4478</v>
      </c>
      <c r="N436" s="1645"/>
      <c r="O436" s="1645" t="s">
        <v>4478</v>
      </c>
      <c r="P436" s="1649"/>
      <c r="Q436" s="1645"/>
      <c r="R436" s="1647" t="s">
        <v>3710</v>
      </c>
      <c r="S436" s="1644"/>
      <c r="T436" s="1644" t="s">
        <v>936</v>
      </c>
      <c r="U436" s="1644" t="s">
        <v>3631</v>
      </c>
      <c r="V436" s="1644"/>
      <c r="W436" s="1650" t="s">
        <v>3646</v>
      </c>
      <c r="X436" s="1644" t="s">
        <v>3633</v>
      </c>
      <c r="Y436" s="1647">
        <v>40885</v>
      </c>
      <c r="Z436" s="1647">
        <v>41251</v>
      </c>
      <c r="AA436" s="1650">
        <f t="shared" ca="1" si="23"/>
        <v>14.583333333333334</v>
      </c>
      <c r="AB436" s="2444" t="e">
        <v>#REF!</v>
      </c>
      <c r="AC436" s="2446" t="e">
        <f>+#REF!-#REF!</f>
        <v>#REF!</v>
      </c>
      <c r="AD436" s="2438"/>
    </row>
    <row r="437" spans="1:30" ht="15.75" hidden="1" customHeight="1">
      <c r="A437" s="1644">
        <f t="shared" si="10"/>
        <v>0</v>
      </c>
      <c r="B437" s="1645" t="s">
        <v>4508</v>
      </c>
      <c r="C437" s="1645" t="s">
        <v>4412</v>
      </c>
      <c r="D437" s="1645" t="s">
        <v>4501</v>
      </c>
      <c r="E437" s="1644" t="s">
        <v>2798</v>
      </c>
      <c r="F437" s="1645">
        <f t="shared" si="22"/>
        <v>1988</v>
      </c>
      <c r="G437" s="1647">
        <v>32276</v>
      </c>
      <c r="H437" s="1644" t="s">
        <v>3636</v>
      </c>
      <c r="I437" s="1648" t="s">
        <v>3629</v>
      </c>
      <c r="J437" s="1645" t="s">
        <v>38</v>
      </c>
      <c r="K437" s="1645">
        <v>0</v>
      </c>
      <c r="L437" s="1645" t="s">
        <v>4469</v>
      </c>
      <c r="M437" s="1645" t="s">
        <v>4478</v>
      </c>
      <c r="N437" s="1645"/>
      <c r="O437" s="1645" t="s">
        <v>4478</v>
      </c>
      <c r="P437" s="1649">
        <v>44470</v>
      </c>
      <c r="Q437" s="1645"/>
      <c r="R437" s="1647" t="s">
        <v>3710</v>
      </c>
      <c r="S437" s="1644"/>
      <c r="T437" s="1644" t="s">
        <v>936</v>
      </c>
      <c r="U437" s="1644" t="s">
        <v>3711</v>
      </c>
      <c r="V437" s="1644"/>
      <c r="W437" s="1644">
        <v>0</v>
      </c>
      <c r="X437" s="1644"/>
      <c r="Y437" s="1647">
        <v>41628</v>
      </c>
      <c r="Z437" s="1647">
        <v>41993</v>
      </c>
      <c r="AA437" s="1650">
        <f t="shared" ca="1" si="23"/>
        <v>18.583333333333332</v>
      </c>
      <c r="AB437" s="2444" t="s">
        <v>3629</v>
      </c>
      <c r="AC437" s="2445"/>
      <c r="AD437" s="2438"/>
    </row>
    <row r="438" spans="1:30" ht="15.75" hidden="1" customHeight="1">
      <c r="A438" s="1644">
        <f t="shared" si="10"/>
        <v>0</v>
      </c>
      <c r="B438" s="1645" t="s">
        <v>4509</v>
      </c>
      <c r="C438" s="1645" t="s">
        <v>4412</v>
      </c>
      <c r="D438" s="1645" t="s">
        <v>4501</v>
      </c>
      <c r="E438" s="1644" t="s">
        <v>2798</v>
      </c>
      <c r="F438" s="1645">
        <f t="shared" si="22"/>
        <v>1987</v>
      </c>
      <c r="G438" s="1647">
        <v>31935</v>
      </c>
      <c r="H438" s="1644" t="s">
        <v>3636</v>
      </c>
      <c r="I438" s="1648" t="s">
        <v>3629</v>
      </c>
      <c r="J438" s="1645" t="s">
        <v>38</v>
      </c>
      <c r="K438" s="1645">
        <v>0</v>
      </c>
      <c r="L438" s="1645" t="s">
        <v>4469</v>
      </c>
      <c r="M438" s="1645" t="s">
        <v>4478</v>
      </c>
      <c r="N438" s="1645"/>
      <c r="O438" s="1645" t="s">
        <v>4478</v>
      </c>
      <c r="P438" s="1649">
        <v>44075</v>
      </c>
      <c r="Q438" s="1645"/>
      <c r="R438" s="1647" t="s">
        <v>3683</v>
      </c>
      <c r="S438" s="1644"/>
      <c r="T438" s="1644" t="s">
        <v>936</v>
      </c>
      <c r="U438" s="1644"/>
      <c r="V438" s="1644"/>
      <c r="W438" s="1644">
        <v>0</v>
      </c>
      <c r="X438" s="1644"/>
      <c r="Y438" s="1647">
        <v>41104</v>
      </c>
      <c r="Z438" s="1647">
        <v>41469</v>
      </c>
      <c r="AA438" s="1650">
        <f t="shared" ca="1" si="23"/>
        <v>17.666666666666668</v>
      </c>
      <c r="AB438" s="2444" t="s">
        <v>3629</v>
      </c>
      <c r="AC438" s="2445"/>
      <c r="AD438" s="2438"/>
    </row>
    <row r="439" spans="1:30" ht="15.75" hidden="1" customHeight="1">
      <c r="A439" s="1644">
        <f t="shared" si="10"/>
        <v>0</v>
      </c>
      <c r="B439" s="1645" t="s">
        <v>4510</v>
      </c>
      <c r="C439" s="1645" t="s">
        <v>4412</v>
      </c>
      <c r="D439" s="1645" t="s">
        <v>4501</v>
      </c>
      <c r="E439" s="1644" t="s">
        <v>2798</v>
      </c>
      <c r="F439" s="1645">
        <f t="shared" si="22"/>
        <v>1987</v>
      </c>
      <c r="G439" s="1647">
        <v>31785</v>
      </c>
      <c r="H439" s="1644" t="s">
        <v>3636</v>
      </c>
      <c r="I439" s="1648" t="s">
        <v>3629</v>
      </c>
      <c r="J439" s="1645" t="s">
        <v>37</v>
      </c>
      <c r="K439" s="1645">
        <v>0</v>
      </c>
      <c r="L439" s="1645" t="s">
        <v>4469</v>
      </c>
      <c r="M439" s="1645" t="s">
        <v>4502</v>
      </c>
      <c r="N439" s="1645"/>
      <c r="O439" s="1645" t="s">
        <v>3645</v>
      </c>
      <c r="P439" s="1649"/>
      <c r="Q439" s="1645"/>
      <c r="R439" s="1647" t="s">
        <v>3683</v>
      </c>
      <c r="S439" s="1644"/>
      <c r="T439" s="1644" t="s">
        <v>936</v>
      </c>
      <c r="U439" s="1644" t="s">
        <v>3711</v>
      </c>
      <c r="V439" s="1644" t="s">
        <v>3649</v>
      </c>
      <c r="W439" s="1644">
        <v>0</v>
      </c>
      <c r="X439" s="1644"/>
      <c r="Y439" s="1647">
        <v>42529</v>
      </c>
      <c r="Z439" s="1647">
        <v>42894</v>
      </c>
      <c r="AA439" s="1650">
        <f t="shared" ca="1" si="23"/>
        <v>17.25</v>
      </c>
      <c r="AB439" s="2444" t="s">
        <v>3629</v>
      </c>
      <c r="AC439" s="2445"/>
      <c r="AD439" s="2438"/>
    </row>
    <row r="440" spans="1:30" ht="15.75" hidden="1" customHeight="1">
      <c r="A440" s="1644">
        <f t="shared" si="10"/>
        <v>0</v>
      </c>
      <c r="B440" s="1645" t="s">
        <v>4511</v>
      </c>
      <c r="C440" s="1645" t="s">
        <v>4412</v>
      </c>
      <c r="D440" s="1645" t="s">
        <v>4501</v>
      </c>
      <c r="E440" s="1644" t="s">
        <v>2798</v>
      </c>
      <c r="F440" s="1645">
        <f t="shared" si="22"/>
        <v>1991</v>
      </c>
      <c r="G440" s="1647">
        <v>33335</v>
      </c>
      <c r="H440" s="1644" t="s">
        <v>3636</v>
      </c>
      <c r="I440" s="1648" t="s">
        <v>3629</v>
      </c>
      <c r="J440" s="1645" t="s">
        <v>37</v>
      </c>
      <c r="K440" s="1645">
        <v>0</v>
      </c>
      <c r="L440" s="1645" t="s">
        <v>4469</v>
      </c>
      <c r="M440" s="1645" t="s">
        <v>3890</v>
      </c>
      <c r="N440" s="1645"/>
      <c r="O440" s="1645" t="s">
        <v>3645</v>
      </c>
      <c r="P440" s="1649"/>
      <c r="Q440" s="1645"/>
      <c r="R440" s="1647" t="s">
        <v>3764</v>
      </c>
      <c r="S440" s="1644"/>
      <c r="T440" s="1644" t="s">
        <v>936</v>
      </c>
      <c r="U440" s="1644" t="s">
        <v>3711</v>
      </c>
      <c r="V440" s="1644"/>
      <c r="W440" s="1650" t="s">
        <v>3653</v>
      </c>
      <c r="X440" s="1644"/>
      <c r="Y440" s="1647">
        <v>40043</v>
      </c>
      <c r="Z440" s="1647">
        <v>40408</v>
      </c>
      <c r="AA440" s="1650">
        <f t="shared" ca="1" si="23"/>
        <v>21.5</v>
      </c>
      <c r="AB440" s="2444" t="s">
        <v>3629</v>
      </c>
      <c r="AC440" s="2445"/>
      <c r="AD440" s="2438"/>
    </row>
    <row r="441" spans="1:30" ht="15.75" hidden="1" customHeight="1">
      <c r="A441" s="1644">
        <f t="shared" si="10"/>
        <v>0</v>
      </c>
      <c r="B441" s="1645" t="s">
        <v>4512</v>
      </c>
      <c r="C441" s="1645" t="s">
        <v>4412</v>
      </c>
      <c r="D441" s="1645" t="s">
        <v>4501</v>
      </c>
      <c r="E441" s="1646" t="s">
        <v>2798</v>
      </c>
      <c r="F441" s="1645">
        <f t="shared" si="22"/>
        <v>1988</v>
      </c>
      <c r="G441" s="1647">
        <v>32497</v>
      </c>
      <c r="H441" s="1644" t="s">
        <v>3636</v>
      </c>
      <c r="I441" s="1648" t="s">
        <v>3629</v>
      </c>
      <c r="J441" s="1645" t="s">
        <v>37</v>
      </c>
      <c r="K441" s="1645"/>
      <c r="L441" s="1651" t="s">
        <v>3997</v>
      </c>
      <c r="M441" s="1645" t="s">
        <v>3997</v>
      </c>
      <c r="N441" s="1645"/>
      <c r="O441" s="1645" t="s">
        <v>4478</v>
      </c>
      <c r="P441" s="1649"/>
      <c r="Q441" s="1645"/>
      <c r="R441" s="1647" t="s">
        <v>3667</v>
      </c>
      <c r="S441" s="1644" t="s">
        <v>3743</v>
      </c>
      <c r="T441" s="1644">
        <v>2018</v>
      </c>
      <c r="U441" s="1644"/>
      <c r="V441" s="1644"/>
      <c r="W441" s="1644"/>
      <c r="X441" s="1644"/>
      <c r="Y441" s="1647"/>
      <c r="Z441" s="1647"/>
      <c r="AA441" s="1650">
        <f t="shared" ca="1" si="23"/>
        <v>19.166666666666668</v>
      </c>
      <c r="AB441" s="2444" t="e">
        <v>#REF!</v>
      </c>
      <c r="AC441" s="2445"/>
      <c r="AD441" s="2438"/>
    </row>
    <row r="442" spans="1:30" ht="15.75" hidden="1" customHeight="1">
      <c r="A442" s="1644">
        <f t="shared" si="10"/>
        <v>0</v>
      </c>
      <c r="B442" s="1645" t="s">
        <v>4513</v>
      </c>
      <c r="C442" s="1645" t="s">
        <v>4412</v>
      </c>
      <c r="D442" s="1645" t="s">
        <v>4501</v>
      </c>
      <c r="E442" s="1646" t="s">
        <v>2798</v>
      </c>
      <c r="F442" s="1645">
        <f t="shared" si="22"/>
        <v>1988</v>
      </c>
      <c r="G442" s="1647">
        <v>32234</v>
      </c>
      <c r="H442" s="1644" t="s">
        <v>3636</v>
      </c>
      <c r="I442" s="1648" t="s">
        <v>3629</v>
      </c>
      <c r="J442" s="1645" t="s">
        <v>38</v>
      </c>
      <c r="K442" s="1645">
        <v>0</v>
      </c>
      <c r="L442" s="1645" t="s">
        <v>4469</v>
      </c>
      <c r="M442" s="1645" t="s">
        <v>4478</v>
      </c>
      <c r="N442" s="1645"/>
      <c r="O442" s="1645" t="s">
        <v>4478</v>
      </c>
      <c r="P442" s="1649">
        <v>44652</v>
      </c>
      <c r="Q442" s="1645"/>
      <c r="R442" s="1647" t="s">
        <v>3710</v>
      </c>
      <c r="S442" s="1644"/>
      <c r="T442" s="1644" t="s">
        <v>936</v>
      </c>
      <c r="U442" s="1644" t="s">
        <v>3711</v>
      </c>
      <c r="V442" s="1644"/>
      <c r="W442" s="1644">
        <v>0</v>
      </c>
      <c r="X442" s="1644"/>
      <c r="Y442" s="1647">
        <v>38047</v>
      </c>
      <c r="Z442" s="1647">
        <v>38047</v>
      </c>
      <c r="AA442" s="1650">
        <f t="shared" ca="1" si="23"/>
        <v>18.416666666666668</v>
      </c>
      <c r="AB442" s="2444" t="s">
        <v>3629</v>
      </c>
      <c r="AC442" s="2445"/>
      <c r="AD442" s="2438"/>
    </row>
    <row r="443" spans="1:30" ht="15.75" hidden="1" customHeight="1">
      <c r="A443" s="1644">
        <f t="shared" si="10"/>
        <v>0</v>
      </c>
      <c r="B443" s="1645" t="s">
        <v>4514</v>
      </c>
      <c r="C443" s="1645" t="s">
        <v>4412</v>
      </c>
      <c r="D443" s="1645" t="s">
        <v>4501</v>
      </c>
      <c r="E443" s="1646" t="s">
        <v>2798</v>
      </c>
      <c r="F443" s="1645">
        <f t="shared" si="22"/>
        <v>1992</v>
      </c>
      <c r="G443" s="1647">
        <v>33798</v>
      </c>
      <c r="H443" s="1644" t="s">
        <v>3636</v>
      </c>
      <c r="I443" s="1648" t="s">
        <v>3629</v>
      </c>
      <c r="J443" s="1645" t="s">
        <v>37</v>
      </c>
      <c r="K443" s="1645">
        <v>0</v>
      </c>
      <c r="L443" s="1645" t="s">
        <v>4469</v>
      </c>
      <c r="M443" s="1645" t="s">
        <v>4478</v>
      </c>
      <c r="N443" s="1645"/>
      <c r="O443" s="1645" t="s">
        <v>3645</v>
      </c>
      <c r="P443" s="1649"/>
      <c r="Q443" s="1645"/>
      <c r="R443" s="1647" t="s">
        <v>3683</v>
      </c>
      <c r="S443" s="1644"/>
      <c r="T443" s="1644" t="s">
        <v>2768</v>
      </c>
      <c r="U443" s="1644" t="s">
        <v>3711</v>
      </c>
      <c r="V443" s="1644"/>
      <c r="W443" s="1650" t="s">
        <v>3646</v>
      </c>
      <c r="X443" s="1644"/>
      <c r="Y443" s="1647">
        <v>43557</v>
      </c>
      <c r="Z443" s="1647">
        <v>43923</v>
      </c>
      <c r="AA443" s="1650">
        <f t="shared" ca="1" si="23"/>
        <v>22.75</v>
      </c>
      <c r="AB443" s="2444" t="s">
        <v>3629</v>
      </c>
      <c r="AC443" s="2445"/>
      <c r="AD443" s="2438"/>
    </row>
    <row r="444" spans="1:30" ht="15.75" hidden="1" customHeight="1">
      <c r="A444" s="1644">
        <f t="shared" si="10"/>
        <v>0</v>
      </c>
      <c r="B444" s="1645" t="s">
        <v>4515</v>
      </c>
      <c r="C444" s="1645" t="s">
        <v>4412</v>
      </c>
      <c r="D444" s="1645" t="s">
        <v>4501</v>
      </c>
      <c r="E444" s="1644" t="s">
        <v>2798</v>
      </c>
      <c r="F444" s="1645">
        <f t="shared" si="22"/>
        <v>1983</v>
      </c>
      <c r="G444" s="1647">
        <v>30463</v>
      </c>
      <c r="H444" s="1644" t="s">
        <v>3636</v>
      </c>
      <c r="I444" s="1648" t="s">
        <v>3629</v>
      </c>
      <c r="J444" s="1645" t="s">
        <v>38</v>
      </c>
      <c r="K444" s="1645">
        <v>0</v>
      </c>
      <c r="L444" s="1645" t="s">
        <v>4469</v>
      </c>
      <c r="M444" s="1645" t="s">
        <v>4502</v>
      </c>
      <c r="N444" s="1645"/>
      <c r="O444" s="1645" t="s">
        <v>4478</v>
      </c>
      <c r="P444" s="1649">
        <v>44699</v>
      </c>
      <c r="Q444" s="1645"/>
      <c r="R444" s="1647" t="s">
        <v>3683</v>
      </c>
      <c r="S444" s="1644"/>
      <c r="T444" s="1644" t="s">
        <v>936</v>
      </c>
      <c r="U444" s="1644" t="s">
        <v>3711</v>
      </c>
      <c r="V444" s="1644"/>
      <c r="W444" s="1644" t="s">
        <v>3939</v>
      </c>
      <c r="X444" s="1644"/>
      <c r="Y444" s="1647">
        <v>41041</v>
      </c>
      <c r="Z444" s="1647">
        <v>41406</v>
      </c>
      <c r="AA444" s="1650">
        <f t="shared" ca="1" si="23"/>
        <v>13.583333333333334</v>
      </c>
      <c r="AB444" s="2444" t="s">
        <v>3629</v>
      </c>
      <c r="AC444" s="2445"/>
      <c r="AD444" s="2438"/>
    </row>
    <row r="445" spans="1:30" ht="15.75" hidden="1" customHeight="1">
      <c r="A445" s="1644">
        <f t="shared" si="10"/>
        <v>0</v>
      </c>
      <c r="B445" s="1645" t="s">
        <v>4516</v>
      </c>
      <c r="C445" s="1645" t="s">
        <v>4412</v>
      </c>
      <c r="D445" s="1645" t="s">
        <v>4501</v>
      </c>
      <c r="E445" s="1644" t="s">
        <v>2798</v>
      </c>
      <c r="F445" s="1645">
        <f t="shared" si="22"/>
        <v>1984</v>
      </c>
      <c r="G445" s="1647">
        <v>30810</v>
      </c>
      <c r="H445" s="1644" t="s">
        <v>3628</v>
      </c>
      <c r="I445" s="1648" t="s">
        <v>3629</v>
      </c>
      <c r="J445" s="1645" t="s">
        <v>38</v>
      </c>
      <c r="K445" s="1645">
        <v>0</v>
      </c>
      <c r="L445" s="1645" t="s">
        <v>4469</v>
      </c>
      <c r="M445" s="1645" t="s">
        <v>4478</v>
      </c>
      <c r="N445" s="1645"/>
      <c r="O445" s="1645" t="s">
        <v>4478</v>
      </c>
      <c r="P445" s="1649"/>
      <c r="Q445" s="1645"/>
      <c r="R445" s="1647" t="s">
        <v>4517</v>
      </c>
      <c r="S445" s="1644"/>
      <c r="T445" s="1644" t="s">
        <v>936</v>
      </c>
      <c r="U445" s="1644"/>
      <c r="V445" s="1644"/>
      <c r="W445" s="1644" t="s">
        <v>3939</v>
      </c>
      <c r="X445" s="1644" t="s">
        <v>3759</v>
      </c>
      <c r="Y445" s="1647">
        <v>40522</v>
      </c>
      <c r="Z445" s="1647">
        <v>40887</v>
      </c>
      <c r="AA445" s="1650">
        <f t="shared" ca="1" si="23"/>
        <v>14.583333333333334</v>
      </c>
      <c r="AB445" s="2444" t="s">
        <v>3629</v>
      </c>
      <c r="AC445" s="2446" t="e">
        <f t="shared" ref="AC445:AC446" si="26">+#REF!-#REF!</f>
        <v>#REF!</v>
      </c>
      <c r="AD445" s="2438"/>
    </row>
    <row r="446" spans="1:30" ht="15.75" hidden="1" customHeight="1">
      <c r="A446" s="1644">
        <f t="shared" si="10"/>
        <v>0</v>
      </c>
      <c r="B446" s="1645" t="s">
        <v>4518</v>
      </c>
      <c r="C446" s="1645" t="s">
        <v>4412</v>
      </c>
      <c r="D446" s="1645" t="s">
        <v>4501</v>
      </c>
      <c r="E446" s="1646" t="s">
        <v>2798</v>
      </c>
      <c r="F446" s="1645">
        <f t="shared" si="22"/>
        <v>1980</v>
      </c>
      <c r="G446" s="1647">
        <v>29297</v>
      </c>
      <c r="H446" s="1644" t="s">
        <v>3628</v>
      </c>
      <c r="I446" s="1648" t="s">
        <v>3629</v>
      </c>
      <c r="J446" s="1645" t="s">
        <v>38</v>
      </c>
      <c r="K446" s="1645">
        <v>0</v>
      </c>
      <c r="L446" s="1645" t="s">
        <v>4469</v>
      </c>
      <c r="M446" s="1645" t="s">
        <v>4502</v>
      </c>
      <c r="N446" s="1645"/>
      <c r="O446" s="1645" t="s">
        <v>4478</v>
      </c>
      <c r="P446" s="1649"/>
      <c r="Q446" s="1645"/>
      <c r="R446" s="1647" t="s">
        <v>3710</v>
      </c>
      <c r="S446" s="1644"/>
      <c r="T446" s="1644" t="s">
        <v>936</v>
      </c>
      <c r="U446" s="1644" t="s">
        <v>3631</v>
      </c>
      <c r="V446" s="1644"/>
      <c r="W446" s="1644" t="s">
        <v>3679</v>
      </c>
      <c r="X446" s="1644" t="s">
        <v>3633</v>
      </c>
      <c r="Y446" s="1647">
        <v>40522</v>
      </c>
      <c r="Z446" s="1647">
        <v>40887</v>
      </c>
      <c r="AA446" s="1650">
        <f t="shared" ca="1" si="23"/>
        <v>10.416666666666666</v>
      </c>
      <c r="AB446" s="2444" t="s">
        <v>3629</v>
      </c>
      <c r="AC446" s="2446" t="e">
        <f t="shared" si="26"/>
        <v>#REF!</v>
      </c>
      <c r="AD446" s="2438"/>
    </row>
    <row r="447" spans="1:30" ht="15.75" hidden="1" customHeight="1">
      <c r="A447" s="1644">
        <f t="shared" si="10"/>
        <v>0</v>
      </c>
      <c r="B447" s="1645" t="s">
        <v>4519</v>
      </c>
      <c r="C447" s="1645" t="s">
        <v>4412</v>
      </c>
      <c r="D447" s="1645" t="s">
        <v>4501</v>
      </c>
      <c r="E447" s="1646" t="s">
        <v>2798</v>
      </c>
      <c r="F447" s="1645">
        <f t="shared" si="22"/>
        <v>1987</v>
      </c>
      <c r="G447" s="1647">
        <v>31786</v>
      </c>
      <c r="H447" s="1644" t="s">
        <v>3636</v>
      </c>
      <c r="I447" s="1648" t="s">
        <v>3629</v>
      </c>
      <c r="J447" s="1645" t="s">
        <v>37</v>
      </c>
      <c r="K447" s="1645">
        <v>0</v>
      </c>
      <c r="L447" s="1645" t="s">
        <v>4469</v>
      </c>
      <c r="M447" s="1645" t="s">
        <v>4478</v>
      </c>
      <c r="N447" s="1645"/>
      <c r="O447" s="1645" t="s">
        <v>3645</v>
      </c>
      <c r="P447" s="1649"/>
      <c r="Q447" s="1645"/>
      <c r="R447" s="1647" t="s">
        <v>3683</v>
      </c>
      <c r="S447" s="1644"/>
      <c r="T447" s="1644" t="s">
        <v>936</v>
      </c>
      <c r="U447" s="1644" t="s">
        <v>3711</v>
      </c>
      <c r="V447" s="1644"/>
      <c r="W447" s="1644">
        <v>0</v>
      </c>
      <c r="X447" s="1644"/>
      <c r="Y447" s="1647">
        <v>40482</v>
      </c>
      <c r="Z447" s="1647">
        <v>40847</v>
      </c>
      <c r="AA447" s="1650">
        <f t="shared" ca="1" si="23"/>
        <v>17.25</v>
      </c>
      <c r="AB447" s="2444" t="s">
        <v>3629</v>
      </c>
      <c r="AC447" s="2445"/>
      <c r="AD447" s="2438"/>
    </row>
    <row r="448" spans="1:30" ht="15.75" hidden="1" customHeight="1">
      <c r="A448" s="1644">
        <f t="shared" si="10"/>
        <v>0</v>
      </c>
      <c r="B448" s="1645" t="s">
        <v>4520</v>
      </c>
      <c r="C448" s="1645" t="s">
        <v>4412</v>
      </c>
      <c r="D448" s="1645" t="s">
        <v>4501</v>
      </c>
      <c r="E448" s="1644" t="s">
        <v>2798</v>
      </c>
      <c r="F448" s="1645">
        <f t="shared" si="22"/>
        <v>1983</v>
      </c>
      <c r="G448" s="1647">
        <v>30426</v>
      </c>
      <c r="H448" s="1644" t="s">
        <v>3636</v>
      </c>
      <c r="I448" s="1648" t="s">
        <v>3629</v>
      </c>
      <c r="J448" s="1645" t="s">
        <v>38</v>
      </c>
      <c r="K448" s="1645">
        <v>0</v>
      </c>
      <c r="L448" s="1645" t="s">
        <v>4469</v>
      </c>
      <c r="M448" s="1645" t="s">
        <v>4499</v>
      </c>
      <c r="N448" s="1645"/>
      <c r="O448" s="1645" t="s">
        <v>3645</v>
      </c>
      <c r="P448" s="1649">
        <v>44136</v>
      </c>
      <c r="Q448" s="1645"/>
      <c r="R448" s="1647" t="s">
        <v>3683</v>
      </c>
      <c r="S448" s="1644"/>
      <c r="T448" s="1644" t="s">
        <v>936</v>
      </c>
      <c r="U448" s="1644"/>
      <c r="V448" s="1644"/>
      <c r="W448" s="1644">
        <v>0</v>
      </c>
      <c r="X448" s="1644"/>
      <c r="Y448" s="1647">
        <v>41277</v>
      </c>
      <c r="Z448" s="1647">
        <v>41642</v>
      </c>
      <c r="AA448" s="1650">
        <f t="shared" ca="1" si="23"/>
        <v>13.5</v>
      </c>
      <c r="AB448" s="2444" t="s">
        <v>3629</v>
      </c>
      <c r="AC448" s="2445"/>
      <c r="AD448" s="2438"/>
    </row>
    <row r="449" spans="1:30" ht="15.75" hidden="1" customHeight="1">
      <c r="A449" s="1644">
        <f t="shared" si="10"/>
        <v>0</v>
      </c>
      <c r="B449" s="1645" t="s">
        <v>4521</v>
      </c>
      <c r="C449" s="1645" t="s">
        <v>4412</v>
      </c>
      <c r="D449" s="1645" t="s">
        <v>4522</v>
      </c>
      <c r="E449" s="1644" t="s">
        <v>2798</v>
      </c>
      <c r="F449" s="1645">
        <f t="shared" si="22"/>
        <v>1983</v>
      </c>
      <c r="G449" s="1647">
        <v>30543</v>
      </c>
      <c r="H449" s="1644" t="s">
        <v>3642</v>
      </c>
      <c r="I449" s="1648" t="s">
        <v>3629</v>
      </c>
      <c r="J449" s="1645" t="s">
        <v>37</v>
      </c>
      <c r="K449" s="1645">
        <v>0</v>
      </c>
      <c r="L449" s="1645" t="s">
        <v>2682</v>
      </c>
      <c r="M449" s="1645" t="s">
        <v>4523</v>
      </c>
      <c r="N449" s="1645"/>
      <c r="O449" s="1645" t="s">
        <v>3645</v>
      </c>
      <c r="P449" s="1649"/>
      <c r="Q449" s="1645"/>
      <c r="R449" s="1644"/>
      <c r="S449" s="1644"/>
      <c r="T449" s="1644"/>
      <c r="U449" s="1644"/>
      <c r="V449" s="1644" t="s">
        <v>3980</v>
      </c>
      <c r="W449" s="1650" t="s">
        <v>3822</v>
      </c>
      <c r="X449" s="1644"/>
      <c r="Y449" s="1647">
        <v>38872</v>
      </c>
      <c r="Z449" s="1647">
        <v>39237</v>
      </c>
      <c r="AA449" s="1650">
        <f t="shared" ca="1" si="23"/>
        <v>13.833333333333334</v>
      </c>
      <c r="AB449" s="2444" t="s">
        <v>3629</v>
      </c>
      <c r="AC449" s="2445"/>
      <c r="AD449" s="2438"/>
    </row>
    <row r="450" spans="1:30" ht="15.75" hidden="1" customHeight="1">
      <c r="A450" s="1644">
        <f t="shared" si="10"/>
        <v>0</v>
      </c>
      <c r="B450" s="1645" t="s">
        <v>4524</v>
      </c>
      <c r="C450" s="1645" t="s">
        <v>4412</v>
      </c>
      <c r="D450" s="1645" t="s">
        <v>4522</v>
      </c>
      <c r="E450" s="1644" t="s">
        <v>2798</v>
      </c>
      <c r="F450" s="1645">
        <f t="shared" si="22"/>
        <v>1985</v>
      </c>
      <c r="G450" s="1647">
        <v>31108</v>
      </c>
      <c r="H450" s="1644" t="s">
        <v>3642</v>
      </c>
      <c r="I450" s="1648" t="s">
        <v>3629</v>
      </c>
      <c r="J450" s="1645" t="s">
        <v>201</v>
      </c>
      <c r="K450" s="1645">
        <v>0</v>
      </c>
      <c r="L450" s="1645" t="s">
        <v>1733</v>
      </c>
      <c r="M450" s="1645">
        <v>0</v>
      </c>
      <c r="N450" s="1645"/>
      <c r="O450" s="1645" t="s">
        <v>3645</v>
      </c>
      <c r="P450" s="1649"/>
      <c r="Q450" s="1645"/>
      <c r="R450" s="1647" t="s">
        <v>3656</v>
      </c>
      <c r="S450" s="1644"/>
      <c r="T450" s="1644"/>
      <c r="U450" s="1644"/>
      <c r="V450" s="1644" t="s">
        <v>3657</v>
      </c>
      <c r="W450" s="1650" t="s">
        <v>3653</v>
      </c>
      <c r="X450" s="1644"/>
      <c r="Y450" s="1647"/>
      <c r="Z450" s="1647"/>
      <c r="AA450" s="1650">
        <f t="shared" ca="1" si="23"/>
        <v>15.333333333333334</v>
      </c>
      <c r="AB450" s="2444" t="s">
        <v>3629</v>
      </c>
      <c r="AC450" s="2445"/>
      <c r="AD450" s="2438"/>
    </row>
    <row r="451" spans="1:30" ht="15.75" hidden="1" customHeight="1">
      <c r="A451" s="1644">
        <f t="shared" si="10"/>
        <v>0</v>
      </c>
      <c r="B451" s="1645" t="s">
        <v>4525</v>
      </c>
      <c r="C451" s="1645" t="s">
        <v>4412</v>
      </c>
      <c r="D451" s="1645" t="s">
        <v>4522</v>
      </c>
      <c r="E451" s="1644" t="s">
        <v>2798</v>
      </c>
      <c r="F451" s="1645">
        <f t="shared" si="22"/>
        <v>1981</v>
      </c>
      <c r="G451" s="1647">
        <v>29743</v>
      </c>
      <c r="H451" s="1644" t="s">
        <v>3642</v>
      </c>
      <c r="I451" s="1648" t="s">
        <v>3629</v>
      </c>
      <c r="J451" s="1645" t="s">
        <v>37</v>
      </c>
      <c r="K451" s="1645">
        <v>0</v>
      </c>
      <c r="L451" s="1645" t="s">
        <v>3268</v>
      </c>
      <c r="M451" s="1645" t="s">
        <v>4526</v>
      </c>
      <c r="N451" s="1645"/>
      <c r="O451" s="1645" t="s">
        <v>3645</v>
      </c>
      <c r="P451" s="1649"/>
      <c r="Q451" s="1645"/>
      <c r="R451" s="1644" t="s">
        <v>3699</v>
      </c>
      <c r="S451" s="1644"/>
      <c r="T451" s="1644" t="s">
        <v>936</v>
      </c>
      <c r="U451" s="1644"/>
      <c r="V451" s="1644" t="s">
        <v>3980</v>
      </c>
      <c r="W451" s="1650" t="s">
        <v>3822</v>
      </c>
      <c r="X451" s="1644" t="s">
        <v>3633</v>
      </c>
      <c r="Y451" s="1647">
        <v>41431</v>
      </c>
      <c r="Z451" s="1647">
        <v>41796</v>
      </c>
      <c r="AA451" s="1650">
        <f t="shared" ca="1" si="23"/>
        <v>11.666666666666666</v>
      </c>
      <c r="AB451" s="2444" t="s">
        <v>3629</v>
      </c>
      <c r="AC451" s="2445"/>
      <c r="AD451" s="2438"/>
    </row>
    <row r="452" spans="1:30" ht="15.75" hidden="1" customHeight="1">
      <c r="A452" s="1644">
        <f t="shared" si="10"/>
        <v>0</v>
      </c>
      <c r="B452" s="1645" t="s">
        <v>4527</v>
      </c>
      <c r="C452" s="1645" t="s">
        <v>4412</v>
      </c>
      <c r="D452" s="1645" t="s">
        <v>4522</v>
      </c>
      <c r="E452" s="1646" t="s">
        <v>2798</v>
      </c>
      <c r="F452" s="1645">
        <f t="shared" si="22"/>
        <v>1976</v>
      </c>
      <c r="G452" s="1647">
        <v>27990</v>
      </c>
      <c r="H452" s="1644" t="s">
        <v>3642</v>
      </c>
      <c r="I452" s="1648" t="s">
        <v>3629</v>
      </c>
      <c r="J452" s="1645" t="s">
        <v>37</v>
      </c>
      <c r="K452" s="1645">
        <v>0</v>
      </c>
      <c r="L452" s="1645" t="s">
        <v>4478</v>
      </c>
      <c r="M452" s="1645">
        <v>0</v>
      </c>
      <c r="N452" s="1645"/>
      <c r="O452" s="1645" t="s">
        <v>3645</v>
      </c>
      <c r="P452" s="1649"/>
      <c r="Q452" s="1645"/>
      <c r="R452" s="1644"/>
      <c r="S452" s="1644"/>
      <c r="T452" s="1644" t="s">
        <v>936</v>
      </c>
      <c r="U452" s="1644"/>
      <c r="V452" s="1644" t="s">
        <v>3980</v>
      </c>
      <c r="W452" s="1650" t="s">
        <v>3653</v>
      </c>
      <c r="X452" s="1644"/>
      <c r="Y452" s="1647">
        <v>40819</v>
      </c>
      <c r="Z452" s="1647">
        <v>41185</v>
      </c>
      <c r="AA452" s="1650">
        <f t="shared" ca="1" si="23"/>
        <v>6.833333333333333</v>
      </c>
      <c r="AB452" s="2444" t="s">
        <v>3629</v>
      </c>
      <c r="AC452" s="2445"/>
      <c r="AD452" s="2438"/>
    </row>
    <row r="453" spans="1:30" ht="15.75" hidden="1" customHeight="1">
      <c r="A453" s="1644">
        <f t="shared" si="10"/>
        <v>0</v>
      </c>
      <c r="B453" s="1645" t="s">
        <v>4528</v>
      </c>
      <c r="C453" s="1645" t="s">
        <v>4412</v>
      </c>
      <c r="D453" s="1645" t="s">
        <v>4522</v>
      </c>
      <c r="E453" s="1646" t="s">
        <v>2798</v>
      </c>
      <c r="F453" s="1645">
        <f t="shared" si="22"/>
        <v>1977</v>
      </c>
      <c r="G453" s="1647">
        <v>28160</v>
      </c>
      <c r="H453" s="1644" t="s">
        <v>3642</v>
      </c>
      <c r="I453" s="1648" t="s">
        <v>3629</v>
      </c>
      <c r="J453" s="1645" t="s">
        <v>37</v>
      </c>
      <c r="K453" s="1645">
        <v>0</v>
      </c>
      <c r="L453" s="1645" t="s">
        <v>4469</v>
      </c>
      <c r="M453" s="1645" t="s">
        <v>4473</v>
      </c>
      <c r="N453" s="1645"/>
      <c r="O453" s="1645" t="s">
        <v>3645</v>
      </c>
      <c r="P453" s="1649"/>
      <c r="Q453" s="1645"/>
      <c r="R453" s="1644"/>
      <c r="S453" s="1644"/>
      <c r="T453" s="1644"/>
      <c r="U453" s="1644"/>
      <c r="V453" s="1644" t="s">
        <v>3980</v>
      </c>
      <c r="W453" s="1650" t="s">
        <v>3653</v>
      </c>
      <c r="X453" s="1644"/>
      <c r="Y453" s="1647">
        <v>39381</v>
      </c>
      <c r="Z453" s="1647">
        <v>39747</v>
      </c>
      <c r="AA453" s="1650">
        <f t="shared" ca="1" si="23"/>
        <v>7.333333333333333</v>
      </c>
      <c r="AB453" s="2444" t="s">
        <v>3629</v>
      </c>
      <c r="AC453" s="2445"/>
      <c r="AD453" s="2438"/>
    </row>
    <row r="454" spans="1:30" ht="15.75" hidden="1" customHeight="1">
      <c r="A454" s="1644">
        <f t="shared" si="10"/>
        <v>0</v>
      </c>
      <c r="B454" s="1645" t="s">
        <v>4529</v>
      </c>
      <c r="C454" s="1645" t="s">
        <v>4530</v>
      </c>
      <c r="D454" s="1645" t="s">
        <v>4531</v>
      </c>
      <c r="E454" s="1646" t="s">
        <v>2798</v>
      </c>
      <c r="F454" s="1645">
        <f t="shared" si="22"/>
        <v>1982</v>
      </c>
      <c r="G454" s="1647">
        <v>30252</v>
      </c>
      <c r="H454" s="1644" t="s">
        <v>3628</v>
      </c>
      <c r="I454" s="1648" t="s">
        <v>3629</v>
      </c>
      <c r="J454" s="1645" t="s">
        <v>38</v>
      </c>
      <c r="K454" s="1645">
        <v>0</v>
      </c>
      <c r="L454" s="1645" t="s">
        <v>4532</v>
      </c>
      <c r="M454" s="1645" t="s">
        <v>4533</v>
      </c>
      <c r="N454" s="1645"/>
      <c r="O454" s="1645" t="s">
        <v>4533</v>
      </c>
      <c r="P454" s="1649"/>
      <c r="Q454" s="1645"/>
      <c r="R454" s="1647" t="s">
        <v>2862</v>
      </c>
      <c r="S454" s="1644"/>
      <c r="T454" s="1644" t="s">
        <v>936</v>
      </c>
      <c r="U454" s="1644" t="s">
        <v>3631</v>
      </c>
      <c r="V454" s="1644"/>
      <c r="W454" s="1650" t="s">
        <v>3646</v>
      </c>
      <c r="X454" s="1644" t="s">
        <v>3707</v>
      </c>
      <c r="Y454" s="1647">
        <v>41423</v>
      </c>
      <c r="Z454" s="1647">
        <v>41788</v>
      </c>
      <c r="AA454" s="1650">
        <f t="shared" ca="1" si="23"/>
        <v>13</v>
      </c>
      <c r="AB454" s="2444" t="s">
        <v>3629</v>
      </c>
      <c r="AC454" s="2445"/>
      <c r="AD454" s="2438"/>
    </row>
    <row r="455" spans="1:30" ht="15.75" hidden="1" customHeight="1">
      <c r="A455" s="1644">
        <f t="shared" si="10"/>
        <v>0</v>
      </c>
      <c r="B455" s="1645" t="s">
        <v>4534</v>
      </c>
      <c r="C455" s="1645" t="s">
        <v>4530</v>
      </c>
      <c r="D455" s="1645" t="s">
        <v>4531</v>
      </c>
      <c r="E455" s="1644" t="s">
        <v>2798</v>
      </c>
      <c r="F455" s="1645">
        <f t="shared" si="22"/>
        <v>1987</v>
      </c>
      <c r="G455" s="1647">
        <v>31892</v>
      </c>
      <c r="H455" s="1644" t="s">
        <v>3636</v>
      </c>
      <c r="I455" s="1648" t="s">
        <v>3629</v>
      </c>
      <c r="J455" s="1645" t="s">
        <v>37</v>
      </c>
      <c r="K455" s="1645">
        <v>0</v>
      </c>
      <c r="L455" s="1645" t="s">
        <v>3676</v>
      </c>
      <c r="M455" s="1645" t="s">
        <v>4533</v>
      </c>
      <c r="N455" s="1645"/>
      <c r="O455" s="1645" t="s">
        <v>3645</v>
      </c>
      <c r="P455" s="1649"/>
      <c r="Q455" s="1645"/>
      <c r="R455" s="1647" t="s">
        <v>3710</v>
      </c>
      <c r="S455" s="1644"/>
      <c r="T455" s="1644" t="s">
        <v>936</v>
      </c>
      <c r="U455" s="1644" t="s">
        <v>3711</v>
      </c>
      <c r="V455" s="1644"/>
      <c r="W455" s="1644">
        <v>0</v>
      </c>
      <c r="X455" s="1644"/>
      <c r="Y455" s="1647"/>
      <c r="Z455" s="1647"/>
      <c r="AA455" s="1650">
        <f t="shared" ca="1" si="23"/>
        <v>17.5</v>
      </c>
      <c r="AB455" s="2444" t="s">
        <v>3629</v>
      </c>
      <c r="AC455" s="2445"/>
      <c r="AD455" s="2438"/>
    </row>
    <row r="456" spans="1:30" ht="15.75" hidden="1" customHeight="1">
      <c r="A456" s="1644">
        <f t="shared" si="10"/>
        <v>0</v>
      </c>
      <c r="B456" s="1645" t="s">
        <v>4535</v>
      </c>
      <c r="C456" s="1645" t="s">
        <v>4530</v>
      </c>
      <c r="D456" s="1645" t="s">
        <v>4531</v>
      </c>
      <c r="E456" s="1646" t="s">
        <v>2798</v>
      </c>
      <c r="F456" s="1645">
        <f t="shared" si="22"/>
        <v>1979</v>
      </c>
      <c r="G456" s="1647">
        <v>29020</v>
      </c>
      <c r="H456" s="1644" t="s">
        <v>3628</v>
      </c>
      <c r="I456" s="1648" t="s">
        <v>3629</v>
      </c>
      <c r="J456" s="1645" t="s">
        <v>38</v>
      </c>
      <c r="K456" s="1645">
        <v>0</v>
      </c>
      <c r="L456" s="1645" t="s">
        <v>3676</v>
      </c>
      <c r="M456" s="1645" t="s">
        <v>3676</v>
      </c>
      <c r="N456" s="1645"/>
      <c r="O456" s="1645" t="s">
        <v>3676</v>
      </c>
      <c r="P456" s="1649"/>
      <c r="Q456" s="1645"/>
      <c r="R456" s="1647" t="s">
        <v>3941</v>
      </c>
      <c r="S456" s="1644"/>
      <c r="T456" s="1644" t="s">
        <v>936</v>
      </c>
      <c r="U456" s="1644" t="s">
        <v>3631</v>
      </c>
      <c r="V456" s="1644"/>
      <c r="W456" s="1650" t="s">
        <v>3822</v>
      </c>
      <c r="X456" s="1644" t="s">
        <v>3633</v>
      </c>
      <c r="Y456" s="1647">
        <v>38527</v>
      </c>
      <c r="Z456" s="1647">
        <v>38892</v>
      </c>
      <c r="AA456" s="1650">
        <f t="shared" ca="1" si="23"/>
        <v>9.6666666666666661</v>
      </c>
      <c r="AB456" s="2444" t="s">
        <v>3629</v>
      </c>
      <c r="AC456" s="2445"/>
      <c r="AD456" s="2438"/>
    </row>
    <row r="457" spans="1:30" ht="15.75" hidden="1" customHeight="1">
      <c r="A457" s="1644">
        <f t="shared" si="10"/>
        <v>0</v>
      </c>
      <c r="B457" s="1645" t="s">
        <v>4536</v>
      </c>
      <c r="C457" s="1645" t="s">
        <v>4530</v>
      </c>
      <c r="D457" s="1645" t="s">
        <v>4531</v>
      </c>
      <c r="E457" s="1644" t="s">
        <v>2798</v>
      </c>
      <c r="F457" s="1645">
        <f t="shared" si="22"/>
        <v>1977</v>
      </c>
      <c r="G457" s="1647">
        <v>28451</v>
      </c>
      <c r="H457" s="1644" t="s">
        <v>3628</v>
      </c>
      <c r="I457" s="1648" t="s">
        <v>3629</v>
      </c>
      <c r="J457" s="1645" t="s">
        <v>38</v>
      </c>
      <c r="K457" s="1645">
        <v>0</v>
      </c>
      <c r="L457" s="1645" t="s">
        <v>3676</v>
      </c>
      <c r="M457" s="1645" t="s">
        <v>4533</v>
      </c>
      <c r="N457" s="1645"/>
      <c r="O457" s="1645" t="s">
        <v>4533</v>
      </c>
      <c r="P457" s="1649"/>
      <c r="Q457" s="1645"/>
      <c r="R457" s="1647" t="s">
        <v>4051</v>
      </c>
      <c r="S457" s="1644"/>
      <c r="T457" s="1644" t="s">
        <v>936</v>
      </c>
      <c r="U457" s="1644" t="s">
        <v>3697</v>
      </c>
      <c r="V457" s="1644"/>
      <c r="W457" s="1644">
        <v>0</v>
      </c>
      <c r="X457" s="1644" t="s">
        <v>3633</v>
      </c>
      <c r="Y457" s="1647">
        <v>37243</v>
      </c>
      <c r="Z457" s="1647">
        <v>37608</v>
      </c>
      <c r="AA457" s="1650">
        <f t="shared" ca="1" si="23"/>
        <v>8.0833333333333339</v>
      </c>
      <c r="AB457" s="2444" t="e">
        <v>#REF!</v>
      </c>
      <c r="AC457" s="2446" t="e">
        <f>+#REF!-#REF!</f>
        <v>#REF!</v>
      </c>
      <c r="AD457" s="2438"/>
    </row>
    <row r="458" spans="1:30" ht="15.75" hidden="1" customHeight="1">
      <c r="A458" s="1644">
        <f t="shared" si="10"/>
        <v>0</v>
      </c>
      <c r="B458" s="1645" t="s">
        <v>4537</v>
      </c>
      <c r="C458" s="1645" t="s">
        <v>4530</v>
      </c>
      <c r="D458" s="1645" t="s">
        <v>4531</v>
      </c>
      <c r="E458" s="1646" t="s">
        <v>2798</v>
      </c>
      <c r="F458" s="1645">
        <f t="shared" si="22"/>
        <v>1988</v>
      </c>
      <c r="G458" s="1647">
        <v>32368</v>
      </c>
      <c r="H458" s="1644" t="s">
        <v>3636</v>
      </c>
      <c r="I458" s="1648" t="s">
        <v>3629</v>
      </c>
      <c r="J458" s="1645" t="s">
        <v>37</v>
      </c>
      <c r="K458" s="1645">
        <v>0</v>
      </c>
      <c r="L458" s="1645" t="s">
        <v>3676</v>
      </c>
      <c r="M458" s="1645" t="s">
        <v>4538</v>
      </c>
      <c r="N458" s="1645"/>
      <c r="O458" s="1645" t="s">
        <v>3645</v>
      </c>
      <c r="P458" s="1649"/>
      <c r="Q458" s="1645"/>
      <c r="R458" s="1647" t="s">
        <v>3710</v>
      </c>
      <c r="S458" s="1644"/>
      <c r="T458" s="1644" t="s">
        <v>936</v>
      </c>
      <c r="U458" s="1644" t="s">
        <v>3711</v>
      </c>
      <c r="V458" s="1644"/>
      <c r="W458" s="1644">
        <v>0</v>
      </c>
      <c r="X458" s="1644"/>
      <c r="Y458" s="1647">
        <v>42516</v>
      </c>
      <c r="Z458" s="1647">
        <v>42881</v>
      </c>
      <c r="AA458" s="1650">
        <f t="shared" ca="1" si="23"/>
        <v>18.833333333333332</v>
      </c>
      <c r="AB458" s="2444" t="s">
        <v>3629</v>
      </c>
      <c r="AC458" s="2445"/>
      <c r="AD458" s="2438"/>
    </row>
    <row r="459" spans="1:30" ht="15.75" hidden="1" customHeight="1">
      <c r="A459" s="1644">
        <f t="shared" si="10"/>
        <v>0</v>
      </c>
      <c r="B459" s="1645" t="s">
        <v>4539</v>
      </c>
      <c r="C459" s="1645" t="s">
        <v>4530</v>
      </c>
      <c r="D459" s="1645" t="s">
        <v>4531</v>
      </c>
      <c r="E459" s="1644" t="s">
        <v>2798</v>
      </c>
      <c r="F459" s="1645">
        <f t="shared" si="22"/>
        <v>1989</v>
      </c>
      <c r="G459" s="1647">
        <v>32796</v>
      </c>
      <c r="H459" s="1644" t="s">
        <v>3636</v>
      </c>
      <c r="I459" s="1648" t="s">
        <v>3629</v>
      </c>
      <c r="J459" s="1645" t="s">
        <v>37</v>
      </c>
      <c r="K459" s="1645">
        <v>0</v>
      </c>
      <c r="L459" s="1645" t="s">
        <v>3676</v>
      </c>
      <c r="M459" s="1645" t="s">
        <v>3676</v>
      </c>
      <c r="N459" s="1645"/>
      <c r="O459" s="1645" t="s">
        <v>3645</v>
      </c>
      <c r="P459" s="1649"/>
      <c r="Q459" s="1645"/>
      <c r="R459" s="1647" t="s">
        <v>3710</v>
      </c>
      <c r="S459" s="1644"/>
      <c r="T459" s="1644" t="s">
        <v>936</v>
      </c>
      <c r="U459" s="1644" t="s">
        <v>3711</v>
      </c>
      <c r="V459" s="1644"/>
      <c r="W459" s="1644" t="s">
        <v>3687</v>
      </c>
      <c r="X459" s="1644"/>
      <c r="Y459" s="1647">
        <v>40733</v>
      </c>
      <c r="Z459" s="1647">
        <v>41099</v>
      </c>
      <c r="AA459" s="1650">
        <f t="shared" ca="1" si="23"/>
        <v>20</v>
      </c>
      <c r="AB459" s="2444" t="s">
        <v>3629</v>
      </c>
      <c r="AC459" s="2445"/>
      <c r="AD459" s="2438"/>
    </row>
    <row r="460" spans="1:30" ht="15.75" hidden="1" customHeight="1">
      <c r="A460" s="1644">
        <f t="shared" si="10"/>
        <v>0</v>
      </c>
      <c r="B460" s="1645" t="s">
        <v>4540</v>
      </c>
      <c r="C460" s="1645" t="s">
        <v>4530</v>
      </c>
      <c r="D460" s="1645" t="s">
        <v>4531</v>
      </c>
      <c r="E460" s="1644" t="s">
        <v>2798</v>
      </c>
      <c r="F460" s="1645">
        <f t="shared" si="22"/>
        <v>1986</v>
      </c>
      <c r="G460" s="1647">
        <v>31657</v>
      </c>
      <c r="H460" s="1644" t="s">
        <v>3636</v>
      </c>
      <c r="I460" s="1648" t="s">
        <v>3629</v>
      </c>
      <c r="J460" s="1645" t="s">
        <v>38</v>
      </c>
      <c r="K460" s="1645">
        <v>0</v>
      </c>
      <c r="L460" s="1645" t="s">
        <v>3676</v>
      </c>
      <c r="M460" s="1645" t="s">
        <v>4533</v>
      </c>
      <c r="N460" s="1645"/>
      <c r="O460" s="1645" t="s">
        <v>3996</v>
      </c>
      <c r="P460" s="1649">
        <v>43891</v>
      </c>
      <c r="Q460" s="1645"/>
      <c r="R460" s="1647" t="s">
        <v>3683</v>
      </c>
      <c r="S460" s="1644"/>
      <c r="T460" s="1644" t="s">
        <v>936</v>
      </c>
      <c r="U460" s="1644" t="s">
        <v>3711</v>
      </c>
      <c r="V460" s="1644"/>
      <c r="W460" s="1644">
        <v>0</v>
      </c>
      <c r="X460" s="1644"/>
      <c r="Y460" s="1647">
        <v>41423</v>
      </c>
      <c r="Z460" s="1647">
        <v>41788</v>
      </c>
      <c r="AA460" s="1650">
        <f t="shared" ca="1" si="23"/>
        <v>16.833333333333332</v>
      </c>
      <c r="AB460" s="2444" t="s">
        <v>3629</v>
      </c>
      <c r="AC460" s="2445"/>
      <c r="AD460" s="2438"/>
    </row>
    <row r="461" spans="1:30" ht="15.75" hidden="1" customHeight="1">
      <c r="A461" s="1644">
        <f t="shared" si="10"/>
        <v>0</v>
      </c>
      <c r="B461" s="1645" t="s">
        <v>4541</v>
      </c>
      <c r="C461" s="1645" t="s">
        <v>4530</v>
      </c>
      <c r="D461" s="1645" t="s">
        <v>4531</v>
      </c>
      <c r="E461" s="1646" t="s">
        <v>2798</v>
      </c>
      <c r="F461" s="1645">
        <f t="shared" si="22"/>
        <v>1986</v>
      </c>
      <c r="G461" s="1647">
        <v>31539</v>
      </c>
      <c r="H461" s="1644" t="s">
        <v>3636</v>
      </c>
      <c r="I461" s="1648" t="s">
        <v>3629</v>
      </c>
      <c r="J461" s="1645" t="s">
        <v>37</v>
      </c>
      <c r="K461" s="1645">
        <v>0</v>
      </c>
      <c r="L461" s="1645" t="s">
        <v>4532</v>
      </c>
      <c r="M461" s="1645" t="s">
        <v>4533</v>
      </c>
      <c r="N461" s="1645"/>
      <c r="O461" s="1645" t="s">
        <v>3645</v>
      </c>
      <c r="P461" s="1649"/>
      <c r="Q461" s="1645"/>
      <c r="R461" s="1647" t="s">
        <v>3710</v>
      </c>
      <c r="S461" s="1644"/>
      <c r="T461" s="1644" t="s">
        <v>936</v>
      </c>
      <c r="U461" s="1644" t="s">
        <v>3711</v>
      </c>
      <c r="V461" s="1644"/>
      <c r="W461" s="1644" t="s">
        <v>936</v>
      </c>
      <c r="X461" s="1644"/>
      <c r="Y461" s="1647"/>
      <c r="Z461" s="1647"/>
      <c r="AA461" s="1650">
        <f t="shared" ca="1" si="23"/>
        <v>16.583333333333332</v>
      </c>
      <c r="AB461" s="2444" t="e">
        <v>#REF!</v>
      </c>
      <c r="AC461" s="2445"/>
      <c r="AD461" s="2438"/>
    </row>
    <row r="462" spans="1:30" ht="15.75" hidden="1" customHeight="1">
      <c r="A462" s="1644">
        <f t="shared" si="10"/>
        <v>0</v>
      </c>
      <c r="B462" s="1645" t="s">
        <v>4542</v>
      </c>
      <c r="C462" s="1645" t="s">
        <v>4530</v>
      </c>
      <c r="D462" s="1645" t="s">
        <v>4531</v>
      </c>
      <c r="E462" s="1644" t="s">
        <v>2798</v>
      </c>
      <c r="F462" s="1645">
        <f t="shared" si="22"/>
        <v>1981</v>
      </c>
      <c r="G462" s="1647">
        <v>29893</v>
      </c>
      <c r="H462" s="1644" t="s">
        <v>3628</v>
      </c>
      <c r="I462" s="1648" t="s">
        <v>3629</v>
      </c>
      <c r="J462" s="1645" t="s">
        <v>38</v>
      </c>
      <c r="K462" s="1645">
        <v>0</v>
      </c>
      <c r="L462" s="1645" t="s">
        <v>3676</v>
      </c>
      <c r="M462" s="1645" t="s">
        <v>4533</v>
      </c>
      <c r="N462" s="1645"/>
      <c r="O462" s="1645" t="s">
        <v>3996</v>
      </c>
      <c r="P462" s="1649"/>
      <c r="Q462" s="1645"/>
      <c r="R462" s="1647" t="s">
        <v>3710</v>
      </c>
      <c r="S462" s="1644"/>
      <c r="T462" s="1644" t="s">
        <v>936</v>
      </c>
      <c r="U462" s="1644" t="s">
        <v>3697</v>
      </c>
      <c r="V462" s="1644"/>
      <c r="W462" s="1650" t="s">
        <v>3646</v>
      </c>
      <c r="X462" s="1644"/>
      <c r="Y462" s="1647">
        <v>40241</v>
      </c>
      <c r="Z462" s="1647">
        <v>40606</v>
      </c>
      <c r="AA462" s="1650">
        <f t="shared" ca="1" si="23"/>
        <v>12.083333333333334</v>
      </c>
      <c r="AB462" s="2444" t="s">
        <v>3629</v>
      </c>
      <c r="AC462" s="2445"/>
      <c r="AD462" s="2438"/>
    </row>
    <row r="463" spans="1:30" ht="15.75" hidden="1" customHeight="1">
      <c r="A463" s="1644">
        <f t="shared" si="10"/>
        <v>0</v>
      </c>
      <c r="B463" s="1645" t="s">
        <v>4543</v>
      </c>
      <c r="C463" s="1645" t="s">
        <v>4530</v>
      </c>
      <c r="D463" s="1645" t="s">
        <v>4531</v>
      </c>
      <c r="E463" s="1646" t="s">
        <v>2798</v>
      </c>
      <c r="F463" s="1645">
        <f t="shared" si="22"/>
        <v>1987</v>
      </c>
      <c r="G463" s="1647">
        <v>32020</v>
      </c>
      <c r="H463" s="1644" t="s">
        <v>3636</v>
      </c>
      <c r="I463" s="1648" t="s">
        <v>3629</v>
      </c>
      <c r="J463" s="1645" t="s">
        <v>38</v>
      </c>
      <c r="K463" s="1645">
        <v>0</v>
      </c>
      <c r="L463" s="1645" t="s">
        <v>3676</v>
      </c>
      <c r="M463" s="1645" t="s">
        <v>4533</v>
      </c>
      <c r="N463" s="1645"/>
      <c r="O463" s="1645" t="s">
        <v>3676</v>
      </c>
      <c r="P463" s="1649">
        <v>44664</v>
      </c>
      <c r="Q463" s="1645"/>
      <c r="R463" s="1647" t="s">
        <v>3683</v>
      </c>
      <c r="S463" s="1644"/>
      <c r="T463" s="1644" t="s">
        <v>936</v>
      </c>
      <c r="U463" s="1644" t="s">
        <v>3711</v>
      </c>
      <c r="V463" s="1644"/>
      <c r="W463" s="1644">
        <v>0</v>
      </c>
      <c r="X463" s="1644"/>
      <c r="Y463" s="1647">
        <v>43185</v>
      </c>
      <c r="Z463" s="1647">
        <v>43550</v>
      </c>
      <c r="AA463" s="1650">
        <f t="shared" ca="1" si="23"/>
        <v>17.833333333333332</v>
      </c>
      <c r="AB463" s="2444" t="s">
        <v>3629</v>
      </c>
      <c r="AC463" s="2445"/>
      <c r="AD463" s="2438"/>
    </row>
    <row r="464" spans="1:30" ht="15.75" hidden="1" customHeight="1">
      <c r="A464" s="1644">
        <f t="shared" si="10"/>
        <v>0</v>
      </c>
      <c r="B464" s="1645" t="s">
        <v>4544</v>
      </c>
      <c r="C464" s="1645" t="s">
        <v>4530</v>
      </c>
      <c r="D464" s="1645" t="s">
        <v>4531</v>
      </c>
      <c r="E464" s="1644" t="s">
        <v>2798</v>
      </c>
      <c r="F464" s="1645">
        <f t="shared" si="22"/>
        <v>1981</v>
      </c>
      <c r="G464" s="1647">
        <v>29744</v>
      </c>
      <c r="H464" s="1644" t="s">
        <v>3628</v>
      </c>
      <c r="I464" s="1648" t="s">
        <v>3629</v>
      </c>
      <c r="J464" s="1645" t="s">
        <v>38</v>
      </c>
      <c r="K464" s="1645">
        <v>0</v>
      </c>
      <c r="L464" s="1645" t="s">
        <v>3676</v>
      </c>
      <c r="M464" s="1645" t="s">
        <v>4538</v>
      </c>
      <c r="N464" s="1645"/>
      <c r="O464" s="1645" t="s">
        <v>4545</v>
      </c>
      <c r="P464" s="1649"/>
      <c r="Q464" s="1645"/>
      <c r="R464" s="1647" t="s">
        <v>4546</v>
      </c>
      <c r="S464" s="1644"/>
      <c r="T464" s="1644" t="s">
        <v>936</v>
      </c>
      <c r="U464" s="1644" t="s">
        <v>3631</v>
      </c>
      <c r="V464" s="1644"/>
      <c r="W464" s="1650" t="s">
        <v>3822</v>
      </c>
      <c r="X464" s="1644" t="s">
        <v>3707</v>
      </c>
      <c r="Y464" s="1647">
        <v>41116</v>
      </c>
      <c r="Z464" s="1647">
        <v>41481</v>
      </c>
      <c r="AA464" s="1650">
        <f t="shared" ca="1" si="23"/>
        <v>11.666666666666666</v>
      </c>
      <c r="AB464" s="2444" t="e">
        <v>#REF!</v>
      </c>
      <c r="AC464" s="2446" t="e">
        <f>+#REF!-#REF!</f>
        <v>#REF!</v>
      </c>
      <c r="AD464" s="2438"/>
    </row>
    <row r="465" spans="1:30" ht="15.75" hidden="1" customHeight="1">
      <c r="A465" s="1644">
        <f t="shared" si="10"/>
        <v>0</v>
      </c>
      <c r="B465" s="1645" t="s">
        <v>4547</v>
      </c>
      <c r="C465" s="1645" t="s">
        <v>4530</v>
      </c>
      <c r="D465" s="1645" t="s">
        <v>4531</v>
      </c>
      <c r="E465" s="1646" t="s">
        <v>2798</v>
      </c>
      <c r="F465" s="1645">
        <f t="shared" si="22"/>
        <v>1986</v>
      </c>
      <c r="G465" s="1647">
        <v>31723</v>
      </c>
      <c r="H465" s="1644" t="s">
        <v>3636</v>
      </c>
      <c r="I465" s="1648" t="s">
        <v>3629</v>
      </c>
      <c r="J465" s="1645" t="s">
        <v>38</v>
      </c>
      <c r="K465" s="1645">
        <v>0</v>
      </c>
      <c r="L465" s="1645" t="s">
        <v>3676</v>
      </c>
      <c r="M465" s="1645" t="s">
        <v>4533</v>
      </c>
      <c r="N465" s="1645"/>
      <c r="O465" s="1645" t="s">
        <v>3996</v>
      </c>
      <c r="P465" s="1649">
        <v>43891</v>
      </c>
      <c r="Q465" s="1645"/>
      <c r="R465" s="1647" t="s">
        <v>3683</v>
      </c>
      <c r="S465" s="1644"/>
      <c r="T465" s="1644" t="s">
        <v>936</v>
      </c>
      <c r="U465" s="1644" t="s">
        <v>3711</v>
      </c>
      <c r="V465" s="1644"/>
      <c r="W465" s="1644" t="s">
        <v>3687</v>
      </c>
      <c r="X465" s="1644"/>
      <c r="Y465" s="1647">
        <v>39531</v>
      </c>
      <c r="Z465" s="1647">
        <v>39896</v>
      </c>
      <c r="AA465" s="1650">
        <f t="shared" ca="1" si="23"/>
        <v>17.083333333333332</v>
      </c>
      <c r="AB465" s="2444" t="e">
        <v>#REF!</v>
      </c>
      <c r="AC465" s="2445"/>
      <c r="AD465" s="2438"/>
    </row>
    <row r="466" spans="1:30" ht="15.75" hidden="1" customHeight="1">
      <c r="A466" s="1644">
        <f t="shared" si="10"/>
        <v>0</v>
      </c>
      <c r="B466" s="1645" t="s">
        <v>4548</v>
      </c>
      <c r="C466" s="1645" t="s">
        <v>4530</v>
      </c>
      <c r="D466" s="1645" t="s">
        <v>4531</v>
      </c>
      <c r="E466" s="1644" t="s">
        <v>2798</v>
      </c>
      <c r="F466" s="1645">
        <f t="shared" si="22"/>
        <v>1983</v>
      </c>
      <c r="G466" s="1647">
        <v>30444</v>
      </c>
      <c r="H466" s="1644" t="s">
        <v>3628</v>
      </c>
      <c r="I466" s="1648" t="s">
        <v>3629</v>
      </c>
      <c r="J466" s="1645" t="s">
        <v>38</v>
      </c>
      <c r="K466" s="1645">
        <v>0</v>
      </c>
      <c r="L466" s="1645" t="s">
        <v>3676</v>
      </c>
      <c r="M466" s="1645" t="s">
        <v>3676</v>
      </c>
      <c r="N466" s="1645"/>
      <c r="O466" s="1645" t="s">
        <v>3676</v>
      </c>
      <c r="P466" s="1649"/>
      <c r="Q466" s="1645"/>
      <c r="R466" s="1647" t="s">
        <v>3952</v>
      </c>
      <c r="S466" s="1644" t="s">
        <v>3962</v>
      </c>
      <c r="T466" s="1644" t="s">
        <v>936</v>
      </c>
      <c r="U466" s="1644" t="s">
        <v>3697</v>
      </c>
      <c r="V466" s="1644"/>
      <c r="W466" s="1650" t="s">
        <v>3653</v>
      </c>
      <c r="X466" s="1644" t="s">
        <v>3759</v>
      </c>
      <c r="Y466" s="1647">
        <v>41742</v>
      </c>
      <c r="Z466" s="1647">
        <v>42107</v>
      </c>
      <c r="AA466" s="1650">
        <f t="shared" ca="1" si="23"/>
        <v>13.583333333333334</v>
      </c>
      <c r="AB466" s="2444" t="e">
        <v>#REF!</v>
      </c>
      <c r="AC466" s="2446" t="e">
        <f>+#REF!-#REF!</f>
        <v>#REF!</v>
      </c>
      <c r="AD466" s="2438"/>
    </row>
    <row r="467" spans="1:30" ht="15.75" hidden="1" customHeight="1">
      <c r="A467" s="1644">
        <f t="shared" si="10"/>
        <v>0</v>
      </c>
      <c r="B467" s="1645" t="s">
        <v>4549</v>
      </c>
      <c r="C467" s="1645" t="s">
        <v>4530</v>
      </c>
      <c r="D467" s="1645" t="s">
        <v>4531</v>
      </c>
      <c r="E467" s="1646" t="s">
        <v>2798</v>
      </c>
      <c r="F467" s="1645">
        <f t="shared" si="22"/>
        <v>1989</v>
      </c>
      <c r="G467" s="1647">
        <v>32826</v>
      </c>
      <c r="H467" s="1644" t="s">
        <v>3636</v>
      </c>
      <c r="I467" s="1648" t="s">
        <v>3629</v>
      </c>
      <c r="J467" s="1645" t="s">
        <v>37</v>
      </c>
      <c r="K467" s="1645">
        <v>0</v>
      </c>
      <c r="L467" s="1645" t="s">
        <v>3676</v>
      </c>
      <c r="M467" s="1645" t="s">
        <v>3676</v>
      </c>
      <c r="N467" s="1645"/>
      <c r="O467" s="1645" t="s">
        <v>3645</v>
      </c>
      <c r="P467" s="1649"/>
      <c r="Q467" s="1645"/>
      <c r="R467" s="1647" t="s">
        <v>3683</v>
      </c>
      <c r="S467" s="1644"/>
      <c r="T467" s="1644" t="s">
        <v>936</v>
      </c>
      <c r="U467" s="1644" t="s">
        <v>3631</v>
      </c>
      <c r="V467" s="1644"/>
      <c r="W467" s="1650" t="s">
        <v>3822</v>
      </c>
      <c r="X467" s="1644"/>
      <c r="Y467" s="1647">
        <v>42754</v>
      </c>
      <c r="Z467" s="1647">
        <v>43119</v>
      </c>
      <c r="AA467" s="1650">
        <f t="shared" ca="1" si="23"/>
        <v>20.083333333333332</v>
      </c>
      <c r="AB467" s="2444" t="s">
        <v>3629</v>
      </c>
      <c r="AC467" s="2445"/>
      <c r="AD467" s="2438"/>
    </row>
    <row r="468" spans="1:30" ht="15.75" hidden="1" customHeight="1">
      <c r="A468" s="1644">
        <f t="shared" si="10"/>
        <v>0</v>
      </c>
      <c r="B468" s="1645" t="s">
        <v>4550</v>
      </c>
      <c r="C468" s="1645" t="s">
        <v>4530</v>
      </c>
      <c r="D468" s="1645" t="s">
        <v>4531</v>
      </c>
      <c r="E468" s="1644" t="s">
        <v>2798</v>
      </c>
      <c r="F468" s="1645">
        <f t="shared" si="22"/>
        <v>1988</v>
      </c>
      <c r="G468" s="1647">
        <v>32456</v>
      </c>
      <c r="H468" s="1644" t="s">
        <v>3636</v>
      </c>
      <c r="I468" s="1648" t="s">
        <v>3629</v>
      </c>
      <c r="J468" s="1645" t="s">
        <v>37</v>
      </c>
      <c r="K468" s="1645">
        <v>0</v>
      </c>
      <c r="L468" s="1645" t="s">
        <v>4532</v>
      </c>
      <c r="M468" s="1645" t="s">
        <v>4538</v>
      </c>
      <c r="N468" s="1645"/>
      <c r="O468" s="1645" t="s">
        <v>3645</v>
      </c>
      <c r="P468" s="1649"/>
      <c r="Q468" s="1645"/>
      <c r="R468" s="1647" t="s">
        <v>3710</v>
      </c>
      <c r="S468" s="1644"/>
      <c r="T468" s="1644" t="s">
        <v>936</v>
      </c>
      <c r="U468" s="1644" t="s">
        <v>3711</v>
      </c>
      <c r="V468" s="1644"/>
      <c r="W468" s="1644">
        <v>0</v>
      </c>
      <c r="X468" s="1644"/>
      <c r="Y468" s="1647"/>
      <c r="Z468" s="1647"/>
      <c r="AA468" s="1650">
        <f t="shared" ca="1" si="23"/>
        <v>19.083333333333332</v>
      </c>
      <c r="AB468" s="2444" t="s">
        <v>3629</v>
      </c>
      <c r="AC468" s="2445"/>
      <c r="AD468" s="2438"/>
    </row>
    <row r="469" spans="1:30" ht="15.75" hidden="1" customHeight="1">
      <c r="A469" s="1644">
        <f t="shared" si="10"/>
        <v>0</v>
      </c>
      <c r="B469" s="1645" t="s">
        <v>4551</v>
      </c>
      <c r="C469" s="1645" t="s">
        <v>4530</v>
      </c>
      <c r="D469" s="1645" t="s">
        <v>3995</v>
      </c>
      <c r="E469" s="1646" t="s">
        <v>2798</v>
      </c>
      <c r="F469" s="1645">
        <f t="shared" si="22"/>
        <v>1987</v>
      </c>
      <c r="G469" s="1647">
        <v>32117</v>
      </c>
      <c r="H469" s="1644" t="s">
        <v>3636</v>
      </c>
      <c r="I469" s="1648" t="s">
        <v>3629</v>
      </c>
      <c r="J469" s="1645" t="s">
        <v>37</v>
      </c>
      <c r="K469" s="1645">
        <v>0</v>
      </c>
      <c r="L469" s="1645" t="s">
        <v>4223</v>
      </c>
      <c r="M469" s="1645" t="s">
        <v>4552</v>
      </c>
      <c r="N469" s="1645"/>
      <c r="O469" s="1645" t="s">
        <v>3645</v>
      </c>
      <c r="P469" s="1649"/>
      <c r="Q469" s="1645"/>
      <c r="R469" s="1647" t="s">
        <v>4051</v>
      </c>
      <c r="S469" s="1644"/>
      <c r="T469" s="1644" t="s">
        <v>936</v>
      </c>
      <c r="U469" s="1644" t="s">
        <v>3631</v>
      </c>
      <c r="V469" s="1644"/>
      <c r="W469" s="1650" t="s">
        <v>3646</v>
      </c>
      <c r="X469" s="1644"/>
      <c r="Y469" s="1647">
        <v>43185</v>
      </c>
      <c r="Z469" s="1647">
        <v>43550</v>
      </c>
      <c r="AA469" s="1650">
        <f t="shared" ca="1" si="23"/>
        <v>18.166666666666668</v>
      </c>
      <c r="AB469" s="2444" t="s">
        <v>3629</v>
      </c>
      <c r="AC469" s="2445"/>
      <c r="AD469" s="2438"/>
    </row>
    <row r="470" spans="1:30" ht="15.75" hidden="1" customHeight="1">
      <c r="A470" s="1644">
        <f t="shared" si="10"/>
        <v>0</v>
      </c>
      <c r="B470" s="1645" t="s">
        <v>4553</v>
      </c>
      <c r="C470" s="1645" t="s">
        <v>4530</v>
      </c>
      <c r="D470" s="1645" t="s">
        <v>3995</v>
      </c>
      <c r="E470" s="1644" t="s">
        <v>2798</v>
      </c>
      <c r="F470" s="1645">
        <f t="shared" si="22"/>
        <v>1983</v>
      </c>
      <c r="G470" s="1647">
        <v>30625</v>
      </c>
      <c r="H470" s="1644" t="s">
        <v>3636</v>
      </c>
      <c r="I470" s="1648" t="s">
        <v>3629</v>
      </c>
      <c r="J470" s="1645" t="s">
        <v>38</v>
      </c>
      <c r="K470" s="1645">
        <v>0</v>
      </c>
      <c r="L470" s="1645" t="s">
        <v>4552</v>
      </c>
      <c r="M470" s="1645" t="s">
        <v>4552</v>
      </c>
      <c r="N470" s="1645"/>
      <c r="O470" s="1645" t="s">
        <v>3996</v>
      </c>
      <c r="P470" s="1649">
        <v>43617</v>
      </c>
      <c r="Q470" s="1645"/>
      <c r="R470" s="1647" t="s">
        <v>3789</v>
      </c>
      <c r="S470" s="1647" t="s">
        <v>4554</v>
      </c>
      <c r="T470" s="1644" t="s">
        <v>936</v>
      </c>
      <c r="U470" s="1644" t="s">
        <v>3631</v>
      </c>
      <c r="V470" s="1644"/>
      <c r="W470" s="1650" t="s">
        <v>3822</v>
      </c>
      <c r="X470" s="1644" t="s">
        <v>3707</v>
      </c>
      <c r="Y470" s="1647">
        <v>42754</v>
      </c>
      <c r="Z470" s="1647">
        <v>43119</v>
      </c>
      <c r="AA470" s="1650">
        <f t="shared" ca="1" si="23"/>
        <v>14.083333333333334</v>
      </c>
      <c r="AB470" s="2444" t="e">
        <v>#REF!</v>
      </c>
      <c r="AC470" s="2446" t="e">
        <f>+#REF!-#REF!</f>
        <v>#REF!</v>
      </c>
      <c r="AD470" s="2438"/>
    </row>
    <row r="471" spans="1:30" ht="15.75" hidden="1" customHeight="1">
      <c r="A471" s="1644">
        <f t="shared" si="10"/>
        <v>0</v>
      </c>
      <c r="B471" s="1645" t="s">
        <v>4555</v>
      </c>
      <c r="C471" s="1645" t="s">
        <v>4530</v>
      </c>
      <c r="D471" s="1645" t="s">
        <v>3995</v>
      </c>
      <c r="E471" s="1646" t="s">
        <v>2798</v>
      </c>
      <c r="F471" s="1645">
        <f t="shared" si="22"/>
        <v>1990</v>
      </c>
      <c r="G471" s="1647">
        <v>33149</v>
      </c>
      <c r="H471" s="1644" t="s">
        <v>3636</v>
      </c>
      <c r="I471" s="1648" t="s">
        <v>3629</v>
      </c>
      <c r="J471" s="1645" t="s">
        <v>37</v>
      </c>
      <c r="K471" s="1645">
        <v>0</v>
      </c>
      <c r="L471" s="1645" t="s">
        <v>4223</v>
      </c>
      <c r="M471" s="1645" t="s">
        <v>4556</v>
      </c>
      <c r="N471" s="1645"/>
      <c r="O471" s="1645" t="s">
        <v>3645</v>
      </c>
      <c r="P471" s="1649"/>
      <c r="Q471" s="1645"/>
      <c r="R471" s="1647" t="s">
        <v>4051</v>
      </c>
      <c r="S471" s="1644"/>
      <c r="T471" s="1644" t="s">
        <v>936</v>
      </c>
      <c r="U471" s="1644" t="s">
        <v>3711</v>
      </c>
      <c r="V471" s="1644"/>
      <c r="W471" s="1644">
        <v>0</v>
      </c>
      <c r="X471" s="1644"/>
      <c r="Y471" s="1647"/>
      <c r="Z471" s="1647"/>
      <c r="AA471" s="1650">
        <f t="shared" ca="1" si="23"/>
        <v>21</v>
      </c>
      <c r="AB471" s="2444" t="s">
        <v>3629</v>
      </c>
      <c r="AC471" s="2445"/>
      <c r="AD471" s="2438"/>
    </row>
    <row r="472" spans="1:30" ht="15.75" hidden="1" customHeight="1">
      <c r="A472" s="1644">
        <f t="shared" si="10"/>
        <v>0</v>
      </c>
      <c r="B472" s="1645" t="s">
        <v>4557</v>
      </c>
      <c r="C472" s="1645" t="s">
        <v>4530</v>
      </c>
      <c r="D472" s="1645" t="s">
        <v>3995</v>
      </c>
      <c r="E472" s="1644" t="s">
        <v>2798</v>
      </c>
      <c r="F472" s="1645">
        <f t="shared" si="22"/>
        <v>1989</v>
      </c>
      <c r="G472" s="1647">
        <v>32634</v>
      </c>
      <c r="H472" s="1644" t="s">
        <v>3636</v>
      </c>
      <c r="I472" s="1648" t="s">
        <v>3629</v>
      </c>
      <c r="J472" s="1645" t="s">
        <v>37</v>
      </c>
      <c r="K472" s="1645">
        <v>0</v>
      </c>
      <c r="L472" s="1645" t="s">
        <v>3996</v>
      </c>
      <c r="M472" s="1645" t="s">
        <v>3996</v>
      </c>
      <c r="N472" s="1645"/>
      <c r="O472" s="1645">
        <v>0</v>
      </c>
      <c r="P472" s="1649"/>
      <c r="Q472" s="1645"/>
      <c r="R472" s="1644"/>
      <c r="S472" s="1644"/>
      <c r="T472" s="1644">
        <v>2018</v>
      </c>
      <c r="U472" s="1644"/>
      <c r="V472" s="1644"/>
      <c r="W472" s="1644">
        <v>0</v>
      </c>
      <c r="X472" s="1644"/>
      <c r="Y472" s="1647"/>
      <c r="Z472" s="1647"/>
      <c r="AA472" s="1650">
        <f t="shared" ca="1" si="23"/>
        <v>19.583333333333332</v>
      </c>
      <c r="AB472" s="2444" t="s">
        <v>3629</v>
      </c>
      <c r="AC472" s="2445"/>
      <c r="AD472" s="2438"/>
    </row>
    <row r="473" spans="1:30" ht="15.75" hidden="1" customHeight="1">
      <c r="A473" s="1644">
        <f t="shared" si="10"/>
        <v>0</v>
      </c>
      <c r="B473" s="1645" t="s">
        <v>4558</v>
      </c>
      <c r="C473" s="1645" t="s">
        <v>4530</v>
      </c>
      <c r="D473" s="1645" t="s">
        <v>3995</v>
      </c>
      <c r="E473" s="1646" t="s">
        <v>2797</v>
      </c>
      <c r="F473" s="1645">
        <f t="shared" si="22"/>
        <v>1981</v>
      </c>
      <c r="G473" s="1647">
        <v>29910</v>
      </c>
      <c r="H473" s="1644" t="s">
        <v>3636</v>
      </c>
      <c r="I473" s="1648" t="s">
        <v>3629</v>
      </c>
      <c r="J473" s="1645" t="s">
        <v>37</v>
      </c>
      <c r="K473" s="1645">
        <v>0</v>
      </c>
      <c r="L473" s="1645" t="s">
        <v>4559</v>
      </c>
      <c r="M473" s="1645" t="s">
        <v>4560</v>
      </c>
      <c r="N473" s="1645"/>
      <c r="O473" s="1645" t="s">
        <v>3645</v>
      </c>
      <c r="P473" s="1649"/>
      <c r="Q473" s="1645"/>
      <c r="R473" s="1644" t="s">
        <v>3710</v>
      </c>
      <c r="S473" s="1644"/>
      <c r="T473" s="1644">
        <v>2018</v>
      </c>
      <c r="U473" s="1644" t="s">
        <v>3711</v>
      </c>
      <c r="V473" s="1644"/>
      <c r="W473" s="1650" t="s">
        <v>3646</v>
      </c>
      <c r="X473" s="1644"/>
      <c r="Y473" s="1647">
        <v>39194</v>
      </c>
      <c r="Z473" s="1647">
        <v>39560</v>
      </c>
      <c r="AA473" s="1650">
        <f t="shared" ca="1" si="23"/>
        <v>17.083333333333332</v>
      </c>
      <c r="AB473" s="2444" t="s">
        <v>3629</v>
      </c>
      <c r="AC473" s="2445"/>
      <c r="AD473" s="2438"/>
    </row>
    <row r="474" spans="1:30" ht="15.75" hidden="1" customHeight="1">
      <c r="A474" s="1644">
        <f t="shared" si="10"/>
        <v>0</v>
      </c>
      <c r="B474" s="1645" t="s">
        <v>4561</v>
      </c>
      <c r="C474" s="1645" t="s">
        <v>4530</v>
      </c>
      <c r="D474" s="1645" t="s">
        <v>3995</v>
      </c>
      <c r="E474" s="1644" t="s">
        <v>2798</v>
      </c>
      <c r="F474" s="1645">
        <f t="shared" si="22"/>
        <v>1982</v>
      </c>
      <c r="G474" s="1647">
        <v>30182</v>
      </c>
      <c r="H474" s="1644" t="s">
        <v>3636</v>
      </c>
      <c r="I474" s="1648" t="s">
        <v>3629</v>
      </c>
      <c r="J474" s="1645" t="s">
        <v>38</v>
      </c>
      <c r="K474" s="1645">
        <v>0</v>
      </c>
      <c r="L474" s="1645" t="s">
        <v>4223</v>
      </c>
      <c r="M474" s="1645" t="s">
        <v>4223</v>
      </c>
      <c r="N474" s="1645"/>
      <c r="O474" s="1645" t="s">
        <v>3996</v>
      </c>
      <c r="P474" s="1649"/>
      <c r="Q474" s="1645"/>
      <c r="R474" s="1647" t="s">
        <v>3710</v>
      </c>
      <c r="S474" s="1644"/>
      <c r="T474" s="1644" t="s">
        <v>936</v>
      </c>
      <c r="U474" s="1644" t="s">
        <v>3631</v>
      </c>
      <c r="V474" s="1644"/>
      <c r="W474" s="1650" t="s">
        <v>3822</v>
      </c>
      <c r="X474" s="1644" t="s">
        <v>3707</v>
      </c>
      <c r="Y474" s="1647">
        <v>40819</v>
      </c>
      <c r="Z474" s="1647">
        <v>41185</v>
      </c>
      <c r="AA474" s="1650">
        <f t="shared" ca="1" si="23"/>
        <v>12.833333333333334</v>
      </c>
      <c r="AB474" s="2444" t="s">
        <v>3629</v>
      </c>
      <c r="AC474" s="2445"/>
      <c r="AD474" s="2438"/>
    </row>
    <row r="475" spans="1:30" ht="15.75" hidden="1" customHeight="1">
      <c r="A475" s="1644">
        <f t="shared" si="10"/>
        <v>0</v>
      </c>
      <c r="B475" s="1645" t="s">
        <v>4562</v>
      </c>
      <c r="C475" s="1645" t="s">
        <v>4530</v>
      </c>
      <c r="D475" s="1645" t="s">
        <v>3995</v>
      </c>
      <c r="E475" s="1646" t="s">
        <v>2798</v>
      </c>
      <c r="F475" s="1645">
        <f t="shared" si="22"/>
        <v>1980</v>
      </c>
      <c r="G475" s="1647">
        <v>29431</v>
      </c>
      <c r="H475" s="1644" t="s">
        <v>3628</v>
      </c>
      <c r="I475" s="1648" t="s">
        <v>3629</v>
      </c>
      <c r="J475" s="1645" t="s">
        <v>38</v>
      </c>
      <c r="K475" s="1645">
        <v>0</v>
      </c>
      <c r="L475" s="1645" t="s">
        <v>4552</v>
      </c>
      <c r="M475" s="1645" t="s">
        <v>4552</v>
      </c>
      <c r="N475" s="1645"/>
      <c r="O475" s="1645" t="s">
        <v>3996</v>
      </c>
      <c r="P475" s="1649"/>
      <c r="Q475" s="1645"/>
      <c r="R475" s="1647" t="s">
        <v>3710</v>
      </c>
      <c r="S475" s="1644"/>
      <c r="T475" s="1644" t="s">
        <v>936</v>
      </c>
      <c r="U475" s="1644" t="s">
        <v>3697</v>
      </c>
      <c r="V475" s="1644"/>
      <c r="W475" s="1644" t="s">
        <v>3687</v>
      </c>
      <c r="X475" s="1644" t="s">
        <v>3633</v>
      </c>
      <c r="Y475" s="1647">
        <v>40027</v>
      </c>
      <c r="Z475" s="1647">
        <v>40392</v>
      </c>
      <c r="AA475" s="1650">
        <f t="shared" ca="1" si="23"/>
        <v>10.75</v>
      </c>
      <c r="AB475" s="2444" t="s">
        <v>3629</v>
      </c>
      <c r="AC475" s="2445"/>
      <c r="AD475" s="2438"/>
    </row>
    <row r="476" spans="1:30" ht="15.75" hidden="1" customHeight="1">
      <c r="A476" s="1644">
        <f t="shared" si="10"/>
        <v>0</v>
      </c>
      <c r="B476" s="1645" t="s">
        <v>4563</v>
      </c>
      <c r="C476" s="1645" t="s">
        <v>4530</v>
      </c>
      <c r="D476" s="1645" t="s">
        <v>3995</v>
      </c>
      <c r="E476" s="1644" t="s">
        <v>2798</v>
      </c>
      <c r="F476" s="1645">
        <f t="shared" si="22"/>
        <v>1978</v>
      </c>
      <c r="G476" s="1647">
        <v>28585</v>
      </c>
      <c r="H476" s="1644" t="s">
        <v>3797</v>
      </c>
      <c r="I476" s="1648" t="s">
        <v>3629</v>
      </c>
      <c r="J476" s="1645" t="s">
        <v>38</v>
      </c>
      <c r="K476" s="1645" t="s">
        <v>3798</v>
      </c>
      <c r="L476" s="1645" t="s">
        <v>4559</v>
      </c>
      <c r="M476" s="1645" t="s">
        <v>4564</v>
      </c>
      <c r="N476" s="1645"/>
      <c r="O476" s="1645" t="s">
        <v>4565</v>
      </c>
      <c r="P476" s="1649"/>
      <c r="Q476" s="1645"/>
      <c r="R476" s="1647" t="s">
        <v>3789</v>
      </c>
      <c r="S476" s="1647" t="s">
        <v>3988</v>
      </c>
      <c r="T476" s="1644" t="s">
        <v>936</v>
      </c>
      <c r="U476" s="1644" t="s">
        <v>3697</v>
      </c>
      <c r="V476" s="1644"/>
      <c r="W476" s="1650" t="s">
        <v>3653</v>
      </c>
      <c r="X476" s="1644" t="s">
        <v>3633</v>
      </c>
      <c r="Y476" s="1647">
        <v>39773</v>
      </c>
      <c r="Z476" s="1647">
        <v>40138</v>
      </c>
      <c r="AA476" s="1650">
        <f t="shared" ca="1" si="23"/>
        <v>8.5</v>
      </c>
      <c r="AB476" s="2444" t="e">
        <v>#REF!</v>
      </c>
      <c r="AC476" s="2446" t="e">
        <f>+#REF!-#REF!</f>
        <v>#REF!</v>
      </c>
      <c r="AD476" s="2438"/>
    </row>
    <row r="477" spans="1:30" ht="15.75" hidden="1" customHeight="1">
      <c r="A477" s="1644">
        <f t="shared" si="10"/>
        <v>0</v>
      </c>
      <c r="B477" s="1645" t="s">
        <v>4566</v>
      </c>
      <c r="C477" s="1645" t="s">
        <v>4530</v>
      </c>
      <c r="D477" s="1645" t="s">
        <v>3995</v>
      </c>
      <c r="E477" s="1646" t="s">
        <v>2798</v>
      </c>
      <c r="F477" s="1645">
        <f t="shared" si="22"/>
        <v>1983</v>
      </c>
      <c r="G477" s="1647">
        <v>30498</v>
      </c>
      <c r="H477" s="1644" t="s">
        <v>3636</v>
      </c>
      <c r="I477" s="1648" t="s">
        <v>3629</v>
      </c>
      <c r="J477" s="1645" t="s">
        <v>38</v>
      </c>
      <c r="K477" s="1645">
        <v>0</v>
      </c>
      <c r="L477" s="1645" t="s">
        <v>4567</v>
      </c>
      <c r="M477" s="1645" t="s">
        <v>3997</v>
      </c>
      <c r="N477" s="1645"/>
      <c r="O477" s="1645" t="s">
        <v>3996</v>
      </c>
      <c r="P477" s="1649"/>
      <c r="Q477" s="1645"/>
      <c r="R477" s="1647" t="s">
        <v>4051</v>
      </c>
      <c r="S477" s="1644"/>
      <c r="T477" s="1644" t="s">
        <v>936</v>
      </c>
      <c r="U477" s="1644" t="s">
        <v>3711</v>
      </c>
      <c r="V477" s="1644"/>
      <c r="W477" s="1644">
        <v>0</v>
      </c>
      <c r="X477" s="1644"/>
      <c r="Y477" s="1647">
        <v>41742</v>
      </c>
      <c r="Z477" s="1647">
        <v>42107</v>
      </c>
      <c r="AA477" s="1650">
        <f t="shared" ca="1" si="23"/>
        <v>13.666666666666666</v>
      </c>
      <c r="AB477" s="2444" t="s">
        <v>3629</v>
      </c>
      <c r="AC477" s="2445"/>
      <c r="AD477" s="2438"/>
    </row>
    <row r="478" spans="1:30" ht="15.75" hidden="1" customHeight="1">
      <c r="A478" s="1644">
        <f t="shared" si="10"/>
        <v>0</v>
      </c>
      <c r="B478" s="1645" t="s">
        <v>4568</v>
      </c>
      <c r="C478" s="1645" t="s">
        <v>4530</v>
      </c>
      <c r="D478" s="1645" t="s">
        <v>3995</v>
      </c>
      <c r="E478" s="1646" t="s">
        <v>2798</v>
      </c>
      <c r="F478" s="1645">
        <f t="shared" si="22"/>
        <v>1977</v>
      </c>
      <c r="G478" s="1647">
        <v>28438</v>
      </c>
      <c r="H478" s="1644" t="s">
        <v>3628</v>
      </c>
      <c r="I478" s="1648" t="s">
        <v>3629</v>
      </c>
      <c r="J478" s="1645" t="s">
        <v>38</v>
      </c>
      <c r="K478" s="1645">
        <v>0</v>
      </c>
      <c r="L478" s="1645" t="s">
        <v>4559</v>
      </c>
      <c r="M478" s="1645" t="s">
        <v>4564</v>
      </c>
      <c r="N478" s="1645"/>
      <c r="O478" s="1645" t="s">
        <v>4565</v>
      </c>
      <c r="P478" s="1649"/>
      <c r="Q478" s="1645"/>
      <c r="R478" s="1647" t="s">
        <v>3710</v>
      </c>
      <c r="S478" s="1644"/>
      <c r="T478" s="1644" t="s">
        <v>936</v>
      </c>
      <c r="U478" s="1644" t="s">
        <v>3711</v>
      </c>
      <c r="V478" s="1644"/>
      <c r="W478" s="1644" t="s">
        <v>3687</v>
      </c>
      <c r="X478" s="1644"/>
      <c r="Y478" s="1647">
        <v>43748</v>
      </c>
      <c r="Z478" s="1647">
        <v>44114</v>
      </c>
      <c r="AA478" s="1650">
        <f t="shared" ca="1" si="23"/>
        <v>8.0833333333333339</v>
      </c>
      <c r="AB478" s="2444" t="s">
        <v>3629</v>
      </c>
      <c r="AC478" s="2445"/>
      <c r="AD478" s="2438"/>
    </row>
    <row r="479" spans="1:30" ht="15.75" hidden="1" customHeight="1">
      <c r="A479" s="1644">
        <f t="shared" si="10"/>
        <v>0</v>
      </c>
      <c r="B479" s="1645" t="s">
        <v>4569</v>
      </c>
      <c r="C479" s="1645" t="s">
        <v>4530</v>
      </c>
      <c r="D479" s="1645" t="s">
        <v>3995</v>
      </c>
      <c r="E479" s="1646" t="s">
        <v>2798</v>
      </c>
      <c r="F479" s="1645">
        <f t="shared" si="22"/>
        <v>1981</v>
      </c>
      <c r="G479" s="1647">
        <v>29852</v>
      </c>
      <c r="H479" s="1644" t="s">
        <v>3636</v>
      </c>
      <c r="I479" s="1648" t="s">
        <v>3629</v>
      </c>
      <c r="J479" s="1645" t="s">
        <v>37</v>
      </c>
      <c r="K479" s="1645">
        <v>0</v>
      </c>
      <c r="L479" s="1645" t="s">
        <v>4564</v>
      </c>
      <c r="M479" s="1645" t="s">
        <v>4564</v>
      </c>
      <c r="N479" s="1645"/>
      <c r="O479" s="1645" t="s">
        <v>3645</v>
      </c>
      <c r="P479" s="1649"/>
      <c r="Q479" s="1645"/>
      <c r="R479" s="1647" t="s">
        <v>3683</v>
      </c>
      <c r="S479" s="1644"/>
      <c r="T479" s="1644">
        <v>0</v>
      </c>
      <c r="U479" s="1644" t="s">
        <v>3711</v>
      </c>
      <c r="V479" s="1644"/>
      <c r="W479" s="1644">
        <v>0</v>
      </c>
      <c r="X479" s="1644"/>
      <c r="Y479" s="1647"/>
      <c r="Z479" s="1647"/>
      <c r="AA479" s="1650">
        <f t="shared" ca="1" si="23"/>
        <v>11.916666666666666</v>
      </c>
      <c r="AB479" s="2444" t="s">
        <v>3629</v>
      </c>
      <c r="AC479" s="2445"/>
      <c r="AD479" s="2438"/>
    </row>
    <row r="480" spans="1:30" ht="15.75" hidden="1" customHeight="1">
      <c r="A480" s="1644">
        <f t="shared" si="10"/>
        <v>0</v>
      </c>
      <c r="B480" s="1645" t="s">
        <v>4570</v>
      </c>
      <c r="C480" s="1645" t="s">
        <v>4530</v>
      </c>
      <c r="D480" s="1645" t="s">
        <v>3995</v>
      </c>
      <c r="E480" s="1644" t="s">
        <v>2797</v>
      </c>
      <c r="F480" s="1645">
        <f t="shared" si="22"/>
        <v>1989</v>
      </c>
      <c r="G480" s="1647">
        <v>32702</v>
      </c>
      <c r="H480" s="1644" t="s">
        <v>3636</v>
      </c>
      <c r="I480" s="1648" t="s">
        <v>3629</v>
      </c>
      <c r="J480" s="1645" t="s">
        <v>37</v>
      </c>
      <c r="K480" s="1645">
        <v>0</v>
      </c>
      <c r="L480" s="1645" t="s">
        <v>4565</v>
      </c>
      <c r="M480" s="1645" t="s">
        <v>3976</v>
      </c>
      <c r="N480" s="1645"/>
      <c r="O480" s="1645" t="s">
        <v>3645</v>
      </c>
      <c r="P480" s="1649"/>
      <c r="Q480" s="1645"/>
      <c r="R480" s="1647" t="s">
        <v>3710</v>
      </c>
      <c r="S480" s="1644"/>
      <c r="T480" s="1644" t="s">
        <v>936</v>
      </c>
      <c r="U480" s="1644" t="s">
        <v>3711</v>
      </c>
      <c r="V480" s="1644"/>
      <c r="W480" s="1650" t="s">
        <v>3653</v>
      </c>
      <c r="X480" s="1644"/>
      <c r="Y480" s="1647"/>
      <c r="Z480" s="1647"/>
      <c r="AA480" s="1650">
        <f t="shared" ca="1" si="23"/>
        <v>24.75</v>
      </c>
      <c r="AB480" s="2444" t="s">
        <v>3629</v>
      </c>
      <c r="AC480" s="2445"/>
      <c r="AD480" s="2438"/>
    </row>
    <row r="481" spans="1:30" ht="15.75" hidden="1" customHeight="1">
      <c r="A481" s="1644">
        <f t="shared" si="10"/>
        <v>0</v>
      </c>
      <c r="B481" s="1645" t="s">
        <v>4571</v>
      </c>
      <c r="C481" s="1645" t="s">
        <v>4530</v>
      </c>
      <c r="D481" s="1645" t="s">
        <v>3995</v>
      </c>
      <c r="E481" s="1644" t="s">
        <v>2798</v>
      </c>
      <c r="F481" s="1645">
        <f t="shared" si="22"/>
        <v>1979</v>
      </c>
      <c r="G481" s="1647">
        <v>29034</v>
      </c>
      <c r="H481" s="1644" t="s">
        <v>3797</v>
      </c>
      <c r="I481" s="1648" t="s">
        <v>3629</v>
      </c>
      <c r="J481" s="1645" t="s">
        <v>38</v>
      </c>
      <c r="K481" s="1645" t="s">
        <v>3798</v>
      </c>
      <c r="L481" s="1645" t="s">
        <v>3997</v>
      </c>
      <c r="M481" s="1645" t="s">
        <v>3997</v>
      </c>
      <c r="N481" s="1645"/>
      <c r="O481" s="1645" t="s">
        <v>3997</v>
      </c>
      <c r="P481" s="1649"/>
      <c r="Q481" s="1645"/>
      <c r="R481" s="1647" t="s">
        <v>3710</v>
      </c>
      <c r="S481" s="1644"/>
      <c r="T481" s="1644"/>
      <c r="U481" s="1644" t="s">
        <v>3697</v>
      </c>
      <c r="V481" s="1644"/>
      <c r="W481" s="1650" t="s">
        <v>3632</v>
      </c>
      <c r="X481" s="1644" t="s">
        <v>3633</v>
      </c>
      <c r="Y481" s="1647">
        <v>40027</v>
      </c>
      <c r="Z481" s="1647">
        <v>40392</v>
      </c>
      <c r="AA481" s="1650">
        <f t="shared" ca="1" si="23"/>
        <v>9.6666666666666661</v>
      </c>
      <c r="AB481" s="2444" t="s">
        <v>3629</v>
      </c>
      <c r="AC481" s="2445"/>
      <c r="AD481" s="2438"/>
    </row>
    <row r="482" spans="1:30" ht="15.75" hidden="1" customHeight="1">
      <c r="A482" s="1644">
        <f t="shared" si="10"/>
        <v>0</v>
      </c>
      <c r="B482" s="1645" t="s">
        <v>4572</v>
      </c>
      <c r="C482" s="1645" t="s">
        <v>4530</v>
      </c>
      <c r="D482" s="1645" t="s">
        <v>3995</v>
      </c>
      <c r="E482" s="1644" t="s">
        <v>2798</v>
      </c>
      <c r="F482" s="1645">
        <f t="shared" si="22"/>
        <v>1979</v>
      </c>
      <c r="G482" s="1647">
        <v>28967</v>
      </c>
      <c r="H482" s="1644" t="s">
        <v>3628</v>
      </c>
      <c r="I482" s="1648" t="s">
        <v>3629</v>
      </c>
      <c r="J482" s="1645" t="s">
        <v>38</v>
      </c>
      <c r="K482" s="1645">
        <v>0</v>
      </c>
      <c r="L482" s="1645" t="s">
        <v>4223</v>
      </c>
      <c r="M482" s="1645" t="s">
        <v>4223</v>
      </c>
      <c r="N482" s="1645"/>
      <c r="O482" s="1645" t="s">
        <v>3997</v>
      </c>
      <c r="P482" s="1649"/>
      <c r="Q482" s="1645"/>
      <c r="R482" s="1647" t="s">
        <v>3789</v>
      </c>
      <c r="S482" s="1647" t="s">
        <v>4573</v>
      </c>
      <c r="T482" s="1644" t="s">
        <v>936</v>
      </c>
      <c r="U482" s="1644" t="s">
        <v>3697</v>
      </c>
      <c r="V482" s="1644"/>
      <c r="W482" s="1644">
        <v>0</v>
      </c>
      <c r="X482" s="1644" t="s">
        <v>3633</v>
      </c>
      <c r="Y482" s="1647">
        <v>38679</v>
      </c>
      <c r="Z482" s="1647">
        <v>39044</v>
      </c>
      <c r="AA482" s="1650">
        <f t="shared" ca="1" si="23"/>
        <v>9.5</v>
      </c>
      <c r="AB482" s="2444" t="e">
        <v>#REF!</v>
      </c>
      <c r="AC482" s="2446" t="e">
        <f>+#REF!-#REF!</f>
        <v>#REF!</v>
      </c>
      <c r="AD482" s="2438"/>
    </row>
    <row r="483" spans="1:30" ht="15.75" hidden="1" customHeight="1">
      <c r="A483" s="1644">
        <f t="shared" si="10"/>
        <v>0</v>
      </c>
      <c r="B483" s="1645" t="s">
        <v>4574</v>
      </c>
      <c r="C483" s="1645" t="s">
        <v>4530</v>
      </c>
      <c r="D483" s="1645" t="s">
        <v>3995</v>
      </c>
      <c r="E483" s="1644" t="s">
        <v>2798</v>
      </c>
      <c r="F483" s="1645">
        <f t="shared" si="22"/>
        <v>1991</v>
      </c>
      <c r="G483" s="1647">
        <v>33585</v>
      </c>
      <c r="H483" s="1644" t="s">
        <v>3636</v>
      </c>
      <c r="I483" s="1648" t="s">
        <v>3629</v>
      </c>
      <c r="J483" s="1645" t="s">
        <v>37</v>
      </c>
      <c r="K483" s="1645"/>
      <c r="L483" s="1645" t="s">
        <v>4304</v>
      </c>
      <c r="M483" s="1645" t="s">
        <v>4575</v>
      </c>
      <c r="N483" s="1645"/>
      <c r="O483" s="1645">
        <v>0</v>
      </c>
      <c r="P483" s="1649"/>
      <c r="Q483" s="1645"/>
      <c r="R483" s="1647" t="s">
        <v>3727</v>
      </c>
      <c r="S483" s="1644"/>
      <c r="T483" s="1644">
        <v>2018</v>
      </c>
      <c r="U483" s="1644"/>
      <c r="V483" s="1644"/>
      <c r="W483" s="1650" t="s">
        <v>3646</v>
      </c>
      <c r="X483" s="1644"/>
      <c r="Y483" s="1647"/>
      <c r="Z483" s="1647"/>
      <c r="AA483" s="1650">
        <f t="shared" ca="1" si="23"/>
        <v>22.166666666666668</v>
      </c>
      <c r="AB483" s="2444" t="s">
        <v>3629</v>
      </c>
      <c r="AC483" s="2445"/>
      <c r="AD483" s="2438"/>
    </row>
    <row r="484" spans="1:30" ht="15.75" hidden="1" customHeight="1">
      <c r="A484" s="1644">
        <f t="shared" si="10"/>
        <v>0</v>
      </c>
      <c r="B484" s="1645" t="s">
        <v>4576</v>
      </c>
      <c r="C484" s="1645" t="s">
        <v>4530</v>
      </c>
      <c r="D484" s="1645" t="s">
        <v>3995</v>
      </c>
      <c r="E484" s="1646" t="s">
        <v>2798</v>
      </c>
      <c r="F484" s="1645">
        <f t="shared" si="22"/>
        <v>1987</v>
      </c>
      <c r="G484" s="1647">
        <v>31815</v>
      </c>
      <c r="H484" s="1644" t="s">
        <v>3636</v>
      </c>
      <c r="I484" s="1648" t="s">
        <v>3629</v>
      </c>
      <c r="J484" s="1645" t="s">
        <v>38</v>
      </c>
      <c r="K484" s="1645">
        <v>0</v>
      </c>
      <c r="L484" s="1645" t="s">
        <v>4577</v>
      </c>
      <c r="M484" s="1645" t="s">
        <v>4565</v>
      </c>
      <c r="N484" s="1645"/>
      <c r="O484" s="1645" t="s">
        <v>4578</v>
      </c>
      <c r="P484" s="1649">
        <v>44317</v>
      </c>
      <c r="Q484" s="1645"/>
      <c r="R484" s="1647" t="s">
        <v>3683</v>
      </c>
      <c r="S484" s="1644"/>
      <c r="T484" s="1644" t="s">
        <v>936</v>
      </c>
      <c r="U484" s="1644" t="s">
        <v>3711</v>
      </c>
      <c r="V484" s="1644"/>
      <c r="W484" s="1644">
        <v>0</v>
      </c>
      <c r="X484" s="1644"/>
      <c r="Y484" s="1647"/>
      <c r="Z484" s="1647"/>
      <c r="AA484" s="1650">
        <f t="shared" ca="1" si="23"/>
        <v>17.333333333333332</v>
      </c>
      <c r="AB484" s="2444" t="s">
        <v>3629</v>
      </c>
      <c r="AC484" s="2445"/>
      <c r="AD484" s="2438"/>
    </row>
    <row r="485" spans="1:30" ht="15.75" hidden="1" customHeight="1">
      <c r="A485" s="1644">
        <f t="shared" si="10"/>
        <v>0</v>
      </c>
      <c r="B485" s="1645" t="s">
        <v>4579</v>
      </c>
      <c r="C485" s="1645" t="s">
        <v>4530</v>
      </c>
      <c r="D485" s="1645" t="s">
        <v>3995</v>
      </c>
      <c r="E485" s="1644" t="s">
        <v>2798</v>
      </c>
      <c r="F485" s="1645">
        <f t="shared" si="22"/>
        <v>1983</v>
      </c>
      <c r="G485" s="1647">
        <v>30367</v>
      </c>
      <c r="H485" s="1644" t="s">
        <v>3628</v>
      </c>
      <c r="I485" s="1648" t="s">
        <v>3629</v>
      </c>
      <c r="J485" s="1645" t="s">
        <v>38</v>
      </c>
      <c r="K485" s="1645">
        <v>0</v>
      </c>
      <c r="L485" s="1645" t="s">
        <v>4552</v>
      </c>
      <c r="M485" s="1645" t="s">
        <v>4552</v>
      </c>
      <c r="N485" s="1645"/>
      <c r="O485" s="1645" t="s">
        <v>3645</v>
      </c>
      <c r="P485" s="1649">
        <v>43983</v>
      </c>
      <c r="Q485" s="1645"/>
      <c r="R485" s="1647" t="s">
        <v>3683</v>
      </c>
      <c r="S485" s="1644"/>
      <c r="T485" s="1644" t="s">
        <v>936</v>
      </c>
      <c r="U485" s="1644" t="s">
        <v>3711</v>
      </c>
      <c r="V485" s="1644"/>
      <c r="W485" s="1644" t="s">
        <v>3687</v>
      </c>
      <c r="X485" s="1644"/>
      <c r="Y485" s="1647">
        <v>41742</v>
      </c>
      <c r="Z485" s="1647">
        <v>42107</v>
      </c>
      <c r="AA485" s="1650">
        <f t="shared" ca="1" si="23"/>
        <v>13.333333333333334</v>
      </c>
      <c r="AB485" s="2444" t="s">
        <v>3629</v>
      </c>
      <c r="AC485" s="2445"/>
      <c r="AD485" s="2438"/>
    </row>
    <row r="486" spans="1:30" ht="15.75" hidden="1" customHeight="1">
      <c r="A486" s="1644">
        <f t="shared" si="10"/>
        <v>0</v>
      </c>
      <c r="B486" s="1645" t="s">
        <v>4580</v>
      </c>
      <c r="C486" s="1645" t="s">
        <v>4530</v>
      </c>
      <c r="D486" s="1645" t="s">
        <v>4091</v>
      </c>
      <c r="E486" s="1646" t="s">
        <v>2798</v>
      </c>
      <c r="F486" s="1645">
        <f t="shared" si="22"/>
        <v>1962</v>
      </c>
      <c r="G486" s="1647">
        <v>22943</v>
      </c>
      <c r="H486" s="1646" t="s">
        <v>3797</v>
      </c>
      <c r="I486" s="1648" t="s">
        <v>3629</v>
      </c>
      <c r="J486" s="1645" t="s">
        <v>38</v>
      </c>
      <c r="K486" s="1645" t="s">
        <v>3798</v>
      </c>
      <c r="L486" s="1651" t="s">
        <v>3996</v>
      </c>
      <c r="M486" s="1645"/>
      <c r="N486" s="1645"/>
      <c r="O486" s="1645" t="s">
        <v>3996</v>
      </c>
      <c r="P486" s="1649"/>
      <c r="Q486" s="1645"/>
      <c r="R486" s="1644"/>
      <c r="S486" s="1644"/>
      <c r="T486" s="1644"/>
      <c r="U486" s="1644"/>
      <c r="V486" s="1644"/>
      <c r="W486" s="1644"/>
      <c r="X486" s="1644"/>
      <c r="Y486" s="1647">
        <v>0</v>
      </c>
      <c r="Z486" s="1647">
        <v>0</v>
      </c>
      <c r="AA486" s="1654"/>
      <c r="AB486" s="2444" t="s">
        <v>3629</v>
      </c>
      <c r="AC486" s="2445"/>
      <c r="AD486" s="2438"/>
    </row>
    <row r="487" spans="1:30" ht="31.5" hidden="1" customHeight="1">
      <c r="A487" s="1644">
        <f t="shared" si="10"/>
        <v>0</v>
      </c>
      <c r="B487" s="1645" t="s">
        <v>4581</v>
      </c>
      <c r="C487" s="1645" t="s">
        <v>4530</v>
      </c>
      <c r="D487" s="1645" t="s">
        <v>4091</v>
      </c>
      <c r="E487" s="1646" t="s">
        <v>2798</v>
      </c>
      <c r="F487" s="1645">
        <f t="shared" si="22"/>
        <v>1979</v>
      </c>
      <c r="G487" s="1647">
        <v>29191</v>
      </c>
      <c r="H487" s="1644" t="s">
        <v>3628</v>
      </c>
      <c r="I487" s="1648" t="s">
        <v>3629</v>
      </c>
      <c r="J487" s="1645" t="s">
        <v>38</v>
      </c>
      <c r="K487" s="1645">
        <v>0</v>
      </c>
      <c r="L487" s="1645" t="s">
        <v>4180</v>
      </c>
      <c r="M487" s="1645" t="s">
        <v>4180</v>
      </c>
      <c r="N487" s="1645"/>
      <c r="O487" s="1645" t="s">
        <v>4180</v>
      </c>
      <c r="P487" s="1649"/>
      <c r="Q487" s="1645"/>
      <c r="R487" s="1647" t="s">
        <v>3789</v>
      </c>
      <c r="S487" s="1647" t="s">
        <v>4582</v>
      </c>
      <c r="T487" s="1644" t="s">
        <v>936</v>
      </c>
      <c r="U487" s="1644" t="s">
        <v>3697</v>
      </c>
      <c r="V487" s="1644"/>
      <c r="W487" s="1650" t="s">
        <v>3653</v>
      </c>
      <c r="X487" s="1644" t="s">
        <v>3633</v>
      </c>
      <c r="Y487" s="1647">
        <v>39958</v>
      </c>
      <c r="Z487" s="1647">
        <v>40323</v>
      </c>
      <c r="AA487" s="1650">
        <f t="shared" ref="AA487:AA595" ca="1" si="27">IF(E487="nữ",660-DATEDIF(G487,TODAY(),"m"),720-DATEDIF(G487,TODAY(),"m"))/12</f>
        <v>10.083333333333334</v>
      </c>
      <c r="AB487" s="2444" t="e">
        <v>#REF!</v>
      </c>
      <c r="AC487" s="2446" t="e">
        <f>+#REF!-#REF!</f>
        <v>#REF!</v>
      </c>
      <c r="AD487" s="2438"/>
    </row>
    <row r="488" spans="1:30" ht="15.75" hidden="1" customHeight="1">
      <c r="A488" s="1644">
        <f t="shared" si="10"/>
        <v>0</v>
      </c>
      <c r="B488" s="1645" t="s">
        <v>4583</v>
      </c>
      <c r="C488" s="1645" t="s">
        <v>4530</v>
      </c>
      <c r="D488" s="1645" t="s">
        <v>4091</v>
      </c>
      <c r="E488" s="1646" t="s">
        <v>2798</v>
      </c>
      <c r="F488" s="1645">
        <f t="shared" si="22"/>
        <v>1987</v>
      </c>
      <c r="G488" s="1647">
        <v>32081</v>
      </c>
      <c r="H488" s="1644" t="s">
        <v>3636</v>
      </c>
      <c r="I488" s="1648" t="s">
        <v>3629</v>
      </c>
      <c r="J488" s="1645" t="s">
        <v>37</v>
      </c>
      <c r="K488" s="1645">
        <v>0</v>
      </c>
      <c r="L488" s="1645" t="s">
        <v>3975</v>
      </c>
      <c r="M488" s="1645" t="s">
        <v>3975</v>
      </c>
      <c r="N488" s="1645"/>
      <c r="O488" s="1645" t="s">
        <v>3645</v>
      </c>
      <c r="P488" s="1649"/>
      <c r="Q488" s="1645"/>
      <c r="R488" s="1647" t="s">
        <v>3683</v>
      </c>
      <c r="S488" s="1644"/>
      <c r="T488" s="1644" t="s">
        <v>936</v>
      </c>
      <c r="U488" s="1644" t="s">
        <v>3711</v>
      </c>
      <c r="V488" s="1644"/>
      <c r="W488" s="1644">
        <v>0</v>
      </c>
      <c r="X488" s="1644"/>
      <c r="Y488" s="1647">
        <v>43185</v>
      </c>
      <c r="Z488" s="1647">
        <v>43550</v>
      </c>
      <c r="AA488" s="1650">
        <f t="shared" ca="1" si="27"/>
        <v>18</v>
      </c>
      <c r="AB488" s="2444" t="s">
        <v>3629</v>
      </c>
      <c r="AC488" s="2445"/>
      <c r="AD488" s="2438"/>
    </row>
    <row r="489" spans="1:30" ht="15.75" hidden="1" customHeight="1">
      <c r="A489" s="1644">
        <f t="shared" si="10"/>
        <v>0</v>
      </c>
      <c r="B489" s="1645" t="s">
        <v>4584</v>
      </c>
      <c r="C489" s="1645" t="s">
        <v>4530</v>
      </c>
      <c r="D489" s="1645" t="s">
        <v>4091</v>
      </c>
      <c r="E489" s="1644" t="s">
        <v>2798</v>
      </c>
      <c r="F489" s="1645">
        <f t="shared" si="22"/>
        <v>1992</v>
      </c>
      <c r="G489" s="1647">
        <v>33841</v>
      </c>
      <c r="H489" s="1644" t="s">
        <v>3636</v>
      </c>
      <c r="I489" s="1648" t="s">
        <v>3629</v>
      </c>
      <c r="J489" s="1645" t="s">
        <v>37</v>
      </c>
      <c r="K489" s="1645"/>
      <c r="L489" s="1651" t="s">
        <v>3996</v>
      </c>
      <c r="M489" s="1645" t="s">
        <v>3996</v>
      </c>
      <c r="N489" s="1645"/>
      <c r="O489" s="1645">
        <v>0</v>
      </c>
      <c r="P489" s="1649"/>
      <c r="Q489" s="1645"/>
      <c r="R489" s="1647" t="s">
        <v>4585</v>
      </c>
      <c r="S489" s="1644"/>
      <c r="T489" s="1644" t="s">
        <v>936</v>
      </c>
      <c r="U489" s="1644"/>
      <c r="V489" s="1644"/>
      <c r="W489" s="1644"/>
      <c r="X489" s="1644"/>
      <c r="Y489" s="1644"/>
      <c r="Z489" s="1647"/>
      <c r="AA489" s="1650">
        <f t="shared" ca="1" si="27"/>
        <v>22.833333333333332</v>
      </c>
      <c r="AB489" s="2444" t="s">
        <v>3629</v>
      </c>
      <c r="AC489" s="2445"/>
      <c r="AD489" s="2438"/>
    </row>
    <row r="490" spans="1:30" ht="15.75" hidden="1" customHeight="1">
      <c r="A490" s="1644">
        <f t="shared" si="10"/>
        <v>0</v>
      </c>
      <c r="B490" s="1645" t="s">
        <v>4586</v>
      </c>
      <c r="C490" s="1645" t="s">
        <v>4530</v>
      </c>
      <c r="D490" s="1645" t="s">
        <v>4091</v>
      </c>
      <c r="E490" s="1646" t="s">
        <v>2797</v>
      </c>
      <c r="F490" s="1645">
        <f t="shared" si="22"/>
        <v>1986</v>
      </c>
      <c r="G490" s="1647">
        <v>31742</v>
      </c>
      <c r="H490" s="1644" t="s">
        <v>3636</v>
      </c>
      <c r="I490" s="1648" t="s">
        <v>3629</v>
      </c>
      <c r="J490" s="1645" t="s">
        <v>38</v>
      </c>
      <c r="K490" s="1645">
        <v>0</v>
      </c>
      <c r="L490" s="1645" t="s">
        <v>3975</v>
      </c>
      <c r="M490" s="1645" t="s">
        <v>4587</v>
      </c>
      <c r="N490" s="1645"/>
      <c r="O490" s="1645" t="s">
        <v>3975</v>
      </c>
      <c r="P490" s="1649">
        <v>44753</v>
      </c>
      <c r="Q490" s="1645"/>
      <c r="R490" s="1647" t="s">
        <v>4588</v>
      </c>
      <c r="S490" s="1644" t="s">
        <v>3962</v>
      </c>
      <c r="T490" s="1644" t="s">
        <v>936</v>
      </c>
      <c r="U490" s="1644" t="s">
        <v>3711</v>
      </c>
      <c r="V490" s="1644"/>
      <c r="W490" s="1650" t="s">
        <v>3646</v>
      </c>
      <c r="X490" s="1644" t="s">
        <v>3707</v>
      </c>
      <c r="Y490" s="1647">
        <v>42564</v>
      </c>
      <c r="Z490" s="1647">
        <v>42929</v>
      </c>
      <c r="AA490" s="1650">
        <f t="shared" ca="1" si="27"/>
        <v>22.083333333333332</v>
      </c>
      <c r="AB490" s="2444" t="s">
        <v>3629</v>
      </c>
      <c r="AC490" s="2446" t="e">
        <f t="shared" ref="AC490:AC491" si="28">+#REF!-#REF!</f>
        <v>#REF!</v>
      </c>
      <c r="AD490" s="2438"/>
    </row>
    <row r="491" spans="1:30" ht="15.75" hidden="1" customHeight="1">
      <c r="A491" s="1644">
        <f t="shared" si="10"/>
        <v>0</v>
      </c>
      <c r="B491" s="1645" t="s">
        <v>4589</v>
      </c>
      <c r="C491" s="1645" t="s">
        <v>4530</v>
      </c>
      <c r="D491" s="1645" t="s">
        <v>4091</v>
      </c>
      <c r="E491" s="1646" t="s">
        <v>2798</v>
      </c>
      <c r="F491" s="1645">
        <f t="shared" si="22"/>
        <v>1983</v>
      </c>
      <c r="G491" s="1647">
        <v>30505</v>
      </c>
      <c r="H491" s="1644" t="s">
        <v>3636</v>
      </c>
      <c r="I491" s="1648" t="s">
        <v>3629</v>
      </c>
      <c r="J491" s="1645" t="s">
        <v>37</v>
      </c>
      <c r="K491" s="1645">
        <v>0</v>
      </c>
      <c r="L491" s="1645" t="s">
        <v>4590</v>
      </c>
      <c r="M491" s="1645" t="s">
        <v>4587</v>
      </c>
      <c r="N491" s="1645"/>
      <c r="O491" s="1645" t="s">
        <v>3975</v>
      </c>
      <c r="P491" s="1649">
        <v>44753</v>
      </c>
      <c r="Q491" s="1645"/>
      <c r="R491" s="1647" t="s">
        <v>3710</v>
      </c>
      <c r="S491" s="1644"/>
      <c r="T491" s="1644" t="s">
        <v>936</v>
      </c>
      <c r="U491" s="1644" t="s">
        <v>3711</v>
      </c>
      <c r="V491" s="1644"/>
      <c r="W491" s="1644">
        <v>0</v>
      </c>
      <c r="X491" s="1644"/>
      <c r="Y491" s="1647">
        <v>41820</v>
      </c>
      <c r="Z491" s="1647">
        <v>42185</v>
      </c>
      <c r="AA491" s="1650">
        <f t="shared" ca="1" si="27"/>
        <v>13.75</v>
      </c>
      <c r="AB491" s="2444" t="s">
        <v>3629</v>
      </c>
      <c r="AC491" s="2446" t="e">
        <f t="shared" si="28"/>
        <v>#REF!</v>
      </c>
      <c r="AD491" s="2438"/>
    </row>
    <row r="492" spans="1:30" ht="15.75" hidden="1" customHeight="1">
      <c r="A492" s="1644">
        <f t="shared" si="10"/>
        <v>0</v>
      </c>
      <c r="B492" s="1645" t="s">
        <v>4591</v>
      </c>
      <c r="C492" s="1645" t="s">
        <v>4530</v>
      </c>
      <c r="D492" s="1645" t="s">
        <v>4091</v>
      </c>
      <c r="E492" s="1644" t="s">
        <v>2797</v>
      </c>
      <c r="F492" s="1645">
        <f t="shared" si="22"/>
        <v>1979</v>
      </c>
      <c r="G492" s="1647">
        <v>28898</v>
      </c>
      <c r="H492" s="1644" t="s">
        <v>3636</v>
      </c>
      <c r="I492" s="1648" t="s">
        <v>3629</v>
      </c>
      <c r="J492" s="1645" t="s">
        <v>37</v>
      </c>
      <c r="K492" s="1645">
        <v>0</v>
      </c>
      <c r="L492" s="1645" t="s">
        <v>4592</v>
      </c>
      <c r="M492" s="1645" t="s">
        <v>4587</v>
      </c>
      <c r="N492" s="1645"/>
      <c r="O492" s="1645" t="s">
        <v>3645</v>
      </c>
      <c r="P492" s="1649"/>
      <c r="Q492" s="1645"/>
      <c r="R492" s="1647" t="s">
        <v>3683</v>
      </c>
      <c r="S492" s="1644"/>
      <c r="T492" s="1644" t="s">
        <v>936</v>
      </c>
      <c r="U492" s="1644"/>
      <c r="V492" s="1644"/>
      <c r="W492" s="1644">
        <v>0</v>
      </c>
      <c r="X492" s="1644"/>
      <c r="Y492" s="1647">
        <v>39773</v>
      </c>
      <c r="Z492" s="1647">
        <v>40138</v>
      </c>
      <c r="AA492" s="1650">
        <f t="shared" ca="1" si="27"/>
        <v>14.333333333333334</v>
      </c>
      <c r="AB492" s="2444" t="s">
        <v>3629</v>
      </c>
      <c r="AC492" s="2445"/>
      <c r="AD492" s="2438"/>
    </row>
    <row r="493" spans="1:30" ht="15.75" hidden="1" customHeight="1">
      <c r="A493" s="1644">
        <f t="shared" si="10"/>
        <v>0</v>
      </c>
      <c r="B493" s="1645" t="s">
        <v>4593</v>
      </c>
      <c r="C493" s="1645" t="s">
        <v>4530</v>
      </c>
      <c r="D493" s="1645" t="s">
        <v>4594</v>
      </c>
      <c r="E493" s="1646" t="s">
        <v>2798</v>
      </c>
      <c r="F493" s="1645">
        <f t="shared" si="22"/>
        <v>1989</v>
      </c>
      <c r="G493" s="1647">
        <v>32699</v>
      </c>
      <c r="H493" s="1644" t="s">
        <v>3636</v>
      </c>
      <c r="I493" s="1648" t="s">
        <v>3629</v>
      </c>
      <c r="J493" s="1645" t="s">
        <v>37</v>
      </c>
      <c r="K493" s="1645">
        <v>0</v>
      </c>
      <c r="L493" s="1645" t="s">
        <v>4595</v>
      </c>
      <c r="M493" s="1645" t="s">
        <v>4031</v>
      </c>
      <c r="N493" s="1645"/>
      <c r="O493" s="1645" t="s">
        <v>3645</v>
      </c>
      <c r="P493" s="1649"/>
      <c r="Q493" s="1645"/>
      <c r="R493" s="1647" t="s">
        <v>4596</v>
      </c>
      <c r="S493" s="1644"/>
      <c r="T493" s="1644" t="s">
        <v>936</v>
      </c>
      <c r="U493" s="1644" t="s">
        <v>3711</v>
      </c>
      <c r="V493" s="1644"/>
      <c r="W493" s="1644">
        <v>0</v>
      </c>
      <c r="X493" s="1644"/>
      <c r="Y493" s="1647"/>
      <c r="Z493" s="1647"/>
      <c r="AA493" s="1650">
        <f t="shared" ca="1" si="27"/>
        <v>19.75</v>
      </c>
      <c r="AB493" s="2444" t="s">
        <v>3629</v>
      </c>
      <c r="AC493" s="2445"/>
      <c r="AD493" s="2438"/>
    </row>
    <row r="494" spans="1:30" ht="15.75" hidden="1" customHeight="1">
      <c r="A494" s="1644">
        <f t="shared" si="10"/>
        <v>0</v>
      </c>
      <c r="B494" s="1645" t="s">
        <v>4597</v>
      </c>
      <c r="C494" s="1645" t="s">
        <v>4530</v>
      </c>
      <c r="D494" s="1645" t="s">
        <v>4594</v>
      </c>
      <c r="E494" s="1644" t="s">
        <v>2797</v>
      </c>
      <c r="F494" s="1645">
        <f t="shared" si="22"/>
        <v>1980</v>
      </c>
      <c r="G494" s="1647">
        <v>29519</v>
      </c>
      <c r="H494" s="1644" t="s">
        <v>3628</v>
      </c>
      <c r="I494" s="1648" t="s">
        <v>3629</v>
      </c>
      <c r="J494" s="1645" t="s">
        <v>38</v>
      </c>
      <c r="K494" s="1645">
        <v>0</v>
      </c>
      <c r="L494" s="1645" t="s">
        <v>4031</v>
      </c>
      <c r="M494" s="1645" t="s">
        <v>4598</v>
      </c>
      <c r="N494" s="1645"/>
      <c r="O494" s="1645" t="s">
        <v>4599</v>
      </c>
      <c r="P494" s="1649"/>
      <c r="Q494" s="1645"/>
      <c r="R494" s="1647" t="s">
        <v>3789</v>
      </c>
      <c r="S494" s="1644" t="s">
        <v>3988</v>
      </c>
      <c r="T494" s="1644" t="s">
        <v>936</v>
      </c>
      <c r="U494" s="1644" t="s">
        <v>3697</v>
      </c>
      <c r="V494" s="1644"/>
      <c r="W494" s="1650" t="s">
        <v>3653</v>
      </c>
      <c r="X494" s="1644" t="s">
        <v>3633</v>
      </c>
      <c r="Y494" s="1647">
        <v>41048</v>
      </c>
      <c r="Z494" s="1647">
        <v>41413</v>
      </c>
      <c r="AA494" s="1650">
        <f t="shared" ca="1" si="27"/>
        <v>16</v>
      </c>
      <c r="AB494" s="2444" t="e">
        <v>#REF!</v>
      </c>
      <c r="AC494" s="2446" t="e">
        <f>+#REF!-#REF!</f>
        <v>#REF!</v>
      </c>
      <c r="AD494" s="2438"/>
    </row>
    <row r="495" spans="1:30" ht="15.75" hidden="1" customHeight="1">
      <c r="A495" s="1644">
        <f t="shared" si="10"/>
        <v>0</v>
      </c>
      <c r="B495" s="1645" t="s">
        <v>4600</v>
      </c>
      <c r="C495" s="1645" t="s">
        <v>4530</v>
      </c>
      <c r="D495" s="1645" t="s">
        <v>4594</v>
      </c>
      <c r="E495" s="1646" t="s">
        <v>2798</v>
      </c>
      <c r="F495" s="1645">
        <f t="shared" si="22"/>
        <v>1988</v>
      </c>
      <c r="G495" s="1647">
        <v>32183</v>
      </c>
      <c r="H495" s="1644" t="s">
        <v>3636</v>
      </c>
      <c r="I495" s="1648" t="s">
        <v>3629</v>
      </c>
      <c r="J495" s="1645" t="s">
        <v>37</v>
      </c>
      <c r="K495" s="1645">
        <v>0</v>
      </c>
      <c r="L495" s="1645" t="s">
        <v>4601</v>
      </c>
      <c r="M495" s="1645" t="s">
        <v>4031</v>
      </c>
      <c r="N495" s="1645"/>
      <c r="O495" s="1645" t="s">
        <v>4031</v>
      </c>
      <c r="P495" s="1649"/>
      <c r="Q495" s="1645"/>
      <c r="R495" s="1647" t="s">
        <v>3683</v>
      </c>
      <c r="S495" s="1644"/>
      <c r="T495" s="1644" t="s">
        <v>936</v>
      </c>
      <c r="U495" s="1644" t="s">
        <v>3711</v>
      </c>
      <c r="V495" s="1644"/>
      <c r="W495" s="1644">
        <v>0</v>
      </c>
      <c r="X495" s="1644"/>
      <c r="Y495" s="1647">
        <v>44378</v>
      </c>
      <c r="Z495" s="1647">
        <v>0</v>
      </c>
      <c r="AA495" s="1650">
        <f t="shared" ca="1" si="27"/>
        <v>18.333333333333332</v>
      </c>
      <c r="AB495" s="2444" t="s">
        <v>3629</v>
      </c>
      <c r="AC495" s="2445"/>
      <c r="AD495" s="2438"/>
    </row>
    <row r="496" spans="1:30" ht="15.75" hidden="1" customHeight="1">
      <c r="A496" s="1644">
        <f t="shared" si="10"/>
        <v>0</v>
      </c>
      <c r="B496" s="1645" t="s">
        <v>4602</v>
      </c>
      <c r="C496" s="1645" t="s">
        <v>4530</v>
      </c>
      <c r="D496" s="1645" t="s">
        <v>4594</v>
      </c>
      <c r="E496" s="1644" t="s">
        <v>2798</v>
      </c>
      <c r="F496" s="1645">
        <f t="shared" si="22"/>
        <v>1985</v>
      </c>
      <c r="G496" s="1647">
        <v>31128</v>
      </c>
      <c r="H496" s="1644" t="s">
        <v>3636</v>
      </c>
      <c r="I496" s="1648" t="s">
        <v>3629</v>
      </c>
      <c r="J496" s="1645" t="s">
        <v>38</v>
      </c>
      <c r="K496" s="1645">
        <v>0</v>
      </c>
      <c r="L496" s="1645" t="s">
        <v>4031</v>
      </c>
      <c r="M496" s="1645" t="s">
        <v>4031</v>
      </c>
      <c r="N496" s="1645"/>
      <c r="O496" s="1645" t="s">
        <v>4031</v>
      </c>
      <c r="P496" s="1649">
        <v>44105</v>
      </c>
      <c r="Q496" s="1645"/>
      <c r="R496" s="1647" t="s">
        <v>3683</v>
      </c>
      <c r="S496" s="1644"/>
      <c r="T496" s="1644" t="s">
        <v>936</v>
      </c>
      <c r="U496" s="1644" t="s">
        <v>3711</v>
      </c>
      <c r="V496" s="1644"/>
      <c r="W496" s="1644">
        <v>0</v>
      </c>
      <c r="X496" s="1644"/>
      <c r="Y496" s="1647">
        <v>43825</v>
      </c>
      <c r="Z496" s="1647">
        <v>0</v>
      </c>
      <c r="AA496" s="1650">
        <f t="shared" ca="1" si="27"/>
        <v>15.416666666666666</v>
      </c>
      <c r="AB496" s="2444" t="s">
        <v>3629</v>
      </c>
      <c r="AC496" s="2445"/>
      <c r="AD496" s="2438"/>
    </row>
    <row r="497" spans="1:30" ht="15.75" hidden="1" customHeight="1">
      <c r="A497" s="1644">
        <f t="shared" si="10"/>
        <v>0</v>
      </c>
      <c r="B497" s="1645" t="s">
        <v>4603</v>
      </c>
      <c r="C497" s="1645" t="s">
        <v>4530</v>
      </c>
      <c r="D497" s="1645" t="s">
        <v>4594</v>
      </c>
      <c r="E497" s="1646" t="s">
        <v>2798</v>
      </c>
      <c r="F497" s="1645">
        <f t="shared" si="22"/>
        <v>1988</v>
      </c>
      <c r="G497" s="1647">
        <v>32143</v>
      </c>
      <c r="H497" s="1644" t="s">
        <v>3636</v>
      </c>
      <c r="I497" s="1648" t="s">
        <v>3629</v>
      </c>
      <c r="J497" s="1645" t="s">
        <v>38</v>
      </c>
      <c r="K497" s="1645">
        <v>0</v>
      </c>
      <c r="L497" s="1645" t="s">
        <v>4031</v>
      </c>
      <c r="M497" s="1645" t="s">
        <v>4031</v>
      </c>
      <c r="N497" s="1645"/>
      <c r="O497" s="1645" t="s">
        <v>4031</v>
      </c>
      <c r="P497" s="1649">
        <v>44287</v>
      </c>
      <c r="Q497" s="1645"/>
      <c r="R497" s="1647" t="s">
        <v>3683</v>
      </c>
      <c r="S497" s="1644"/>
      <c r="T497" s="1644" t="s">
        <v>936</v>
      </c>
      <c r="U497" s="1644" t="s">
        <v>3711</v>
      </c>
      <c r="V497" s="1644"/>
      <c r="W497" s="1644">
        <v>0</v>
      </c>
      <c r="X497" s="1644"/>
      <c r="Y497" s="1647">
        <v>43801</v>
      </c>
      <c r="Z497" s="1647">
        <v>0</v>
      </c>
      <c r="AA497" s="1650">
        <f t="shared" ca="1" si="27"/>
        <v>18.166666666666668</v>
      </c>
      <c r="AB497" s="2444" t="s">
        <v>3629</v>
      </c>
      <c r="AC497" s="2445"/>
      <c r="AD497" s="2438"/>
    </row>
    <row r="498" spans="1:30" ht="15.75" hidden="1" customHeight="1">
      <c r="A498" s="1644">
        <f t="shared" si="10"/>
        <v>0</v>
      </c>
      <c r="B498" s="1645" t="s">
        <v>4604</v>
      </c>
      <c r="C498" s="1645" t="s">
        <v>4530</v>
      </c>
      <c r="D498" s="1645" t="s">
        <v>4594</v>
      </c>
      <c r="E498" s="1644" t="s">
        <v>2798</v>
      </c>
      <c r="F498" s="1645">
        <f t="shared" si="22"/>
        <v>1986</v>
      </c>
      <c r="G498" s="1647">
        <v>31511</v>
      </c>
      <c r="H498" s="1644" t="s">
        <v>3636</v>
      </c>
      <c r="I498" s="1648" t="s">
        <v>3629</v>
      </c>
      <c r="J498" s="1645" t="s">
        <v>38</v>
      </c>
      <c r="K498" s="1645">
        <v>0</v>
      </c>
      <c r="L498" s="1645" t="s">
        <v>4605</v>
      </c>
      <c r="M498" s="1645" t="s">
        <v>4031</v>
      </c>
      <c r="N498" s="1645"/>
      <c r="O498" s="1645" t="s">
        <v>4031</v>
      </c>
      <c r="P498" s="1649"/>
      <c r="Q498" s="1645"/>
      <c r="R498" s="1647" t="s">
        <v>3710</v>
      </c>
      <c r="S498" s="1644"/>
      <c r="T498" s="1644" t="s">
        <v>936</v>
      </c>
      <c r="U498" s="1644" t="s">
        <v>3711</v>
      </c>
      <c r="V498" s="1644"/>
      <c r="W498" s="1644">
        <v>0</v>
      </c>
      <c r="X498" s="1644"/>
      <c r="Y498" s="1647"/>
      <c r="Z498" s="1647"/>
      <c r="AA498" s="1650">
        <f t="shared" ca="1" si="27"/>
        <v>16.5</v>
      </c>
      <c r="AB498" s="2444" t="s">
        <v>3629</v>
      </c>
      <c r="AC498" s="2445"/>
      <c r="AD498" s="2438"/>
    </row>
    <row r="499" spans="1:30" ht="15.75" hidden="1" customHeight="1">
      <c r="A499" s="1644">
        <f t="shared" si="10"/>
        <v>0</v>
      </c>
      <c r="B499" s="1645" t="s">
        <v>4606</v>
      </c>
      <c r="C499" s="1645" t="s">
        <v>4530</v>
      </c>
      <c r="D499" s="1645" t="s">
        <v>4594</v>
      </c>
      <c r="E499" s="1646" t="s">
        <v>2797</v>
      </c>
      <c r="F499" s="1645">
        <f t="shared" si="22"/>
        <v>1987</v>
      </c>
      <c r="G499" s="1647">
        <v>31818</v>
      </c>
      <c r="H499" s="1644" t="s">
        <v>3636</v>
      </c>
      <c r="I499" s="1648" t="s">
        <v>3629</v>
      </c>
      <c r="J499" s="1645" t="s">
        <v>37</v>
      </c>
      <c r="K499" s="1645">
        <v>0</v>
      </c>
      <c r="L499" s="1645" t="s">
        <v>4607</v>
      </c>
      <c r="M499" s="1645" t="s">
        <v>4031</v>
      </c>
      <c r="N499" s="1645"/>
      <c r="O499" s="1645" t="s">
        <v>3645</v>
      </c>
      <c r="P499" s="1649"/>
      <c r="Q499" s="1645"/>
      <c r="R499" s="1647" t="s">
        <v>4608</v>
      </c>
      <c r="S499" s="1644"/>
      <c r="T499" s="1644" t="s">
        <v>936</v>
      </c>
      <c r="U499" s="1644" t="s">
        <v>3711</v>
      </c>
      <c r="V499" s="1644"/>
      <c r="W499" s="1650" t="s">
        <v>3646</v>
      </c>
      <c r="X499" s="1644"/>
      <c r="Y499" s="1647"/>
      <c r="Z499" s="1647"/>
      <c r="AA499" s="1650">
        <f t="shared" ca="1" si="27"/>
        <v>22.333333333333332</v>
      </c>
      <c r="AB499" s="2444" t="s">
        <v>3629</v>
      </c>
      <c r="AC499" s="2445"/>
      <c r="AD499" s="2438"/>
    </row>
    <row r="500" spans="1:30" ht="15.75" hidden="1" customHeight="1">
      <c r="A500" s="1644">
        <f t="shared" si="10"/>
        <v>0</v>
      </c>
      <c r="B500" s="1645" t="s">
        <v>4609</v>
      </c>
      <c r="C500" s="1645" t="s">
        <v>4530</v>
      </c>
      <c r="D500" s="1645" t="s">
        <v>4594</v>
      </c>
      <c r="E500" s="1644" t="s">
        <v>2798</v>
      </c>
      <c r="F500" s="1645">
        <f t="shared" si="22"/>
        <v>1989</v>
      </c>
      <c r="G500" s="1647">
        <v>32742</v>
      </c>
      <c r="H500" s="1644" t="s">
        <v>3636</v>
      </c>
      <c r="I500" s="1648" t="s">
        <v>3629</v>
      </c>
      <c r="J500" s="1645" t="s">
        <v>37</v>
      </c>
      <c r="K500" s="1645">
        <v>0</v>
      </c>
      <c r="L500" s="1645" t="s">
        <v>4601</v>
      </c>
      <c r="M500" s="1645" t="s">
        <v>4031</v>
      </c>
      <c r="N500" s="1645"/>
      <c r="O500" s="1645" t="s">
        <v>3645</v>
      </c>
      <c r="P500" s="1649"/>
      <c r="Q500" s="1645"/>
      <c r="R500" s="1647" t="s">
        <v>3710</v>
      </c>
      <c r="S500" s="1644"/>
      <c r="T500" s="1644" t="s">
        <v>936</v>
      </c>
      <c r="U500" s="1644" t="s">
        <v>3711</v>
      </c>
      <c r="V500" s="1644"/>
      <c r="W500" s="1644">
        <v>0</v>
      </c>
      <c r="X500" s="1644"/>
      <c r="Y500" s="1647">
        <v>42754</v>
      </c>
      <c r="Z500" s="1647">
        <v>43119</v>
      </c>
      <c r="AA500" s="1650">
        <f t="shared" ca="1" si="27"/>
        <v>19.833333333333332</v>
      </c>
      <c r="AB500" s="2444" t="s">
        <v>3629</v>
      </c>
      <c r="AC500" s="2445"/>
      <c r="AD500" s="2438"/>
    </row>
    <row r="501" spans="1:30" ht="31.5" hidden="1" customHeight="1">
      <c r="A501" s="1644">
        <f t="shared" si="10"/>
        <v>0</v>
      </c>
      <c r="B501" s="1645" t="s">
        <v>4610</v>
      </c>
      <c r="C501" s="1645" t="s">
        <v>4530</v>
      </c>
      <c r="D501" s="1645" t="s">
        <v>4594</v>
      </c>
      <c r="E501" s="1646" t="s">
        <v>2798</v>
      </c>
      <c r="F501" s="1645">
        <f t="shared" si="22"/>
        <v>1986</v>
      </c>
      <c r="G501" s="1647">
        <v>31744</v>
      </c>
      <c r="H501" s="1644" t="s">
        <v>3636</v>
      </c>
      <c r="I501" s="1648" t="s">
        <v>3629</v>
      </c>
      <c r="J501" s="1645" t="s">
        <v>37</v>
      </c>
      <c r="K501" s="1645">
        <v>0</v>
      </c>
      <c r="L501" s="1645" t="s">
        <v>4601</v>
      </c>
      <c r="M501" s="1645" t="s">
        <v>4031</v>
      </c>
      <c r="N501" s="1645"/>
      <c r="O501" s="1645" t="s">
        <v>4031</v>
      </c>
      <c r="P501" s="1649"/>
      <c r="Q501" s="1645"/>
      <c r="R501" s="1647" t="s">
        <v>3699</v>
      </c>
      <c r="S501" s="1644"/>
      <c r="T501" s="1644" t="s">
        <v>936</v>
      </c>
      <c r="U501" s="1644" t="s">
        <v>3711</v>
      </c>
      <c r="V501" s="1644"/>
      <c r="W501" s="1650" t="s">
        <v>3646</v>
      </c>
      <c r="X501" s="1644"/>
      <c r="Y501" s="1647"/>
      <c r="Z501" s="1647"/>
      <c r="AA501" s="1650">
        <f t="shared" ca="1" si="27"/>
        <v>17.083333333333332</v>
      </c>
      <c r="AB501" s="2444" t="s">
        <v>3629</v>
      </c>
      <c r="AC501" s="2445"/>
      <c r="AD501" s="2438"/>
    </row>
    <row r="502" spans="1:30" ht="15.75" hidden="1" customHeight="1">
      <c r="A502" s="1644">
        <f t="shared" si="10"/>
        <v>0</v>
      </c>
      <c r="B502" s="1645" t="s">
        <v>4611</v>
      </c>
      <c r="C502" s="1645" t="s">
        <v>4530</v>
      </c>
      <c r="D502" s="1645" t="s">
        <v>4594</v>
      </c>
      <c r="E502" s="1644" t="s">
        <v>2798</v>
      </c>
      <c r="F502" s="1645">
        <f t="shared" si="22"/>
        <v>1986</v>
      </c>
      <c r="G502" s="1647">
        <v>31699</v>
      </c>
      <c r="H502" s="1644" t="s">
        <v>3636</v>
      </c>
      <c r="I502" s="1648" t="s">
        <v>3629</v>
      </c>
      <c r="J502" s="1645" t="s">
        <v>38</v>
      </c>
      <c r="K502" s="1645">
        <v>0</v>
      </c>
      <c r="L502" s="1645" t="s">
        <v>4031</v>
      </c>
      <c r="M502" s="1645" t="s">
        <v>4031</v>
      </c>
      <c r="N502" s="1645"/>
      <c r="O502" s="1645" t="s">
        <v>4031</v>
      </c>
      <c r="P502" s="1649">
        <v>44286</v>
      </c>
      <c r="Q502" s="1645"/>
      <c r="R502" s="1647" t="s">
        <v>3710</v>
      </c>
      <c r="S502" s="1644"/>
      <c r="T502" s="1644" t="s">
        <v>936</v>
      </c>
      <c r="U502" s="1644" t="s">
        <v>3711</v>
      </c>
      <c r="V502" s="1644"/>
      <c r="W502" s="1644">
        <v>0</v>
      </c>
      <c r="X502" s="1644" t="s">
        <v>3707</v>
      </c>
      <c r="Y502" s="1647">
        <v>42754</v>
      </c>
      <c r="Z502" s="1647">
        <v>43119</v>
      </c>
      <c r="AA502" s="1650">
        <f t="shared" ca="1" si="27"/>
        <v>17</v>
      </c>
      <c r="AB502" s="2444" t="e">
        <v>#REF!</v>
      </c>
      <c r="AC502" s="2446" t="e">
        <f>+#REF!-#REF!</f>
        <v>#REF!</v>
      </c>
      <c r="AD502" s="2438"/>
    </row>
    <row r="503" spans="1:30" ht="15.75" hidden="1" customHeight="1">
      <c r="A503" s="1644">
        <f t="shared" si="10"/>
        <v>0</v>
      </c>
      <c r="B503" s="1645" t="s">
        <v>4612</v>
      </c>
      <c r="C503" s="1645" t="s">
        <v>4530</v>
      </c>
      <c r="D503" s="1645" t="s">
        <v>4594</v>
      </c>
      <c r="E503" s="1644" t="s">
        <v>2798</v>
      </c>
      <c r="F503" s="1645">
        <f t="shared" si="22"/>
        <v>1992</v>
      </c>
      <c r="G503" s="1647">
        <v>33765</v>
      </c>
      <c r="H503" s="1644" t="s">
        <v>3636</v>
      </c>
      <c r="I503" s="1648" t="s">
        <v>3629</v>
      </c>
      <c r="J503" s="1645" t="s">
        <v>37</v>
      </c>
      <c r="K503" s="1645"/>
      <c r="L503" s="1651" t="s">
        <v>3996</v>
      </c>
      <c r="M503" s="1645" t="s">
        <v>3996</v>
      </c>
      <c r="N503" s="1645"/>
      <c r="O503" s="1645">
        <v>0</v>
      </c>
      <c r="P503" s="1649"/>
      <c r="Q503" s="1645"/>
      <c r="R503" s="1647" t="s">
        <v>4613</v>
      </c>
      <c r="S503" s="1644" t="s">
        <v>3743</v>
      </c>
      <c r="T503" s="1644" t="s">
        <v>936</v>
      </c>
      <c r="U503" s="1644"/>
      <c r="V503" s="1644"/>
      <c r="W503" s="1644"/>
      <c r="X503" s="1644"/>
      <c r="Y503" s="1647"/>
      <c r="Z503" s="1647"/>
      <c r="AA503" s="1650">
        <f t="shared" ca="1" si="27"/>
        <v>22.666666666666668</v>
      </c>
      <c r="AB503" s="2444" t="e">
        <v>#REF!</v>
      </c>
      <c r="AC503" s="2445"/>
      <c r="AD503" s="2438"/>
    </row>
    <row r="504" spans="1:30" ht="15.75" hidden="1" customHeight="1">
      <c r="A504" s="1644">
        <f t="shared" si="10"/>
        <v>0</v>
      </c>
      <c r="B504" s="1645" t="s">
        <v>4614</v>
      </c>
      <c r="C504" s="1645" t="s">
        <v>4530</v>
      </c>
      <c r="D504" s="1645" t="s">
        <v>4594</v>
      </c>
      <c r="E504" s="1644" t="s">
        <v>2798</v>
      </c>
      <c r="F504" s="1645">
        <f t="shared" si="22"/>
        <v>1986</v>
      </c>
      <c r="G504" s="1647">
        <v>31608</v>
      </c>
      <c r="H504" s="1644" t="s">
        <v>3636</v>
      </c>
      <c r="I504" s="1648" t="s">
        <v>3629</v>
      </c>
      <c r="J504" s="1645" t="s">
        <v>38</v>
      </c>
      <c r="K504" s="1645">
        <v>0</v>
      </c>
      <c r="L504" s="1645" t="s">
        <v>4615</v>
      </c>
      <c r="M504" s="1645" t="s">
        <v>4031</v>
      </c>
      <c r="N504" s="1645"/>
      <c r="O504" s="1645" t="s">
        <v>4031</v>
      </c>
      <c r="P504" s="1649"/>
      <c r="Q504" s="1645"/>
      <c r="R504" s="1644"/>
      <c r="S504" s="1644"/>
      <c r="T504" s="1644" t="s">
        <v>936</v>
      </c>
      <c r="U504" s="1644" t="s">
        <v>3711</v>
      </c>
      <c r="V504" s="1644"/>
      <c r="W504" s="1644">
        <v>0</v>
      </c>
      <c r="X504" s="1644"/>
      <c r="Y504" s="1647">
        <v>42516</v>
      </c>
      <c r="Z504" s="1647">
        <v>42881</v>
      </c>
      <c r="AA504" s="1650">
        <f t="shared" ca="1" si="27"/>
        <v>16.75</v>
      </c>
      <c r="AB504" s="2444" t="e">
        <v>#REF!</v>
      </c>
      <c r="AC504" s="2445"/>
      <c r="AD504" s="2438"/>
    </row>
    <row r="505" spans="1:30" ht="15.75" hidden="1" customHeight="1">
      <c r="A505" s="1644">
        <f t="shared" si="10"/>
        <v>0</v>
      </c>
      <c r="B505" s="1645" t="s">
        <v>4616</v>
      </c>
      <c r="C505" s="1645" t="s">
        <v>4530</v>
      </c>
      <c r="D505" s="1645" t="s">
        <v>4594</v>
      </c>
      <c r="E505" s="1646" t="s">
        <v>2798</v>
      </c>
      <c r="F505" s="1645">
        <f t="shared" si="22"/>
        <v>1986</v>
      </c>
      <c r="G505" s="1647">
        <v>31609</v>
      </c>
      <c r="H505" s="1644" t="s">
        <v>3636</v>
      </c>
      <c r="I505" s="1648" t="s">
        <v>3629</v>
      </c>
      <c r="J505" s="1645" t="s">
        <v>38</v>
      </c>
      <c r="K505" s="1645">
        <v>0</v>
      </c>
      <c r="L505" s="1645" t="s">
        <v>4601</v>
      </c>
      <c r="M505" s="1645" t="s">
        <v>4031</v>
      </c>
      <c r="N505" s="1645"/>
      <c r="O505" s="1645" t="s">
        <v>4031</v>
      </c>
      <c r="P505" s="1649">
        <v>44317</v>
      </c>
      <c r="Q505" s="1645"/>
      <c r="R505" s="1644" t="s">
        <v>3683</v>
      </c>
      <c r="S505" s="1644"/>
      <c r="T505" s="1644" t="s">
        <v>936</v>
      </c>
      <c r="U505" s="1644" t="s">
        <v>3711</v>
      </c>
      <c r="V505" s="1644"/>
      <c r="W505" s="1644">
        <v>0</v>
      </c>
      <c r="X505" s="1644"/>
      <c r="Y505" s="1647">
        <v>42516</v>
      </c>
      <c r="Z505" s="1647">
        <v>42881</v>
      </c>
      <c r="AA505" s="1650">
        <f t="shared" ca="1" si="27"/>
        <v>16.75</v>
      </c>
      <c r="AB505" s="2444" t="s">
        <v>3629</v>
      </c>
      <c r="AC505" s="2445"/>
      <c r="AD505" s="2438"/>
    </row>
    <row r="506" spans="1:30" ht="15.75" hidden="1" customHeight="1">
      <c r="A506" s="1644">
        <f t="shared" si="10"/>
        <v>0</v>
      </c>
      <c r="B506" s="1645" t="s">
        <v>4617</v>
      </c>
      <c r="C506" s="1645" t="s">
        <v>4530</v>
      </c>
      <c r="D506" s="1645" t="s">
        <v>4522</v>
      </c>
      <c r="E506" s="1646" t="s">
        <v>2798</v>
      </c>
      <c r="F506" s="1645">
        <f t="shared" si="22"/>
        <v>1983</v>
      </c>
      <c r="G506" s="1647">
        <v>30493</v>
      </c>
      <c r="H506" s="1644" t="s">
        <v>3642</v>
      </c>
      <c r="I506" s="1648" t="s">
        <v>3629</v>
      </c>
      <c r="J506" s="1645" t="s">
        <v>37</v>
      </c>
      <c r="K506" s="1645">
        <v>0</v>
      </c>
      <c r="L506" s="1645" t="s">
        <v>3799</v>
      </c>
      <c r="M506" s="1645" t="s">
        <v>3996</v>
      </c>
      <c r="N506" s="1645"/>
      <c r="O506" s="1645" t="s">
        <v>3645</v>
      </c>
      <c r="P506" s="1649"/>
      <c r="Q506" s="1645"/>
      <c r="R506" s="1644"/>
      <c r="S506" s="1644"/>
      <c r="T506" s="1644"/>
      <c r="U506" s="1644"/>
      <c r="V506" s="1644" t="s">
        <v>3649</v>
      </c>
      <c r="W506" s="1650" t="s">
        <v>3653</v>
      </c>
      <c r="X506" s="1644"/>
      <c r="Y506" s="1647"/>
      <c r="Z506" s="1647"/>
      <c r="AA506" s="1650">
        <f t="shared" ca="1" si="27"/>
        <v>13.666666666666666</v>
      </c>
      <c r="AB506" s="2444" t="s">
        <v>3629</v>
      </c>
      <c r="AC506" s="2445"/>
      <c r="AD506" s="2438"/>
    </row>
    <row r="507" spans="1:30" ht="15.75" hidden="1" customHeight="1">
      <c r="A507" s="1644">
        <f t="shared" si="10"/>
        <v>0</v>
      </c>
      <c r="B507" s="1645" t="s">
        <v>4618</v>
      </c>
      <c r="C507" s="1645" t="s">
        <v>4530</v>
      </c>
      <c r="D507" s="1645" t="s">
        <v>4522</v>
      </c>
      <c r="E507" s="1646" t="s">
        <v>2797</v>
      </c>
      <c r="F507" s="1645">
        <f t="shared" si="22"/>
        <v>1989</v>
      </c>
      <c r="G507" s="1647">
        <v>32745</v>
      </c>
      <c r="H507" s="1644" t="s">
        <v>3642</v>
      </c>
      <c r="I507" s="1648" t="s">
        <v>3629</v>
      </c>
      <c r="J507" s="1645" t="s">
        <v>201</v>
      </c>
      <c r="K507" s="1645">
        <v>0</v>
      </c>
      <c r="L507" s="1645" t="s">
        <v>3902</v>
      </c>
      <c r="M507" s="1645">
        <v>0</v>
      </c>
      <c r="N507" s="1645"/>
      <c r="O507" s="1645">
        <v>0</v>
      </c>
      <c r="P507" s="1649"/>
      <c r="Q507" s="1645"/>
      <c r="R507" s="1647" t="s">
        <v>4028</v>
      </c>
      <c r="S507" s="1644"/>
      <c r="T507" s="1644"/>
      <c r="U507" s="1644"/>
      <c r="V507" s="1644"/>
      <c r="W507" s="1650" t="s">
        <v>3822</v>
      </c>
      <c r="X507" s="1644"/>
      <c r="Y507" s="1647"/>
      <c r="Z507" s="1647"/>
      <c r="AA507" s="1650">
        <f t="shared" ca="1" si="27"/>
        <v>24.833333333333332</v>
      </c>
      <c r="AB507" s="2444" t="s">
        <v>3629</v>
      </c>
      <c r="AC507" s="2445"/>
      <c r="AD507" s="2438"/>
    </row>
    <row r="508" spans="1:30" ht="15.75" hidden="1" customHeight="1">
      <c r="A508" s="1644">
        <f t="shared" si="10"/>
        <v>0</v>
      </c>
      <c r="B508" s="1645" t="s">
        <v>4619</v>
      </c>
      <c r="C508" s="1645" t="s">
        <v>4530</v>
      </c>
      <c r="D508" s="1645" t="s">
        <v>4522</v>
      </c>
      <c r="E508" s="1644" t="s">
        <v>2798</v>
      </c>
      <c r="F508" s="1645">
        <f t="shared" si="22"/>
        <v>1975</v>
      </c>
      <c r="G508" s="1647">
        <v>27546</v>
      </c>
      <c r="H508" s="1644" t="s">
        <v>3642</v>
      </c>
      <c r="I508" s="1648" t="s">
        <v>3629</v>
      </c>
      <c r="J508" s="1645" t="s">
        <v>37</v>
      </c>
      <c r="K508" s="1645">
        <v>0</v>
      </c>
      <c r="L508" s="1645" t="s">
        <v>3741</v>
      </c>
      <c r="M508" s="1645" t="s">
        <v>506</v>
      </c>
      <c r="N508" s="1645"/>
      <c r="O508" s="1645" t="s">
        <v>3645</v>
      </c>
      <c r="P508" s="1649"/>
      <c r="Q508" s="1645"/>
      <c r="R508" s="1644"/>
      <c r="S508" s="1644"/>
      <c r="T508" s="1644"/>
      <c r="U508" s="1644"/>
      <c r="V508" s="1644"/>
      <c r="W508" s="1650" t="s">
        <v>3653</v>
      </c>
      <c r="X508" s="1644"/>
      <c r="Y508" s="1647">
        <v>37509</v>
      </c>
      <c r="Z508" s="1647">
        <v>37874</v>
      </c>
      <c r="AA508" s="1650">
        <f t="shared" ca="1" si="27"/>
        <v>5.583333333333333</v>
      </c>
      <c r="AB508" s="2444" t="s">
        <v>3629</v>
      </c>
      <c r="AC508" s="2445"/>
      <c r="AD508" s="2438"/>
    </row>
    <row r="509" spans="1:30" ht="15.75" hidden="1" customHeight="1">
      <c r="A509" s="1644">
        <f t="shared" si="10"/>
        <v>0</v>
      </c>
      <c r="B509" s="1645" t="s">
        <v>4620</v>
      </c>
      <c r="C509" s="1645" t="s">
        <v>4530</v>
      </c>
      <c r="D509" s="1645" t="s">
        <v>4522</v>
      </c>
      <c r="E509" s="1644" t="s">
        <v>2798</v>
      </c>
      <c r="F509" s="1645">
        <f t="shared" si="22"/>
        <v>1988</v>
      </c>
      <c r="G509" s="1647">
        <v>32441</v>
      </c>
      <c r="H509" s="1644" t="s">
        <v>3642</v>
      </c>
      <c r="I509" s="1648" t="s">
        <v>3629</v>
      </c>
      <c r="J509" s="1645" t="s">
        <v>201</v>
      </c>
      <c r="K509" s="1645">
        <v>0</v>
      </c>
      <c r="L509" s="1645" t="s">
        <v>4010</v>
      </c>
      <c r="M509" s="1645">
        <v>0</v>
      </c>
      <c r="N509" s="1645"/>
      <c r="O509" s="1645" t="s">
        <v>3645</v>
      </c>
      <c r="P509" s="1649"/>
      <c r="Q509" s="1645"/>
      <c r="R509" s="1644"/>
      <c r="S509" s="1644"/>
      <c r="T509" s="1644" t="s">
        <v>936</v>
      </c>
      <c r="U509" s="1644"/>
      <c r="V509" s="1644" t="s">
        <v>3649</v>
      </c>
      <c r="W509" s="1644">
        <v>0</v>
      </c>
      <c r="X509" s="1644"/>
      <c r="Y509" s="1647">
        <v>44031</v>
      </c>
      <c r="Z509" s="1647">
        <v>0</v>
      </c>
      <c r="AA509" s="1650">
        <f t="shared" ca="1" si="27"/>
        <v>19</v>
      </c>
      <c r="AB509" s="2444" t="s">
        <v>3629</v>
      </c>
      <c r="AC509" s="2445"/>
      <c r="AD509" s="2438"/>
    </row>
    <row r="510" spans="1:30" ht="15.75" hidden="1" customHeight="1">
      <c r="A510" s="1644">
        <f t="shared" si="10"/>
        <v>0</v>
      </c>
      <c r="B510" s="1645" t="s">
        <v>4621</v>
      </c>
      <c r="C510" s="1645" t="s">
        <v>4530</v>
      </c>
      <c r="D510" s="1645" t="s">
        <v>4522</v>
      </c>
      <c r="E510" s="1644" t="s">
        <v>2798</v>
      </c>
      <c r="F510" s="1645">
        <f t="shared" si="22"/>
        <v>1989</v>
      </c>
      <c r="G510" s="1647">
        <v>32754</v>
      </c>
      <c r="H510" s="1644" t="s">
        <v>3642</v>
      </c>
      <c r="I510" s="1648" t="s">
        <v>3629</v>
      </c>
      <c r="J510" s="1645" t="s">
        <v>37</v>
      </c>
      <c r="K510" s="1645">
        <v>0</v>
      </c>
      <c r="L510" s="1645" t="s">
        <v>506</v>
      </c>
      <c r="M510" s="1645" t="s">
        <v>892</v>
      </c>
      <c r="N510" s="1655">
        <v>44669</v>
      </c>
      <c r="O510" s="1645" t="s">
        <v>3645</v>
      </c>
      <c r="P510" s="1649"/>
      <c r="Q510" s="1645"/>
      <c r="R510" s="1644"/>
      <c r="S510" s="1644"/>
      <c r="T510" s="1644"/>
      <c r="U510" s="1644"/>
      <c r="V510" s="1644" t="s">
        <v>3980</v>
      </c>
      <c r="W510" s="1650" t="s">
        <v>3646</v>
      </c>
      <c r="X510" s="1644"/>
      <c r="Y510" s="1647">
        <v>42990</v>
      </c>
      <c r="Z510" s="1647">
        <v>43355</v>
      </c>
      <c r="AA510" s="1650">
        <f t="shared" ca="1" si="27"/>
        <v>19.916666666666668</v>
      </c>
      <c r="AB510" s="2444" t="s">
        <v>3629</v>
      </c>
      <c r="AC510" s="2445"/>
      <c r="AD510" s="2438"/>
    </row>
    <row r="511" spans="1:30" ht="15.75" hidden="1" customHeight="1">
      <c r="A511" s="1644">
        <f t="shared" si="10"/>
        <v>0</v>
      </c>
      <c r="B511" s="1645" t="s">
        <v>4622</v>
      </c>
      <c r="C511" s="1645" t="s">
        <v>4623</v>
      </c>
      <c r="D511" s="1648" t="s">
        <v>4624</v>
      </c>
      <c r="E511" s="1646" t="s">
        <v>2798</v>
      </c>
      <c r="F511" s="1645">
        <f t="shared" si="22"/>
        <v>1982</v>
      </c>
      <c r="G511" s="1647">
        <v>30011</v>
      </c>
      <c r="H511" s="1644" t="s">
        <v>3636</v>
      </c>
      <c r="I511" s="1648" t="s">
        <v>3629</v>
      </c>
      <c r="J511" s="1645" t="s">
        <v>37</v>
      </c>
      <c r="K511" s="1645">
        <v>0</v>
      </c>
      <c r="L511" s="1645" t="s">
        <v>3367</v>
      </c>
      <c r="M511" s="1645" t="s">
        <v>3367</v>
      </c>
      <c r="N511" s="1645"/>
      <c r="O511" s="1645" t="s">
        <v>3645</v>
      </c>
      <c r="P511" s="1649"/>
      <c r="Q511" s="1645" t="s">
        <v>3693</v>
      </c>
      <c r="R511" s="1647" t="s">
        <v>4051</v>
      </c>
      <c r="S511" s="1644" t="s">
        <v>206</v>
      </c>
      <c r="T511" s="1644"/>
      <c r="U511" s="1644"/>
      <c r="V511" s="1644"/>
      <c r="W511" s="1644" t="s">
        <v>936</v>
      </c>
      <c r="X511" s="1644" t="s">
        <v>3633</v>
      </c>
      <c r="Y511" s="1647">
        <v>37904</v>
      </c>
      <c r="Z511" s="1647">
        <v>38270</v>
      </c>
      <c r="AA511" s="1650">
        <f t="shared" ca="1" si="27"/>
        <v>12.333333333333334</v>
      </c>
      <c r="AB511" s="2444" t="s">
        <v>3629</v>
      </c>
      <c r="AC511" s="2445"/>
      <c r="AD511" s="2438"/>
    </row>
    <row r="512" spans="1:30" ht="15.75" hidden="1" customHeight="1">
      <c r="A512" s="1644">
        <f t="shared" si="10"/>
        <v>0</v>
      </c>
      <c r="B512" s="1645" t="s">
        <v>4625</v>
      </c>
      <c r="C512" s="1645" t="s">
        <v>4623</v>
      </c>
      <c r="D512" s="1645" t="s">
        <v>4624</v>
      </c>
      <c r="E512" s="1646" t="s">
        <v>2798</v>
      </c>
      <c r="F512" s="1645">
        <f t="shared" si="22"/>
        <v>1982</v>
      </c>
      <c r="G512" s="1647">
        <v>30197</v>
      </c>
      <c r="H512" s="1644" t="s">
        <v>4626</v>
      </c>
      <c r="I512" s="1648" t="s">
        <v>3629</v>
      </c>
      <c r="J512" s="1645" t="s">
        <v>37</v>
      </c>
      <c r="K512" s="1645">
        <v>0</v>
      </c>
      <c r="L512" s="1645" t="s">
        <v>3367</v>
      </c>
      <c r="M512" s="1645" t="s">
        <v>3367</v>
      </c>
      <c r="N512" s="1645"/>
      <c r="O512" s="1645" t="s">
        <v>3645</v>
      </c>
      <c r="P512" s="1649"/>
      <c r="Q512" s="1645"/>
      <c r="R512" s="1647" t="s">
        <v>3699</v>
      </c>
      <c r="S512" s="1644"/>
      <c r="T512" s="1644"/>
      <c r="U512" s="1644" t="s">
        <v>4627</v>
      </c>
      <c r="V512" s="1644"/>
      <c r="W512" s="1644">
        <v>0</v>
      </c>
      <c r="X512" s="1644" t="s">
        <v>3633</v>
      </c>
      <c r="Y512" s="1647">
        <v>41505</v>
      </c>
      <c r="Z512" s="1647">
        <v>41870</v>
      </c>
      <c r="AA512" s="1650">
        <f t="shared" ca="1" si="27"/>
        <v>12.916666666666666</v>
      </c>
      <c r="AB512" s="2444" t="s">
        <v>3629</v>
      </c>
      <c r="AC512" s="2445"/>
      <c r="AD512" s="2438"/>
    </row>
    <row r="513" spans="1:30" ht="15.75" hidden="1" customHeight="1">
      <c r="A513" s="1644">
        <f t="shared" si="10"/>
        <v>0</v>
      </c>
      <c r="B513" s="1645" t="s">
        <v>4628</v>
      </c>
      <c r="C513" s="1645" t="s">
        <v>4623</v>
      </c>
      <c r="D513" s="1645" t="s">
        <v>4624</v>
      </c>
      <c r="E513" s="1646" t="s">
        <v>2798</v>
      </c>
      <c r="F513" s="1645">
        <f t="shared" si="22"/>
        <v>1977</v>
      </c>
      <c r="G513" s="1647">
        <v>28447</v>
      </c>
      <c r="H513" s="1644" t="s">
        <v>4626</v>
      </c>
      <c r="I513" s="1648" t="s">
        <v>3629</v>
      </c>
      <c r="J513" s="1645" t="s">
        <v>37</v>
      </c>
      <c r="K513" s="1645">
        <v>0</v>
      </c>
      <c r="L513" s="1645" t="s">
        <v>3367</v>
      </c>
      <c r="M513" s="1645">
        <v>0</v>
      </c>
      <c r="N513" s="1645"/>
      <c r="O513" s="1645" t="s">
        <v>3645</v>
      </c>
      <c r="P513" s="1649"/>
      <c r="Q513" s="1645"/>
      <c r="R513" s="1647" t="s">
        <v>3699</v>
      </c>
      <c r="S513" s="1644" t="s">
        <v>206</v>
      </c>
      <c r="T513" s="1644"/>
      <c r="U513" s="1644" t="s">
        <v>4627</v>
      </c>
      <c r="V513" s="1644"/>
      <c r="W513" s="1644">
        <v>0</v>
      </c>
      <c r="X513" s="1644" t="s">
        <v>3633</v>
      </c>
      <c r="Y513" s="1647">
        <v>37568</v>
      </c>
      <c r="Z513" s="1647">
        <v>37933</v>
      </c>
      <c r="AA513" s="1650">
        <f t="shared" ca="1" si="27"/>
        <v>8.0833333333333339</v>
      </c>
      <c r="AB513" s="2444" t="s">
        <v>3629</v>
      </c>
      <c r="AC513" s="2445"/>
      <c r="AD513" s="2438"/>
    </row>
    <row r="514" spans="1:30" ht="15.75" hidden="1" customHeight="1">
      <c r="A514" s="1644">
        <f t="shared" si="10"/>
        <v>0</v>
      </c>
      <c r="B514" s="1645" t="s">
        <v>4629</v>
      </c>
      <c r="C514" s="1645" t="s">
        <v>4623</v>
      </c>
      <c r="D514" s="1645" t="s">
        <v>4630</v>
      </c>
      <c r="E514" s="1644" t="s">
        <v>2798</v>
      </c>
      <c r="F514" s="1645">
        <f t="shared" si="22"/>
        <v>1990</v>
      </c>
      <c r="G514" s="1647">
        <v>32939</v>
      </c>
      <c r="H514" s="1644" t="s">
        <v>4626</v>
      </c>
      <c r="I514" s="1648" t="s">
        <v>3629</v>
      </c>
      <c r="J514" s="1645" t="s">
        <v>201</v>
      </c>
      <c r="K514" s="1645">
        <v>0</v>
      </c>
      <c r="L514" s="1645" t="s">
        <v>3367</v>
      </c>
      <c r="M514" s="1645">
        <v>0</v>
      </c>
      <c r="N514" s="1645"/>
      <c r="O514" s="1645" t="s">
        <v>3645</v>
      </c>
      <c r="P514" s="1649"/>
      <c r="Q514" s="1645"/>
      <c r="R514" s="1647" t="s">
        <v>3699</v>
      </c>
      <c r="S514" s="1644" t="s">
        <v>206</v>
      </c>
      <c r="T514" s="1644"/>
      <c r="U514" s="1644" t="s">
        <v>4627</v>
      </c>
      <c r="V514" s="1644"/>
      <c r="W514" s="1644">
        <v>0</v>
      </c>
      <c r="X514" s="1644"/>
      <c r="Y514" s="1647">
        <v>41061</v>
      </c>
      <c r="Z514" s="1647">
        <v>41426</v>
      </c>
      <c r="AA514" s="1650">
        <f t="shared" ca="1" si="27"/>
        <v>20.416666666666668</v>
      </c>
      <c r="AB514" s="2444" t="s">
        <v>3629</v>
      </c>
      <c r="AC514" s="2445"/>
      <c r="AD514" s="2438"/>
    </row>
    <row r="515" spans="1:30" ht="15.75" hidden="1" customHeight="1">
      <c r="A515" s="1644">
        <f t="shared" si="10"/>
        <v>0</v>
      </c>
      <c r="B515" s="1645" t="s">
        <v>4631</v>
      </c>
      <c r="C515" s="1645" t="s">
        <v>4623</v>
      </c>
      <c r="D515" s="1645" t="s">
        <v>4630</v>
      </c>
      <c r="E515" s="1644" t="s">
        <v>2798</v>
      </c>
      <c r="F515" s="1645">
        <f t="shared" si="22"/>
        <v>1990</v>
      </c>
      <c r="G515" s="1647">
        <v>32932</v>
      </c>
      <c r="H515" s="1644" t="s">
        <v>4626</v>
      </c>
      <c r="I515" s="1648" t="s">
        <v>3629</v>
      </c>
      <c r="J515" s="1645" t="s">
        <v>201</v>
      </c>
      <c r="K515" s="1645">
        <v>0</v>
      </c>
      <c r="L515" s="1645" t="s">
        <v>3367</v>
      </c>
      <c r="M515" s="1645">
        <v>0</v>
      </c>
      <c r="N515" s="1645"/>
      <c r="O515" s="1645" t="s">
        <v>3645</v>
      </c>
      <c r="P515" s="1649"/>
      <c r="Q515" s="1645"/>
      <c r="R515" s="1647" t="s">
        <v>3699</v>
      </c>
      <c r="S515" s="1644"/>
      <c r="T515" s="1644"/>
      <c r="U515" s="1644" t="s">
        <v>4627</v>
      </c>
      <c r="V515" s="1644"/>
      <c r="W515" s="1644">
        <v>0</v>
      </c>
      <c r="X515" s="1644"/>
      <c r="Y515" s="1647">
        <v>41061</v>
      </c>
      <c r="Z515" s="1647">
        <v>41426</v>
      </c>
      <c r="AA515" s="1650">
        <f t="shared" ca="1" si="27"/>
        <v>20.333333333333332</v>
      </c>
      <c r="AB515" s="2444" t="s">
        <v>3629</v>
      </c>
      <c r="AC515" s="2445"/>
      <c r="AD515" s="2438"/>
    </row>
    <row r="516" spans="1:30" ht="15.75" hidden="1" customHeight="1">
      <c r="A516" s="1644">
        <f t="shared" ref="A516:A770" si="29">+SUBTOTAL(3,$C$6:C516)</f>
        <v>0</v>
      </c>
      <c r="B516" s="1645" t="s">
        <v>4632</v>
      </c>
      <c r="C516" s="1645" t="s">
        <v>4623</v>
      </c>
      <c r="D516" s="1645" t="s">
        <v>4630</v>
      </c>
      <c r="E516" s="1644" t="s">
        <v>2798</v>
      </c>
      <c r="F516" s="1645">
        <f t="shared" si="22"/>
        <v>1996</v>
      </c>
      <c r="G516" s="1647">
        <v>35112</v>
      </c>
      <c r="H516" s="1644" t="s">
        <v>4633</v>
      </c>
      <c r="I516" s="1648" t="s">
        <v>3629</v>
      </c>
      <c r="J516" s="1645" t="s">
        <v>201</v>
      </c>
      <c r="K516" s="1645"/>
      <c r="L516" s="1645" t="s">
        <v>3367</v>
      </c>
      <c r="M516" s="1645">
        <v>0</v>
      </c>
      <c r="N516" s="1645"/>
      <c r="O516" s="1645">
        <v>0</v>
      </c>
      <c r="P516" s="1649"/>
      <c r="Q516" s="1645"/>
      <c r="R516" s="1647" t="s">
        <v>3667</v>
      </c>
      <c r="S516" s="1644"/>
      <c r="T516" s="1644"/>
      <c r="U516" s="1644" t="s">
        <v>4634</v>
      </c>
      <c r="V516" s="1644"/>
      <c r="W516" s="1644"/>
      <c r="X516" s="1644"/>
      <c r="Y516" s="1647"/>
      <c r="Z516" s="1647"/>
      <c r="AA516" s="1650">
        <f t="shared" ca="1" si="27"/>
        <v>26.333333333333332</v>
      </c>
      <c r="AB516" s="2444" t="s">
        <v>3629</v>
      </c>
      <c r="AC516" s="2445"/>
      <c r="AD516" s="2438"/>
    </row>
    <row r="517" spans="1:30" ht="15.75" hidden="1" customHeight="1">
      <c r="A517" s="1644">
        <f t="shared" si="29"/>
        <v>0</v>
      </c>
      <c r="B517" s="1645" t="s">
        <v>2612</v>
      </c>
      <c r="C517" s="1645" t="s">
        <v>4623</v>
      </c>
      <c r="D517" s="1645" t="s">
        <v>4630</v>
      </c>
      <c r="E517" s="1644" t="s">
        <v>2798</v>
      </c>
      <c r="F517" s="1645">
        <f t="shared" si="22"/>
        <v>1988</v>
      </c>
      <c r="G517" s="1647">
        <v>32448</v>
      </c>
      <c r="H517" s="1644" t="s">
        <v>4626</v>
      </c>
      <c r="I517" s="1648" t="s">
        <v>3629</v>
      </c>
      <c r="J517" s="1645" t="s">
        <v>201</v>
      </c>
      <c r="K517" s="1645">
        <v>0</v>
      </c>
      <c r="L517" s="1645" t="s">
        <v>3367</v>
      </c>
      <c r="M517" s="1645">
        <v>0</v>
      </c>
      <c r="N517" s="1645"/>
      <c r="O517" s="1645" t="s">
        <v>3645</v>
      </c>
      <c r="P517" s="1649"/>
      <c r="Q517" s="1645"/>
      <c r="R517" s="1647" t="s">
        <v>3699</v>
      </c>
      <c r="S517" s="1644" t="s">
        <v>206</v>
      </c>
      <c r="T517" s="1644"/>
      <c r="U517" s="1644" t="s">
        <v>4627</v>
      </c>
      <c r="V517" s="1644"/>
      <c r="W517" s="1644">
        <v>0</v>
      </c>
      <c r="X517" s="1644"/>
      <c r="Y517" s="1647">
        <v>44151</v>
      </c>
      <c r="Z517" s="1647">
        <v>44516</v>
      </c>
      <c r="AA517" s="1650">
        <f t="shared" ca="1" si="27"/>
        <v>19</v>
      </c>
      <c r="AB517" s="2444" t="s">
        <v>3629</v>
      </c>
      <c r="AC517" s="2445"/>
      <c r="AD517" s="2438"/>
    </row>
    <row r="518" spans="1:30" ht="15.75" hidden="1" customHeight="1">
      <c r="A518" s="1644">
        <f t="shared" si="29"/>
        <v>0</v>
      </c>
      <c r="B518" s="1645" t="s">
        <v>4635</v>
      </c>
      <c r="C518" s="1645" t="s">
        <v>4623</v>
      </c>
      <c r="D518" s="1645" t="s">
        <v>4630</v>
      </c>
      <c r="E518" s="1646" t="s">
        <v>2798</v>
      </c>
      <c r="F518" s="1645">
        <f t="shared" si="22"/>
        <v>1987</v>
      </c>
      <c r="G518" s="1647">
        <v>32055</v>
      </c>
      <c r="H518" s="1644" t="s">
        <v>4636</v>
      </c>
      <c r="I518" s="1648" t="s">
        <v>3629</v>
      </c>
      <c r="J518" s="1645" t="s">
        <v>201</v>
      </c>
      <c r="K518" s="1645">
        <v>0</v>
      </c>
      <c r="L518" s="1645" t="s">
        <v>3367</v>
      </c>
      <c r="M518" s="1645">
        <v>0</v>
      </c>
      <c r="N518" s="1645"/>
      <c r="O518" s="1645">
        <v>0</v>
      </c>
      <c r="P518" s="1649"/>
      <c r="Q518" s="1645"/>
      <c r="R518" s="1647" t="s">
        <v>3699</v>
      </c>
      <c r="S518" s="1644"/>
      <c r="T518" s="1644"/>
      <c r="U518" s="1644" t="s">
        <v>4634</v>
      </c>
      <c r="V518" s="1644"/>
      <c r="W518" s="1650" t="s">
        <v>3822</v>
      </c>
      <c r="X518" s="1644"/>
      <c r="Y518" s="1647"/>
      <c r="Z518" s="1647"/>
      <c r="AA518" s="1650">
        <f t="shared" ca="1" si="27"/>
        <v>18</v>
      </c>
      <c r="AB518" s="2444" t="s">
        <v>3629</v>
      </c>
      <c r="AC518" s="2445"/>
      <c r="AD518" s="2438"/>
    </row>
    <row r="519" spans="1:30" ht="15.75" hidden="1" customHeight="1">
      <c r="A519" s="1644">
        <f t="shared" si="29"/>
        <v>0</v>
      </c>
      <c r="B519" s="1645" t="s">
        <v>4637</v>
      </c>
      <c r="C519" s="1645" t="s">
        <v>4623</v>
      </c>
      <c r="D519" s="1645" t="s">
        <v>4630</v>
      </c>
      <c r="E519" s="1646" t="s">
        <v>2798</v>
      </c>
      <c r="F519" s="1645">
        <f t="shared" si="22"/>
        <v>1993</v>
      </c>
      <c r="G519" s="1647">
        <v>34057</v>
      </c>
      <c r="H519" s="1644" t="s">
        <v>4626</v>
      </c>
      <c r="I519" s="1648" t="s">
        <v>3629</v>
      </c>
      <c r="J519" s="1645" t="s">
        <v>201</v>
      </c>
      <c r="K519" s="1645">
        <v>0</v>
      </c>
      <c r="L519" s="1645" t="s">
        <v>4638</v>
      </c>
      <c r="M519" s="1645">
        <v>0</v>
      </c>
      <c r="N519" s="1645"/>
      <c r="O519" s="1645">
        <v>0</v>
      </c>
      <c r="P519" s="1649"/>
      <c r="Q519" s="1645"/>
      <c r="R519" s="1644" t="s">
        <v>3699</v>
      </c>
      <c r="S519" s="1644" t="s">
        <v>3743</v>
      </c>
      <c r="T519" s="1644"/>
      <c r="U519" s="1644" t="s">
        <v>4627</v>
      </c>
      <c r="V519" s="1644"/>
      <c r="W519" s="1644">
        <v>0</v>
      </c>
      <c r="X519" s="1644"/>
      <c r="Y519" s="1647"/>
      <c r="Z519" s="1647"/>
      <c r="AA519" s="1650">
        <f t="shared" ca="1" si="27"/>
        <v>23.416666666666668</v>
      </c>
      <c r="AB519" s="2444" t="s">
        <v>3629</v>
      </c>
      <c r="AC519" s="2445"/>
      <c r="AD519" s="2438"/>
    </row>
    <row r="520" spans="1:30" ht="15.75" hidden="1" customHeight="1">
      <c r="A520" s="1644">
        <f t="shared" si="29"/>
        <v>0</v>
      </c>
      <c r="B520" s="1645" t="s">
        <v>4639</v>
      </c>
      <c r="C520" s="1645" t="s">
        <v>4623</v>
      </c>
      <c r="D520" s="1645" t="s">
        <v>4630</v>
      </c>
      <c r="E520" s="1644" t="s">
        <v>2798</v>
      </c>
      <c r="F520" s="1645">
        <f t="shared" si="22"/>
        <v>1994</v>
      </c>
      <c r="G520" s="1647">
        <v>34473</v>
      </c>
      <c r="H520" s="1644" t="s">
        <v>4633</v>
      </c>
      <c r="I520" s="1648" t="s">
        <v>3629</v>
      </c>
      <c r="J520" s="1645" t="s">
        <v>201</v>
      </c>
      <c r="K520" s="1645">
        <v>0</v>
      </c>
      <c r="L520" s="1645" t="s">
        <v>4638</v>
      </c>
      <c r="M520" s="1645">
        <v>0</v>
      </c>
      <c r="N520" s="1645"/>
      <c r="O520" s="1645">
        <v>0</v>
      </c>
      <c r="P520" s="1649"/>
      <c r="Q520" s="1645"/>
      <c r="R520" s="1647" t="s">
        <v>3667</v>
      </c>
      <c r="S520" s="1644" t="s">
        <v>3743</v>
      </c>
      <c r="T520" s="1644"/>
      <c r="U520" s="1644" t="s">
        <v>4634</v>
      </c>
      <c r="V520" s="1644"/>
      <c r="W520" s="1644">
        <v>0</v>
      </c>
      <c r="X520" s="1644"/>
      <c r="Y520" s="1647"/>
      <c r="Z520" s="1647"/>
      <c r="AA520" s="1650">
        <f t="shared" ca="1" si="27"/>
        <v>24.583333333333332</v>
      </c>
      <c r="AB520" s="2444" t="s">
        <v>3629</v>
      </c>
      <c r="AC520" s="2445"/>
      <c r="AD520" s="2438"/>
    </row>
    <row r="521" spans="1:30" ht="15.75" hidden="1" customHeight="1">
      <c r="A521" s="1644">
        <f t="shared" si="29"/>
        <v>0</v>
      </c>
      <c r="B521" s="1645" t="s">
        <v>4640</v>
      </c>
      <c r="C521" s="1645" t="s">
        <v>4623</v>
      </c>
      <c r="D521" s="1645" t="s">
        <v>4630</v>
      </c>
      <c r="E521" s="1644" t="s">
        <v>2798</v>
      </c>
      <c r="F521" s="1645">
        <f t="shared" si="22"/>
        <v>1992</v>
      </c>
      <c r="G521" s="1647">
        <v>33942</v>
      </c>
      <c r="H521" s="1644" t="s">
        <v>4626</v>
      </c>
      <c r="I521" s="1648" t="s">
        <v>3629</v>
      </c>
      <c r="J521" s="1645" t="s">
        <v>201</v>
      </c>
      <c r="K521" s="1645">
        <v>0</v>
      </c>
      <c r="L521" s="1645" t="s">
        <v>4638</v>
      </c>
      <c r="M521" s="1645">
        <v>0</v>
      </c>
      <c r="N521" s="1645"/>
      <c r="O521" s="1645">
        <v>0</v>
      </c>
      <c r="P521" s="1649"/>
      <c r="Q521" s="1645"/>
      <c r="R521" s="1644" t="s">
        <v>3699</v>
      </c>
      <c r="S521" s="1644" t="s">
        <v>3743</v>
      </c>
      <c r="T521" s="1644"/>
      <c r="U521" s="1644" t="s">
        <v>4627</v>
      </c>
      <c r="V521" s="1644"/>
      <c r="W521" s="1644">
        <v>0</v>
      </c>
      <c r="X521" s="1644"/>
      <c r="Y521" s="1647"/>
      <c r="Z521" s="1647"/>
      <c r="AA521" s="1650">
        <f t="shared" ca="1" si="27"/>
        <v>23.166666666666668</v>
      </c>
      <c r="AB521" s="2444" t="s">
        <v>3629</v>
      </c>
      <c r="AC521" s="2445"/>
      <c r="AD521" s="2438"/>
    </row>
    <row r="522" spans="1:30" ht="15.75" hidden="1" customHeight="1">
      <c r="A522" s="1644">
        <f t="shared" si="29"/>
        <v>0</v>
      </c>
      <c r="B522" s="1645" t="s">
        <v>4641</v>
      </c>
      <c r="C522" s="1645" t="s">
        <v>4623</v>
      </c>
      <c r="D522" s="1645" t="s">
        <v>4630</v>
      </c>
      <c r="E522" s="1646" t="s">
        <v>2798</v>
      </c>
      <c r="F522" s="1645">
        <f t="shared" si="22"/>
        <v>1982</v>
      </c>
      <c r="G522" s="1647">
        <v>30210</v>
      </c>
      <c r="H522" s="1644" t="s">
        <v>4636</v>
      </c>
      <c r="I522" s="1648" t="s">
        <v>3629</v>
      </c>
      <c r="J522" s="1645" t="s">
        <v>201</v>
      </c>
      <c r="K522" s="1645">
        <v>0</v>
      </c>
      <c r="L522" s="1645" t="s">
        <v>3367</v>
      </c>
      <c r="M522" s="1645">
        <v>0</v>
      </c>
      <c r="N522" s="1645"/>
      <c r="O522" s="1645" t="s">
        <v>3645</v>
      </c>
      <c r="P522" s="1649"/>
      <c r="Q522" s="1645"/>
      <c r="R522" s="1647" t="s">
        <v>3699</v>
      </c>
      <c r="S522" s="1644" t="s">
        <v>206</v>
      </c>
      <c r="T522" s="1644"/>
      <c r="U522" s="1644" t="s">
        <v>4634</v>
      </c>
      <c r="V522" s="1644"/>
      <c r="W522" s="1650" t="s">
        <v>3822</v>
      </c>
      <c r="X522" s="1644"/>
      <c r="Y522" s="1647">
        <v>43218</v>
      </c>
      <c r="Z522" s="1647">
        <v>43583</v>
      </c>
      <c r="AA522" s="1650">
        <f t="shared" ca="1" si="27"/>
        <v>12.916666666666666</v>
      </c>
      <c r="AB522" s="2444" t="s">
        <v>3629</v>
      </c>
      <c r="AC522" s="2445"/>
      <c r="AD522" s="2438"/>
    </row>
    <row r="523" spans="1:30" ht="15.75" hidden="1" customHeight="1">
      <c r="A523" s="1644">
        <f t="shared" si="29"/>
        <v>0</v>
      </c>
      <c r="B523" s="1645" t="s">
        <v>4642</v>
      </c>
      <c r="C523" s="1645" t="s">
        <v>4623</v>
      </c>
      <c r="D523" s="1645" t="s">
        <v>4630</v>
      </c>
      <c r="E523" s="1644" t="s">
        <v>2798</v>
      </c>
      <c r="F523" s="1645">
        <f t="shared" si="22"/>
        <v>1995</v>
      </c>
      <c r="G523" s="1647">
        <v>34752</v>
      </c>
      <c r="H523" s="1644" t="s">
        <v>4633</v>
      </c>
      <c r="I523" s="1648" t="s">
        <v>3629</v>
      </c>
      <c r="J523" s="1645" t="s">
        <v>201</v>
      </c>
      <c r="K523" s="1645"/>
      <c r="L523" s="1645" t="s">
        <v>3367</v>
      </c>
      <c r="M523" s="1645">
        <v>0</v>
      </c>
      <c r="N523" s="1645"/>
      <c r="O523" s="1645">
        <v>0</v>
      </c>
      <c r="P523" s="1649"/>
      <c r="Q523" s="1645"/>
      <c r="R523" s="1647" t="s">
        <v>3667</v>
      </c>
      <c r="S523" s="1644" t="s">
        <v>3743</v>
      </c>
      <c r="T523" s="1644"/>
      <c r="U523" s="1644" t="s">
        <v>4634</v>
      </c>
      <c r="V523" s="1644"/>
      <c r="W523" s="1644"/>
      <c r="X523" s="1644"/>
      <c r="Y523" s="1644"/>
      <c r="Z523" s="1644"/>
      <c r="AA523" s="1650">
        <f t="shared" ca="1" si="27"/>
        <v>25.333333333333332</v>
      </c>
      <c r="AB523" s="2444" t="s">
        <v>3629</v>
      </c>
      <c r="AC523" s="2445"/>
      <c r="AD523" s="2438"/>
    </row>
    <row r="524" spans="1:30" ht="15.75" hidden="1" customHeight="1">
      <c r="A524" s="1644">
        <f t="shared" si="29"/>
        <v>0</v>
      </c>
      <c r="B524" s="1645" t="s">
        <v>4643</v>
      </c>
      <c r="C524" s="1645" t="s">
        <v>4623</v>
      </c>
      <c r="D524" s="1645" t="s">
        <v>4630</v>
      </c>
      <c r="E524" s="1646" t="s">
        <v>2798</v>
      </c>
      <c r="F524" s="1645">
        <f t="shared" si="22"/>
        <v>1994</v>
      </c>
      <c r="G524" s="1647">
        <v>34619</v>
      </c>
      <c r="H524" s="1644" t="s">
        <v>4636</v>
      </c>
      <c r="I524" s="1648" t="s">
        <v>3629</v>
      </c>
      <c r="J524" s="1645" t="s">
        <v>201</v>
      </c>
      <c r="K524" s="1645">
        <v>0</v>
      </c>
      <c r="L524" s="1645" t="s">
        <v>4638</v>
      </c>
      <c r="M524" s="1645">
        <v>0</v>
      </c>
      <c r="N524" s="1645"/>
      <c r="O524" s="1645">
        <v>0</v>
      </c>
      <c r="P524" s="1649"/>
      <c r="Q524" s="1645"/>
      <c r="R524" s="1647" t="s">
        <v>3667</v>
      </c>
      <c r="S524" s="1644" t="s">
        <v>3743</v>
      </c>
      <c r="T524" s="1644"/>
      <c r="U524" s="1644" t="s">
        <v>4634</v>
      </c>
      <c r="V524" s="1644"/>
      <c r="W524" s="1650" t="s">
        <v>3822</v>
      </c>
      <c r="X524" s="1644"/>
      <c r="Y524" s="1647"/>
      <c r="Z524" s="1647"/>
      <c r="AA524" s="1650">
        <f t="shared" ca="1" si="27"/>
        <v>25</v>
      </c>
      <c r="AB524" s="2444" t="s">
        <v>3629</v>
      </c>
      <c r="AC524" s="2445"/>
      <c r="AD524" s="2438"/>
    </row>
    <row r="525" spans="1:30" ht="15.75" hidden="1" customHeight="1">
      <c r="A525" s="1644">
        <f t="shared" si="29"/>
        <v>0</v>
      </c>
      <c r="B525" s="1645" t="s">
        <v>4644</v>
      </c>
      <c r="C525" s="1645" t="s">
        <v>4623</v>
      </c>
      <c r="D525" s="1645" t="s">
        <v>4630</v>
      </c>
      <c r="E525" s="1644" t="s">
        <v>2798</v>
      </c>
      <c r="F525" s="1645">
        <f t="shared" si="22"/>
        <v>1993</v>
      </c>
      <c r="G525" s="1647">
        <v>34160</v>
      </c>
      <c r="H525" s="1644" t="s">
        <v>4633</v>
      </c>
      <c r="I525" s="1648" t="s">
        <v>3629</v>
      </c>
      <c r="J525" s="1645" t="s">
        <v>201</v>
      </c>
      <c r="K525" s="1645"/>
      <c r="L525" s="1645" t="s">
        <v>3367</v>
      </c>
      <c r="M525" s="1645">
        <v>0</v>
      </c>
      <c r="N525" s="1645"/>
      <c r="O525" s="1645">
        <v>0</v>
      </c>
      <c r="P525" s="1649"/>
      <c r="Q525" s="1645"/>
      <c r="R525" s="1647" t="s">
        <v>3667</v>
      </c>
      <c r="S525" s="1644" t="s">
        <v>3743</v>
      </c>
      <c r="T525" s="1644">
        <v>0</v>
      </c>
      <c r="U525" s="1644" t="s">
        <v>4634</v>
      </c>
      <c r="V525" s="1644"/>
      <c r="W525" s="1644" t="s">
        <v>3658</v>
      </c>
      <c r="X525" s="1644"/>
      <c r="Y525" s="1647"/>
      <c r="Z525" s="1647"/>
      <c r="AA525" s="1650">
        <f t="shared" ca="1" si="27"/>
        <v>23.75</v>
      </c>
      <c r="AB525" s="2444" t="s">
        <v>3629</v>
      </c>
      <c r="AC525" s="2445"/>
      <c r="AD525" s="2438"/>
    </row>
    <row r="526" spans="1:30" ht="15.75" hidden="1" customHeight="1">
      <c r="A526" s="1644">
        <f t="shared" si="29"/>
        <v>0</v>
      </c>
      <c r="B526" s="1645" t="s">
        <v>4645</v>
      </c>
      <c r="C526" s="1645" t="s">
        <v>4623</v>
      </c>
      <c r="D526" s="1645" t="s">
        <v>4630</v>
      </c>
      <c r="E526" s="1644" t="s">
        <v>2798</v>
      </c>
      <c r="F526" s="1645">
        <f t="shared" si="22"/>
        <v>1988</v>
      </c>
      <c r="G526" s="1647">
        <v>32480</v>
      </c>
      <c r="H526" s="1644" t="s">
        <v>4626</v>
      </c>
      <c r="I526" s="1648" t="s">
        <v>3629</v>
      </c>
      <c r="J526" s="1645" t="s">
        <v>201</v>
      </c>
      <c r="K526" s="1645">
        <v>0</v>
      </c>
      <c r="L526" s="1645" t="s">
        <v>3367</v>
      </c>
      <c r="M526" s="1645">
        <v>0</v>
      </c>
      <c r="N526" s="1645"/>
      <c r="O526" s="1645" t="s">
        <v>3645</v>
      </c>
      <c r="P526" s="1649"/>
      <c r="Q526" s="1645"/>
      <c r="R526" s="1647" t="s">
        <v>3699</v>
      </c>
      <c r="S526" s="1644"/>
      <c r="T526" s="1644"/>
      <c r="U526" s="1644" t="s">
        <v>4627</v>
      </c>
      <c r="V526" s="1644"/>
      <c r="W526" s="1644">
        <v>0</v>
      </c>
      <c r="X526" s="1644" t="s">
        <v>3707</v>
      </c>
      <c r="Y526" s="1647">
        <v>40369</v>
      </c>
      <c r="Z526" s="1647">
        <v>40734</v>
      </c>
      <c r="AA526" s="1650">
        <f t="shared" ca="1" si="27"/>
        <v>19.166666666666668</v>
      </c>
      <c r="AB526" s="2444" t="s">
        <v>3629</v>
      </c>
      <c r="AC526" s="2445"/>
      <c r="AD526" s="2438"/>
    </row>
    <row r="527" spans="1:30" ht="15.75" hidden="1" customHeight="1">
      <c r="A527" s="1644">
        <f t="shared" si="29"/>
        <v>0</v>
      </c>
      <c r="B527" s="1645" t="s">
        <v>4646</v>
      </c>
      <c r="C527" s="1645" t="s">
        <v>4623</v>
      </c>
      <c r="D527" s="1645" t="s">
        <v>4630</v>
      </c>
      <c r="E527" s="1646" t="s">
        <v>2798</v>
      </c>
      <c r="F527" s="1645">
        <f t="shared" si="22"/>
        <v>1982</v>
      </c>
      <c r="G527" s="1647">
        <v>30302</v>
      </c>
      <c r="H527" s="1644" t="s">
        <v>4626</v>
      </c>
      <c r="I527" s="1648" t="s">
        <v>3629</v>
      </c>
      <c r="J527" s="1645" t="s">
        <v>201</v>
      </c>
      <c r="K527" s="1645">
        <v>0</v>
      </c>
      <c r="L527" s="1645" t="s">
        <v>4647</v>
      </c>
      <c r="M527" s="1645">
        <v>0</v>
      </c>
      <c r="N527" s="1645"/>
      <c r="O527" s="1645" t="s">
        <v>3645</v>
      </c>
      <c r="P527" s="1649"/>
      <c r="Q527" s="1645"/>
      <c r="R527" s="1647" t="s">
        <v>3699</v>
      </c>
      <c r="S527" s="1644"/>
      <c r="T527" s="1644"/>
      <c r="U527" s="1644" t="s">
        <v>4627</v>
      </c>
      <c r="V527" s="1644"/>
      <c r="W527" s="1650" t="s">
        <v>3653</v>
      </c>
      <c r="X527" s="1644" t="s">
        <v>3707</v>
      </c>
      <c r="Y527" s="1647">
        <v>38057</v>
      </c>
      <c r="Z527" s="1647">
        <v>38422</v>
      </c>
      <c r="AA527" s="1650">
        <f t="shared" ca="1" si="27"/>
        <v>13.166666666666666</v>
      </c>
      <c r="AB527" s="2444" t="s">
        <v>3629</v>
      </c>
      <c r="AC527" s="2445"/>
      <c r="AD527" s="2438"/>
    </row>
    <row r="528" spans="1:30" ht="15.75" hidden="1" customHeight="1">
      <c r="A528" s="1644">
        <f t="shared" si="29"/>
        <v>0</v>
      </c>
      <c r="B528" s="1645" t="s">
        <v>4648</v>
      </c>
      <c r="C528" s="1645" t="s">
        <v>4623</v>
      </c>
      <c r="D528" s="1645" t="s">
        <v>4649</v>
      </c>
      <c r="E528" s="1644" t="s">
        <v>2798</v>
      </c>
      <c r="F528" s="1645">
        <f t="shared" si="22"/>
        <v>1992</v>
      </c>
      <c r="G528" s="1647">
        <v>33748</v>
      </c>
      <c r="H528" s="1644" t="s">
        <v>4636</v>
      </c>
      <c r="I528" s="1648" t="s">
        <v>3629</v>
      </c>
      <c r="J528" s="1645" t="s">
        <v>201</v>
      </c>
      <c r="K528" s="1645">
        <v>0</v>
      </c>
      <c r="L528" s="1645" t="s">
        <v>4638</v>
      </c>
      <c r="M528" s="1645">
        <v>0</v>
      </c>
      <c r="N528" s="1645"/>
      <c r="O528" s="1645">
        <v>0</v>
      </c>
      <c r="P528" s="1649"/>
      <c r="Q528" s="1645"/>
      <c r="R528" s="1647" t="s">
        <v>4028</v>
      </c>
      <c r="S528" s="1644" t="s">
        <v>3743</v>
      </c>
      <c r="T528" s="1644" t="s">
        <v>936</v>
      </c>
      <c r="U528" s="1644" t="s">
        <v>4634</v>
      </c>
      <c r="V528" s="1644"/>
      <c r="W528" s="1644" t="s">
        <v>3939</v>
      </c>
      <c r="X528" s="1644"/>
      <c r="Y528" s="1647"/>
      <c r="Z528" s="1647"/>
      <c r="AA528" s="1650">
        <f t="shared" ca="1" si="27"/>
        <v>22.583333333333332</v>
      </c>
      <c r="AB528" s="2444" t="s">
        <v>3629</v>
      </c>
      <c r="AC528" s="2445"/>
      <c r="AD528" s="2438"/>
    </row>
    <row r="529" spans="1:30" ht="15.75" hidden="1" customHeight="1">
      <c r="A529" s="1644">
        <f t="shared" si="29"/>
        <v>0</v>
      </c>
      <c r="B529" s="1645" t="s">
        <v>4650</v>
      </c>
      <c r="C529" s="1645" t="s">
        <v>4623</v>
      </c>
      <c r="D529" s="1645" t="s">
        <v>4649</v>
      </c>
      <c r="E529" s="1646" t="s">
        <v>2798</v>
      </c>
      <c r="F529" s="1645">
        <f t="shared" si="22"/>
        <v>1990</v>
      </c>
      <c r="G529" s="1647">
        <v>32968</v>
      </c>
      <c r="H529" s="1644" t="s">
        <v>4626</v>
      </c>
      <c r="I529" s="1648" t="s">
        <v>3629</v>
      </c>
      <c r="J529" s="1645" t="s">
        <v>201</v>
      </c>
      <c r="K529" s="1645"/>
      <c r="L529" s="1645" t="s">
        <v>4647</v>
      </c>
      <c r="M529" s="1645">
        <v>0</v>
      </c>
      <c r="N529" s="1645"/>
      <c r="O529" s="1645">
        <v>0</v>
      </c>
      <c r="P529" s="1649"/>
      <c r="Q529" s="1645"/>
      <c r="R529" s="1644" t="s">
        <v>3699</v>
      </c>
      <c r="S529" s="1644" t="s">
        <v>3743</v>
      </c>
      <c r="T529" s="1644"/>
      <c r="U529" s="1644" t="s">
        <v>4627</v>
      </c>
      <c r="V529" s="1644"/>
      <c r="W529" s="1644">
        <v>0</v>
      </c>
      <c r="X529" s="1644"/>
      <c r="Y529" s="1647"/>
      <c r="Z529" s="1647"/>
      <c r="AA529" s="1650">
        <f t="shared" ca="1" si="27"/>
        <v>20.5</v>
      </c>
      <c r="AB529" s="2444" t="s">
        <v>3629</v>
      </c>
      <c r="AC529" s="2445"/>
      <c r="AD529" s="2438"/>
    </row>
    <row r="530" spans="1:30" ht="15.75" hidden="1" customHeight="1">
      <c r="A530" s="1644">
        <f t="shared" si="29"/>
        <v>0</v>
      </c>
      <c r="B530" s="1645" t="s">
        <v>4651</v>
      </c>
      <c r="C530" s="1645" t="s">
        <v>4623</v>
      </c>
      <c r="D530" s="1645" t="s">
        <v>4649</v>
      </c>
      <c r="E530" s="1646" t="s">
        <v>2798</v>
      </c>
      <c r="F530" s="1645">
        <f t="shared" si="22"/>
        <v>1997</v>
      </c>
      <c r="G530" s="1647">
        <v>35467</v>
      </c>
      <c r="H530" s="1644" t="s">
        <v>4633</v>
      </c>
      <c r="I530" s="1648" t="s">
        <v>3629</v>
      </c>
      <c r="J530" s="1645" t="s">
        <v>201</v>
      </c>
      <c r="K530" s="1645"/>
      <c r="L530" s="1645" t="s">
        <v>3367</v>
      </c>
      <c r="M530" s="1645">
        <v>0</v>
      </c>
      <c r="N530" s="1645"/>
      <c r="O530" s="1645">
        <v>0</v>
      </c>
      <c r="P530" s="1649"/>
      <c r="Q530" s="1645"/>
      <c r="R530" s="1644"/>
      <c r="S530" s="1644" t="s">
        <v>3743</v>
      </c>
      <c r="T530" s="1644"/>
      <c r="U530" s="1644" t="s">
        <v>4634</v>
      </c>
      <c r="V530" s="1644"/>
      <c r="W530" s="1644"/>
      <c r="X530" s="1644"/>
      <c r="Y530" s="1644"/>
      <c r="Z530" s="1644"/>
      <c r="AA530" s="1654">
        <f t="shared" ca="1" si="27"/>
        <v>27.333333333333332</v>
      </c>
      <c r="AB530" s="2444" t="s">
        <v>3629</v>
      </c>
      <c r="AC530" s="2445"/>
      <c r="AD530" s="2438"/>
    </row>
    <row r="531" spans="1:30" ht="15.75" hidden="1" customHeight="1">
      <c r="A531" s="1644">
        <f t="shared" si="29"/>
        <v>0</v>
      </c>
      <c r="B531" s="1645" t="s">
        <v>4652</v>
      </c>
      <c r="C531" s="1645" t="s">
        <v>4623</v>
      </c>
      <c r="D531" s="1645" t="s">
        <v>4649</v>
      </c>
      <c r="E531" s="1644" t="s">
        <v>2798</v>
      </c>
      <c r="F531" s="1645">
        <f t="shared" si="22"/>
        <v>1994</v>
      </c>
      <c r="G531" s="1647">
        <v>34657</v>
      </c>
      <c r="H531" s="1644" t="s">
        <v>4633</v>
      </c>
      <c r="I531" s="1648" t="s">
        <v>3629</v>
      </c>
      <c r="J531" s="1645" t="s">
        <v>201</v>
      </c>
      <c r="K531" s="1645">
        <v>0</v>
      </c>
      <c r="L531" s="1645" t="s">
        <v>4638</v>
      </c>
      <c r="M531" s="1645">
        <v>0</v>
      </c>
      <c r="N531" s="1645"/>
      <c r="O531" s="1645">
        <v>0</v>
      </c>
      <c r="P531" s="1649"/>
      <c r="Q531" s="1645"/>
      <c r="R531" s="1647" t="s">
        <v>3667</v>
      </c>
      <c r="S531" s="1644" t="s">
        <v>3743</v>
      </c>
      <c r="T531" s="1644"/>
      <c r="U531" s="1644" t="s">
        <v>4634</v>
      </c>
      <c r="V531" s="1644"/>
      <c r="W531" s="1650" t="s">
        <v>3822</v>
      </c>
      <c r="X531" s="1644"/>
      <c r="Y531" s="1647"/>
      <c r="Z531" s="1647"/>
      <c r="AA531" s="1650">
        <f t="shared" ca="1" si="27"/>
        <v>25.083333333333332</v>
      </c>
      <c r="AB531" s="2444" t="s">
        <v>3629</v>
      </c>
      <c r="AC531" s="2445"/>
      <c r="AD531" s="2438"/>
    </row>
    <row r="532" spans="1:30" ht="15.75" hidden="1" customHeight="1">
      <c r="A532" s="1644">
        <f t="shared" si="29"/>
        <v>0</v>
      </c>
      <c r="B532" s="1645" t="s">
        <v>4653</v>
      </c>
      <c r="C532" s="1645" t="s">
        <v>4623</v>
      </c>
      <c r="D532" s="1645" t="s">
        <v>4649</v>
      </c>
      <c r="E532" s="1646" t="s">
        <v>2798</v>
      </c>
      <c r="F532" s="1645">
        <f t="shared" si="22"/>
        <v>1988</v>
      </c>
      <c r="G532" s="1647">
        <v>32467</v>
      </c>
      <c r="H532" s="1644" t="s">
        <v>4626</v>
      </c>
      <c r="I532" s="1648" t="s">
        <v>3629</v>
      </c>
      <c r="J532" s="1645" t="s">
        <v>201</v>
      </c>
      <c r="K532" s="1645">
        <v>0</v>
      </c>
      <c r="L532" s="1645" t="s">
        <v>3367</v>
      </c>
      <c r="M532" s="1645">
        <v>0</v>
      </c>
      <c r="N532" s="1645"/>
      <c r="O532" s="1645" t="s">
        <v>3645</v>
      </c>
      <c r="P532" s="1649"/>
      <c r="Q532" s="1645"/>
      <c r="R532" s="1647" t="s">
        <v>3699</v>
      </c>
      <c r="S532" s="1644"/>
      <c r="T532" s="1644"/>
      <c r="U532" s="1644" t="s">
        <v>4627</v>
      </c>
      <c r="V532" s="1644"/>
      <c r="W532" s="1644">
        <v>0</v>
      </c>
      <c r="X532" s="1644"/>
      <c r="Y532" s="1647">
        <v>42919</v>
      </c>
      <c r="Z532" s="1647">
        <v>46937</v>
      </c>
      <c r="AA532" s="1650">
        <f t="shared" ca="1" si="27"/>
        <v>19.083333333333332</v>
      </c>
      <c r="AB532" s="2444" t="s">
        <v>3629</v>
      </c>
      <c r="AC532" s="2445"/>
      <c r="AD532" s="2438"/>
    </row>
    <row r="533" spans="1:30" ht="15.75" hidden="1" customHeight="1">
      <c r="A533" s="1644">
        <f t="shared" si="29"/>
        <v>0</v>
      </c>
      <c r="B533" s="1645" t="s">
        <v>4654</v>
      </c>
      <c r="C533" s="1645" t="s">
        <v>4623</v>
      </c>
      <c r="D533" s="1645" t="s">
        <v>4649</v>
      </c>
      <c r="E533" s="1644" t="s">
        <v>2798</v>
      </c>
      <c r="F533" s="1645">
        <f t="shared" si="22"/>
        <v>1995</v>
      </c>
      <c r="G533" s="1647">
        <v>35061</v>
      </c>
      <c r="H533" s="1644" t="s">
        <v>4633</v>
      </c>
      <c r="I533" s="1648" t="s">
        <v>3629</v>
      </c>
      <c r="J533" s="1645" t="s">
        <v>201</v>
      </c>
      <c r="K533" s="1645"/>
      <c r="L533" s="1645" t="s">
        <v>3367</v>
      </c>
      <c r="M533" s="1645">
        <v>0</v>
      </c>
      <c r="N533" s="1645"/>
      <c r="O533" s="1645">
        <v>0</v>
      </c>
      <c r="P533" s="1649"/>
      <c r="Q533" s="1645"/>
      <c r="R533" s="1647" t="s">
        <v>3667</v>
      </c>
      <c r="S533" s="1644" t="s">
        <v>3743</v>
      </c>
      <c r="T533" s="1644"/>
      <c r="U533" s="1644" t="s">
        <v>4634</v>
      </c>
      <c r="V533" s="1644"/>
      <c r="W533" s="1644"/>
      <c r="X533" s="1644"/>
      <c r="Y533" s="1644"/>
      <c r="Z533" s="1644"/>
      <c r="AA533" s="1650">
        <f t="shared" ca="1" si="27"/>
        <v>26.166666666666668</v>
      </c>
      <c r="AB533" s="2444" t="s">
        <v>3629</v>
      </c>
      <c r="AC533" s="2445"/>
      <c r="AD533" s="2438"/>
    </row>
    <row r="534" spans="1:30" ht="15.75" hidden="1" customHeight="1">
      <c r="A534" s="1644">
        <f t="shared" si="29"/>
        <v>0</v>
      </c>
      <c r="B534" s="1645" t="s">
        <v>4655</v>
      </c>
      <c r="C534" s="1645" t="s">
        <v>4623</v>
      </c>
      <c r="D534" s="1645" t="s">
        <v>4649</v>
      </c>
      <c r="E534" s="1646" t="s">
        <v>2798</v>
      </c>
      <c r="F534" s="1645">
        <f t="shared" si="22"/>
        <v>1996</v>
      </c>
      <c r="G534" s="1647">
        <v>35236</v>
      </c>
      <c r="H534" s="1646" t="s">
        <v>4633</v>
      </c>
      <c r="I534" s="1648" t="s">
        <v>3629</v>
      </c>
      <c r="J534" s="1645" t="s">
        <v>201</v>
      </c>
      <c r="K534" s="1645"/>
      <c r="L534" s="1645" t="s">
        <v>3367</v>
      </c>
      <c r="M534" s="1645"/>
      <c r="N534" s="1645"/>
      <c r="O534" s="1645"/>
      <c r="P534" s="1649"/>
      <c r="Q534" s="1645"/>
      <c r="R534" s="1644"/>
      <c r="S534" s="1644" t="s">
        <v>3743</v>
      </c>
      <c r="T534" s="1644"/>
      <c r="U534" s="1644" t="s">
        <v>4634</v>
      </c>
      <c r="V534" s="1644"/>
      <c r="W534" s="1644"/>
      <c r="X534" s="1644"/>
      <c r="Y534" s="1647">
        <v>43664</v>
      </c>
      <c r="Z534" s="1647">
        <v>44030</v>
      </c>
      <c r="AA534" s="1654">
        <f t="shared" ca="1" si="27"/>
        <v>26.666666666666668</v>
      </c>
      <c r="AB534" s="2444" t="s">
        <v>3629</v>
      </c>
      <c r="AC534" s="2445"/>
      <c r="AD534" s="2438"/>
    </row>
    <row r="535" spans="1:30" ht="15.75" hidden="1" customHeight="1">
      <c r="A535" s="1644">
        <f t="shared" si="29"/>
        <v>0</v>
      </c>
      <c r="B535" s="1645" t="s">
        <v>4656</v>
      </c>
      <c r="C535" s="1645" t="s">
        <v>4623</v>
      </c>
      <c r="D535" s="1645" t="s">
        <v>4649</v>
      </c>
      <c r="E535" s="1646" t="s">
        <v>2798</v>
      </c>
      <c r="F535" s="1645">
        <f t="shared" si="22"/>
        <v>1988</v>
      </c>
      <c r="G535" s="1647">
        <v>32429</v>
      </c>
      <c r="H535" s="1644" t="s">
        <v>4626</v>
      </c>
      <c r="I535" s="1648" t="s">
        <v>3629</v>
      </c>
      <c r="J535" s="1645" t="s">
        <v>201</v>
      </c>
      <c r="K535" s="1645">
        <v>0</v>
      </c>
      <c r="L535" s="1645" t="s">
        <v>3367</v>
      </c>
      <c r="M535" s="1645">
        <v>0</v>
      </c>
      <c r="N535" s="1645"/>
      <c r="O535" s="1645" t="s">
        <v>3645</v>
      </c>
      <c r="P535" s="1649"/>
      <c r="Q535" s="1645"/>
      <c r="R535" s="1647" t="s">
        <v>3699</v>
      </c>
      <c r="S535" s="1644" t="s">
        <v>206</v>
      </c>
      <c r="T535" s="1644"/>
      <c r="U535" s="1644" t="s">
        <v>4627</v>
      </c>
      <c r="V535" s="1644"/>
      <c r="W535" s="1644">
        <v>0</v>
      </c>
      <c r="X535" s="1644"/>
      <c r="Y535" s="1647">
        <v>43217</v>
      </c>
      <c r="Z535" s="1647">
        <v>43582</v>
      </c>
      <c r="AA535" s="1650">
        <f t="shared" ca="1" si="27"/>
        <v>19</v>
      </c>
      <c r="AB535" s="2444" t="s">
        <v>3629</v>
      </c>
      <c r="AC535" s="2445"/>
      <c r="AD535" s="2438"/>
    </row>
    <row r="536" spans="1:30" ht="15.75" hidden="1" customHeight="1">
      <c r="A536" s="1644">
        <f t="shared" si="29"/>
        <v>0</v>
      </c>
      <c r="B536" s="1645" t="s">
        <v>4657</v>
      </c>
      <c r="C536" s="1645" t="s">
        <v>4623</v>
      </c>
      <c r="D536" s="1645" t="s">
        <v>4649</v>
      </c>
      <c r="E536" s="1644" t="s">
        <v>2798</v>
      </c>
      <c r="F536" s="1645">
        <f t="shared" si="22"/>
        <v>1989</v>
      </c>
      <c r="G536" s="1647">
        <v>32541</v>
      </c>
      <c r="H536" s="1644" t="s">
        <v>4626</v>
      </c>
      <c r="I536" s="1648" t="s">
        <v>3629</v>
      </c>
      <c r="J536" s="1645" t="s">
        <v>201</v>
      </c>
      <c r="K536" s="1645">
        <v>0</v>
      </c>
      <c r="L536" s="1645" t="s">
        <v>3367</v>
      </c>
      <c r="M536" s="1645">
        <v>0</v>
      </c>
      <c r="N536" s="1645"/>
      <c r="O536" s="1645" t="s">
        <v>3645</v>
      </c>
      <c r="P536" s="1649"/>
      <c r="Q536" s="1645"/>
      <c r="R536" s="1647" t="s">
        <v>3699</v>
      </c>
      <c r="S536" s="1644" t="s">
        <v>206</v>
      </c>
      <c r="T536" s="1644"/>
      <c r="U536" s="1644" t="s">
        <v>4627</v>
      </c>
      <c r="V536" s="1644"/>
      <c r="W536" s="1644">
        <v>0</v>
      </c>
      <c r="X536" s="1644"/>
      <c r="Y536" s="1647"/>
      <c r="Z536" s="1647"/>
      <c r="AA536" s="1650">
        <f t="shared" ca="1" si="27"/>
        <v>19.25</v>
      </c>
      <c r="AB536" s="2444" t="s">
        <v>3629</v>
      </c>
      <c r="AC536" s="2445"/>
      <c r="AD536" s="2438"/>
    </row>
    <row r="537" spans="1:30" ht="15.75" hidden="1" customHeight="1">
      <c r="A537" s="1644">
        <f t="shared" si="29"/>
        <v>0</v>
      </c>
      <c r="B537" s="1645" t="s">
        <v>4658</v>
      </c>
      <c r="C537" s="1645" t="s">
        <v>4623</v>
      </c>
      <c r="D537" s="1645" t="s">
        <v>4649</v>
      </c>
      <c r="E537" s="1646" t="s">
        <v>2798</v>
      </c>
      <c r="F537" s="1645">
        <f t="shared" si="22"/>
        <v>1988</v>
      </c>
      <c r="G537" s="1647">
        <v>32264</v>
      </c>
      <c r="H537" s="1644" t="s">
        <v>4626</v>
      </c>
      <c r="I537" s="1648" t="s">
        <v>3629</v>
      </c>
      <c r="J537" s="1645" t="s">
        <v>201</v>
      </c>
      <c r="K537" s="1645">
        <v>0</v>
      </c>
      <c r="L537" s="1645" t="s">
        <v>3367</v>
      </c>
      <c r="M537" s="1645">
        <v>0</v>
      </c>
      <c r="N537" s="1645"/>
      <c r="O537" s="1645" t="s">
        <v>3645</v>
      </c>
      <c r="P537" s="1649"/>
      <c r="Q537" s="1645"/>
      <c r="R537" s="1647" t="s">
        <v>3699</v>
      </c>
      <c r="S537" s="1644"/>
      <c r="T537" s="1644"/>
      <c r="U537" s="1644" t="s">
        <v>4627</v>
      </c>
      <c r="V537" s="1644"/>
      <c r="W537" s="1644">
        <v>0</v>
      </c>
      <c r="X537" s="1644"/>
      <c r="Y537" s="1647">
        <v>40369</v>
      </c>
      <c r="Z537" s="1647">
        <v>40734</v>
      </c>
      <c r="AA537" s="1650">
        <f t="shared" ca="1" si="27"/>
        <v>18.5</v>
      </c>
      <c r="AB537" s="2444" t="s">
        <v>3629</v>
      </c>
      <c r="AC537" s="2445"/>
      <c r="AD537" s="2438"/>
    </row>
    <row r="538" spans="1:30" ht="15.75" hidden="1" customHeight="1">
      <c r="A538" s="1644">
        <f t="shared" si="29"/>
        <v>0</v>
      </c>
      <c r="B538" s="1645" t="s">
        <v>4659</v>
      </c>
      <c r="C538" s="1645" t="s">
        <v>4623</v>
      </c>
      <c r="D538" s="1645" t="s">
        <v>4660</v>
      </c>
      <c r="E538" s="1646" t="s">
        <v>2798</v>
      </c>
      <c r="F538" s="1645">
        <f t="shared" si="22"/>
        <v>1988</v>
      </c>
      <c r="G538" s="1647">
        <v>32147</v>
      </c>
      <c r="H538" s="1644" t="s">
        <v>4626</v>
      </c>
      <c r="I538" s="1648" t="s">
        <v>3629</v>
      </c>
      <c r="J538" s="1645" t="s">
        <v>201</v>
      </c>
      <c r="K538" s="1645">
        <v>0</v>
      </c>
      <c r="L538" s="1645" t="s">
        <v>3367</v>
      </c>
      <c r="M538" s="1645">
        <v>0</v>
      </c>
      <c r="N538" s="1645"/>
      <c r="O538" s="1645" t="s">
        <v>3645</v>
      </c>
      <c r="P538" s="1649"/>
      <c r="Q538" s="1645"/>
      <c r="R538" s="1647" t="s">
        <v>3699</v>
      </c>
      <c r="S538" s="1644" t="s">
        <v>206</v>
      </c>
      <c r="T538" s="1644"/>
      <c r="U538" s="1644" t="s">
        <v>4627</v>
      </c>
      <c r="V538" s="1644"/>
      <c r="W538" s="1644">
        <v>0</v>
      </c>
      <c r="X538" s="1644"/>
      <c r="Y538" s="1647">
        <v>44151</v>
      </c>
      <c r="Z538" s="1647">
        <v>0</v>
      </c>
      <c r="AA538" s="1650">
        <f t="shared" ca="1" si="27"/>
        <v>18.25</v>
      </c>
      <c r="AB538" s="2444" t="s">
        <v>3629</v>
      </c>
      <c r="AC538" s="2445"/>
      <c r="AD538" s="2438"/>
    </row>
    <row r="539" spans="1:30" ht="15.75" hidden="1" customHeight="1">
      <c r="A539" s="1644">
        <f t="shared" si="29"/>
        <v>0</v>
      </c>
      <c r="B539" s="1645" t="s">
        <v>4661</v>
      </c>
      <c r="C539" s="1645" t="s">
        <v>4623</v>
      </c>
      <c r="D539" s="1645" t="s">
        <v>4660</v>
      </c>
      <c r="E539" s="1646" t="s">
        <v>2798</v>
      </c>
      <c r="F539" s="1645">
        <f t="shared" si="22"/>
        <v>1986</v>
      </c>
      <c r="G539" s="1647">
        <v>31634</v>
      </c>
      <c r="H539" s="1644" t="s">
        <v>4633</v>
      </c>
      <c r="I539" s="1648" t="s">
        <v>3629</v>
      </c>
      <c r="J539" s="1645" t="s">
        <v>201</v>
      </c>
      <c r="K539" s="1645">
        <v>0</v>
      </c>
      <c r="L539" s="1645" t="s">
        <v>4226</v>
      </c>
      <c r="M539" s="1645">
        <v>0</v>
      </c>
      <c r="N539" s="1645"/>
      <c r="O539" s="1645" t="s">
        <v>3645</v>
      </c>
      <c r="P539" s="1649"/>
      <c r="Q539" s="1645"/>
      <c r="R539" s="1647" t="s">
        <v>3699</v>
      </c>
      <c r="S539" s="1644"/>
      <c r="T539" s="1644"/>
      <c r="U539" s="1644" t="s">
        <v>4634</v>
      </c>
      <c r="V539" s="1644"/>
      <c r="W539" s="1650" t="s">
        <v>3822</v>
      </c>
      <c r="X539" s="1644"/>
      <c r="Y539" s="1647">
        <v>42641</v>
      </c>
      <c r="Z539" s="1647">
        <v>43006</v>
      </c>
      <c r="AA539" s="1650">
        <f t="shared" ca="1" si="27"/>
        <v>16.833333333333332</v>
      </c>
      <c r="AB539" s="2444" t="s">
        <v>3629</v>
      </c>
      <c r="AC539" s="2445"/>
      <c r="AD539" s="2438"/>
    </row>
    <row r="540" spans="1:30" ht="15.75" hidden="1" customHeight="1">
      <c r="A540" s="1644">
        <f t="shared" si="29"/>
        <v>0</v>
      </c>
      <c r="B540" s="1645" t="s">
        <v>4662</v>
      </c>
      <c r="C540" s="1645" t="s">
        <v>4623</v>
      </c>
      <c r="D540" s="1645" t="s">
        <v>4660</v>
      </c>
      <c r="E540" s="1644" t="s">
        <v>2798</v>
      </c>
      <c r="F540" s="1645">
        <f t="shared" si="22"/>
        <v>1986</v>
      </c>
      <c r="G540" s="1647">
        <v>31632</v>
      </c>
      <c r="H540" s="1644" t="s">
        <v>4626</v>
      </c>
      <c r="I540" s="1648" t="s">
        <v>3629</v>
      </c>
      <c r="J540" s="1645" t="s">
        <v>37</v>
      </c>
      <c r="K540" s="1645">
        <v>0</v>
      </c>
      <c r="L540" s="1645" t="s">
        <v>4663</v>
      </c>
      <c r="M540" s="1645" t="s">
        <v>3367</v>
      </c>
      <c r="N540" s="1645"/>
      <c r="O540" s="1645" t="s">
        <v>3645</v>
      </c>
      <c r="P540" s="1649"/>
      <c r="Q540" s="1645"/>
      <c r="R540" s="1647" t="s">
        <v>3699</v>
      </c>
      <c r="S540" s="1644" t="s">
        <v>206</v>
      </c>
      <c r="T540" s="1644"/>
      <c r="U540" s="1644" t="s">
        <v>4627</v>
      </c>
      <c r="V540" s="1644"/>
      <c r="W540" s="1644">
        <v>0</v>
      </c>
      <c r="X540" s="1644"/>
      <c r="Y540" s="1647"/>
      <c r="Z540" s="1647"/>
      <c r="AA540" s="1650">
        <f t="shared" ca="1" si="27"/>
        <v>16.833333333333332</v>
      </c>
      <c r="AB540" s="2444" t="s">
        <v>3629</v>
      </c>
      <c r="AC540" s="2445"/>
      <c r="AD540" s="2438"/>
    </row>
    <row r="541" spans="1:30" ht="15.75" hidden="1" customHeight="1">
      <c r="A541" s="1644">
        <f t="shared" si="29"/>
        <v>0</v>
      </c>
      <c r="B541" s="1645" t="s">
        <v>4664</v>
      </c>
      <c r="C541" s="1645" t="s">
        <v>4623</v>
      </c>
      <c r="D541" s="1645" t="s">
        <v>4660</v>
      </c>
      <c r="E541" s="1644" t="s">
        <v>2798</v>
      </c>
      <c r="F541" s="1645">
        <f t="shared" si="22"/>
        <v>1994</v>
      </c>
      <c r="G541" s="1647">
        <v>34516</v>
      </c>
      <c r="H541" s="1644" t="s">
        <v>4633</v>
      </c>
      <c r="I541" s="1648" t="s">
        <v>3629</v>
      </c>
      <c r="J541" s="1645" t="s">
        <v>201</v>
      </c>
      <c r="K541" s="1645"/>
      <c r="L541" s="1645" t="s">
        <v>3367</v>
      </c>
      <c r="M541" s="1645">
        <v>0</v>
      </c>
      <c r="N541" s="1645"/>
      <c r="O541" s="1645">
        <v>0</v>
      </c>
      <c r="P541" s="1649"/>
      <c r="Q541" s="1645"/>
      <c r="R541" s="1644"/>
      <c r="S541" s="1644" t="s">
        <v>3743</v>
      </c>
      <c r="T541" s="1644"/>
      <c r="U541" s="1644" t="s">
        <v>4634</v>
      </c>
      <c r="V541" s="1644"/>
      <c r="W541" s="1644"/>
      <c r="X541" s="1644"/>
      <c r="Y541" s="1644"/>
      <c r="Z541" s="1644"/>
      <c r="AA541" s="1650">
        <f t="shared" ca="1" si="27"/>
        <v>24.666666666666668</v>
      </c>
      <c r="AB541" s="2444" t="s">
        <v>3629</v>
      </c>
      <c r="AC541" s="2445"/>
      <c r="AD541" s="2438"/>
    </row>
    <row r="542" spans="1:30" ht="15.75" hidden="1" customHeight="1">
      <c r="A542" s="1644">
        <f t="shared" si="29"/>
        <v>0</v>
      </c>
      <c r="B542" s="1645" t="s">
        <v>4665</v>
      </c>
      <c r="C542" s="1645" t="s">
        <v>4623</v>
      </c>
      <c r="D542" s="1645" t="s">
        <v>4660</v>
      </c>
      <c r="E542" s="1646" t="s">
        <v>2798</v>
      </c>
      <c r="F542" s="1645">
        <f t="shared" si="22"/>
        <v>1997</v>
      </c>
      <c r="G542" s="1647">
        <v>35777</v>
      </c>
      <c r="H542" s="1646" t="s">
        <v>4633</v>
      </c>
      <c r="I542" s="1648" t="s">
        <v>3629</v>
      </c>
      <c r="J542" s="1645" t="s">
        <v>201</v>
      </c>
      <c r="K542" s="1645"/>
      <c r="L542" s="1645" t="s">
        <v>3367</v>
      </c>
      <c r="M542" s="1645"/>
      <c r="N542" s="1645"/>
      <c r="O542" s="1645"/>
      <c r="P542" s="1649"/>
      <c r="Q542" s="1645"/>
      <c r="R542" s="1644"/>
      <c r="S542" s="1644" t="s">
        <v>3743</v>
      </c>
      <c r="T542" s="1644"/>
      <c r="U542" s="1644" t="s">
        <v>4634</v>
      </c>
      <c r="V542" s="1644"/>
      <c r="W542" s="1644"/>
      <c r="X542" s="1644"/>
      <c r="Y542" s="1644"/>
      <c r="Z542" s="1644"/>
      <c r="AA542" s="1654">
        <f t="shared" ca="1" si="27"/>
        <v>28.166666666666668</v>
      </c>
      <c r="AB542" s="2444" t="s">
        <v>3629</v>
      </c>
      <c r="AC542" s="2445"/>
      <c r="AD542" s="2438"/>
    </row>
    <row r="543" spans="1:30" ht="15.75" hidden="1" customHeight="1">
      <c r="A543" s="1644">
        <f t="shared" si="29"/>
        <v>0</v>
      </c>
      <c r="B543" s="1645" t="s">
        <v>4666</v>
      </c>
      <c r="C543" s="1645" t="s">
        <v>4623</v>
      </c>
      <c r="D543" s="1645" t="s">
        <v>4660</v>
      </c>
      <c r="E543" s="1644" t="s">
        <v>2798</v>
      </c>
      <c r="F543" s="1645">
        <f t="shared" si="22"/>
        <v>1983</v>
      </c>
      <c r="G543" s="1647">
        <v>30468</v>
      </c>
      <c r="H543" s="1644" t="s">
        <v>4636</v>
      </c>
      <c r="I543" s="1648" t="s">
        <v>3629</v>
      </c>
      <c r="J543" s="1645" t="s">
        <v>201</v>
      </c>
      <c r="K543" s="1645">
        <v>0</v>
      </c>
      <c r="L543" s="1645" t="s">
        <v>3367</v>
      </c>
      <c r="M543" s="1645">
        <v>0</v>
      </c>
      <c r="N543" s="1645"/>
      <c r="O543" s="1645" t="s">
        <v>3645</v>
      </c>
      <c r="P543" s="1649"/>
      <c r="Q543" s="1645"/>
      <c r="R543" s="1647" t="s">
        <v>3699</v>
      </c>
      <c r="S543" s="1644"/>
      <c r="T543" s="1644"/>
      <c r="U543" s="1644"/>
      <c r="V543" s="1644"/>
      <c r="W543" s="1650" t="s">
        <v>3822</v>
      </c>
      <c r="X543" s="1644"/>
      <c r="Y543" s="1647"/>
      <c r="Z543" s="1647"/>
      <c r="AA543" s="1650">
        <f t="shared" ca="1" si="27"/>
        <v>13.583333333333334</v>
      </c>
      <c r="AB543" s="2444" t="s">
        <v>3629</v>
      </c>
      <c r="AC543" s="2445"/>
      <c r="AD543" s="2438"/>
    </row>
    <row r="544" spans="1:30" ht="15.75" hidden="1" customHeight="1">
      <c r="A544" s="1644">
        <f t="shared" si="29"/>
        <v>0</v>
      </c>
      <c r="B544" s="1645" t="s">
        <v>4667</v>
      </c>
      <c r="C544" s="1645" t="s">
        <v>4623</v>
      </c>
      <c r="D544" s="1645" t="s">
        <v>4660</v>
      </c>
      <c r="E544" s="1644" t="s">
        <v>2798</v>
      </c>
      <c r="F544" s="1645">
        <f t="shared" si="22"/>
        <v>1996</v>
      </c>
      <c r="G544" s="1647">
        <v>35378</v>
      </c>
      <c r="H544" s="1644" t="s">
        <v>4633</v>
      </c>
      <c r="I544" s="1648" t="s">
        <v>3629</v>
      </c>
      <c r="J544" s="1645" t="s">
        <v>201</v>
      </c>
      <c r="K544" s="1645"/>
      <c r="L544" s="1645" t="s">
        <v>3367</v>
      </c>
      <c r="M544" s="1645">
        <v>0</v>
      </c>
      <c r="N544" s="1645"/>
      <c r="O544" s="1645">
        <v>0</v>
      </c>
      <c r="P544" s="1649"/>
      <c r="Q544" s="1645"/>
      <c r="R544" s="1647" t="s">
        <v>3667</v>
      </c>
      <c r="S544" s="1644" t="s">
        <v>3743</v>
      </c>
      <c r="T544" s="1644"/>
      <c r="U544" s="1644" t="s">
        <v>4634</v>
      </c>
      <c r="V544" s="1644"/>
      <c r="W544" s="1644"/>
      <c r="X544" s="1644"/>
      <c r="Y544" s="1644"/>
      <c r="Z544" s="1644"/>
      <c r="AA544" s="1650">
        <f t="shared" ca="1" si="27"/>
        <v>27.083333333333332</v>
      </c>
      <c r="AB544" s="2444" t="s">
        <v>3629</v>
      </c>
      <c r="AC544" s="2445"/>
      <c r="AD544" s="2438"/>
    </row>
    <row r="545" spans="1:30" ht="15.75" hidden="1" customHeight="1">
      <c r="A545" s="1644">
        <f t="shared" si="29"/>
        <v>0</v>
      </c>
      <c r="B545" s="1645" t="s">
        <v>4668</v>
      </c>
      <c r="C545" s="1645" t="s">
        <v>4623</v>
      </c>
      <c r="D545" s="1645" t="s">
        <v>4660</v>
      </c>
      <c r="E545" s="1644" t="s">
        <v>2798</v>
      </c>
      <c r="F545" s="1645">
        <f t="shared" si="22"/>
        <v>1995</v>
      </c>
      <c r="G545" s="1647">
        <v>34969</v>
      </c>
      <c r="H545" s="1644" t="s">
        <v>4633</v>
      </c>
      <c r="I545" s="1648" t="s">
        <v>3629</v>
      </c>
      <c r="J545" s="1645" t="s">
        <v>201</v>
      </c>
      <c r="K545" s="1645"/>
      <c r="L545" s="1645" t="s">
        <v>3367</v>
      </c>
      <c r="M545" s="1645">
        <v>0</v>
      </c>
      <c r="N545" s="1645"/>
      <c r="O545" s="1645">
        <v>0</v>
      </c>
      <c r="P545" s="1649"/>
      <c r="Q545" s="1645"/>
      <c r="R545" s="1647" t="s">
        <v>3667</v>
      </c>
      <c r="S545" s="1644" t="s">
        <v>3743</v>
      </c>
      <c r="T545" s="1644" t="s">
        <v>936</v>
      </c>
      <c r="U545" s="1644" t="s">
        <v>4634</v>
      </c>
      <c r="V545" s="1644"/>
      <c r="W545" s="1644" t="s">
        <v>4669</v>
      </c>
      <c r="X545" s="1644"/>
      <c r="Y545" s="1647"/>
      <c r="Z545" s="1647"/>
      <c r="AA545" s="1650">
        <f t="shared" ca="1" si="27"/>
        <v>25.916666666666668</v>
      </c>
      <c r="AB545" s="2444" t="s">
        <v>3629</v>
      </c>
      <c r="AC545" s="2445"/>
      <c r="AD545" s="2438"/>
    </row>
    <row r="546" spans="1:30" ht="15.75" hidden="1" customHeight="1">
      <c r="A546" s="1644">
        <f t="shared" si="29"/>
        <v>0</v>
      </c>
      <c r="B546" s="1645" t="s">
        <v>4670</v>
      </c>
      <c r="C546" s="1645" t="s">
        <v>4623</v>
      </c>
      <c r="D546" s="1645" t="s">
        <v>4660</v>
      </c>
      <c r="E546" s="1646" t="s">
        <v>2798</v>
      </c>
      <c r="F546" s="1645">
        <f t="shared" si="22"/>
        <v>1993</v>
      </c>
      <c r="G546" s="1647">
        <v>34315</v>
      </c>
      <c r="H546" s="1644" t="s">
        <v>4626</v>
      </c>
      <c r="I546" s="1648" t="s">
        <v>3629</v>
      </c>
      <c r="J546" s="1645" t="s">
        <v>201</v>
      </c>
      <c r="K546" s="1645">
        <v>0</v>
      </c>
      <c r="L546" s="1645" t="s">
        <v>3367</v>
      </c>
      <c r="M546" s="1645">
        <v>0</v>
      </c>
      <c r="N546" s="1645"/>
      <c r="O546" s="1645" t="s">
        <v>3645</v>
      </c>
      <c r="P546" s="1649"/>
      <c r="Q546" s="1645"/>
      <c r="R546" s="1647" t="s">
        <v>3699</v>
      </c>
      <c r="S546" s="1644"/>
      <c r="T546" s="1644"/>
      <c r="U546" s="1644" t="s">
        <v>4627</v>
      </c>
      <c r="V546" s="1644"/>
      <c r="W546" s="1644">
        <v>0</v>
      </c>
      <c r="X546" s="1644"/>
      <c r="Y546" s="1647">
        <v>42048</v>
      </c>
      <c r="Z546" s="1647">
        <v>42413</v>
      </c>
      <c r="AA546" s="1650">
        <f t="shared" ca="1" si="27"/>
        <v>24.166666666666668</v>
      </c>
      <c r="AB546" s="2444" t="s">
        <v>3629</v>
      </c>
      <c r="AC546" s="2445"/>
      <c r="AD546" s="2438"/>
    </row>
    <row r="547" spans="1:30" ht="15.75" hidden="1" customHeight="1">
      <c r="A547" s="1644">
        <f t="shared" si="29"/>
        <v>0</v>
      </c>
      <c r="B547" s="1645" t="s">
        <v>4671</v>
      </c>
      <c r="C547" s="1645" t="s">
        <v>4623</v>
      </c>
      <c r="D547" s="1645" t="s">
        <v>4660</v>
      </c>
      <c r="E547" s="1646" t="s">
        <v>2798</v>
      </c>
      <c r="F547" s="1645">
        <f t="shared" si="22"/>
        <v>1981</v>
      </c>
      <c r="G547" s="1647">
        <v>29593</v>
      </c>
      <c r="H547" s="1644" t="s">
        <v>4633</v>
      </c>
      <c r="I547" s="1648" t="s">
        <v>3629</v>
      </c>
      <c r="J547" s="1645" t="s">
        <v>201</v>
      </c>
      <c r="K547" s="1645">
        <v>0</v>
      </c>
      <c r="L547" s="1645" t="s">
        <v>4672</v>
      </c>
      <c r="M547" s="1645">
        <v>0</v>
      </c>
      <c r="N547" s="1645"/>
      <c r="O547" s="1645" t="s">
        <v>3645</v>
      </c>
      <c r="P547" s="1649"/>
      <c r="Q547" s="1645"/>
      <c r="R547" s="1647" t="s">
        <v>3699</v>
      </c>
      <c r="S547" s="1644" t="s">
        <v>206</v>
      </c>
      <c r="T547" s="1644"/>
      <c r="U547" s="1644" t="s">
        <v>4634</v>
      </c>
      <c r="V547" s="1644"/>
      <c r="W547" s="1644">
        <v>0</v>
      </c>
      <c r="X547" s="1644"/>
      <c r="Y547" s="1647">
        <v>42641</v>
      </c>
      <c r="Z547" s="1647">
        <v>43006</v>
      </c>
      <c r="AA547" s="1650">
        <f t="shared" ca="1" si="27"/>
        <v>11.25</v>
      </c>
      <c r="AB547" s="2444" t="s">
        <v>3629</v>
      </c>
      <c r="AC547" s="2445"/>
      <c r="AD547" s="2438"/>
    </row>
    <row r="548" spans="1:30" ht="15.75" hidden="1" customHeight="1">
      <c r="A548" s="1644">
        <f t="shared" si="29"/>
        <v>0</v>
      </c>
      <c r="B548" s="1645" t="s">
        <v>4673</v>
      </c>
      <c r="C548" s="1645" t="s">
        <v>4623</v>
      </c>
      <c r="D548" s="1645" t="s">
        <v>4660</v>
      </c>
      <c r="E548" s="1644" t="s">
        <v>2798</v>
      </c>
      <c r="F548" s="1645">
        <f t="shared" si="22"/>
        <v>1993</v>
      </c>
      <c r="G548" s="1647">
        <v>34193</v>
      </c>
      <c r="H548" s="1644" t="s">
        <v>4626</v>
      </c>
      <c r="I548" s="1648" t="s">
        <v>3629</v>
      </c>
      <c r="J548" s="1645" t="s">
        <v>201</v>
      </c>
      <c r="K548" s="1645">
        <v>0</v>
      </c>
      <c r="L548" s="1645" t="s">
        <v>4638</v>
      </c>
      <c r="M548" s="1645">
        <v>0</v>
      </c>
      <c r="N548" s="1645"/>
      <c r="O548" s="1645">
        <v>0</v>
      </c>
      <c r="P548" s="1649"/>
      <c r="Q548" s="1645"/>
      <c r="R548" s="1644" t="s">
        <v>3699</v>
      </c>
      <c r="S548" s="1644" t="s">
        <v>3743</v>
      </c>
      <c r="T548" s="1644"/>
      <c r="U548" s="1644" t="s">
        <v>4627</v>
      </c>
      <c r="V548" s="1644"/>
      <c r="W548" s="1644" t="s">
        <v>3687</v>
      </c>
      <c r="X548" s="1644"/>
      <c r="Y548" s="1647"/>
      <c r="Z548" s="1647"/>
      <c r="AA548" s="1650">
        <f t="shared" ca="1" si="27"/>
        <v>23.833333333333332</v>
      </c>
      <c r="AB548" s="2444" t="s">
        <v>3629</v>
      </c>
      <c r="AC548" s="2445"/>
      <c r="AD548" s="2438"/>
    </row>
    <row r="549" spans="1:30" ht="15.75" hidden="1" customHeight="1">
      <c r="A549" s="1644">
        <f t="shared" si="29"/>
        <v>0</v>
      </c>
      <c r="B549" s="1645" t="s">
        <v>4674</v>
      </c>
      <c r="C549" s="1645" t="s">
        <v>4623</v>
      </c>
      <c r="D549" s="1645" t="s">
        <v>4675</v>
      </c>
      <c r="E549" s="1644" t="s">
        <v>2797</v>
      </c>
      <c r="F549" s="1645">
        <f t="shared" si="22"/>
        <v>1976</v>
      </c>
      <c r="G549" s="1647">
        <v>27829</v>
      </c>
      <c r="H549" s="1644" t="s">
        <v>3685</v>
      </c>
      <c r="I549" s="1648" t="s">
        <v>3629</v>
      </c>
      <c r="J549" s="1645" t="s">
        <v>4322</v>
      </c>
      <c r="K549" s="1645">
        <v>0</v>
      </c>
      <c r="L549" s="1651">
        <v>0</v>
      </c>
      <c r="M549" s="1645">
        <v>0</v>
      </c>
      <c r="N549" s="1645"/>
      <c r="O549" s="1645">
        <v>0</v>
      </c>
      <c r="P549" s="1649"/>
      <c r="Q549" s="1645"/>
      <c r="R549" s="1644"/>
      <c r="S549" s="1644"/>
      <c r="T549" s="1644"/>
      <c r="U549" s="1644"/>
      <c r="V549" s="1644"/>
      <c r="W549" s="1644">
        <v>0</v>
      </c>
      <c r="X549" s="1644"/>
      <c r="Y549" s="1647">
        <v>38232</v>
      </c>
      <c r="Z549" s="1647">
        <v>38597</v>
      </c>
      <c r="AA549" s="1650">
        <f t="shared" ca="1" si="27"/>
        <v>11.416666666666666</v>
      </c>
      <c r="AB549" s="2444" t="s">
        <v>3629</v>
      </c>
      <c r="AC549" s="2445"/>
      <c r="AD549" s="2438"/>
    </row>
    <row r="550" spans="1:30" ht="15.75" hidden="1" customHeight="1">
      <c r="A550" s="1644">
        <f t="shared" si="29"/>
        <v>0</v>
      </c>
      <c r="B550" s="1645" t="s">
        <v>4676</v>
      </c>
      <c r="C550" s="1645" t="s">
        <v>4623</v>
      </c>
      <c r="D550" s="1645" t="s">
        <v>4675</v>
      </c>
      <c r="E550" s="1646" t="s">
        <v>2797</v>
      </c>
      <c r="F550" s="1645">
        <f t="shared" si="22"/>
        <v>1986</v>
      </c>
      <c r="G550" s="1647">
        <v>31651</v>
      </c>
      <c r="H550" s="1644" t="s">
        <v>3642</v>
      </c>
      <c r="I550" s="1648" t="s">
        <v>3629</v>
      </c>
      <c r="J550" s="1645" t="s">
        <v>201</v>
      </c>
      <c r="K550" s="1645">
        <v>0</v>
      </c>
      <c r="L550" s="1645" t="s">
        <v>3902</v>
      </c>
      <c r="M550" s="1645">
        <v>0</v>
      </c>
      <c r="N550" s="1645"/>
      <c r="O550" s="1645">
        <v>0</v>
      </c>
      <c r="P550" s="1649"/>
      <c r="Q550" s="1645"/>
      <c r="R550" s="1647" t="s">
        <v>3898</v>
      </c>
      <c r="S550" s="1644"/>
      <c r="T550" s="1644"/>
      <c r="U550" s="1644"/>
      <c r="V550" s="1644" t="s">
        <v>3649</v>
      </c>
      <c r="W550" s="1650" t="s">
        <v>3653</v>
      </c>
      <c r="X550" s="1644"/>
      <c r="Y550" s="1647">
        <v>42335</v>
      </c>
      <c r="Z550" s="1647">
        <v>42701</v>
      </c>
      <c r="AA550" s="1650">
        <f t="shared" ca="1" si="27"/>
        <v>21.833333333333332</v>
      </c>
      <c r="AB550" s="2444" t="s">
        <v>3629</v>
      </c>
      <c r="AC550" s="2445"/>
      <c r="AD550" s="2438"/>
    </row>
    <row r="551" spans="1:30" ht="15.75" hidden="1" customHeight="1">
      <c r="A551" s="1644">
        <f t="shared" si="29"/>
        <v>0</v>
      </c>
      <c r="B551" s="1645" t="s">
        <v>4677</v>
      </c>
      <c r="C551" s="1645" t="s">
        <v>4623</v>
      </c>
      <c r="D551" s="1645" t="s">
        <v>4675</v>
      </c>
      <c r="E551" s="1646" t="s">
        <v>2798</v>
      </c>
      <c r="F551" s="1645">
        <f t="shared" si="22"/>
        <v>1991</v>
      </c>
      <c r="G551" s="1647">
        <v>33535</v>
      </c>
      <c r="H551" s="1644" t="s">
        <v>3648</v>
      </c>
      <c r="I551" s="1648" t="s">
        <v>3629</v>
      </c>
      <c r="J551" s="1645" t="s">
        <v>201</v>
      </c>
      <c r="K551" s="1645"/>
      <c r="L551" s="1645" t="s">
        <v>506</v>
      </c>
      <c r="M551" s="1645">
        <v>0</v>
      </c>
      <c r="N551" s="1645"/>
      <c r="O551" s="1645">
        <v>0</v>
      </c>
      <c r="P551" s="1649"/>
      <c r="Q551" s="1645"/>
      <c r="R551" s="1647" t="s">
        <v>3667</v>
      </c>
      <c r="S551" s="1644"/>
      <c r="T551" s="1644"/>
      <c r="U551" s="1644"/>
      <c r="V551" s="1644"/>
      <c r="W551" s="1644">
        <v>0</v>
      </c>
      <c r="X551" s="1644"/>
      <c r="Y551" s="1647"/>
      <c r="Z551" s="1647"/>
      <c r="AA551" s="1650">
        <f t="shared" ca="1" si="27"/>
        <v>22</v>
      </c>
      <c r="AB551" s="2444" t="s">
        <v>3629</v>
      </c>
      <c r="AC551" s="2445"/>
      <c r="AD551" s="2438"/>
    </row>
    <row r="552" spans="1:30" ht="15.75" hidden="1" customHeight="1">
      <c r="A552" s="1644">
        <f t="shared" si="29"/>
        <v>0</v>
      </c>
      <c r="B552" s="1645" t="s">
        <v>4678</v>
      </c>
      <c r="C552" s="1645" t="s">
        <v>4623</v>
      </c>
      <c r="D552" s="1645" t="s">
        <v>4675</v>
      </c>
      <c r="E552" s="1644" t="s">
        <v>2798</v>
      </c>
      <c r="F552" s="1645">
        <f t="shared" si="22"/>
        <v>1993</v>
      </c>
      <c r="G552" s="1647">
        <v>34145</v>
      </c>
      <c r="H552" s="1644" t="s">
        <v>3642</v>
      </c>
      <c r="I552" s="1648" t="s">
        <v>3629</v>
      </c>
      <c r="J552" s="1645" t="s">
        <v>201</v>
      </c>
      <c r="K552" s="1645"/>
      <c r="L552" s="1645" t="s">
        <v>3676</v>
      </c>
      <c r="M552" s="1645">
        <v>0</v>
      </c>
      <c r="N552" s="1645"/>
      <c r="O552" s="1645">
        <v>0</v>
      </c>
      <c r="P552" s="1649"/>
      <c r="Q552" s="1645"/>
      <c r="R552" s="1647" t="s">
        <v>3667</v>
      </c>
      <c r="S552" s="1644" t="s">
        <v>3743</v>
      </c>
      <c r="T552" s="1644"/>
      <c r="U552" s="1644"/>
      <c r="V552" s="1644" t="s">
        <v>3649</v>
      </c>
      <c r="W552" s="1644"/>
      <c r="X552" s="1644"/>
      <c r="Y552" s="1644"/>
      <c r="Z552" s="1644"/>
      <c r="AA552" s="1650">
        <f t="shared" ca="1" si="27"/>
        <v>23.666666666666668</v>
      </c>
      <c r="AB552" s="2444" t="s">
        <v>3629</v>
      </c>
      <c r="AC552" s="2445"/>
      <c r="AD552" s="2438"/>
    </row>
    <row r="553" spans="1:30" ht="15.75" hidden="1" customHeight="1">
      <c r="A553" s="1644">
        <f t="shared" si="29"/>
        <v>0</v>
      </c>
      <c r="B553" s="1645" t="s">
        <v>4679</v>
      </c>
      <c r="C553" s="1645" t="s">
        <v>4623</v>
      </c>
      <c r="D553" s="1645" t="s">
        <v>4675</v>
      </c>
      <c r="E553" s="1644" t="s">
        <v>2797</v>
      </c>
      <c r="F553" s="1645">
        <f t="shared" si="22"/>
        <v>1969</v>
      </c>
      <c r="G553" s="1647">
        <v>25553</v>
      </c>
      <c r="H553" s="1644" t="s">
        <v>3685</v>
      </c>
      <c r="I553" s="1648" t="s">
        <v>3629</v>
      </c>
      <c r="J553" s="1645" t="s">
        <v>201</v>
      </c>
      <c r="K553" s="1645">
        <v>0</v>
      </c>
      <c r="L553" s="1645" t="s">
        <v>4057</v>
      </c>
      <c r="M553" s="1645">
        <v>0</v>
      </c>
      <c r="N553" s="1645"/>
      <c r="O553" s="1645" t="s">
        <v>3645</v>
      </c>
      <c r="P553" s="1649"/>
      <c r="Q553" s="1645"/>
      <c r="R553" s="1644" t="s">
        <v>3710</v>
      </c>
      <c r="S553" s="1644"/>
      <c r="T553" s="1644" t="s">
        <v>936</v>
      </c>
      <c r="U553" s="1644"/>
      <c r="V553" s="1644"/>
      <c r="W553" s="1644" t="s">
        <v>936</v>
      </c>
      <c r="X553" s="1644"/>
      <c r="Y553" s="1647">
        <v>40281</v>
      </c>
      <c r="Z553" s="1647">
        <v>40646</v>
      </c>
      <c r="AA553" s="1650">
        <f t="shared" ca="1" si="27"/>
        <v>5.166666666666667</v>
      </c>
      <c r="AB553" s="2444" t="s">
        <v>3629</v>
      </c>
      <c r="AC553" s="2445"/>
      <c r="AD553" s="2438"/>
    </row>
    <row r="554" spans="1:30" ht="15.75" hidden="1" customHeight="1">
      <c r="A554" s="1644">
        <f t="shared" si="29"/>
        <v>0</v>
      </c>
      <c r="B554" s="1645" t="s">
        <v>4680</v>
      </c>
      <c r="C554" s="1645" t="s">
        <v>4623</v>
      </c>
      <c r="D554" s="1645" t="s">
        <v>4675</v>
      </c>
      <c r="E554" s="1644" t="s">
        <v>2798</v>
      </c>
      <c r="F554" s="1645">
        <f t="shared" si="22"/>
        <v>1985</v>
      </c>
      <c r="G554" s="1647">
        <v>31361</v>
      </c>
      <c r="H554" s="1644" t="s">
        <v>3648</v>
      </c>
      <c r="I554" s="1648" t="s">
        <v>3629</v>
      </c>
      <c r="J554" s="1645" t="s">
        <v>3670</v>
      </c>
      <c r="K554" s="1645">
        <v>0</v>
      </c>
      <c r="L554" s="1651">
        <v>0</v>
      </c>
      <c r="M554" s="1645">
        <v>0</v>
      </c>
      <c r="N554" s="1645"/>
      <c r="O554" s="1645">
        <v>0</v>
      </c>
      <c r="P554" s="1649"/>
      <c r="Q554" s="1645"/>
      <c r="R554" s="1644"/>
      <c r="S554" s="1644"/>
      <c r="T554" s="1644"/>
      <c r="U554" s="1644"/>
      <c r="V554" s="1644"/>
      <c r="W554" s="1644">
        <v>0</v>
      </c>
      <c r="X554" s="1644"/>
      <c r="Y554" s="1647"/>
      <c r="Z554" s="1647"/>
      <c r="AA554" s="1650">
        <f t="shared" ca="1" si="27"/>
        <v>16.083333333333332</v>
      </c>
      <c r="AB554" s="2444" t="s">
        <v>3629</v>
      </c>
      <c r="AC554" s="2445"/>
      <c r="AD554" s="2438"/>
    </row>
    <row r="555" spans="1:30" ht="15.75" customHeight="1">
      <c r="A555" s="1644">
        <f t="shared" si="29"/>
        <v>1</v>
      </c>
      <c r="B555" s="1645" t="s">
        <v>2545</v>
      </c>
      <c r="C555" s="1644" t="s">
        <v>1578</v>
      </c>
      <c r="D555" s="1645" t="s">
        <v>551</v>
      </c>
      <c r="E555" s="1646" t="s">
        <v>2798</v>
      </c>
      <c r="F555" s="1644">
        <f t="shared" si="22"/>
        <v>1982</v>
      </c>
      <c r="G555" s="1647">
        <v>30045</v>
      </c>
      <c r="H555" s="1644" t="s">
        <v>3628</v>
      </c>
      <c r="I555" s="1648"/>
      <c r="J555" s="1644" t="s">
        <v>38</v>
      </c>
      <c r="K555" s="1644">
        <v>0</v>
      </c>
      <c r="L555" s="1645" t="s">
        <v>4410</v>
      </c>
      <c r="M555" s="1645" t="s">
        <v>4200</v>
      </c>
      <c r="N555" s="1645"/>
      <c r="O555" s="1645" t="s">
        <v>4201</v>
      </c>
      <c r="P555" s="1649"/>
      <c r="Q555" s="1645" t="s">
        <v>3693</v>
      </c>
      <c r="R555" s="1647" t="s">
        <v>4051</v>
      </c>
      <c r="S555" s="1644" t="s">
        <v>3696</v>
      </c>
      <c r="T555" s="1644" t="s">
        <v>936</v>
      </c>
      <c r="U555" s="1644" t="s">
        <v>3697</v>
      </c>
      <c r="V555" s="1644"/>
      <c r="W555" s="1650" t="s">
        <v>3646</v>
      </c>
      <c r="X555" s="1644"/>
      <c r="Y555" s="1647">
        <v>39616</v>
      </c>
      <c r="Z555" s="1647">
        <v>39981</v>
      </c>
      <c r="AA555" s="1650">
        <f t="shared" ca="1" si="27"/>
        <v>12.5</v>
      </c>
      <c r="AB555" s="2444" t="s">
        <v>3629</v>
      </c>
      <c r="AC555" s="2445"/>
      <c r="AD555" s="2438"/>
    </row>
    <row r="556" spans="1:30" ht="15.75" customHeight="1">
      <c r="A556" s="1644">
        <f t="shared" si="29"/>
        <v>2</v>
      </c>
      <c r="B556" s="1645" t="s">
        <v>4681</v>
      </c>
      <c r="C556" s="1644" t="s">
        <v>1578</v>
      </c>
      <c r="D556" s="1645" t="s">
        <v>551</v>
      </c>
      <c r="E556" s="1644" t="s">
        <v>2798</v>
      </c>
      <c r="F556" s="1644">
        <f t="shared" si="22"/>
        <v>1978</v>
      </c>
      <c r="G556" s="1647">
        <v>28611</v>
      </c>
      <c r="H556" s="1644" t="s">
        <v>3628</v>
      </c>
      <c r="I556" s="1648"/>
      <c r="J556" s="1644" t="s">
        <v>38</v>
      </c>
      <c r="K556" s="1644">
        <v>0</v>
      </c>
      <c r="L556" s="1645" t="s">
        <v>1747</v>
      </c>
      <c r="M556" s="1645" t="s">
        <v>4200</v>
      </c>
      <c r="N556" s="1645"/>
      <c r="O556" s="1645" t="s">
        <v>4201</v>
      </c>
      <c r="P556" s="1649"/>
      <c r="Q556" s="1645" t="s">
        <v>3693</v>
      </c>
      <c r="R556" s="1647" t="s">
        <v>3683</v>
      </c>
      <c r="S556" s="1644" t="s">
        <v>3696</v>
      </c>
      <c r="T556" s="1644" t="s">
        <v>936</v>
      </c>
      <c r="U556" s="1644" t="s">
        <v>3697</v>
      </c>
      <c r="V556" s="1644"/>
      <c r="W556" s="1644">
        <v>0</v>
      </c>
      <c r="X556" s="1644" t="s">
        <v>3633</v>
      </c>
      <c r="Y556" s="1647">
        <v>37126</v>
      </c>
      <c r="Z556" s="1647">
        <v>37491</v>
      </c>
      <c r="AA556" s="1650">
        <f t="shared" ca="1" si="27"/>
        <v>8.5</v>
      </c>
      <c r="AB556" s="2444" t="e">
        <v>#REF!</v>
      </c>
      <c r="AC556" s="2446" t="e">
        <f>+#REF!-#REF!</f>
        <v>#REF!</v>
      </c>
      <c r="AD556" s="2438"/>
    </row>
    <row r="557" spans="1:30" ht="15.75" customHeight="1">
      <c r="A557" s="1644">
        <f t="shared" si="29"/>
        <v>3</v>
      </c>
      <c r="B557" s="1645" t="s">
        <v>2893</v>
      </c>
      <c r="C557" s="1644" t="s">
        <v>1578</v>
      </c>
      <c r="D557" s="1645" t="s">
        <v>551</v>
      </c>
      <c r="E557" s="1644" t="s">
        <v>2798</v>
      </c>
      <c r="F557" s="1644">
        <f t="shared" si="22"/>
        <v>1980</v>
      </c>
      <c r="G557" s="1647">
        <v>29479</v>
      </c>
      <c r="H557" s="1644" t="s">
        <v>3636</v>
      </c>
      <c r="I557" s="1648"/>
      <c r="J557" s="1644" t="s">
        <v>37</v>
      </c>
      <c r="K557" s="1644">
        <v>0</v>
      </c>
      <c r="L557" s="1645" t="s">
        <v>1747</v>
      </c>
      <c r="M557" s="1645" t="s">
        <v>4682</v>
      </c>
      <c r="N557" s="1645"/>
      <c r="O557" s="1645" t="s">
        <v>3645</v>
      </c>
      <c r="P557" s="1649"/>
      <c r="Q557" s="1645"/>
      <c r="R557" s="1644" t="s">
        <v>3710</v>
      </c>
      <c r="S557" s="1644"/>
      <c r="T557" s="1644" t="s">
        <v>936</v>
      </c>
      <c r="U557" s="1644"/>
      <c r="V557" s="1644"/>
      <c r="W557" s="1644" t="s">
        <v>3679</v>
      </c>
      <c r="X557" s="1644" t="s">
        <v>3633</v>
      </c>
      <c r="Y557" s="1647"/>
      <c r="Z557" s="1647" t="s">
        <v>936</v>
      </c>
      <c r="AA557" s="1650">
        <f t="shared" ca="1" si="27"/>
        <v>10.916666666666666</v>
      </c>
      <c r="AB557" s="2444" t="e">
        <v>#REF!</v>
      </c>
      <c r="AC557" s="2445"/>
      <c r="AD557" s="2438"/>
    </row>
    <row r="558" spans="1:30" ht="15.75" customHeight="1">
      <c r="A558" s="1644">
        <f t="shared" si="29"/>
        <v>4</v>
      </c>
      <c r="B558" s="1645" t="s">
        <v>2544</v>
      </c>
      <c r="C558" s="1644" t="s">
        <v>1578</v>
      </c>
      <c r="D558" s="1645" t="s">
        <v>551</v>
      </c>
      <c r="E558" s="1646" t="s">
        <v>2798</v>
      </c>
      <c r="F558" s="1644">
        <f t="shared" si="22"/>
        <v>1974</v>
      </c>
      <c r="G558" s="1647">
        <v>27275</v>
      </c>
      <c r="H558" s="1644" t="s">
        <v>3797</v>
      </c>
      <c r="I558" s="1648"/>
      <c r="J558" s="1644" t="s">
        <v>38</v>
      </c>
      <c r="K558" s="1644" t="s">
        <v>3798</v>
      </c>
      <c r="L558" s="1645" t="s">
        <v>1747</v>
      </c>
      <c r="M558" s="1645" t="s">
        <v>4683</v>
      </c>
      <c r="N558" s="1645"/>
      <c r="O558" s="1645" t="s">
        <v>4201</v>
      </c>
      <c r="P558" s="1649"/>
      <c r="Q558" s="1645" t="s">
        <v>3757</v>
      </c>
      <c r="R558" s="1647" t="s">
        <v>3789</v>
      </c>
      <c r="S558" s="1644" t="s">
        <v>3696</v>
      </c>
      <c r="T558" s="1644" t="s">
        <v>936</v>
      </c>
      <c r="U558" s="1644" t="s">
        <v>4095</v>
      </c>
      <c r="V558" s="1644"/>
      <c r="W558" s="1644" t="s">
        <v>3687</v>
      </c>
      <c r="X558" s="1644" t="s">
        <v>3633</v>
      </c>
      <c r="Y558" s="1647">
        <v>38872</v>
      </c>
      <c r="Z558" s="1647">
        <v>39237</v>
      </c>
      <c r="AA558" s="1650">
        <f t="shared" ca="1" si="27"/>
        <v>4.916666666666667</v>
      </c>
      <c r="AB558" s="2444" t="s">
        <v>3629</v>
      </c>
      <c r="AC558" s="2446" t="e">
        <f t="shared" ref="AC558:AC559" si="30">+#REF!-#REF!</f>
        <v>#REF!</v>
      </c>
      <c r="AD558" s="2438"/>
    </row>
    <row r="559" spans="1:30" ht="15.75" customHeight="1">
      <c r="A559" s="1644">
        <f t="shared" si="29"/>
        <v>5</v>
      </c>
      <c r="B559" s="1645" t="s">
        <v>2540</v>
      </c>
      <c r="C559" s="1644" t="s">
        <v>1578</v>
      </c>
      <c r="D559" s="1645" t="s">
        <v>551</v>
      </c>
      <c r="E559" s="1646" t="s">
        <v>2798</v>
      </c>
      <c r="F559" s="1644">
        <f t="shared" si="22"/>
        <v>1982</v>
      </c>
      <c r="G559" s="1647">
        <v>30205</v>
      </c>
      <c r="H559" s="1644" t="s">
        <v>3628</v>
      </c>
      <c r="I559" s="1648"/>
      <c r="J559" s="1644" t="s">
        <v>38</v>
      </c>
      <c r="K559" s="1644">
        <v>0</v>
      </c>
      <c r="L559" s="1645" t="s">
        <v>4410</v>
      </c>
      <c r="M559" s="1645" t="s">
        <v>4684</v>
      </c>
      <c r="N559" s="1645"/>
      <c r="O559" s="1645" t="s">
        <v>4685</v>
      </c>
      <c r="P559" s="1649"/>
      <c r="Q559" s="1645" t="s">
        <v>3757</v>
      </c>
      <c r="R559" s="1647" t="s">
        <v>4051</v>
      </c>
      <c r="S559" s="1644"/>
      <c r="T559" s="1644" t="s">
        <v>936</v>
      </c>
      <c r="U559" s="1644" t="s">
        <v>3697</v>
      </c>
      <c r="V559" s="1644"/>
      <c r="W559" s="1644" t="s">
        <v>4686</v>
      </c>
      <c r="X559" s="1644" t="s">
        <v>3633</v>
      </c>
      <c r="Y559" s="1647">
        <v>38178</v>
      </c>
      <c r="Z559" s="1647">
        <v>38543</v>
      </c>
      <c r="AA559" s="1650">
        <f t="shared" ca="1" si="27"/>
        <v>12.916666666666666</v>
      </c>
      <c r="AB559" s="2444" t="s">
        <v>3629</v>
      </c>
      <c r="AC559" s="2446" t="e">
        <f t="shared" si="30"/>
        <v>#REF!</v>
      </c>
      <c r="AD559" s="2438"/>
    </row>
    <row r="560" spans="1:30" ht="15.75" customHeight="1">
      <c r="A560" s="1644">
        <f t="shared" si="29"/>
        <v>6</v>
      </c>
      <c r="B560" s="1645" t="s">
        <v>2539</v>
      </c>
      <c r="C560" s="1644" t="s">
        <v>1578</v>
      </c>
      <c r="D560" s="1645" t="s">
        <v>551</v>
      </c>
      <c r="E560" s="1644" t="s">
        <v>2797</v>
      </c>
      <c r="F560" s="1644">
        <f t="shared" si="22"/>
        <v>1973</v>
      </c>
      <c r="G560" s="1647">
        <v>26688</v>
      </c>
      <c r="H560" s="1644" t="s">
        <v>3636</v>
      </c>
      <c r="I560" s="1648"/>
      <c r="J560" s="1644" t="s">
        <v>37</v>
      </c>
      <c r="K560" s="1644">
        <v>0</v>
      </c>
      <c r="L560" s="1645" t="s">
        <v>4410</v>
      </c>
      <c r="M560" s="1645" t="s">
        <v>4682</v>
      </c>
      <c r="N560" s="1645"/>
      <c r="O560" s="1645" t="s">
        <v>3645</v>
      </c>
      <c r="P560" s="1649"/>
      <c r="Q560" s="1645" t="s">
        <v>3693</v>
      </c>
      <c r="R560" s="1647" t="s">
        <v>4687</v>
      </c>
      <c r="S560" s="1644" t="s">
        <v>3696</v>
      </c>
      <c r="T560" s="1644" t="s">
        <v>936</v>
      </c>
      <c r="U560" s="1644"/>
      <c r="V560" s="1644"/>
      <c r="W560" s="1650" t="s">
        <v>3653</v>
      </c>
      <c r="X560" s="1644" t="s">
        <v>3712</v>
      </c>
      <c r="Y560" s="1647"/>
      <c r="Z560" s="1647"/>
      <c r="AA560" s="1650">
        <f t="shared" ca="1" si="27"/>
        <v>8.25</v>
      </c>
      <c r="AB560" s="2444" t="s">
        <v>3629</v>
      </c>
      <c r="AC560" s="2445"/>
      <c r="AD560" s="2438"/>
    </row>
    <row r="561" spans="1:30" ht="15.75" customHeight="1">
      <c r="A561" s="1644">
        <f t="shared" si="29"/>
        <v>7</v>
      </c>
      <c r="B561" s="1645" t="s">
        <v>2538</v>
      </c>
      <c r="C561" s="1644" t="s">
        <v>1578</v>
      </c>
      <c r="D561" s="1645" t="s">
        <v>551</v>
      </c>
      <c r="E561" s="1646" t="s">
        <v>2797</v>
      </c>
      <c r="F561" s="1644">
        <f t="shared" si="22"/>
        <v>1977</v>
      </c>
      <c r="G561" s="1647">
        <v>28204</v>
      </c>
      <c r="H561" s="1644" t="s">
        <v>3628</v>
      </c>
      <c r="I561" s="1648"/>
      <c r="J561" s="1644" t="s">
        <v>38</v>
      </c>
      <c r="K561" s="1644">
        <v>0</v>
      </c>
      <c r="L561" s="1645" t="s">
        <v>1747</v>
      </c>
      <c r="M561" s="1645" t="s">
        <v>4682</v>
      </c>
      <c r="N561" s="1645"/>
      <c r="O561" s="1645" t="s">
        <v>4688</v>
      </c>
      <c r="P561" s="1649"/>
      <c r="Q561" s="1645" t="s">
        <v>3800</v>
      </c>
      <c r="R561" s="1647" t="s">
        <v>3882</v>
      </c>
      <c r="S561" s="1644" t="s">
        <v>3696</v>
      </c>
      <c r="T561" s="1644" t="s">
        <v>936</v>
      </c>
      <c r="U561" s="1644" t="s">
        <v>3631</v>
      </c>
      <c r="V561" s="1644"/>
      <c r="W561" s="1644">
        <v>0</v>
      </c>
      <c r="X561" s="1644"/>
      <c r="Y561" s="1647">
        <v>37975</v>
      </c>
      <c r="Z561" s="1647">
        <v>38341</v>
      </c>
      <c r="AA561" s="1650">
        <f t="shared" ca="1" si="27"/>
        <v>12.416666666666666</v>
      </c>
      <c r="AB561" s="2444" t="s">
        <v>3629</v>
      </c>
      <c r="AC561" s="2445"/>
      <c r="AD561" s="2438"/>
    </row>
    <row r="562" spans="1:30" ht="15.75" customHeight="1">
      <c r="A562" s="1644">
        <f t="shared" si="29"/>
        <v>8</v>
      </c>
      <c r="B562" s="1645" t="s">
        <v>4689</v>
      </c>
      <c r="C562" s="1644" t="s">
        <v>1578</v>
      </c>
      <c r="D562" s="1645" t="s">
        <v>551</v>
      </c>
      <c r="E562" s="1644" t="s">
        <v>2798</v>
      </c>
      <c r="F562" s="1644">
        <f t="shared" si="22"/>
        <v>1976</v>
      </c>
      <c r="G562" s="1647">
        <v>28011</v>
      </c>
      <c r="H562" s="1644" t="s">
        <v>3636</v>
      </c>
      <c r="I562" s="1648"/>
      <c r="J562" s="1644" t="s">
        <v>37</v>
      </c>
      <c r="K562" s="1644">
        <v>0</v>
      </c>
      <c r="L562" s="1645" t="s">
        <v>4410</v>
      </c>
      <c r="M562" s="1645" t="s">
        <v>4682</v>
      </c>
      <c r="N562" s="1645"/>
      <c r="O562" s="1645" t="s">
        <v>3645</v>
      </c>
      <c r="P562" s="1649"/>
      <c r="Q562" s="1645" t="s">
        <v>3693</v>
      </c>
      <c r="R562" s="1647" t="s">
        <v>3683</v>
      </c>
      <c r="S562" s="1644" t="s">
        <v>3696</v>
      </c>
      <c r="T562" s="1644" t="s">
        <v>936</v>
      </c>
      <c r="U562" s="1644"/>
      <c r="V562" s="1644"/>
      <c r="W562" s="1644">
        <v>0</v>
      </c>
      <c r="X562" s="1644"/>
      <c r="Y562" s="1647">
        <v>42325</v>
      </c>
      <c r="Z562" s="1647">
        <v>42691</v>
      </c>
      <c r="AA562" s="1650">
        <f t="shared" ca="1" si="27"/>
        <v>6.916666666666667</v>
      </c>
      <c r="AB562" s="2444" t="s">
        <v>3629</v>
      </c>
      <c r="AC562" s="2445"/>
      <c r="AD562" s="2438"/>
    </row>
    <row r="563" spans="1:30" ht="15.75" customHeight="1">
      <c r="A563" s="1644">
        <f t="shared" si="29"/>
        <v>9</v>
      </c>
      <c r="B563" s="1645" t="s">
        <v>2542</v>
      </c>
      <c r="C563" s="1644" t="s">
        <v>1578</v>
      </c>
      <c r="D563" s="1645" t="s">
        <v>551</v>
      </c>
      <c r="E563" s="1646" t="s">
        <v>2798</v>
      </c>
      <c r="F563" s="1644">
        <f t="shared" si="22"/>
        <v>1977</v>
      </c>
      <c r="G563" s="1647">
        <v>28364</v>
      </c>
      <c r="H563" s="1644" t="s">
        <v>3628</v>
      </c>
      <c r="I563" s="1648"/>
      <c r="J563" s="1644" t="s">
        <v>38</v>
      </c>
      <c r="K563" s="1644">
        <v>0</v>
      </c>
      <c r="L563" s="1645" t="s">
        <v>4410</v>
      </c>
      <c r="M563" s="1645" t="s">
        <v>4690</v>
      </c>
      <c r="N563" s="1645"/>
      <c r="O563" s="1645" t="s">
        <v>3717</v>
      </c>
      <c r="P563" s="1649"/>
      <c r="Q563" s="1645" t="s">
        <v>3693</v>
      </c>
      <c r="R563" s="1647" t="s">
        <v>2862</v>
      </c>
      <c r="S563" s="1644" t="s">
        <v>3696</v>
      </c>
      <c r="T563" s="1644" t="s">
        <v>936</v>
      </c>
      <c r="U563" s="1644" t="s">
        <v>3631</v>
      </c>
      <c r="V563" s="1644"/>
      <c r="W563" s="1644">
        <v>0</v>
      </c>
      <c r="X563" s="1644"/>
      <c r="Y563" s="1647">
        <v>41975</v>
      </c>
      <c r="Z563" s="1647">
        <v>42340</v>
      </c>
      <c r="AA563" s="1650">
        <f t="shared" ca="1" si="27"/>
        <v>7.833333333333333</v>
      </c>
      <c r="AB563" s="2444" t="s">
        <v>3629</v>
      </c>
      <c r="AC563" s="2445"/>
      <c r="AD563" s="2438"/>
    </row>
    <row r="564" spans="1:30" ht="15.75" customHeight="1">
      <c r="A564" s="1644">
        <f t="shared" si="29"/>
        <v>10</v>
      </c>
      <c r="B564" s="1645" t="s">
        <v>2989</v>
      </c>
      <c r="C564" s="1644" t="s">
        <v>1578</v>
      </c>
      <c r="D564" s="1645" t="s">
        <v>4152</v>
      </c>
      <c r="E564" s="1644" t="s">
        <v>2798</v>
      </c>
      <c r="F564" s="1644">
        <f t="shared" si="22"/>
        <v>1980</v>
      </c>
      <c r="G564" s="1647">
        <v>29488</v>
      </c>
      <c r="H564" s="1644" t="s">
        <v>3628</v>
      </c>
      <c r="I564" s="1648"/>
      <c r="J564" s="1644" t="s">
        <v>38</v>
      </c>
      <c r="K564" s="1644">
        <v>0</v>
      </c>
      <c r="L564" s="1645" t="s">
        <v>4057</v>
      </c>
      <c r="M564" s="1645" t="s">
        <v>4250</v>
      </c>
      <c r="N564" s="1645"/>
      <c r="O564" s="1645" t="s">
        <v>4250</v>
      </c>
      <c r="P564" s="1649"/>
      <c r="Q564" s="1645" t="s">
        <v>3693</v>
      </c>
      <c r="R564" s="1647" t="s">
        <v>3789</v>
      </c>
      <c r="S564" s="1644" t="s">
        <v>3696</v>
      </c>
      <c r="T564" s="1644" t="s">
        <v>936</v>
      </c>
      <c r="U564" s="1644" t="s">
        <v>3631</v>
      </c>
      <c r="V564" s="1644"/>
      <c r="W564" s="1644" t="s">
        <v>4691</v>
      </c>
      <c r="X564" s="1644" t="s">
        <v>3759</v>
      </c>
      <c r="Y564" s="1647">
        <v>37735</v>
      </c>
      <c r="Z564" s="1647">
        <v>38101</v>
      </c>
      <c r="AA564" s="1650">
        <f t="shared" ca="1" si="27"/>
        <v>10.916666666666666</v>
      </c>
      <c r="AB564" s="2444" t="e">
        <v>#REF!</v>
      </c>
      <c r="AC564" s="2446" t="e">
        <f>+#REF!-#REF!</f>
        <v>#REF!</v>
      </c>
      <c r="AD564" s="2438"/>
    </row>
    <row r="565" spans="1:30" ht="15.75" customHeight="1">
      <c r="A565" s="1644">
        <f t="shared" si="29"/>
        <v>11</v>
      </c>
      <c r="B565" s="1645" t="s">
        <v>2885</v>
      </c>
      <c r="C565" s="1644" t="s">
        <v>1578</v>
      </c>
      <c r="D565" s="1645" t="s">
        <v>4152</v>
      </c>
      <c r="E565" s="1646" t="s">
        <v>2798</v>
      </c>
      <c r="F565" s="1644">
        <f t="shared" si="22"/>
        <v>1988</v>
      </c>
      <c r="G565" s="1647">
        <v>32188</v>
      </c>
      <c r="H565" s="1644" t="s">
        <v>3636</v>
      </c>
      <c r="I565" s="1648"/>
      <c r="J565" s="1644" t="s">
        <v>37</v>
      </c>
      <c r="K565" s="1644">
        <v>0</v>
      </c>
      <c r="L565" s="1645" t="s">
        <v>2682</v>
      </c>
      <c r="M565" s="1645" t="s">
        <v>4456</v>
      </c>
      <c r="N565" s="1645"/>
      <c r="O565" s="1645">
        <v>0</v>
      </c>
      <c r="P565" s="1649"/>
      <c r="Q565" s="1645" t="s">
        <v>3693</v>
      </c>
      <c r="R565" s="1644" t="s">
        <v>3683</v>
      </c>
      <c r="S565" s="1644" t="s">
        <v>3696</v>
      </c>
      <c r="T565" s="1644" t="s">
        <v>936</v>
      </c>
      <c r="U565" s="1644"/>
      <c r="V565" s="1644"/>
      <c r="W565" s="1644">
        <v>0</v>
      </c>
      <c r="X565" s="1644" t="s">
        <v>3633</v>
      </c>
      <c r="Y565" s="1647">
        <v>40283</v>
      </c>
      <c r="Z565" s="1647">
        <v>40648</v>
      </c>
      <c r="AA565" s="1650">
        <f t="shared" ca="1" si="27"/>
        <v>18.333333333333332</v>
      </c>
      <c r="AB565" s="2444" t="s">
        <v>3629</v>
      </c>
      <c r="AC565" s="2445"/>
      <c r="AD565" s="2438"/>
    </row>
    <row r="566" spans="1:30" ht="15.75" customHeight="1">
      <c r="A566" s="1644">
        <f t="shared" si="29"/>
        <v>12</v>
      </c>
      <c r="B566" s="1645" t="s">
        <v>4692</v>
      </c>
      <c r="C566" s="1644" t="s">
        <v>1578</v>
      </c>
      <c r="D566" s="1645" t="s">
        <v>4152</v>
      </c>
      <c r="E566" s="1646" t="s">
        <v>2798</v>
      </c>
      <c r="F566" s="1644">
        <f t="shared" si="22"/>
        <v>1970</v>
      </c>
      <c r="G566" s="1647">
        <v>25669</v>
      </c>
      <c r="H566" s="1644" t="s">
        <v>3636</v>
      </c>
      <c r="I566" s="1648"/>
      <c r="J566" s="1644" t="s">
        <v>37</v>
      </c>
      <c r="K566" s="1644">
        <v>0</v>
      </c>
      <c r="L566" s="1645" t="s">
        <v>4057</v>
      </c>
      <c r="M566" s="1645" t="s">
        <v>4153</v>
      </c>
      <c r="N566" s="1645"/>
      <c r="O566" s="1645" t="s">
        <v>3645</v>
      </c>
      <c r="P566" s="1649"/>
      <c r="Q566" s="1645" t="s">
        <v>3693</v>
      </c>
      <c r="R566" s="1647" t="s">
        <v>3699</v>
      </c>
      <c r="S566" s="1644" t="s">
        <v>3696</v>
      </c>
      <c r="T566" s="1644"/>
      <c r="U566" s="1644" t="s">
        <v>3711</v>
      </c>
      <c r="V566" s="1644"/>
      <c r="W566" s="1644" t="s">
        <v>3968</v>
      </c>
      <c r="X566" s="1644"/>
      <c r="Y566" s="1647">
        <v>34859</v>
      </c>
      <c r="Z566" s="1647">
        <v>35225</v>
      </c>
      <c r="AA566" s="1650">
        <f t="shared" ca="1" si="27"/>
        <v>0.5</v>
      </c>
      <c r="AB566" s="2444" t="s">
        <v>3629</v>
      </c>
      <c r="AC566" s="2445"/>
      <c r="AD566" s="2438"/>
    </row>
    <row r="567" spans="1:30" ht="15.75" customHeight="1">
      <c r="A567" s="1644">
        <f t="shared" si="29"/>
        <v>13</v>
      </c>
      <c r="B567" s="1645" t="s">
        <v>2558</v>
      </c>
      <c r="C567" s="1644" t="s">
        <v>1578</v>
      </c>
      <c r="D567" s="1645" t="s">
        <v>4152</v>
      </c>
      <c r="E567" s="1646" t="s">
        <v>2798</v>
      </c>
      <c r="F567" s="1644">
        <f t="shared" si="22"/>
        <v>1980</v>
      </c>
      <c r="G567" s="1647">
        <v>29313</v>
      </c>
      <c r="H567" s="1644" t="s">
        <v>3636</v>
      </c>
      <c r="I567" s="1648"/>
      <c r="J567" s="1644" t="s">
        <v>37</v>
      </c>
      <c r="K567" s="1644">
        <v>0</v>
      </c>
      <c r="L567" s="1645" t="s">
        <v>4057</v>
      </c>
      <c r="M567" s="1645" t="s">
        <v>4153</v>
      </c>
      <c r="N567" s="1645"/>
      <c r="O567" s="1645" t="s">
        <v>3645</v>
      </c>
      <c r="P567" s="1649"/>
      <c r="Q567" s="1645" t="s">
        <v>3693</v>
      </c>
      <c r="R567" s="1647" t="s">
        <v>3699</v>
      </c>
      <c r="S567" s="1644" t="s">
        <v>3696</v>
      </c>
      <c r="T567" s="1644" t="s">
        <v>936</v>
      </c>
      <c r="U567" s="1644" t="s">
        <v>3631</v>
      </c>
      <c r="V567" s="1644"/>
      <c r="W567" s="1650" t="s">
        <v>3653</v>
      </c>
      <c r="X567" s="1644" t="s">
        <v>3633</v>
      </c>
      <c r="Y567" s="1647">
        <v>0</v>
      </c>
      <c r="Z567" s="1647">
        <v>0</v>
      </c>
      <c r="AA567" s="1650">
        <f t="shared" ca="1" si="27"/>
        <v>10.416666666666666</v>
      </c>
      <c r="AB567" s="2444" t="s">
        <v>3629</v>
      </c>
      <c r="AC567" s="2445"/>
      <c r="AD567" s="2438"/>
    </row>
    <row r="568" spans="1:30" ht="15.75" customHeight="1">
      <c r="A568" s="1644">
        <f t="shared" si="29"/>
        <v>14</v>
      </c>
      <c r="B568" s="1645" t="s">
        <v>4693</v>
      </c>
      <c r="C568" s="1644" t="s">
        <v>1578</v>
      </c>
      <c r="D568" s="1645" t="s">
        <v>4152</v>
      </c>
      <c r="E568" s="1646" t="s">
        <v>2797</v>
      </c>
      <c r="F568" s="1644">
        <f t="shared" si="22"/>
        <v>1969</v>
      </c>
      <c r="G568" s="1647">
        <v>25514</v>
      </c>
      <c r="H568" s="1644" t="s">
        <v>3797</v>
      </c>
      <c r="I568" s="1648"/>
      <c r="J568" s="1644" t="s">
        <v>38</v>
      </c>
      <c r="K568" s="1644" t="s">
        <v>3798</v>
      </c>
      <c r="L568" s="1645" t="s">
        <v>4057</v>
      </c>
      <c r="M568" s="1645" t="s">
        <v>4153</v>
      </c>
      <c r="N568" s="1645"/>
      <c r="O568" s="1645" t="s">
        <v>4153</v>
      </c>
      <c r="P568" s="1649"/>
      <c r="Q568" s="1645" t="s">
        <v>3757</v>
      </c>
      <c r="R568" s="1644" t="s">
        <v>3993</v>
      </c>
      <c r="S568" s="1644"/>
      <c r="T568" s="1644" t="s">
        <v>936</v>
      </c>
      <c r="U568" s="1644" t="s">
        <v>3802</v>
      </c>
      <c r="V568" s="1644"/>
      <c r="W568" s="1644">
        <v>0</v>
      </c>
      <c r="X568" s="1644" t="s">
        <v>4481</v>
      </c>
      <c r="Y568" s="1647">
        <v>33714</v>
      </c>
      <c r="Z568" s="1647">
        <v>34079</v>
      </c>
      <c r="AA568" s="1650">
        <f t="shared" ca="1" si="27"/>
        <v>5.083333333333333</v>
      </c>
      <c r="AB568" s="2444" t="e">
        <v>#REF!</v>
      </c>
      <c r="AC568" s="2446" t="e">
        <f>+#REF!-#REF!</f>
        <v>#REF!</v>
      </c>
      <c r="AD568" s="2438"/>
    </row>
    <row r="569" spans="1:30" ht="15.75" customHeight="1">
      <c r="A569" s="1644">
        <f t="shared" si="29"/>
        <v>15</v>
      </c>
      <c r="B569" s="1645" t="s">
        <v>2563</v>
      </c>
      <c r="C569" s="1644" t="s">
        <v>1578</v>
      </c>
      <c r="D569" s="1645" t="s">
        <v>4152</v>
      </c>
      <c r="E569" s="1646" t="s">
        <v>2798</v>
      </c>
      <c r="F569" s="1644">
        <f t="shared" si="22"/>
        <v>1969</v>
      </c>
      <c r="G569" s="1647">
        <v>25236</v>
      </c>
      <c r="H569" s="1644" t="s">
        <v>3628</v>
      </c>
      <c r="I569" s="1648"/>
      <c r="J569" s="1644" t="s">
        <v>37</v>
      </c>
      <c r="K569" s="1644">
        <v>0</v>
      </c>
      <c r="L569" s="1645" t="s">
        <v>4057</v>
      </c>
      <c r="M569" s="1645" t="s">
        <v>3976</v>
      </c>
      <c r="N569" s="1645"/>
      <c r="O569" s="1645" t="s">
        <v>3645</v>
      </c>
      <c r="P569" s="1649"/>
      <c r="Q569" s="1645" t="s">
        <v>3693</v>
      </c>
      <c r="R569" s="1647" t="s">
        <v>3699</v>
      </c>
      <c r="S569" s="1644" t="s">
        <v>3696</v>
      </c>
      <c r="T569" s="1644" t="s">
        <v>936</v>
      </c>
      <c r="U569" s="1644" t="s">
        <v>3631</v>
      </c>
      <c r="V569" s="1644"/>
      <c r="W569" s="1644">
        <v>0</v>
      </c>
      <c r="X569" s="1644"/>
      <c r="Y569" s="1647">
        <v>35438</v>
      </c>
      <c r="Z569" s="1647">
        <v>35803</v>
      </c>
      <c r="AA569" s="1650">
        <f t="shared" ca="1" si="27"/>
        <v>-0.75</v>
      </c>
      <c r="AB569" s="2444" t="s">
        <v>3629</v>
      </c>
      <c r="AC569" s="2445"/>
      <c r="AD569" s="2438"/>
    </row>
    <row r="570" spans="1:30" ht="15.75" customHeight="1">
      <c r="A570" s="1644">
        <f t="shared" si="29"/>
        <v>16</v>
      </c>
      <c r="B570" s="1645" t="s">
        <v>4694</v>
      </c>
      <c r="C570" s="1644" t="s">
        <v>1578</v>
      </c>
      <c r="D570" s="1645" t="s">
        <v>4152</v>
      </c>
      <c r="E570" s="1644" t="s">
        <v>2798</v>
      </c>
      <c r="F570" s="1644">
        <f t="shared" si="22"/>
        <v>1982</v>
      </c>
      <c r="G570" s="1647">
        <v>30091</v>
      </c>
      <c r="H570" s="1644" t="s">
        <v>3628</v>
      </c>
      <c r="I570" s="1648"/>
      <c r="J570" s="1644" t="s">
        <v>38</v>
      </c>
      <c r="K570" s="1644">
        <v>0</v>
      </c>
      <c r="L570" s="1645" t="s">
        <v>4057</v>
      </c>
      <c r="M570" s="1645" t="s">
        <v>3976</v>
      </c>
      <c r="N570" s="1645"/>
      <c r="O570" s="1645" t="s">
        <v>4695</v>
      </c>
      <c r="P570" s="1649"/>
      <c r="Q570" s="1645" t="s">
        <v>3693</v>
      </c>
      <c r="R570" s="1647" t="s">
        <v>2862</v>
      </c>
      <c r="S570" s="1644" t="s">
        <v>3696</v>
      </c>
      <c r="T570" s="1644" t="s">
        <v>936</v>
      </c>
      <c r="U570" s="1644" t="s">
        <v>3631</v>
      </c>
      <c r="V570" s="1644"/>
      <c r="W570" s="1650" t="s">
        <v>3822</v>
      </c>
      <c r="X570" s="1644"/>
      <c r="Y570" s="1647">
        <v>37696</v>
      </c>
      <c r="Z570" s="1647">
        <v>38062</v>
      </c>
      <c r="AA570" s="1650">
        <f t="shared" ca="1" si="27"/>
        <v>12.583333333333334</v>
      </c>
      <c r="AB570" s="2444" t="s">
        <v>3629</v>
      </c>
      <c r="AC570" s="2445"/>
      <c r="AD570" s="2438"/>
    </row>
    <row r="571" spans="1:30" ht="15.75" customHeight="1">
      <c r="A571" s="1644">
        <f t="shared" si="29"/>
        <v>17</v>
      </c>
      <c r="B571" s="1645" t="s">
        <v>2890</v>
      </c>
      <c r="C571" s="1644" t="s">
        <v>1578</v>
      </c>
      <c r="D571" s="1645" t="s">
        <v>4152</v>
      </c>
      <c r="E571" s="1644" t="s">
        <v>2798</v>
      </c>
      <c r="F571" s="1644">
        <f t="shared" si="22"/>
        <v>1986</v>
      </c>
      <c r="G571" s="1647">
        <v>31564</v>
      </c>
      <c r="H571" s="1644" t="s">
        <v>3636</v>
      </c>
      <c r="I571" s="1648"/>
      <c r="J571" s="1644" t="s">
        <v>37</v>
      </c>
      <c r="K571" s="1644">
        <v>0</v>
      </c>
      <c r="L571" s="1645" t="s">
        <v>4057</v>
      </c>
      <c r="M571" s="1645" t="s">
        <v>4696</v>
      </c>
      <c r="N571" s="1645"/>
      <c r="O571" s="1645" t="s">
        <v>3645</v>
      </c>
      <c r="P571" s="1649"/>
      <c r="Q571" s="1645" t="s">
        <v>3693</v>
      </c>
      <c r="R571" s="1647" t="s">
        <v>3710</v>
      </c>
      <c r="S571" s="1644" t="s">
        <v>3696</v>
      </c>
      <c r="T571" s="1644"/>
      <c r="U571" s="1644" t="s">
        <v>3711</v>
      </c>
      <c r="V571" s="1644"/>
      <c r="W571" s="1650" t="s">
        <v>3646</v>
      </c>
      <c r="X571" s="1644"/>
      <c r="Y571" s="1647">
        <v>40199</v>
      </c>
      <c r="Z571" s="1647">
        <v>40564</v>
      </c>
      <c r="AA571" s="1650">
        <f t="shared" ca="1" si="27"/>
        <v>16.583333333333332</v>
      </c>
      <c r="AB571" s="2444" t="s">
        <v>3629</v>
      </c>
      <c r="AC571" s="2445"/>
      <c r="AD571" s="2438"/>
    </row>
    <row r="572" spans="1:30" ht="15.75" customHeight="1">
      <c r="A572" s="1644">
        <f t="shared" si="29"/>
        <v>18</v>
      </c>
      <c r="B572" s="1645" t="s">
        <v>2564</v>
      </c>
      <c r="C572" s="1644" t="s">
        <v>1578</v>
      </c>
      <c r="D572" s="1645" t="s">
        <v>4152</v>
      </c>
      <c r="E572" s="1646" t="s">
        <v>2798</v>
      </c>
      <c r="F572" s="1644">
        <f t="shared" si="22"/>
        <v>1975</v>
      </c>
      <c r="G572" s="1647">
        <v>27424</v>
      </c>
      <c r="H572" s="1644" t="s">
        <v>3628</v>
      </c>
      <c r="I572" s="1648"/>
      <c r="J572" s="1644" t="s">
        <v>38</v>
      </c>
      <c r="K572" s="1644">
        <v>0</v>
      </c>
      <c r="L572" s="1645" t="s">
        <v>4057</v>
      </c>
      <c r="M572" s="1645" t="s">
        <v>3976</v>
      </c>
      <c r="N572" s="1645"/>
      <c r="O572" s="1645" t="s">
        <v>4695</v>
      </c>
      <c r="P572" s="1649"/>
      <c r="Q572" s="1645" t="s">
        <v>3693</v>
      </c>
      <c r="R572" s="1647" t="s">
        <v>3683</v>
      </c>
      <c r="S572" s="1644" t="s">
        <v>3696</v>
      </c>
      <c r="T572" s="1644" t="s">
        <v>936</v>
      </c>
      <c r="U572" s="1644" t="s">
        <v>3631</v>
      </c>
      <c r="V572" s="1644"/>
      <c r="W572" s="1644">
        <v>0</v>
      </c>
      <c r="X572" s="1644"/>
      <c r="Y572" s="1647">
        <v>35252</v>
      </c>
      <c r="Z572" s="1647">
        <v>35617</v>
      </c>
      <c r="AA572" s="1650">
        <f t="shared" ca="1" si="27"/>
        <v>5.25</v>
      </c>
      <c r="AB572" s="2444" t="s">
        <v>3629</v>
      </c>
      <c r="AC572" s="2445"/>
      <c r="AD572" s="2438"/>
    </row>
    <row r="573" spans="1:30" ht="15.75" customHeight="1">
      <c r="A573" s="1644">
        <f t="shared" si="29"/>
        <v>19</v>
      </c>
      <c r="B573" s="1645" t="s">
        <v>2557</v>
      </c>
      <c r="C573" s="1644" t="s">
        <v>1578</v>
      </c>
      <c r="D573" s="1645" t="s">
        <v>4152</v>
      </c>
      <c r="E573" s="1646" t="s">
        <v>2797</v>
      </c>
      <c r="F573" s="1644">
        <f t="shared" si="22"/>
        <v>1969</v>
      </c>
      <c r="G573" s="1647">
        <v>25362</v>
      </c>
      <c r="H573" s="1644" t="s">
        <v>3636</v>
      </c>
      <c r="I573" s="1648"/>
      <c r="J573" s="1644" t="s">
        <v>37</v>
      </c>
      <c r="K573" s="1644">
        <v>0</v>
      </c>
      <c r="L573" s="1645" t="s">
        <v>4153</v>
      </c>
      <c r="M573" s="1645" t="s">
        <v>4153</v>
      </c>
      <c r="N573" s="1645"/>
      <c r="O573" s="1645" t="s">
        <v>3645</v>
      </c>
      <c r="P573" s="1649"/>
      <c r="Q573" s="1645" t="s">
        <v>3693</v>
      </c>
      <c r="R573" s="1647" t="s">
        <v>3683</v>
      </c>
      <c r="S573" s="1644" t="s">
        <v>3696</v>
      </c>
      <c r="T573" s="1644"/>
      <c r="U573" s="1644" t="s">
        <v>3711</v>
      </c>
      <c r="V573" s="1644"/>
      <c r="W573" s="1644"/>
      <c r="X573" s="1644"/>
      <c r="Y573" s="1647">
        <v>37419</v>
      </c>
      <c r="Z573" s="1647">
        <v>37784</v>
      </c>
      <c r="AA573" s="1650">
        <f t="shared" ca="1" si="27"/>
        <v>4.666666666666667</v>
      </c>
      <c r="AB573" s="2444" t="s">
        <v>3629</v>
      </c>
      <c r="AC573" s="2445"/>
      <c r="AD573" s="2438"/>
    </row>
    <row r="574" spans="1:30" ht="15.75" customHeight="1">
      <c r="A574" s="1644">
        <f t="shared" si="29"/>
        <v>20</v>
      </c>
      <c r="B574" s="1645" t="s">
        <v>2889</v>
      </c>
      <c r="C574" s="1644" t="s">
        <v>1578</v>
      </c>
      <c r="D574" s="1645" t="s">
        <v>4152</v>
      </c>
      <c r="E574" s="1644" t="s">
        <v>2798</v>
      </c>
      <c r="F574" s="1644">
        <f t="shared" si="22"/>
        <v>1989</v>
      </c>
      <c r="G574" s="1647">
        <v>32860</v>
      </c>
      <c r="H574" s="1644" t="s">
        <v>3636</v>
      </c>
      <c r="I574" s="1648"/>
      <c r="J574" s="1644" t="s">
        <v>37</v>
      </c>
      <c r="K574" s="1644">
        <v>0</v>
      </c>
      <c r="L574" s="1645" t="s">
        <v>4057</v>
      </c>
      <c r="M574" s="1645" t="s">
        <v>4523</v>
      </c>
      <c r="N574" s="1645"/>
      <c r="O574" s="1645">
        <v>0</v>
      </c>
      <c r="P574" s="1649"/>
      <c r="Q574" s="1645" t="s">
        <v>3693</v>
      </c>
      <c r="R574" s="1644" t="s">
        <v>3683</v>
      </c>
      <c r="S574" s="1644" t="s">
        <v>3696</v>
      </c>
      <c r="T574" s="1644" t="s">
        <v>936</v>
      </c>
      <c r="U574" s="1644"/>
      <c r="V574" s="1644"/>
      <c r="W574" s="1644">
        <v>0</v>
      </c>
      <c r="X574" s="1644"/>
      <c r="Y574" s="1647"/>
      <c r="Z574" s="1647" t="s">
        <v>936</v>
      </c>
      <c r="AA574" s="1650">
        <f t="shared" ca="1" si="27"/>
        <v>20.166666666666668</v>
      </c>
      <c r="AB574" s="2444" t="s">
        <v>3629</v>
      </c>
      <c r="AC574" s="2445"/>
      <c r="AD574" s="2438"/>
    </row>
    <row r="575" spans="1:30" ht="15.75" customHeight="1">
      <c r="A575" s="1644">
        <f t="shared" si="29"/>
        <v>21</v>
      </c>
      <c r="B575" s="1645" t="s">
        <v>2552</v>
      </c>
      <c r="C575" s="1644" t="s">
        <v>1578</v>
      </c>
      <c r="D575" s="1645" t="s">
        <v>4152</v>
      </c>
      <c r="E575" s="1646" t="s">
        <v>2797</v>
      </c>
      <c r="F575" s="1644">
        <f t="shared" si="22"/>
        <v>1982</v>
      </c>
      <c r="G575" s="1647">
        <v>30291</v>
      </c>
      <c r="H575" s="1644" t="s">
        <v>3636</v>
      </c>
      <c r="I575" s="1648"/>
      <c r="J575" s="1644" t="s">
        <v>38</v>
      </c>
      <c r="K575" s="1644">
        <v>0</v>
      </c>
      <c r="L575" s="1645" t="s">
        <v>4057</v>
      </c>
      <c r="M575" s="1645" t="s">
        <v>4523</v>
      </c>
      <c r="N575" s="1645"/>
      <c r="O575" s="1645" t="s">
        <v>4456</v>
      </c>
      <c r="P575" s="1649"/>
      <c r="Q575" s="1645" t="s">
        <v>3693</v>
      </c>
      <c r="R575" s="1644"/>
      <c r="S575" s="1644"/>
      <c r="T575" s="1644"/>
      <c r="U575" s="1644" t="s">
        <v>3631</v>
      </c>
      <c r="V575" s="1644"/>
      <c r="W575" s="1650" t="s">
        <v>3653</v>
      </c>
      <c r="X575" s="1644" t="s">
        <v>3707</v>
      </c>
      <c r="Y575" s="1647">
        <v>39461</v>
      </c>
      <c r="Z575" s="1647">
        <v>39817</v>
      </c>
      <c r="AA575" s="1650">
        <f t="shared" ca="1" si="27"/>
        <v>18.166666666666668</v>
      </c>
      <c r="AB575" s="2444" t="e">
        <v>#REF!</v>
      </c>
      <c r="AC575" s="2446" t="e">
        <f>+#REF!-#REF!</f>
        <v>#REF!</v>
      </c>
      <c r="AD575" s="2438"/>
    </row>
    <row r="576" spans="1:30" ht="15.75" customHeight="1">
      <c r="A576" s="1644">
        <f t="shared" si="29"/>
        <v>22</v>
      </c>
      <c r="B576" s="1645" t="s">
        <v>2553</v>
      </c>
      <c r="C576" s="1644" t="s">
        <v>1578</v>
      </c>
      <c r="D576" s="1645" t="s">
        <v>4152</v>
      </c>
      <c r="E576" s="1644" t="s">
        <v>2798</v>
      </c>
      <c r="F576" s="1644">
        <f t="shared" si="22"/>
        <v>1985</v>
      </c>
      <c r="G576" s="1647">
        <v>31100</v>
      </c>
      <c r="H576" s="1644" t="s">
        <v>3636</v>
      </c>
      <c r="I576" s="1648"/>
      <c r="J576" s="1644" t="s">
        <v>37</v>
      </c>
      <c r="K576" s="1644">
        <v>0</v>
      </c>
      <c r="L576" s="1645" t="s">
        <v>4057</v>
      </c>
      <c r="M576" s="1645" t="s">
        <v>4456</v>
      </c>
      <c r="N576" s="1645"/>
      <c r="O576" s="1645" t="s">
        <v>3645</v>
      </c>
      <c r="P576" s="1649"/>
      <c r="Q576" s="1645" t="s">
        <v>3693</v>
      </c>
      <c r="R576" s="1647" t="s">
        <v>3683</v>
      </c>
      <c r="S576" s="1644"/>
      <c r="T576" s="1644"/>
      <c r="U576" s="1644" t="s">
        <v>3711</v>
      </c>
      <c r="V576" s="1644" t="s">
        <v>936</v>
      </c>
      <c r="W576" s="1644" t="s">
        <v>3968</v>
      </c>
      <c r="X576" s="1644"/>
      <c r="Y576" s="1647">
        <v>42620</v>
      </c>
      <c r="Z576" s="1647">
        <v>38967</v>
      </c>
      <c r="AA576" s="1650">
        <f t="shared" ca="1" si="27"/>
        <v>15.333333333333334</v>
      </c>
      <c r="AB576" s="2444" t="s">
        <v>3629</v>
      </c>
      <c r="AC576" s="2445"/>
      <c r="AD576" s="2438"/>
    </row>
    <row r="577" spans="1:30" ht="15.75" customHeight="1">
      <c r="A577" s="1644">
        <f t="shared" si="29"/>
        <v>23</v>
      </c>
      <c r="B577" s="1645" t="s">
        <v>2878</v>
      </c>
      <c r="C577" s="1644" t="s">
        <v>1578</v>
      </c>
      <c r="D577" s="1645" t="s">
        <v>4152</v>
      </c>
      <c r="E577" s="1646" t="s">
        <v>2798</v>
      </c>
      <c r="F577" s="1644">
        <f t="shared" si="22"/>
        <v>1992</v>
      </c>
      <c r="G577" s="1647">
        <v>33884</v>
      </c>
      <c r="H577" s="1644" t="s">
        <v>3636</v>
      </c>
      <c r="I577" s="1648"/>
      <c r="J577" s="1644" t="s">
        <v>37</v>
      </c>
      <c r="K577" s="1644"/>
      <c r="L577" s="1651" t="s">
        <v>4697</v>
      </c>
      <c r="M577" s="1645" t="s">
        <v>4697</v>
      </c>
      <c r="N577" s="1645"/>
      <c r="O577" s="1645">
        <v>0</v>
      </c>
      <c r="P577" s="1649"/>
      <c r="Q577" s="1645" t="s">
        <v>3693</v>
      </c>
      <c r="R577" s="1644"/>
      <c r="S577" s="1644" t="s">
        <v>4698</v>
      </c>
      <c r="T577" s="1644">
        <v>2018</v>
      </c>
      <c r="U577" s="1644"/>
      <c r="V577" s="1644"/>
      <c r="W577" s="1644" t="s">
        <v>936</v>
      </c>
      <c r="X577" s="1644"/>
      <c r="Y577" s="1647"/>
      <c r="Z577" s="1647"/>
      <c r="AA577" s="1650">
        <f t="shared" ca="1" si="27"/>
        <v>23</v>
      </c>
      <c r="AB577" s="2444" t="s">
        <v>3629</v>
      </c>
      <c r="AC577" s="2445"/>
      <c r="AD577" s="2438"/>
    </row>
    <row r="578" spans="1:30" ht="15.75" customHeight="1">
      <c r="A578" s="1644">
        <f t="shared" si="29"/>
        <v>24</v>
      </c>
      <c r="B578" s="1645" t="s">
        <v>4699</v>
      </c>
      <c r="C578" s="1644" t="s">
        <v>1578</v>
      </c>
      <c r="D578" s="1645" t="s">
        <v>3286</v>
      </c>
      <c r="E578" s="1646" t="s">
        <v>2798</v>
      </c>
      <c r="F578" s="1644">
        <f t="shared" si="22"/>
        <v>1989</v>
      </c>
      <c r="G578" s="1647">
        <v>32649</v>
      </c>
      <c r="H578" s="1644" t="s">
        <v>3636</v>
      </c>
      <c r="I578" s="1648"/>
      <c r="J578" s="1644" t="s">
        <v>37</v>
      </c>
      <c r="K578" s="1644"/>
      <c r="L578" s="1651" t="s">
        <v>1701</v>
      </c>
      <c r="M578" s="1645" t="s">
        <v>1701</v>
      </c>
      <c r="N578" s="1645"/>
      <c r="O578" s="1645">
        <v>0</v>
      </c>
      <c r="P578" s="1649"/>
      <c r="Q578" s="1645" t="s">
        <v>3693</v>
      </c>
      <c r="R578" s="1647" t="s">
        <v>3727</v>
      </c>
      <c r="S578" s="1644" t="s">
        <v>4698</v>
      </c>
      <c r="T578" s="1644">
        <v>2018</v>
      </c>
      <c r="U578" s="1644"/>
      <c r="V578" s="1644"/>
      <c r="W578" s="1644">
        <v>0</v>
      </c>
      <c r="X578" s="1644"/>
      <c r="Y578" s="1647"/>
      <c r="Z578" s="1647"/>
      <c r="AA578" s="1650">
        <f t="shared" ca="1" si="27"/>
        <v>19.583333333333332</v>
      </c>
      <c r="AB578" s="2444" t="s">
        <v>3629</v>
      </c>
      <c r="AC578" s="2445"/>
      <c r="AD578" s="2438"/>
    </row>
    <row r="579" spans="1:30" ht="15.75" customHeight="1">
      <c r="A579" s="1644">
        <f t="shared" si="29"/>
        <v>25</v>
      </c>
      <c r="B579" s="1645" t="s">
        <v>2572</v>
      </c>
      <c r="C579" s="1644" t="s">
        <v>1578</v>
      </c>
      <c r="D579" s="1645" t="s">
        <v>3286</v>
      </c>
      <c r="E579" s="1644" t="s">
        <v>2798</v>
      </c>
      <c r="F579" s="1644">
        <f t="shared" si="22"/>
        <v>1980</v>
      </c>
      <c r="G579" s="1647">
        <v>29326</v>
      </c>
      <c r="H579" s="1644" t="s">
        <v>3636</v>
      </c>
      <c r="I579" s="1648"/>
      <c r="J579" s="1644" t="s">
        <v>38</v>
      </c>
      <c r="K579" s="1644">
        <v>0</v>
      </c>
      <c r="L579" s="1645" t="s">
        <v>3367</v>
      </c>
      <c r="M579" s="1645" t="s">
        <v>4700</v>
      </c>
      <c r="N579" s="1645"/>
      <c r="O579" s="1645" t="s">
        <v>4701</v>
      </c>
      <c r="P579" s="1649">
        <v>44593</v>
      </c>
      <c r="Q579" s="1645" t="s">
        <v>3693</v>
      </c>
      <c r="R579" s="1644" t="s">
        <v>3683</v>
      </c>
      <c r="S579" s="1644"/>
      <c r="T579" s="1644" t="s">
        <v>936</v>
      </c>
      <c r="U579" s="1644" t="s">
        <v>3697</v>
      </c>
      <c r="V579" s="1644"/>
      <c r="W579" s="1650" t="s">
        <v>3822</v>
      </c>
      <c r="X579" s="1644"/>
      <c r="Y579" s="1647">
        <v>40369</v>
      </c>
      <c r="Z579" s="1647">
        <v>40734</v>
      </c>
      <c r="AA579" s="1650">
        <f t="shared" ca="1" si="27"/>
        <v>10.5</v>
      </c>
      <c r="AB579" s="2444" t="e">
        <v>#REF!</v>
      </c>
      <c r="AC579" s="2446" t="e">
        <f>+#REF!-#REF!</f>
        <v>#REF!</v>
      </c>
      <c r="AD579" s="2438"/>
    </row>
    <row r="580" spans="1:30" ht="15.75" customHeight="1">
      <c r="A580" s="1644">
        <f t="shared" si="29"/>
        <v>26</v>
      </c>
      <c r="B580" s="1645" t="s">
        <v>4702</v>
      </c>
      <c r="C580" s="1644" t="s">
        <v>1578</v>
      </c>
      <c r="D580" s="1645" t="s">
        <v>3286</v>
      </c>
      <c r="E580" s="1646" t="s">
        <v>2798</v>
      </c>
      <c r="F580" s="1644">
        <f t="shared" si="22"/>
        <v>1980</v>
      </c>
      <c r="G580" s="1647">
        <v>29369</v>
      </c>
      <c r="H580" s="1644" t="s">
        <v>3636</v>
      </c>
      <c r="I580" s="1648"/>
      <c r="J580" s="1644" t="s">
        <v>38</v>
      </c>
      <c r="K580" s="1647"/>
      <c r="L580" s="1645" t="s">
        <v>2824</v>
      </c>
      <c r="M580" s="1645" t="s">
        <v>4703</v>
      </c>
      <c r="N580" s="1645"/>
      <c r="O580" s="1645" t="s">
        <v>4018</v>
      </c>
      <c r="P580" s="1649">
        <v>44559</v>
      </c>
      <c r="Q580" s="1645" t="s">
        <v>3693</v>
      </c>
      <c r="R580" s="1647" t="s">
        <v>3683</v>
      </c>
      <c r="S580" s="1644" t="s">
        <v>3696</v>
      </c>
      <c r="T580" s="1644">
        <v>0</v>
      </c>
      <c r="U580" s="1644" t="s">
        <v>3697</v>
      </c>
      <c r="V580" s="1644"/>
      <c r="W580" s="1650" t="s">
        <v>3646</v>
      </c>
      <c r="X580" s="1644"/>
      <c r="Y580" s="1647">
        <v>37731</v>
      </c>
      <c r="Z580" s="1647">
        <v>38066</v>
      </c>
      <c r="AA580" s="1650">
        <f t="shared" ca="1" si="27"/>
        <v>10.583333333333334</v>
      </c>
      <c r="AB580" s="2444" t="s">
        <v>3629</v>
      </c>
      <c r="AC580" s="2445"/>
      <c r="AD580" s="2438"/>
    </row>
    <row r="581" spans="1:30" ht="15.75" customHeight="1">
      <c r="A581" s="1644">
        <f t="shared" si="29"/>
        <v>27</v>
      </c>
      <c r="B581" s="1645" t="s">
        <v>2571</v>
      </c>
      <c r="C581" s="1644" t="s">
        <v>1578</v>
      </c>
      <c r="D581" s="1645" t="s">
        <v>3286</v>
      </c>
      <c r="E581" s="1644" t="s">
        <v>2797</v>
      </c>
      <c r="F581" s="1644">
        <f t="shared" si="22"/>
        <v>1982</v>
      </c>
      <c r="G581" s="1647">
        <v>30238</v>
      </c>
      <c r="H581" s="1644" t="s">
        <v>3636</v>
      </c>
      <c r="I581" s="1648"/>
      <c r="J581" s="1644" t="s">
        <v>37</v>
      </c>
      <c r="K581" s="1644"/>
      <c r="L581" s="1645" t="s">
        <v>4704</v>
      </c>
      <c r="M581" s="1645">
        <v>0</v>
      </c>
      <c r="N581" s="1645"/>
      <c r="O581" s="1645">
        <v>0</v>
      </c>
      <c r="P581" s="1649"/>
      <c r="Q581" s="1645" t="s">
        <v>3693</v>
      </c>
      <c r="R581" s="1644"/>
      <c r="S581" s="1644"/>
      <c r="T581" s="1644">
        <v>2018</v>
      </c>
      <c r="U581" s="1644"/>
      <c r="V581" s="1644"/>
      <c r="W581" s="1644"/>
      <c r="X581" s="1644"/>
      <c r="Y581" s="1647">
        <v>39268</v>
      </c>
      <c r="Z581" s="1647">
        <v>39634</v>
      </c>
      <c r="AA581" s="1650">
        <f t="shared" ca="1" si="27"/>
        <v>18</v>
      </c>
      <c r="AB581" s="2444" t="s">
        <v>3629</v>
      </c>
      <c r="AC581" s="2445"/>
      <c r="AD581" s="2438"/>
    </row>
    <row r="582" spans="1:30" ht="15.75" customHeight="1">
      <c r="A582" s="1644">
        <f t="shared" si="29"/>
        <v>28</v>
      </c>
      <c r="B582" s="1645" t="s">
        <v>2921</v>
      </c>
      <c r="C582" s="1644" t="s">
        <v>1578</v>
      </c>
      <c r="D582" s="1645" t="s">
        <v>3286</v>
      </c>
      <c r="E582" s="1644" t="s">
        <v>2798</v>
      </c>
      <c r="F582" s="1644">
        <f t="shared" si="22"/>
        <v>1996</v>
      </c>
      <c r="G582" s="1647">
        <v>35376</v>
      </c>
      <c r="H582" s="1644" t="s">
        <v>3636</v>
      </c>
      <c r="I582" s="1648"/>
      <c r="J582" s="1644" t="s">
        <v>37</v>
      </c>
      <c r="K582" s="1644"/>
      <c r="L582" s="1645" t="s">
        <v>506</v>
      </c>
      <c r="M582" s="1645" t="s">
        <v>506</v>
      </c>
      <c r="N582" s="1645"/>
      <c r="O582" s="1645">
        <v>0</v>
      </c>
      <c r="P582" s="1649"/>
      <c r="Q582" s="1645"/>
      <c r="R582" s="1644" t="s">
        <v>3699</v>
      </c>
      <c r="S582" s="1644"/>
      <c r="T582" s="1644">
        <v>0</v>
      </c>
      <c r="U582" s="1644"/>
      <c r="V582" s="1644"/>
      <c r="W582" s="1644" t="s">
        <v>3679</v>
      </c>
      <c r="X582" s="1644"/>
      <c r="Y582" s="1647">
        <v>42515</v>
      </c>
      <c r="Z582" s="1647">
        <v>42880</v>
      </c>
      <c r="AA582" s="1650">
        <f t="shared" ca="1" si="27"/>
        <v>27.083333333333332</v>
      </c>
      <c r="AB582" s="2444" t="s">
        <v>3629</v>
      </c>
      <c r="AC582" s="2445"/>
      <c r="AD582" s="2438"/>
    </row>
    <row r="583" spans="1:30" ht="15.75" customHeight="1">
      <c r="A583" s="1644">
        <f t="shared" si="29"/>
        <v>29</v>
      </c>
      <c r="B583" s="1645" t="s">
        <v>2577</v>
      </c>
      <c r="C583" s="1644" t="s">
        <v>1578</v>
      </c>
      <c r="D583" s="1645" t="s">
        <v>3286</v>
      </c>
      <c r="E583" s="1646" t="s">
        <v>2798</v>
      </c>
      <c r="F583" s="1644">
        <f t="shared" si="22"/>
        <v>1974</v>
      </c>
      <c r="G583" s="1647">
        <v>27316</v>
      </c>
      <c r="H583" s="1644" t="s">
        <v>3628</v>
      </c>
      <c r="I583" s="1648"/>
      <c r="J583" s="1644" t="s">
        <v>38</v>
      </c>
      <c r="K583" s="1644">
        <v>0</v>
      </c>
      <c r="L583" s="1645" t="s">
        <v>249</v>
      </c>
      <c r="M583" s="1645" t="s">
        <v>4705</v>
      </c>
      <c r="N583" s="1645"/>
      <c r="O583" s="1645" t="s">
        <v>4706</v>
      </c>
      <c r="P583" s="1649"/>
      <c r="Q583" s="1645" t="s">
        <v>3693</v>
      </c>
      <c r="R583" s="1647" t="s">
        <v>3789</v>
      </c>
      <c r="S583" s="1644" t="s">
        <v>3696</v>
      </c>
      <c r="T583" s="1644" t="s">
        <v>936</v>
      </c>
      <c r="U583" s="1644" t="s">
        <v>3697</v>
      </c>
      <c r="V583" s="1644"/>
      <c r="W583" s="1644">
        <v>0</v>
      </c>
      <c r="X583" s="1644" t="s">
        <v>3633</v>
      </c>
      <c r="Y583" s="1647">
        <v>35717</v>
      </c>
      <c r="Z583" s="1647">
        <v>36082</v>
      </c>
      <c r="AA583" s="1650">
        <f t="shared" ca="1" si="27"/>
        <v>5</v>
      </c>
      <c r="AB583" s="2444" t="e">
        <v>#REF!</v>
      </c>
      <c r="AC583" s="2446" t="e">
        <f>+#REF!-#REF!</f>
        <v>#REF!</v>
      </c>
      <c r="AD583" s="2438"/>
    </row>
    <row r="584" spans="1:30" ht="15.75" customHeight="1">
      <c r="A584" s="1644">
        <f t="shared" si="29"/>
        <v>30</v>
      </c>
      <c r="B584" s="1645" t="s">
        <v>4707</v>
      </c>
      <c r="C584" s="1644" t="s">
        <v>1578</v>
      </c>
      <c r="D584" s="1645" t="s">
        <v>3286</v>
      </c>
      <c r="E584" s="1644" t="s">
        <v>2798</v>
      </c>
      <c r="F584" s="1644">
        <f t="shared" si="22"/>
        <v>1980</v>
      </c>
      <c r="G584" s="1647">
        <v>29360</v>
      </c>
      <c r="H584" s="1644" t="s">
        <v>3636</v>
      </c>
      <c r="I584" s="1648"/>
      <c r="J584" s="1644" t="s">
        <v>37</v>
      </c>
      <c r="K584" s="1644">
        <v>0</v>
      </c>
      <c r="L584" s="1645" t="s">
        <v>3367</v>
      </c>
      <c r="M584" s="1645" t="s">
        <v>4708</v>
      </c>
      <c r="N584" s="1645"/>
      <c r="O584" s="1645" t="s">
        <v>3645</v>
      </c>
      <c r="P584" s="1649"/>
      <c r="Q584" s="1645" t="s">
        <v>3693</v>
      </c>
      <c r="R584" s="1647" t="s">
        <v>3639</v>
      </c>
      <c r="S584" s="1644"/>
      <c r="T584" s="1644" t="s">
        <v>936</v>
      </c>
      <c r="U584" s="1644" t="s">
        <v>3711</v>
      </c>
      <c r="V584" s="1644"/>
      <c r="W584" s="1650" t="s">
        <v>3822</v>
      </c>
      <c r="X584" s="1644"/>
      <c r="Y584" s="1647">
        <v>41377</v>
      </c>
      <c r="Z584" s="1647">
        <v>41742</v>
      </c>
      <c r="AA584" s="1650">
        <f t="shared" ca="1" si="27"/>
        <v>10.583333333333334</v>
      </c>
      <c r="AB584" s="2444" t="s">
        <v>3629</v>
      </c>
      <c r="AC584" s="2445"/>
      <c r="AD584" s="2438"/>
    </row>
    <row r="585" spans="1:30" ht="15.75" customHeight="1">
      <c r="A585" s="1644">
        <f t="shared" si="29"/>
        <v>31</v>
      </c>
      <c r="B585" s="1645" t="s">
        <v>2576</v>
      </c>
      <c r="C585" s="1644" t="s">
        <v>1578</v>
      </c>
      <c r="D585" s="1645" t="s">
        <v>3286</v>
      </c>
      <c r="E585" s="1646" t="s">
        <v>2797</v>
      </c>
      <c r="F585" s="1644">
        <f t="shared" si="22"/>
        <v>1971</v>
      </c>
      <c r="G585" s="1647">
        <v>26147</v>
      </c>
      <c r="H585" s="1644" t="s">
        <v>3636</v>
      </c>
      <c r="I585" s="1648"/>
      <c r="J585" s="1644" t="s">
        <v>37</v>
      </c>
      <c r="K585" s="1644">
        <v>0</v>
      </c>
      <c r="L585" s="1645" t="s">
        <v>4709</v>
      </c>
      <c r="M585" s="1645" t="s">
        <v>4214</v>
      </c>
      <c r="N585" s="1645"/>
      <c r="O585" s="1645" t="s">
        <v>3645</v>
      </c>
      <c r="P585" s="1649"/>
      <c r="Q585" s="1645" t="s">
        <v>3693</v>
      </c>
      <c r="R585" s="1644" t="s">
        <v>3993</v>
      </c>
      <c r="S585" s="1644"/>
      <c r="T585" s="1644" t="s">
        <v>936</v>
      </c>
      <c r="U585" s="1644" t="s">
        <v>3711</v>
      </c>
      <c r="V585" s="1644"/>
      <c r="W585" s="1644" t="s">
        <v>3679</v>
      </c>
      <c r="X585" s="1644"/>
      <c r="Y585" s="1647">
        <v>37623</v>
      </c>
      <c r="Z585" s="1647">
        <v>37988</v>
      </c>
      <c r="AA585" s="1650">
        <f t="shared" ca="1" si="27"/>
        <v>6.75</v>
      </c>
      <c r="AB585" s="2444" t="s">
        <v>3629</v>
      </c>
      <c r="AC585" s="2445"/>
      <c r="AD585" s="2438"/>
    </row>
    <row r="586" spans="1:30" ht="15.75" customHeight="1">
      <c r="A586" s="1644">
        <f t="shared" si="29"/>
        <v>32</v>
      </c>
      <c r="B586" s="1645" t="s">
        <v>2586</v>
      </c>
      <c r="C586" s="1644" t="s">
        <v>1578</v>
      </c>
      <c r="D586" s="1645" t="s">
        <v>554</v>
      </c>
      <c r="E586" s="1644" t="s">
        <v>2798</v>
      </c>
      <c r="F586" s="1644">
        <f t="shared" si="22"/>
        <v>1973</v>
      </c>
      <c r="G586" s="1647">
        <v>26967</v>
      </c>
      <c r="H586" s="1644" t="s">
        <v>3628</v>
      </c>
      <c r="I586" s="1648"/>
      <c r="J586" s="1644" t="s">
        <v>38</v>
      </c>
      <c r="K586" s="1644">
        <v>0</v>
      </c>
      <c r="L586" s="1645" t="s">
        <v>249</v>
      </c>
      <c r="M586" s="1645" t="s">
        <v>4710</v>
      </c>
      <c r="N586" s="1645"/>
      <c r="O586" s="1645" t="s">
        <v>3268</v>
      </c>
      <c r="P586" s="1649"/>
      <c r="Q586" s="1645" t="s">
        <v>3757</v>
      </c>
      <c r="R586" s="1644"/>
      <c r="S586" s="1644" t="s">
        <v>3696</v>
      </c>
      <c r="T586" s="1644" t="s">
        <v>936</v>
      </c>
      <c r="U586" s="1644" t="s">
        <v>3631</v>
      </c>
      <c r="V586" s="1644"/>
      <c r="W586" s="1644">
        <v>0</v>
      </c>
      <c r="X586" s="1644" t="s">
        <v>3633</v>
      </c>
      <c r="Y586" s="1647">
        <v>37328</v>
      </c>
      <c r="Z586" s="1647">
        <v>37693</v>
      </c>
      <c r="AA586" s="1650">
        <f t="shared" ca="1" si="27"/>
        <v>4</v>
      </c>
      <c r="AB586" s="2444" t="s">
        <v>3629</v>
      </c>
      <c r="AC586" s="2446" t="e">
        <f t="shared" ref="AC586:AC588" si="31">+#REF!-#REF!</f>
        <v>#REF!</v>
      </c>
      <c r="AD586" s="2438"/>
    </row>
    <row r="587" spans="1:30" ht="15.75" customHeight="1">
      <c r="A587" s="1644">
        <f t="shared" si="29"/>
        <v>33</v>
      </c>
      <c r="B587" s="1645" t="s">
        <v>2584</v>
      </c>
      <c r="C587" s="1644" t="s">
        <v>1578</v>
      </c>
      <c r="D587" s="1645" t="s">
        <v>554</v>
      </c>
      <c r="E587" s="1646" t="s">
        <v>2798</v>
      </c>
      <c r="F587" s="1644">
        <f t="shared" si="22"/>
        <v>1970</v>
      </c>
      <c r="G587" s="1647">
        <v>25769</v>
      </c>
      <c r="H587" s="1644" t="s">
        <v>3797</v>
      </c>
      <c r="I587" s="1648"/>
      <c r="J587" s="1644" t="s">
        <v>38</v>
      </c>
      <c r="K587" s="1644" t="s">
        <v>3798</v>
      </c>
      <c r="L587" s="1645" t="s">
        <v>4711</v>
      </c>
      <c r="M587" s="1645" t="s">
        <v>4712</v>
      </c>
      <c r="N587" s="1645"/>
      <c r="O587" s="1645" t="s">
        <v>4713</v>
      </c>
      <c r="P587" s="1649"/>
      <c r="Q587" s="1645" t="s">
        <v>3757</v>
      </c>
      <c r="R587" s="1644" t="s">
        <v>4714</v>
      </c>
      <c r="S587" s="1647" t="s">
        <v>4715</v>
      </c>
      <c r="T587" s="1644" t="s">
        <v>936</v>
      </c>
      <c r="U587" s="1644" t="s">
        <v>3802</v>
      </c>
      <c r="V587" s="1644"/>
      <c r="W587" s="1644" t="s">
        <v>3687</v>
      </c>
      <c r="X587" s="1644" t="s">
        <v>3633</v>
      </c>
      <c r="Y587" s="1647">
        <v>36960</v>
      </c>
      <c r="Z587" s="1647">
        <v>37325</v>
      </c>
      <c r="AA587" s="1650">
        <f t="shared" ca="1" si="27"/>
        <v>0.75</v>
      </c>
      <c r="AB587" s="2444" t="s">
        <v>3629</v>
      </c>
      <c r="AC587" s="2446" t="e">
        <f t="shared" si="31"/>
        <v>#REF!</v>
      </c>
      <c r="AD587" s="2438"/>
    </row>
    <row r="588" spans="1:30" ht="15.75" customHeight="1">
      <c r="A588" s="1644">
        <f t="shared" si="29"/>
        <v>34</v>
      </c>
      <c r="B588" s="1645" t="s">
        <v>2585</v>
      </c>
      <c r="C588" s="1644" t="s">
        <v>1578</v>
      </c>
      <c r="D588" s="1645" t="s">
        <v>554</v>
      </c>
      <c r="E588" s="1644" t="s">
        <v>2798</v>
      </c>
      <c r="F588" s="1644">
        <f t="shared" si="22"/>
        <v>1976</v>
      </c>
      <c r="G588" s="1647">
        <v>28057</v>
      </c>
      <c r="H588" s="1644" t="s">
        <v>3628</v>
      </c>
      <c r="I588" s="1648"/>
      <c r="J588" s="1644" t="s">
        <v>38</v>
      </c>
      <c r="K588" s="1644">
        <v>0</v>
      </c>
      <c r="L588" s="1645" t="s">
        <v>2824</v>
      </c>
      <c r="M588" s="1645" t="s">
        <v>4169</v>
      </c>
      <c r="N588" s="1645"/>
      <c r="O588" s="1645" t="s">
        <v>4018</v>
      </c>
      <c r="P588" s="1649"/>
      <c r="Q588" s="1645" t="s">
        <v>3757</v>
      </c>
      <c r="R588" s="1644" t="s">
        <v>3699</v>
      </c>
      <c r="S588" s="1644" t="s">
        <v>3696</v>
      </c>
      <c r="T588" s="1644" t="s">
        <v>936</v>
      </c>
      <c r="U588" s="1644" t="s">
        <v>3697</v>
      </c>
      <c r="V588" s="1644"/>
      <c r="W588" s="1650" t="s">
        <v>3653</v>
      </c>
      <c r="X588" s="1644" t="s">
        <v>3633</v>
      </c>
      <c r="Y588" s="1647">
        <v>36960</v>
      </c>
      <c r="Z588" s="1647">
        <v>37325</v>
      </c>
      <c r="AA588" s="1650">
        <f t="shared" ca="1" si="27"/>
        <v>7</v>
      </c>
      <c r="AB588" s="2444" t="s">
        <v>3629</v>
      </c>
      <c r="AC588" s="2446" t="e">
        <f t="shared" si="31"/>
        <v>#REF!</v>
      </c>
      <c r="AD588" s="2438"/>
    </row>
    <row r="589" spans="1:30" ht="15.75" customHeight="1">
      <c r="A589" s="1644">
        <f t="shared" si="29"/>
        <v>35</v>
      </c>
      <c r="B589" s="1645" t="s">
        <v>2588</v>
      </c>
      <c r="C589" s="1644" t="s">
        <v>1578</v>
      </c>
      <c r="D589" s="1645" t="s">
        <v>554</v>
      </c>
      <c r="E589" s="1646" t="s">
        <v>2798</v>
      </c>
      <c r="F589" s="1644">
        <f t="shared" si="22"/>
        <v>1981</v>
      </c>
      <c r="G589" s="1647">
        <v>29673</v>
      </c>
      <c r="H589" s="1644" t="s">
        <v>3628</v>
      </c>
      <c r="I589" s="1648"/>
      <c r="J589" s="1644" t="s">
        <v>38</v>
      </c>
      <c r="K589" s="1644">
        <v>0</v>
      </c>
      <c r="L589" s="1645" t="s">
        <v>3268</v>
      </c>
      <c r="M589" s="1645" t="s">
        <v>4716</v>
      </c>
      <c r="N589" s="1645"/>
      <c r="O589" s="1645" t="s">
        <v>3692</v>
      </c>
      <c r="P589" s="1649"/>
      <c r="Q589" s="1645" t="s">
        <v>3757</v>
      </c>
      <c r="R589" s="1647" t="s">
        <v>3699</v>
      </c>
      <c r="S589" s="1644" t="s">
        <v>3696</v>
      </c>
      <c r="T589" s="1644" t="s">
        <v>936</v>
      </c>
      <c r="U589" s="1644" t="s">
        <v>3631</v>
      </c>
      <c r="V589" s="1644"/>
      <c r="W589" s="1644">
        <v>0</v>
      </c>
      <c r="X589" s="1644"/>
      <c r="Y589" s="1647">
        <v>37996</v>
      </c>
      <c r="Z589" s="1647">
        <v>38362</v>
      </c>
      <c r="AA589" s="1650">
        <f t="shared" ca="1" si="27"/>
        <v>11.416666666666666</v>
      </c>
      <c r="AB589" s="2444" t="e">
        <v>#REF!</v>
      </c>
      <c r="AC589" s="2445"/>
      <c r="AD589" s="2438"/>
    </row>
    <row r="590" spans="1:30" ht="15.75" customHeight="1">
      <c r="A590" s="1644">
        <f t="shared" si="29"/>
        <v>36</v>
      </c>
      <c r="B590" s="1645" t="s">
        <v>2589</v>
      </c>
      <c r="C590" s="1644" t="s">
        <v>1578</v>
      </c>
      <c r="D590" s="1645" t="s">
        <v>554</v>
      </c>
      <c r="E590" s="1644" t="s">
        <v>2798</v>
      </c>
      <c r="F590" s="1644">
        <f t="shared" si="22"/>
        <v>1984</v>
      </c>
      <c r="G590" s="1647">
        <v>31020</v>
      </c>
      <c r="H590" s="1644" t="s">
        <v>3636</v>
      </c>
      <c r="I590" s="1648"/>
      <c r="J590" s="1644" t="s">
        <v>38</v>
      </c>
      <c r="K590" s="1644">
        <v>0</v>
      </c>
      <c r="L590" s="1645" t="s">
        <v>2824</v>
      </c>
      <c r="M590" s="1645" t="s">
        <v>4717</v>
      </c>
      <c r="N590" s="1645"/>
      <c r="O590" s="1645" t="s">
        <v>4718</v>
      </c>
      <c r="P590" s="1649">
        <v>44317</v>
      </c>
      <c r="Q590" s="1645" t="s">
        <v>3693</v>
      </c>
      <c r="R590" s="1647" t="s">
        <v>3699</v>
      </c>
      <c r="S590" s="1644" t="s">
        <v>3696</v>
      </c>
      <c r="T590" s="1644"/>
      <c r="U590" s="1644" t="s">
        <v>3711</v>
      </c>
      <c r="V590" s="1644"/>
      <c r="W590" s="1644">
        <v>0</v>
      </c>
      <c r="X590" s="1644"/>
      <c r="Y590" s="1647">
        <v>37996</v>
      </c>
      <c r="Z590" s="1647">
        <v>38362</v>
      </c>
      <c r="AA590" s="1650">
        <f t="shared" ca="1" si="27"/>
        <v>15.166666666666666</v>
      </c>
      <c r="AB590" s="2444" t="e">
        <v>#REF!</v>
      </c>
      <c r="AC590" s="2445"/>
      <c r="AD590" s="2438"/>
    </row>
    <row r="591" spans="1:30" ht="15.75" customHeight="1">
      <c r="A591" s="1644">
        <f t="shared" si="29"/>
        <v>37</v>
      </c>
      <c r="B591" s="1645" t="s">
        <v>2590</v>
      </c>
      <c r="C591" s="1644" t="s">
        <v>1578</v>
      </c>
      <c r="D591" s="1645" t="s">
        <v>554</v>
      </c>
      <c r="E591" s="1646" t="s">
        <v>2798</v>
      </c>
      <c r="F591" s="1644">
        <f t="shared" si="22"/>
        <v>1970</v>
      </c>
      <c r="G591" s="1647">
        <v>25713</v>
      </c>
      <c r="H591" s="1644" t="s">
        <v>4719</v>
      </c>
      <c r="I591" s="1648"/>
      <c r="J591" s="1644" t="s">
        <v>37</v>
      </c>
      <c r="K591" s="1644">
        <v>0</v>
      </c>
      <c r="L591" s="1645" t="s">
        <v>4720</v>
      </c>
      <c r="M591" s="1645" t="s">
        <v>4721</v>
      </c>
      <c r="N591" s="1645"/>
      <c r="O591" s="1645" t="s">
        <v>3645</v>
      </c>
      <c r="P591" s="1649"/>
      <c r="Q591" s="1645" t="s">
        <v>3693</v>
      </c>
      <c r="R591" s="1644" t="s">
        <v>3710</v>
      </c>
      <c r="S591" s="1644"/>
      <c r="T591" s="1644" t="s">
        <v>936</v>
      </c>
      <c r="U591" s="1644" t="s">
        <v>3711</v>
      </c>
      <c r="V591" s="1644"/>
      <c r="W591" s="1644" t="s">
        <v>4686</v>
      </c>
      <c r="X591" s="1644"/>
      <c r="Y591" s="1647"/>
      <c r="Z591" s="1647"/>
      <c r="AA591" s="1650">
        <f t="shared" ca="1" si="27"/>
        <v>0.58333333333333337</v>
      </c>
      <c r="AB591" s="2444" t="s">
        <v>3629</v>
      </c>
      <c r="AC591" s="2445"/>
      <c r="AD591" s="2438"/>
    </row>
    <row r="592" spans="1:30" ht="15.75" customHeight="1">
      <c r="A592" s="1644">
        <f t="shared" si="29"/>
        <v>38</v>
      </c>
      <c r="B592" s="1645" t="s">
        <v>4722</v>
      </c>
      <c r="C592" s="1644" t="s">
        <v>1578</v>
      </c>
      <c r="D592" s="1645" t="s">
        <v>554</v>
      </c>
      <c r="E592" s="1644" t="s">
        <v>2797</v>
      </c>
      <c r="F592" s="1644">
        <f t="shared" si="22"/>
        <v>1981</v>
      </c>
      <c r="G592" s="1647">
        <v>29903</v>
      </c>
      <c r="H592" s="1644" t="s">
        <v>3636</v>
      </c>
      <c r="I592" s="1648"/>
      <c r="J592" s="1644" t="s">
        <v>38</v>
      </c>
      <c r="K592" s="1644">
        <v>0</v>
      </c>
      <c r="L592" s="1645" t="s">
        <v>2824</v>
      </c>
      <c r="M592" s="1645" t="s">
        <v>4717</v>
      </c>
      <c r="N592" s="1645"/>
      <c r="O592" s="1645" t="s">
        <v>4169</v>
      </c>
      <c r="P592" s="1649"/>
      <c r="Q592" s="1645" t="s">
        <v>3757</v>
      </c>
      <c r="R592" s="1647" t="s">
        <v>3730</v>
      </c>
      <c r="S592" s="1644" t="s">
        <v>3696</v>
      </c>
      <c r="T592" s="1644">
        <v>0</v>
      </c>
      <c r="U592" s="1644" t="s">
        <v>3631</v>
      </c>
      <c r="V592" s="1644"/>
      <c r="W592" s="1650" t="s">
        <v>3653</v>
      </c>
      <c r="X592" s="1644"/>
      <c r="Y592" s="1647">
        <v>42324</v>
      </c>
      <c r="Z592" s="1647">
        <v>42690</v>
      </c>
      <c r="AA592" s="1650">
        <f t="shared" ca="1" si="27"/>
        <v>17.083333333333332</v>
      </c>
      <c r="AB592" s="2444" t="s">
        <v>3629</v>
      </c>
      <c r="AC592" s="2445"/>
      <c r="AD592" s="2438"/>
    </row>
    <row r="593" spans="1:30" ht="15.75" customHeight="1">
      <c r="A593" s="1644">
        <f t="shared" si="29"/>
        <v>39</v>
      </c>
      <c r="B593" s="1645" t="s">
        <v>2593</v>
      </c>
      <c r="C593" s="1644" t="s">
        <v>1578</v>
      </c>
      <c r="D593" s="1645" t="s">
        <v>554</v>
      </c>
      <c r="E593" s="1646" t="s">
        <v>2797</v>
      </c>
      <c r="F593" s="1644">
        <f t="shared" si="22"/>
        <v>1990</v>
      </c>
      <c r="G593" s="1647">
        <v>33162</v>
      </c>
      <c r="H593" s="1644" t="s">
        <v>3636</v>
      </c>
      <c r="I593" s="1648"/>
      <c r="J593" s="1644" t="s">
        <v>37</v>
      </c>
      <c r="K593" s="1644">
        <v>0</v>
      </c>
      <c r="L593" s="1645" t="s">
        <v>3978</v>
      </c>
      <c r="M593" s="1645">
        <v>0</v>
      </c>
      <c r="N593" s="1645"/>
      <c r="O593" s="1645" t="s">
        <v>3645</v>
      </c>
      <c r="P593" s="1649"/>
      <c r="Q593" s="1645" t="s">
        <v>3693</v>
      </c>
      <c r="R593" s="1647" t="s">
        <v>4723</v>
      </c>
      <c r="S593" s="1644"/>
      <c r="T593" s="1644" t="s">
        <v>936</v>
      </c>
      <c r="U593" s="1644" t="s">
        <v>3711</v>
      </c>
      <c r="V593" s="1644"/>
      <c r="W593" s="1644" t="s">
        <v>936</v>
      </c>
      <c r="X593" s="1644"/>
      <c r="Y593" s="1647"/>
      <c r="Z593" s="1647" t="s">
        <v>936</v>
      </c>
      <c r="AA593" s="1650">
        <f t="shared" ca="1" si="27"/>
        <v>26</v>
      </c>
      <c r="AB593" s="2444" t="s">
        <v>3629</v>
      </c>
      <c r="AC593" s="2445"/>
      <c r="AD593" s="2438"/>
    </row>
    <row r="594" spans="1:30" ht="15.75" customHeight="1">
      <c r="A594" s="1644">
        <f t="shared" si="29"/>
        <v>40</v>
      </c>
      <c r="B594" s="1645" t="s">
        <v>4724</v>
      </c>
      <c r="C594" s="1644" t="s">
        <v>1578</v>
      </c>
      <c r="D594" s="1645" t="s">
        <v>554</v>
      </c>
      <c r="E594" s="1646" t="s">
        <v>2797</v>
      </c>
      <c r="F594" s="1644">
        <f t="shared" si="22"/>
        <v>1985</v>
      </c>
      <c r="G594" s="1647">
        <v>31340</v>
      </c>
      <c r="H594" s="1644" t="s">
        <v>3642</v>
      </c>
      <c r="I594" s="1648"/>
      <c r="J594" s="1644" t="s">
        <v>201</v>
      </c>
      <c r="K594" s="1644">
        <v>0</v>
      </c>
      <c r="L594" s="1645" t="s">
        <v>4055</v>
      </c>
      <c r="M594" s="1645">
        <v>0</v>
      </c>
      <c r="N594" s="1645"/>
      <c r="O594" s="1645" t="s">
        <v>3645</v>
      </c>
      <c r="P594" s="1649"/>
      <c r="Q594" s="1645"/>
      <c r="R594" s="1644"/>
      <c r="S594" s="1644" t="s">
        <v>3743</v>
      </c>
      <c r="T594" s="1644"/>
      <c r="U594" s="1644"/>
      <c r="V594" s="1644"/>
      <c r="W594" s="1650" t="s">
        <v>3653</v>
      </c>
      <c r="X594" s="1644"/>
      <c r="Y594" s="1647">
        <v>43239</v>
      </c>
      <c r="Z594" s="1647">
        <v>43604</v>
      </c>
      <c r="AA594" s="1650">
        <f t="shared" ca="1" si="27"/>
        <v>21</v>
      </c>
      <c r="AB594" s="2444" t="s">
        <v>3629</v>
      </c>
      <c r="AC594" s="2445"/>
      <c r="AD594" s="2438"/>
    </row>
    <row r="595" spans="1:30" ht="15.75" customHeight="1">
      <c r="A595" s="1644">
        <f t="shared" si="29"/>
        <v>41</v>
      </c>
      <c r="B595" s="1645" t="s">
        <v>2591</v>
      </c>
      <c r="C595" s="1644" t="s">
        <v>1578</v>
      </c>
      <c r="D595" s="1645" t="s">
        <v>554</v>
      </c>
      <c r="E595" s="1644" t="s">
        <v>2797</v>
      </c>
      <c r="F595" s="1644">
        <f t="shared" si="22"/>
        <v>1978</v>
      </c>
      <c r="G595" s="1647">
        <v>28763</v>
      </c>
      <c r="H595" s="1644" t="s">
        <v>3636</v>
      </c>
      <c r="I595" s="1648"/>
      <c r="J595" s="1644" t="s">
        <v>37</v>
      </c>
      <c r="K595" s="1644">
        <v>0</v>
      </c>
      <c r="L595" s="1645" t="s">
        <v>4709</v>
      </c>
      <c r="M595" s="1645" t="s">
        <v>4725</v>
      </c>
      <c r="N595" s="1645"/>
      <c r="O595" s="1645" t="s">
        <v>3645</v>
      </c>
      <c r="P595" s="1649"/>
      <c r="Q595" s="1645" t="s">
        <v>3693</v>
      </c>
      <c r="R595" s="1644" t="s">
        <v>3683</v>
      </c>
      <c r="S595" s="1644"/>
      <c r="T595" s="1644" t="s">
        <v>936</v>
      </c>
      <c r="U595" s="1644" t="s">
        <v>3711</v>
      </c>
      <c r="V595" s="1644"/>
      <c r="W595" s="1650" t="s">
        <v>3653</v>
      </c>
      <c r="X595" s="1644"/>
      <c r="Y595" s="1647"/>
      <c r="Z595" s="1647"/>
      <c r="AA595" s="1650">
        <f t="shared" ca="1" si="27"/>
        <v>13.916666666666666</v>
      </c>
      <c r="AB595" s="2444" t="s">
        <v>3629</v>
      </c>
      <c r="AC595" s="2445"/>
      <c r="AD595" s="2438"/>
    </row>
    <row r="596" spans="1:30" ht="15.75" customHeight="1">
      <c r="A596" s="1644">
        <f t="shared" si="29"/>
        <v>42</v>
      </c>
      <c r="B596" s="1645" t="s">
        <v>2592</v>
      </c>
      <c r="C596" s="1644" t="s">
        <v>1578</v>
      </c>
      <c r="D596" s="1645" t="s">
        <v>554</v>
      </c>
      <c r="E596" s="1646" t="s">
        <v>2798</v>
      </c>
      <c r="F596" s="1644">
        <f t="shared" si="22"/>
        <v>1983</v>
      </c>
      <c r="G596" s="1647">
        <v>30644</v>
      </c>
      <c r="H596" s="1646" t="s">
        <v>3628</v>
      </c>
      <c r="I596" s="1648"/>
      <c r="J596" s="1644" t="s">
        <v>37</v>
      </c>
      <c r="K596" s="1644"/>
      <c r="L596" s="1651" t="s">
        <v>46</v>
      </c>
      <c r="M596" s="1645" t="s">
        <v>46</v>
      </c>
      <c r="N596" s="1645"/>
      <c r="O596" s="1645"/>
      <c r="P596" s="1649"/>
      <c r="Q596" s="1645"/>
      <c r="R596" s="1644"/>
      <c r="S596" s="1644"/>
      <c r="T596" s="1644"/>
      <c r="U596" s="1644"/>
      <c r="V596" s="1644"/>
      <c r="W596" s="1644"/>
      <c r="X596" s="1644"/>
      <c r="Y596" s="1647">
        <v>0</v>
      </c>
      <c r="Z596" s="1647">
        <v>0</v>
      </c>
      <c r="AA596" s="1654"/>
      <c r="AB596" s="2444" t="s">
        <v>3629</v>
      </c>
      <c r="AC596" s="2445"/>
      <c r="AD596" s="2438"/>
    </row>
    <row r="597" spans="1:30" ht="15.75" customHeight="1">
      <c r="A597" s="1644">
        <f t="shared" si="29"/>
        <v>43</v>
      </c>
      <c r="B597" s="1645" t="s">
        <v>2449</v>
      </c>
      <c r="C597" s="1644" t="s">
        <v>1578</v>
      </c>
      <c r="D597" s="1645" t="s">
        <v>546</v>
      </c>
      <c r="E597" s="1646" t="s">
        <v>2797</v>
      </c>
      <c r="F597" s="1644">
        <f t="shared" si="22"/>
        <v>1974</v>
      </c>
      <c r="G597" s="1647">
        <v>27148</v>
      </c>
      <c r="H597" s="1644" t="s">
        <v>3797</v>
      </c>
      <c r="I597" s="1648"/>
      <c r="J597" s="1644" t="s">
        <v>38</v>
      </c>
      <c r="K597" s="1644" t="s">
        <v>3798</v>
      </c>
      <c r="L597" s="1645" t="s">
        <v>4089</v>
      </c>
      <c r="M597" s="1645" t="s">
        <v>4155</v>
      </c>
      <c r="N597" s="1645"/>
      <c r="O597" s="1645" t="s">
        <v>4155</v>
      </c>
      <c r="P597" s="1649"/>
      <c r="Q597" s="1645" t="s">
        <v>3757</v>
      </c>
      <c r="R597" s="1647" t="s">
        <v>4051</v>
      </c>
      <c r="S597" s="1644" t="s">
        <v>3696</v>
      </c>
      <c r="T597" s="1644" t="s">
        <v>936</v>
      </c>
      <c r="U597" s="1644" t="s">
        <v>3802</v>
      </c>
      <c r="V597" s="1644"/>
      <c r="W597" s="1644">
        <v>0</v>
      </c>
      <c r="X597" s="1644"/>
      <c r="Y597" s="1647">
        <v>37807</v>
      </c>
      <c r="Z597" s="1647">
        <v>38173</v>
      </c>
      <c r="AA597" s="1650">
        <f t="shared" ref="AA597:AA603" ca="1" si="32">IF(E597="nữ",660-DATEDIF(G597,TODAY(),"m"),720-DATEDIF(G597,TODAY(),"m"))/12</f>
        <v>9.5</v>
      </c>
      <c r="AB597" s="2444" t="s">
        <v>3629</v>
      </c>
      <c r="AC597" s="2445"/>
      <c r="AD597" s="2438"/>
    </row>
    <row r="598" spans="1:30" ht="15.75" customHeight="1">
      <c r="A598" s="1644">
        <f t="shared" si="29"/>
        <v>44</v>
      </c>
      <c r="B598" s="1645" t="s">
        <v>2451</v>
      </c>
      <c r="C598" s="1644" t="s">
        <v>1578</v>
      </c>
      <c r="D598" s="1645" t="s">
        <v>546</v>
      </c>
      <c r="E598" s="1646" t="s">
        <v>2797</v>
      </c>
      <c r="F598" s="1644">
        <f t="shared" si="22"/>
        <v>1980</v>
      </c>
      <c r="G598" s="1647">
        <v>29361</v>
      </c>
      <c r="H598" s="1644" t="s">
        <v>3628</v>
      </c>
      <c r="I598" s="1648"/>
      <c r="J598" s="1644" t="s">
        <v>38</v>
      </c>
      <c r="K598" s="1644">
        <v>0</v>
      </c>
      <c r="L598" s="1645" t="s">
        <v>4089</v>
      </c>
      <c r="M598" s="1645" t="s">
        <v>4366</v>
      </c>
      <c r="N598" s="1645"/>
      <c r="O598" s="1645" t="s">
        <v>2747</v>
      </c>
      <c r="P598" s="1649"/>
      <c r="Q598" s="1645" t="s">
        <v>3693</v>
      </c>
      <c r="R598" s="1647" t="s">
        <v>3852</v>
      </c>
      <c r="S598" s="1644" t="s">
        <v>3696</v>
      </c>
      <c r="T598" s="1644" t="s">
        <v>936</v>
      </c>
      <c r="U598" s="1644" t="s">
        <v>3631</v>
      </c>
      <c r="V598" s="1644"/>
      <c r="W598" s="1650" t="s">
        <v>3653</v>
      </c>
      <c r="X598" s="1644"/>
      <c r="Y598" s="1647">
        <v>38184</v>
      </c>
      <c r="Z598" s="1647">
        <v>38549</v>
      </c>
      <c r="AA598" s="1650">
        <f t="shared" ca="1" si="32"/>
        <v>15.583333333333334</v>
      </c>
      <c r="AB598" s="2444" t="s">
        <v>3629</v>
      </c>
      <c r="AC598" s="2445"/>
      <c r="AD598" s="2438"/>
    </row>
    <row r="599" spans="1:30" ht="15.75" customHeight="1">
      <c r="A599" s="1644">
        <f t="shared" si="29"/>
        <v>45</v>
      </c>
      <c r="B599" s="1645" t="s">
        <v>2456</v>
      </c>
      <c r="C599" s="1644" t="s">
        <v>1578</v>
      </c>
      <c r="D599" s="1645" t="s">
        <v>546</v>
      </c>
      <c r="E599" s="1646" t="s">
        <v>2798</v>
      </c>
      <c r="F599" s="1644">
        <f t="shared" si="22"/>
        <v>1987</v>
      </c>
      <c r="G599" s="1647">
        <v>31945</v>
      </c>
      <c r="H599" s="1644" t="s">
        <v>3636</v>
      </c>
      <c r="I599" s="1648"/>
      <c r="J599" s="1644" t="s">
        <v>37</v>
      </c>
      <c r="K599" s="1644">
        <v>0</v>
      </c>
      <c r="L599" s="1645" t="s">
        <v>4089</v>
      </c>
      <c r="M599" s="1645" t="s">
        <v>4364</v>
      </c>
      <c r="N599" s="1645"/>
      <c r="O599" s="1645" t="s">
        <v>3645</v>
      </c>
      <c r="P599" s="1649"/>
      <c r="Q599" s="1645" t="s">
        <v>3693</v>
      </c>
      <c r="R599" s="1647" t="s">
        <v>3683</v>
      </c>
      <c r="S599" s="1644" t="s">
        <v>3696</v>
      </c>
      <c r="T599" s="1644" t="s">
        <v>936</v>
      </c>
      <c r="U599" s="1644" t="s">
        <v>3711</v>
      </c>
      <c r="V599" s="1644"/>
      <c r="W599" s="1644">
        <v>0</v>
      </c>
      <c r="X599" s="1644"/>
      <c r="Y599" s="1647">
        <v>39240</v>
      </c>
      <c r="Z599" s="1647">
        <v>39606</v>
      </c>
      <c r="AA599" s="1650">
        <f t="shared" ca="1" si="32"/>
        <v>17.666666666666668</v>
      </c>
      <c r="AB599" s="2444" t="s">
        <v>3629</v>
      </c>
      <c r="AC599" s="2445"/>
      <c r="AD599" s="2438"/>
    </row>
    <row r="600" spans="1:30" ht="15.75" customHeight="1">
      <c r="A600" s="1644">
        <f t="shared" si="29"/>
        <v>46</v>
      </c>
      <c r="B600" s="1645" t="s">
        <v>2450</v>
      </c>
      <c r="C600" s="1644" t="s">
        <v>1578</v>
      </c>
      <c r="D600" s="1645" t="s">
        <v>546</v>
      </c>
      <c r="E600" s="1644" t="s">
        <v>2798</v>
      </c>
      <c r="F600" s="1644">
        <f t="shared" si="22"/>
        <v>1976</v>
      </c>
      <c r="G600" s="1647">
        <v>28064</v>
      </c>
      <c r="H600" s="1644" t="s">
        <v>3797</v>
      </c>
      <c r="I600" s="1648"/>
      <c r="J600" s="1644" t="s">
        <v>38</v>
      </c>
      <c r="K600" s="1644" t="s">
        <v>3798</v>
      </c>
      <c r="L600" s="1645" t="s">
        <v>4089</v>
      </c>
      <c r="M600" s="1645" t="s">
        <v>4364</v>
      </c>
      <c r="N600" s="1645"/>
      <c r="O600" s="1645" t="s">
        <v>4364</v>
      </c>
      <c r="P600" s="1649"/>
      <c r="Q600" s="1645" t="s">
        <v>3693</v>
      </c>
      <c r="R600" s="1647" t="s">
        <v>3710</v>
      </c>
      <c r="S600" s="1644" t="s">
        <v>3696</v>
      </c>
      <c r="T600" s="1644">
        <v>0</v>
      </c>
      <c r="U600" s="1644" t="s">
        <v>4095</v>
      </c>
      <c r="V600" s="1644"/>
      <c r="W600" s="1650" t="s">
        <v>3653</v>
      </c>
      <c r="X600" s="1644"/>
      <c r="Y600" s="1647">
        <v>38874</v>
      </c>
      <c r="Z600" s="1647">
        <v>39239</v>
      </c>
      <c r="AA600" s="1650">
        <f t="shared" ca="1" si="32"/>
        <v>7</v>
      </c>
      <c r="AB600" s="2444" t="s">
        <v>3629</v>
      </c>
      <c r="AC600" s="2445"/>
      <c r="AD600" s="2438"/>
    </row>
    <row r="601" spans="1:30" ht="15.75" customHeight="1">
      <c r="A601" s="1644">
        <f t="shared" si="29"/>
        <v>47</v>
      </c>
      <c r="B601" s="1645" t="s">
        <v>2447</v>
      </c>
      <c r="C601" s="1644" t="s">
        <v>1578</v>
      </c>
      <c r="D601" s="1645" t="s">
        <v>546</v>
      </c>
      <c r="E601" s="1644" t="s">
        <v>2797</v>
      </c>
      <c r="F601" s="1644">
        <f t="shared" si="22"/>
        <v>1976</v>
      </c>
      <c r="G601" s="1647">
        <v>27929</v>
      </c>
      <c r="H601" s="1644" t="s">
        <v>3797</v>
      </c>
      <c r="I601" s="1648"/>
      <c r="J601" s="1644" t="s">
        <v>38</v>
      </c>
      <c r="K601" s="1644" t="s">
        <v>3798</v>
      </c>
      <c r="L601" s="1645" t="s">
        <v>4089</v>
      </c>
      <c r="M601" s="1645" t="s">
        <v>4366</v>
      </c>
      <c r="N601" s="1645"/>
      <c r="O601" s="1645" t="s">
        <v>2747</v>
      </c>
      <c r="P601" s="1649"/>
      <c r="Q601" s="1645" t="s">
        <v>3757</v>
      </c>
      <c r="R601" s="1644"/>
      <c r="S601" s="1644" t="s">
        <v>3696</v>
      </c>
      <c r="T601" s="1644" t="s">
        <v>936</v>
      </c>
      <c r="U601" s="1644" t="s">
        <v>3802</v>
      </c>
      <c r="V601" s="1644"/>
      <c r="W601" s="1644" t="s">
        <v>3687</v>
      </c>
      <c r="X601" s="1644" t="s">
        <v>3633</v>
      </c>
      <c r="Y601" s="1647">
        <v>37807</v>
      </c>
      <c r="Z601" s="1647">
        <v>38173</v>
      </c>
      <c r="AA601" s="1650">
        <f t="shared" ca="1" si="32"/>
        <v>11.666666666666666</v>
      </c>
      <c r="AB601" s="2444" t="e">
        <v>#REF!</v>
      </c>
      <c r="AC601" s="2446" t="e">
        <f>+#REF!-#REF!</f>
        <v>#REF!</v>
      </c>
      <c r="AD601" s="2438"/>
    </row>
    <row r="602" spans="1:30" ht="15.75" customHeight="1">
      <c r="A602" s="1644">
        <f t="shared" si="29"/>
        <v>48</v>
      </c>
      <c r="B602" s="1645" t="s">
        <v>2454</v>
      </c>
      <c r="C602" s="1644" t="s">
        <v>1578</v>
      </c>
      <c r="D602" s="1645" t="s">
        <v>546</v>
      </c>
      <c r="E602" s="1646" t="s">
        <v>2797</v>
      </c>
      <c r="F602" s="1644">
        <f t="shared" si="22"/>
        <v>1984</v>
      </c>
      <c r="G602" s="1647">
        <v>30776</v>
      </c>
      <c r="H602" s="1644" t="s">
        <v>3636</v>
      </c>
      <c r="I602" s="1648"/>
      <c r="J602" s="1644" t="s">
        <v>38</v>
      </c>
      <c r="K602" s="1644">
        <v>0</v>
      </c>
      <c r="L602" s="1645" t="s">
        <v>4089</v>
      </c>
      <c r="M602" s="1645" t="s">
        <v>4726</v>
      </c>
      <c r="N602" s="1645"/>
      <c r="O602" s="1645" t="s">
        <v>1664</v>
      </c>
      <c r="P602" s="1649"/>
      <c r="Q602" s="1645" t="s">
        <v>3693</v>
      </c>
      <c r="R602" s="1647" t="s">
        <v>3710</v>
      </c>
      <c r="S602" s="1644" t="s">
        <v>3696</v>
      </c>
      <c r="T602" s="1644" t="s">
        <v>936</v>
      </c>
      <c r="U602" s="1644" t="s">
        <v>3631</v>
      </c>
      <c r="V602" s="1644"/>
      <c r="W602" s="1650" t="s">
        <v>3653</v>
      </c>
      <c r="X602" s="1644"/>
      <c r="Y602" s="1647">
        <v>38872</v>
      </c>
      <c r="Z602" s="1647">
        <v>39237</v>
      </c>
      <c r="AA602" s="1650">
        <f t="shared" ca="1" si="32"/>
        <v>19.5</v>
      </c>
      <c r="AB602" s="2444" t="s">
        <v>3629</v>
      </c>
      <c r="AC602" s="2445"/>
      <c r="AD602" s="2438"/>
    </row>
    <row r="603" spans="1:30" ht="15.75" customHeight="1">
      <c r="A603" s="1644">
        <f t="shared" si="29"/>
        <v>49</v>
      </c>
      <c r="B603" s="1645" t="s">
        <v>4727</v>
      </c>
      <c r="C603" s="1644" t="s">
        <v>1578</v>
      </c>
      <c r="D603" s="1645" t="s">
        <v>546</v>
      </c>
      <c r="E603" s="1646" t="s">
        <v>2798</v>
      </c>
      <c r="F603" s="1644">
        <f t="shared" si="22"/>
        <v>1975</v>
      </c>
      <c r="G603" s="1647">
        <v>27508</v>
      </c>
      <c r="H603" s="1644" t="s">
        <v>3628</v>
      </c>
      <c r="I603" s="1648"/>
      <c r="J603" s="1644" t="s">
        <v>37</v>
      </c>
      <c r="K603" s="1644">
        <v>0</v>
      </c>
      <c r="L603" s="1645" t="s">
        <v>4089</v>
      </c>
      <c r="M603" s="1645" t="s">
        <v>4366</v>
      </c>
      <c r="N603" s="1645"/>
      <c r="O603" s="1645" t="s">
        <v>3645</v>
      </c>
      <c r="P603" s="1649"/>
      <c r="Q603" s="1645" t="s">
        <v>3693</v>
      </c>
      <c r="R603" s="1647" t="s">
        <v>3710</v>
      </c>
      <c r="S603" s="1644" t="s">
        <v>3696</v>
      </c>
      <c r="T603" s="1644" t="s">
        <v>936</v>
      </c>
      <c r="U603" s="1644" t="s">
        <v>3631</v>
      </c>
      <c r="V603" s="1644"/>
      <c r="W603" s="1644" t="s">
        <v>936</v>
      </c>
      <c r="X603" s="1644"/>
      <c r="Y603" s="1647">
        <v>39506</v>
      </c>
      <c r="Z603" s="1647">
        <v>39872</v>
      </c>
      <c r="AA603" s="1650">
        <f t="shared" ca="1" si="32"/>
        <v>5.5</v>
      </c>
      <c r="AB603" s="2444" t="s">
        <v>3629</v>
      </c>
      <c r="AC603" s="2445"/>
      <c r="AD603" s="2438"/>
    </row>
    <row r="604" spans="1:30" ht="15.75" customHeight="1">
      <c r="A604" s="1644">
        <f t="shared" si="29"/>
        <v>50</v>
      </c>
      <c r="B604" s="1645" t="s">
        <v>2453</v>
      </c>
      <c r="C604" s="1644" t="s">
        <v>1578</v>
      </c>
      <c r="D604" s="1645" t="s">
        <v>546</v>
      </c>
      <c r="E604" s="1646" t="s">
        <v>4429</v>
      </c>
      <c r="F604" s="1644">
        <f t="shared" si="22"/>
        <v>1980</v>
      </c>
      <c r="G604" s="1647">
        <v>29246</v>
      </c>
      <c r="H604" s="1646" t="s">
        <v>3636</v>
      </c>
      <c r="I604" s="1648"/>
      <c r="J604" s="1644" t="s">
        <v>38</v>
      </c>
      <c r="K604" s="1644"/>
      <c r="L604" s="1651" t="s">
        <v>1664</v>
      </c>
      <c r="M604" s="1645" t="s">
        <v>1664</v>
      </c>
      <c r="N604" s="1645"/>
      <c r="O604" s="1645" t="s">
        <v>4155</v>
      </c>
      <c r="P604" s="1649">
        <v>44561</v>
      </c>
      <c r="Q604" s="1645" t="s">
        <v>3693</v>
      </c>
      <c r="R604" s="1644"/>
      <c r="S604" s="1644"/>
      <c r="T604" s="1644"/>
      <c r="U604" s="1644"/>
      <c r="V604" s="1644"/>
      <c r="W604" s="1644"/>
      <c r="X604" s="1644"/>
      <c r="Y604" s="1644"/>
      <c r="Z604" s="1647"/>
      <c r="AA604" s="1654"/>
      <c r="AB604" s="2444" t="e">
        <v>#REF!</v>
      </c>
      <c r="AC604" s="2445"/>
      <c r="AD604" s="2438"/>
    </row>
    <row r="605" spans="1:30" ht="15.75" customHeight="1">
      <c r="A605" s="1644">
        <f t="shared" si="29"/>
        <v>51</v>
      </c>
      <c r="B605" s="1645" t="s">
        <v>4728</v>
      </c>
      <c r="C605" s="1644" t="s">
        <v>1578</v>
      </c>
      <c r="D605" s="1645" t="s">
        <v>546</v>
      </c>
      <c r="E605" s="1646" t="s">
        <v>2798</v>
      </c>
      <c r="F605" s="1644">
        <f t="shared" si="22"/>
        <v>1997</v>
      </c>
      <c r="G605" s="1647">
        <v>35726</v>
      </c>
      <c r="H605" s="1646" t="s">
        <v>3636</v>
      </c>
      <c r="I605" s="1648"/>
      <c r="J605" s="1644" t="s">
        <v>201</v>
      </c>
      <c r="K605" s="1644"/>
      <c r="L605" s="1651"/>
      <c r="M605" s="1645"/>
      <c r="N605" s="1645"/>
      <c r="O605" s="1645"/>
      <c r="P605" s="1649"/>
      <c r="Q605" s="1645"/>
      <c r="R605" s="1644"/>
      <c r="S605" s="1644"/>
      <c r="T605" s="1644"/>
      <c r="U605" s="1644"/>
      <c r="V605" s="1644"/>
      <c r="W605" s="1644"/>
      <c r="X605" s="1644"/>
      <c r="Y605" s="1647">
        <v>0</v>
      </c>
      <c r="Z605" s="1647">
        <v>0</v>
      </c>
      <c r="AA605" s="1654"/>
      <c r="AB605" s="2444" t="s">
        <v>3629</v>
      </c>
      <c r="AC605" s="2445"/>
      <c r="AD605" s="2438"/>
    </row>
    <row r="606" spans="1:30" ht="15.75" customHeight="1">
      <c r="A606" s="1644">
        <f t="shared" si="29"/>
        <v>52</v>
      </c>
      <c r="B606" s="1645" t="s">
        <v>2448</v>
      </c>
      <c r="C606" s="1644" t="s">
        <v>1578</v>
      </c>
      <c r="D606" s="1645" t="s">
        <v>546</v>
      </c>
      <c r="E606" s="1646" t="s">
        <v>2798</v>
      </c>
      <c r="F606" s="1644">
        <f t="shared" si="22"/>
        <v>1971</v>
      </c>
      <c r="G606" s="1647">
        <v>26041</v>
      </c>
      <c r="H606" s="1644" t="s">
        <v>3797</v>
      </c>
      <c r="I606" s="1648"/>
      <c r="J606" s="1644" t="s">
        <v>38</v>
      </c>
      <c r="K606" s="1644" t="s">
        <v>3798</v>
      </c>
      <c r="L606" s="1645" t="s">
        <v>4089</v>
      </c>
      <c r="M606" s="1645" t="s">
        <v>4729</v>
      </c>
      <c r="N606" s="1645"/>
      <c r="O606" s="1645" t="s">
        <v>4730</v>
      </c>
      <c r="P606" s="1649"/>
      <c r="Q606" s="1645" t="s">
        <v>3757</v>
      </c>
      <c r="R606" s="1644" t="s">
        <v>3683</v>
      </c>
      <c r="S606" s="1644" t="s">
        <v>3696</v>
      </c>
      <c r="T606" s="1644" t="s">
        <v>936</v>
      </c>
      <c r="U606" s="1644" t="s">
        <v>3802</v>
      </c>
      <c r="V606" s="1644"/>
      <c r="W606" s="1644">
        <v>0</v>
      </c>
      <c r="X606" s="1644"/>
      <c r="Y606" s="1647">
        <v>35803</v>
      </c>
      <c r="Z606" s="1647">
        <v>36168</v>
      </c>
      <c r="AA606" s="1650">
        <f t="shared" ref="AA606:AA638" ca="1" si="33">IF(E606="nữ",660-DATEDIF(G606,TODAY(),"m"),720-DATEDIF(G606,TODAY(),"m"))/12</f>
        <v>1.5</v>
      </c>
      <c r="AB606" s="2444" t="s">
        <v>3629</v>
      </c>
      <c r="AC606" s="2445"/>
      <c r="AD606" s="2438"/>
    </row>
    <row r="607" spans="1:30" ht="15.75" customHeight="1">
      <c r="A607" s="1644">
        <f t="shared" si="29"/>
        <v>53</v>
      </c>
      <c r="B607" s="1645" t="s">
        <v>4731</v>
      </c>
      <c r="C607" s="1644" t="s">
        <v>1578</v>
      </c>
      <c r="D607" s="1645" t="s">
        <v>546</v>
      </c>
      <c r="E607" s="1644" t="s">
        <v>2798</v>
      </c>
      <c r="F607" s="1644">
        <f t="shared" si="22"/>
        <v>1980</v>
      </c>
      <c r="G607" s="1647">
        <v>29494</v>
      </c>
      <c r="H607" s="1644" t="s">
        <v>3636</v>
      </c>
      <c r="I607" s="1648"/>
      <c r="J607" s="1644" t="s">
        <v>37</v>
      </c>
      <c r="K607" s="1644">
        <v>0</v>
      </c>
      <c r="L607" s="1645" t="s">
        <v>4089</v>
      </c>
      <c r="M607" s="1645" t="s">
        <v>2869</v>
      </c>
      <c r="N607" s="1645"/>
      <c r="O607" s="1645" t="s">
        <v>3645</v>
      </c>
      <c r="P607" s="1649"/>
      <c r="Q607" s="1645" t="s">
        <v>3693</v>
      </c>
      <c r="R607" s="1647" t="s">
        <v>3710</v>
      </c>
      <c r="S607" s="1644"/>
      <c r="T607" s="1644" t="s">
        <v>936</v>
      </c>
      <c r="U607" s="1644" t="s">
        <v>3631</v>
      </c>
      <c r="V607" s="1644"/>
      <c r="W607" s="1644" t="s">
        <v>3679</v>
      </c>
      <c r="X607" s="1644"/>
      <c r="Y607" s="1647">
        <v>37645</v>
      </c>
      <c r="Z607" s="1647">
        <v>38010</v>
      </c>
      <c r="AA607" s="1650">
        <f t="shared" ca="1" si="33"/>
        <v>10.916666666666666</v>
      </c>
      <c r="AB607" s="2444" t="s">
        <v>3629</v>
      </c>
      <c r="AC607" s="2445"/>
      <c r="AD607" s="2438"/>
    </row>
    <row r="608" spans="1:30" ht="15.75" customHeight="1">
      <c r="A608" s="1644">
        <f t="shared" si="29"/>
        <v>54</v>
      </c>
      <c r="B608" s="1645" t="s">
        <v>4732</v>
      </c>
      <c r="C608" s="1644" t="s">
        <v>1578</v>
      </c>
      <c r="D608" s="1645" t="s">
        <v>546</v>
      </c>
      <c r="E608" s="1646" t="s">
        <v>2798</v>
      </c>
      <c r="F608" s="1644">
        <f t="shared" si="22"/>
        <v>1987</v>
      </c>
      <c r="G608" s="1647">
        <v>31837</v>
      </c>
      <c r="H608" s="1644" t="s">
        <v>3636</v>
      </c>
      <c r="I608" s="1648"/>
      <c r="J608" s="1644" t="s">
        <v>38</v>
      </c>
      <c r="K608" s="1644">
        <v>0</v>
      </c>
      <c r="L608" s="1645" t="s">
        <v>4089</v>
      </c>
      <c r="M608" s="1645" t="s">
        <v>4726</v>
      </c>
      <c r="N608" s="1645"/>
      <c r="O608" s="1645" t="s">
        <v>1664</v>
      </c>
      <c r="P608" s="1649"/>
      <c r="Q608" s="1645" t="s">
        <v>3693</v>
      </c>
      <c r="R608" s="1647" t="s">
        <v>4203</v>
      </c>
      <c r="S608" s="1644" t="s">
        <v>3696</v>
      </c>
      <c r="T608" s="1644" t="s">
        <v>936</v>
      </c>
      <c r="U608" s="1644" t="s">
        <v>3631</v>
      </c>
      <c r="V608" s="1644"/>
      <c r="W608" s="1650" t="s">
        <v>3646</v>
      </c>
      <c r="X608" s="1644"/>
      <c r="Y608" s="1647">
        <v>39240</v>
      </c>
      <c r="Z608" s="1647">
        <v>39606</v>
      </c>
      <c r="AA608" s="1650">
        <f t="shared" ca="1" si="33"/>
        <v>17.333333333333332</v>
      </c>
      <c r="AB608" s="2444" t="s">
        <v>3629</v>
      </c>
      <c r="AC608" s="2445"/>
      <c r="AD608" s="2438"/>
    </row>
    <row r="609" spans="1:30" ht="15.75" customHeight="1">
      <c r="A609" s="1644">
        <f t="shared" si="29"/>
        <v>55</v>
      </c>
      <c r="B609" s="1645" t="s">
        <v>2457</v>
      </c>
      <c r="C609" s="1644" t="s">
        <v>1578</v>
      </c>
      <c r="D609" s="1645" t="s">
        <v>546</v>
      </c>
      <c r="E609" s="1644" t="s">
        <v>2798</v>
      </c>
      <c r="F609" s="1644">
        <f t="shared" si="22"/>
        <v>1987</v>
      </c>
      <c r="G609" s="1647">
        <v>32130</v>
      </c>
      <c r="H609" s="1644" t="s">
        <v>3636</v>
      </c>
      <c r="I609" s="1648"/>
      <c r="J609" s="1644" t="s">
        <v>37</v>
      </c>
      <c r="K609" s="1644">
        <v>0</v>
      </c>
      <c r="L609" s="1645" t="s">
        <v>4089</v>
      </c>
      <c r="M609" s="1645" t="s">
        <v>4364</v>
      </c>
      <c r="N609" s="1645"/>
      <c r="O609" s="1645" t="s">
        <v>3645</v>
      </c>
      <c r="P609" s="1649"/>
      <c r="Q609" s="1645" t="s">
        <v>3693</v>
      </c>
      <c r="R609" s="1647" t="s">
        <v>3683</v>
      </c>
      <c r="S609" s="1644" t="s">
        <v>3696</v>
      </c>
      <c r="T609" s="1644" t="s">
        <v>936</v>
      </c>
      <c r="U609" s="1644" t="s">
        <v>3711</v>
      </c>
      <c r="V609" s="1644"/>
      <c r="W609" s="1644">
        <v>0</v>
      </c>
      <c r="X609" s="1644"/>
      <c r="Y609" s="1647">
        <v>39506</v>
      </c>
      <c r="Z609" s="1647">
        <v>39872</v>
      </c>
      <c r="AA609" s="1650">
        <f t="shared" ca="1" si="33"/>
        <v>18.166666666666668</v>
      </c>
      <c r="AB609" s="2444" t="s">
        <v>3629</v>
      </c>
      <c r="AC609" s="2445"/>
      <c r="AD609" s="2438"/>
    </row>
    <row r="610" spans="1:30" ht="15.75" customHeight="1">
      <c r="A610" s="1644">
        <f t="shared" si="29"/>
        <v>56</v>
      </c>
      <c r="B610" s="1645" t="s">
        <v>2525</v>
      </c>
      <c r="C610" s="1644" t="s">
        <v>1578</v>
      </c>
      <c r="D610" s="1645" t="s">
        <v>550</v>
      </c>
      <c r="E610" s="1644" t="s">
        <v>2798</v>
      </c>
      <c r="F610" s="1644">
        <f t="shared" si="22"/>
        <v>1980</v>
      </c>
      <c r="G610" s="1647">
        <v>29567</v>
      </c>
      <c r="H610" s="1644" t="s">
        <v>3628</v>
      </c>
      <c r="I610" s="1648"/>
      <c r="J610" s="1644" t="s">
        <v>38</v>
      </c>
      <c r="K610" s="1644">
        <v>0</v>
      </c>
      <c r="L610" s="1645" t="s">
        <v>2682</v>
      </c>
      <c r="M610" s="1645" t="s">
        <v>3950</v>
      </c>
      <c r="N610" s="1645"/>
      <c r="O610" s="1645" t="s">
        <v>3950</v>
      </c>
      <c r="P610" s="1649"/>
      <c r="Q610" s="1645" t="s">
        <v>3693</v>
      </c>
      <c r="R610" s="1647" t="s">
        <v>2862</v>
      </c>
      <c r="S610" s="1644" t="s">
        <v>3696</v>
      </c>
      <c r="T610" s="1644" t="s">
        <v>936</v>
      </c>
      <c r="U610" s="1644" t="s">
        <v>3631</v>
      </c>
      <c r="V610" s="1644"/>
      <c r="W610" s="1644">
        <v>0</v>
      </c>
      <c r="X610" s="1644"/>
      <c r="Y610" s="1647">
        <v>37778</v>
      </c>
      <c r="Z610" s="1647">
        <v>38144</v>
      </c>
      <c r="AA610" s="1650">
        <f t="shared" ca="1" si="33"/>
        <v>11.166666666666666</v>
      </c>
      <c r="AB610" s="2444" t="s">
        <v>3629</v>
      </c>
      <c r="AC610" s="2445"/>
      <c r="AD610" s="2438"/>
    </row>
    <row r="611" spans="1:30" ht="15.75" customHeight="1">
      <c r="A611" s="1644">
        <f t="shared" si="29"/>
        <v>57</v>
      </c>
      <c r="B611" s="1645" t="s">
        <v>2524</v>
      </c>
      <c r="C611" s="1644" t="s">
        <v>1578</v>
      </c>
      <c r="D611" s="1645" t="s">
        <v>550</v>
      </c>
      <c r="E611" s="1644" t="s">
        <v>2798</v>
      </c>
      <c r="F611" s="1644">
        <f t="shared" si="22"/>
        <v>1978</v>
      </c>
      <c r="G611" s="1647">
        <v>28730</v>
      </c>
      <c r="H611" s="1644" t="s">
        <v>3628</v>
      </c>
      <c r="I611" s="1648"/>
      <c r="J611" s="1644" t="s">
        <v>38</v>
      </c>
      <c r="K611" s="1644">
        <v>0</v>
      </c>
      <c r="L611" s="1645" t="s">
        <v>2682</v>
      </c>
      <c r="M611" s="1645" t="s">
        <v>3950</v>
      </c>
      <c r="N611" s="1645"/>
      <c r="O611" s="1645" t="s">
        <v>3950</v>
      </c>
      <c r="P611" s="1649"/>
      <c r="Q611" s="1645" t="s">
        <v>3693</v>
      </c>
      <c r="R611" s="1647" t="s">
        <v>2862</v>
      </c>
      <c r="S611" s="1644" t="s">
        <v>3696</v>
      </c>
      <c r="T611" s="1644" t="s">
        <v>936</v>
      </c>
      <c r="U611" s="1644" t="s">
        <v>3631</v>
      </c>
      <c r="V611" s="1644"/>
      <c r="W611" s="1644">
        <v>0</v>
      </c>
      <c r="X611" s="1644" t="s">
        <v>3633</v>
      </c>
      <c r="Y611" s="1647">
        <v>40189</v>
      </c>
      <c r="Z611" s="1647">
        <v>40554</v>
      </c>
      <c r="AA611" s="1650">
        <f t="shared" ca="1" si="33"/>
        <v>8.8333333333333339</v>
      </c>
      <c r="AB611" s="2444" t="s">
        <v>3629</v>
      </c>
      <c r="AC611" s="2445"/>
      <c r="AD611" s="2438"/>
    </row>
    <row r="612" spans="1:30" ht="15.75" customHeight="1">
      <c r="A612" s="1644">
        <f t="shared" si="29"/>
        <v>58</v>
      </c>
      <c r="B612" s="1645" t="s">
        <v>4733</v>
      </c>
      <c r="C612" s="1644" t="s">
        <v>1578</v>
      </c>
      <c r="D612" s="1645" t="s">
        <v>550</v>
      </c>
      <c r="E612" s="1646" t="s">
        <v>2798</v>
      </c>
      <c r="F612" s="1644">
        <f t="shared" si="22"/>
        <v>1979</v>
      </c>
      <c r="G612" s="1647">
        <v>29160</v>
      </c>
      <c r="H612" s="1644" t="s">
        <v>3628</v>
      </c>
      <c r="I612" s="1648"/>
      <c r="J612" s="1644" t="s">
        <v>38</v>
      </c>
      <c r="K612" s="1644">
        <v>0</v>
      </c>
      <c r="L612" s="1645" t="s">
        <v>2682</v>
      </c>
      <c r="M612" s="1645" t="s">
        <v>3655</v>
      </c>
      <c r="N612" s="1645"/>
      <c r="O612" s="1645" t="s">
        <v>3655</v>
      </c>
      <c r="P612" s="1649"/>
      <c r="Q612" s="1645" t="s">
        <v>3693</v>
      </c>
      <c r="R612" s="1647" t="s">
        <v>4203</v>
      </c>
      <c r="S612" s="1644" t="s">
        <v>3696</v>
      </c>
      <c r="T612" s="1644" t="s">
        <v>936</v>
      </c>
      <c r="U612" s="1644" t="s">
        <v>3631</v>
      </c>
      <c r="V612" s="1644"/>
      <c r="W612" s="1644">
        <v>0</v>
      </c>
      <c r="X612" s="1644"/>
      <c r="Y612" s="1647">
        <v>37287</v>
      </c>
      <c r="Z612" s="1647">
        <v>37652</v>
      </c>
      <c r="AA612" s="1650">
        <f t="shared" ca="1" si="33"/>
        <v>10</v>
      </c>
      <c r="AB612" s="2444" t="s">
        <v>3629</v>
      </c>
      <c r="AC612" s="2445"/>
      <c r="AD612" s="2438"/>
    </row>
    <row r="613" spans="1:30" ht="15.75" customHeight="1">
      <c r="A613" s="1644">
        <f t="shared" si="29"/>
        <v>59</v>
      </c>
      <c r="B613" s="1645" t="s">
        <v>2516</v>
      </c>
      <c r="C613" s="1644" t="s">
        <v>1578</v>
      </c>
      <c r="D613" s="1645" t="s">
        <v>550</v>
      </c>
      <c r="E613" s="1646" t="s">
        <v>2797</v>
      </c>
      <c r="F613" s="1644">
        <f t="shared" si="22"/>
        <v>1979</v>
      </c>
      <c r="G613" s="1647">
        <v>29140</v>
      </c>
      <c r="H613" s="1644" t="s">
        <v>3628</v>
      </c>
      <c r="I613" s="1648"/>
      <c r="J613" s="1644" t="s">
        <v>38</v>
      </c>
      <c r="K613" s="1644">
        <v>0</v>
      </c>
      <c r="L613" s="1645" t="s">
        <v>4417</v>
      </c>
      <c r="M613" s="1645" t="s">
        <v>3655</v>
      </c>
      <c r="N613" s="1645"/>
      <c r="O613" s="1645" t="s">
        <v>4734</v>
      </c>
      <c r="P613" s="1649"/>
      <c r="Q613" s="1645" t="s">
        <v>3757</v>
      </c>
      <c r="R613" s="1647" t="s">
        <v>3710</v>
      </c>
      <c r="S613" s="1644"/>
      <c r="T613" s="1644" t="s">
        <v>936</v>
      </c>
      <c r="U613" s="1644" t="s">
        <v>3697</v>
      </c>
      <c r="V613" s="1644"/>
      <c r="W613" s="1644">
        <v>0</v>
      </c>
      <c r="X613" s="1644" t="s">
        <v>4735</v>
      </c>
      <c r="Y613" s="1647">
        <v>36968</v>
      </c>
      <c r="Z613" s="1647">
        <v>37333</v>
      </c>
      <c r="AA613" s="1650">
        <f t="shared" ca="1" si="33"/>
        <v>15</v>
      </c>
      <c r="AB613" s="2444" t="s">
        <v>3629</v>
      </c>
      <c r="AC613" s="2446" t="e">
        <f t="shared" ref="AC613:AC614" si="34">+#REF!-#REF!</f>
        <v>#REF!</v>
      </c>
      <c r="AD613" s="2438"/>
    </row>
    <row r="614" spans="1:30" ht="15.75" customHeight="1">
      <c r="A614" s="1644">
        <f t="shared" si="29"/>
        <v>60</v>
      </c>
      <c r="B614" s="1645" t="s">
        <v>2522</v>
      </c>
      <c r="C614" s="1644" t="s">
        <v>1578</v>
      </c>
      <c r="D614" s="1645" t="s">
        <v>550</v>
      </c>
      <c r="E614" s="1646" t="s">
        <v>2798</v>
      </c>
      <c r="F614" s="1644">
        <f t="shared" si="22"/>
        <v>1984</v>
      </c>
      <c r="G614" s="1647">
        <v>30950</v>
      </c>
      <c r="H614" s="1644" t="s">
        <v>3628</v>
      </c>
      <c r="I614" s="1648"/>
      <c r="J614" s="1644" t="s">
        <v>38</v>
      </c>
      <c r="K614" s="1644">
        <v>0</v>
      </c>
      <c r="L614" s="1645" t="s">
        <v>2682</v>
      </c>
      <c r="M614" s="1645" t="s">
        <v>3950</v>
      </c>
      <c r="N614" s="1645"/>
      <c r="O614" s="1645" t="s">
        <v>3950</v>
      </c>
      <c r="P614" s="1649"/>
      <c r="Q614" s="1645" t="s">
        <v>3757</v>
      </c>
      <c r="R614" s="1647" t="s">
        <v>4546</v>
      </c>
      <c r="S614" s="1644" t="s">
        <v>3696</v>
      </c>
      <c r="T614" s="1644" t="s">
        <v>936</v>
      </c>
      <c r="U614" s="1644" t="s">
        <v>3631</v>
      </c>
      <c r="V614" s="1644"/>
      <c r="W614" s="1650" t="s">
        <v>3653</v>
      </c>
      <c r="X614" s="1644" t="s">
        <v>3633</v>
      </c>
      <c r="Y614" s="1647">
        <v>37508</v>
      </c>
      <c r="Z614" s="1647">
        <v>37873</v>
      </c>
      <c r="AA614" s="1650">
        <f t="shared" ca="1" si="33"/>
        <v>14.916666666666666</v>
      </c>
      <c r="AB614" s="2444" t="s">
        <v>3629</v>
      </c>
      <c r="AC614" s="2446" t="e">
        <f t="shared" si="34"/>
        <v>#REF!</v>
      </c>
      <c r="AD614" s="2438"/>
    </row>
    <row r="615" spans="1:30" ht="15.75" customHeight="1">
      <c r="A615" s="1644">
        <f t="shared" si="29"/>
        <v>61</v>
      </c>
      <c r="B615" s="1645" t="s">
        <v>2523</v>
      </c>
      <c r="C615" s="1644" t="s">
        <v>1578</v>
      </c>
      <c r="D615" s="1645" t="s">
        <v>550</v>
      </c>
      <c r="E615" s="1644" t="s">
        <v>2798</v>
      </c>
      <c r="F615" s="1644">
        <f t="shared" si="22"/>
        <v>1979</v>
      </c>
      <c r="G615" s="1647">
        <v>29149</v>
      </c>
      <c r="H615" s="1644" t="s">
        <v>3628</v>
      </c>
      <c r="I615" s="1648"/>
      <c r="J615" s="1644" t="s">
        <v>38</v>
      </c>
      <c r="K615" s="1644">
        <v>0</v>
      </c>
      <c r="L615" s="1645" t="s">
        <v>2682</v>
      </c>
      <c r="M615" s="1645" t="s">
        <v>3950</v>
      </c>
      <c r="N615" s="1645"/>
      <c r="O615" s="1645" t="s">
        <v>3950</v>
      </c>
      <c r="P615" s="1649"/>
      <c r="Q615" s="1645" t="s">
        <v>3693</v>
      </c>
      <c r="R615" s="1647" t="s">
        <v>4736</v>
      </c>
      <c r="S615" s="1644" t="s">
        <v>3696</v>
      </c>
      <c r="T615" s="1644" t="s">
        <v>936</v>
      </c>
      <c r="U615" s="1644" t="s">
        <v>3631</v>
      </c>
      <c r="V615" s="1644"/>
      <c r="W615" s="1644">
        <v>0</v>
      </c>
      <c r="X615" s="1644"/>
      <c r="Y615" s="1647">
        <v>36968</v>
      </c>
      <c r="Z615" s="1647">
        <v>37333</v>
      </c>
      <c r="AA615" s="1650">
        <f t="shared" ca="1" si="33"/>
        <v>10</v>
      </c>
      <c r="AB615" s="2444" t="s">
        <v>3629</v>
      </c>
      <c r="AC615" s="2445"/>
      <c r="AD615" s="2438"/>
    </row>
    <row r="616" spans="1:30" ht="15.75" customHeight="1">
      <c r="A616" s="1644">
        <f t="shared" si="29"/>
        <v>62</v>
      </c>
      <c r="B616" s="1645" t="s">
        <v>2521</v>
      </c>
      <c r="C616" s="1644" t="s">
        <v>1578</v>
      </c>
      <c r="D616" s="1645" t="s">
        <v>550</v>
      </c>
      <c r="E616" s="1646" t="s">
        <v>2797</v>
      </c>
      <c r="F616" s="1644">
        <f t="shared" si="22"/>
        <v>1964</v>
      </c>
      <c r="G616" s="1647">
        <v>23540</v>
      </c>
      <c r="H616" s="1644" t="s">
        <v>3797</v>
      </c>
      <c r="I616" s="1648"/>
      <c r="J616" s="1644" t="s">
        <v>38</v>
      </c>
      <c r="K616" s="1644" t="s">
        <v>3798</v>
      </c>
      <c r="L616" s="1645" t="s">
        <v>2682</v>
      </c>
      <c r="M616" s="1645" t="s">
        <v>3950</v>
      </c>
      <c r="N616" s="1645"/>
      <c r="O616" s="1645" t="s">
        <v>3950</v>
      </c>
      <c r="P616" s="1649"/>
      <c r="Q616" s="1645" t="s">
        <v>3693</v>
      </c>
      <c r="R616" s="1644" t="s">
        <v>3710</v>
      </c>
      <c r="S616" s="1644"/>
      <c r="T616" s="1644" t="s">
        <v>936</v>
      </c>
      <c r="U616" s="1644" t="s">
        <v>3802</v>
      </c>
      <c r="V616" s="1644"/>
      <c r="W616" s="1644">
        <v>0</v>
      </c>
      <c r="X616" s="1644"/>
      <c r="Y616" s="1647"/>
      <c r="Z616" s="1647"/>
      <c r="AA616" s="1650">
        <f t="shared" ca="1" si="33"/>
        <v>-0.33333333333333331</v>
      </c>
      <c r="AB616" s="2444" t="s">
        <v>3629</v>
      </c>
      <c r="AC616" s="2445"/>
      <c r="AD616" s="2438"/>
    </row>
    <row r="617" spans="1:30" ht="15.75" customHeight="1">
      <c r="A617" s="1644">
        <f t="shared" si="29"/>
        <v>63</v>
      </c>
      <c r="B617" s="1645" t="s">
        <v>4737</v>
      </c>
      <c r="C617" s="1644" t="s">
        <v>1578</v>
      </c>
      <c r="D617" s="1645" t="s">
        <v>550</v>
      </c>
      <c r="E617" s="1644" t="s">
        <v>2798</v>
      </c>
      <c r="F617" s="1644">
        <f t="shared" si="22"/>
        <v>1975</v>
      </c>
      <c r="G617" s="1647">
        <v>27743</v>
      </c>
      <c r="H617" s="1644" t="s">
        <v>3628</v>
      </c>
      <c r="I617" s="1648"/>
      <c r="J617" s="1644" t="s">
        <v>38</v>
      </c>
      <c r="K617" s="1644">
        <v>0</v>
      </c>
      <c r="L617" s="1645" t="s">
        <v>2682</v>
      </c>
      <c r="M617" s="1645" t="s">
        <v>4738</v>
      </c>
      <c r="N617" s="1645"/>
      <c r="O617" s="1645" t="s">
        <v>2682</v>
      </c>
      <c r="P617" s="1649">
        <v>43862</v>
      </c>
      <c r="Q617" s="1645" t="s">
        <v>3693</v>
      </c>
      <c r="R617" s="1647" t="s">
        <v>3882</v>
      </c>
      <c r="S617" s="1644"/>
      <c r="T617" s="1644">
        <v>2016</v>
      </c>
      <c r="U617" s="1644" t="s">
        <v>3697</v>
      </c>
      <c r="V617" s="1644"/>
      <c r="W617" s="1644">
        <v>0</v>
      </c>
      <c r="X617" s="1644"/>
      <c r="Y617" s="1647">
        <v>40881</v>
      </c>
      <c r="Z617" s="1647">
        <v>41247</v>
      </c>
      <c r="AA617" s="1650">
        <f t="shared" ca="1" si="33"/>
        <v>6.166666666666667</v>
      </c>
      <c r="AB617" s="2444" t="s">
        <v>3629</v>
      </c>
      <c r="AC617" s="2445"/>
      <c r="AD617" s="2438"/>
    </row>
    <row r="618" spans="1:30" ht="15.75" customHeight="1">
      <c r="A618" s="1644">
        <f t="shared" si="29"/>
        <v>64</v>
      </c>
      <c r="B618" s="1645" t="s">
        <v>4739</v>
      </c>
      <c r="C618" s="1644" t="s">
        <v>1578</v>
      </c>
      <c r="D618" s="1645" t="s">
        <v>550</v>
      </c>
      <c r="E618" s="1646" t="s">
        <v>2798</v>
      </c>
      <c r="F618" s="1644">
        <f t="shared" si="22"/>
        <v>1969</v>
      </c>
      <c r="G618" s="1647">
        <v>25505</v>
      </c>
      <c r="H618" s="1644" t="s">
        <v>3628</v>
      </c>
      <c r="I618" s="1648"/>
      <c r="J618" s="1644" t="s">
        <v>37</v>
      </c>
      <c r="K618" s="1644">
        <v>0</v>
      </c>
      <c r="L618" s="1645" t="s">
        <v>2682</v>
      </c>
      <c r="M618" s="1645" t="s">
        <v>4740</v>
      </c>
      <c r="N618" s="1645"/>
      <c r="O618" s="1645" t="s">
        <v>3645</v>
      </c>
      <c r="P618" s="1649"/>
      <c r="Q618" s="1645" t="s">
        <v>3693</v>
      </c>
      <c r="R618" s="1647" t="s">
        <v>3699</v>
      </c>
      <c r="S618" s="1644"/>
      <c r="T618" s="1644" t="s">
        <v>936</v>
      </c>
      <c r="U618" s="1644" t="s">
        <v>3631</v>
      </c>
      <c r="V618" s="1644"/>
      <c r="W618" s="1644" t="s">
        <v>3679</v>
      </c>
      <c r="X618" s="1644"/>
      <c r="Y618" s="1647">
        <v>38299</v>
      </c>
      <c r="Z618" s="1647">
        <v>38664</v>
      </c>
      <c r="AA618" s="1650">
        <f t="shared" ca="1" si="33"/>
        <v>0</v>
      </c>
      <c r="AB618" s="2444" t="s">
        <v>3629</v>
      </c>
      <c r="AC618" s="2445"/>
      <c r="AD618" s="2438"/>
    </row>
    <row r="619" spans="1:30" ht="15.75" customHeight="1">
      <c r="A619" s="1644">
        <f t="shared" si="29"/>
        <v>65</v>
      </c>
      <c r="B619" s="1645" t="s">
        <v>4741</v>
      </c>
      <c r="C619" s="1644" t="s">
        <v>1578</v>
      </c>
      <c r="D619" s="1645" t="s">
        <v>550</v>
      </c>
      <c r="E619" s="1644" t="s">
        <v>2797</v>
      </c>
      <c r="F619" s="1644">
        <f t="shared" si="22"/>
        <v>1981</v>
      </c>
      <c r="G619" s="1647">
        <v>29743</v>
      </c>
      <c r="H619" s="1644" t="s">
        <v>3628</v>
      </c>
      <c r="I619" s="1648"/>
      <c r="J619" s="1644" t="s">
        <v>38</v>
      </c>
      <c r="K619" s="1644">
        <v>0</v>
      </c>
      <c r="L619" s="1645" t="s">
        <v>2682</v>
      </c>
      <c r="M619" s="1645" t="s">
        <v>3655</v>
      </c>
      <c r="N619" s="1645"/>
      <c r="O619" s="1645" t="s">
        <v>3655</v>
      </c>
      <c r="P619" s="1649"/>
      <c r="Q619" s="1645" t="s">
        <v>3757</v>
      </c>
      <c r="R619" s="1647" t="s">
        <v>3702</v>
      </c>
      <c r="S619" s="1644"/>
      <c r="T619" s="1644" t="s">
        <v>936</v>
      </c>
      <c r="U619" s="1644" t="s">
        <v>3697</v>
      </c>
      <c r="V619" s="1644"/>
      <c r="W619" s="1650" t="s">
        <v>3653</v>
      </c>
      <c r="X619" s="1644" t="s">
        <v>3633</v>
      </c>
      <c r="Y619" s="1647">
        <v>37892</v>
      </c>
      <c r="Z619" s="1647">
        <v>38258</v>
      </c>
      <c r="AA619" s="1650">
        <f t="shared" ca="1" si="33"/>
        <v>16.666666666666668</v>
      </c>
      <c r="AB619" s="2444" t="e">
        <v>#REF!</v>
      </c>
      <c r="AC619" s="2446" t="e">
        <f>+#REF!-#REF!</f>
        <v>#REF!</v>
      </c>
      <c r="AD619" s="2438"/>
    </row>
    <row r="620" spans="1:30" ht="15.75" customHeight="1">
      <c r="A620" s="1644">
        <f t="shared" si="29"/>
        <v>66</v>
      </c>
      <c r="B620" s="1645" t="s">
        <v>2519</v>
      </c>
      <c r="C620" s="1644" t="s">
        <v>1578</v>
      </c>
      <c r="D620" s="1645" t="s">
        <v>550</v>
      </c>
      <c r="E620" s="1646" t="s">
        <v>2798</v>
      </c>
      <c r="F620" s="1644">
        <f t="shared" si="22"/>
        <v>1981</v>
      </c>
      <c r="G620" s="1647">
        <v>29633</v>
      </c>
      <c r="H620" s="1644" t="s">
        <v>3628</v>
      </c>
      <c r="I620" s="1648"/>
      <c r="J620" s="1644" t="s">
        <v>38</v>
      </c>
      <c r="K620" s="1644">
        <v>0</v>
      </c>
      <c r="L620" s="1645" t="s">
        <v>2682</v>
      </c>
      <c r="M620" s="1645" t="s">
        <v>3655</v>
      </c>
      <c r="N620" s="1645"/>
      <c r="O620" s="1645" t="s">
        <v>2682</v>
      </c>
      <c r="P620" s="1649"/>
      <c r="Q620" s="1645" t="s">
        <v>3693</v>
      </c>
      <c r="R620" s="1647" t="s">
        <v>3882</v>
      </c>
      <c r="S620" s="1644"/>
      <c r="T620" s="1644" t="s">
        <v>936</v>
      </c>
      <c r="U620" s="1644" t="s">
        <v>3631</v>
      </c>
      <c r="V620" s="1644"/>
      <c r="W620" s="1644" t="s">
        <v>936</v>
      </c>
      <c r="X620" s="1644"/>
      <c r="Y620" s="1647">
        <v>37413</v>
      </c>
      <c r="Z620" s="1647">
        <v>37778</v>
      </c>
      <c r="AA620" s="1650">
        <f t="shared" ca="1" si="33"/>
        <v>11.333333333333334</v>
      </c>
      <c r="AB620" s="2444" t="e">
        <v>#REF!</v>
      </c>
      <c r="AC620" s="2445"/>
      <c r="AD620" s="2438"/>
    </row>
    <row r="621" spans="1:30" ht="15.75" customHeight="1">
      <c r="A621" s="1644">
        <f t="shared" si="29"/>
        <v>67</v>
      </c>
      <c r="B621" s="1645" t="s">
        <v>4742</v>
      </c>
      <c r="C621" s="1644" t="s">
        <v>1578</v>
      </c>
      <c r="D621" s="1645" t="s">
        <v>550</v>
      </c>
      <c r="E621" s="1646" t="s">
        <v>2797</v>
      </c>
      <c r="F621" s="1644">
        <f t="shared" si="22"/>
        <v>1975</v>
      </c>
      <c r="G621" s="1647">
        <v>27604</v>
      </c>
      <c r="H621" s="1644" t="s">
        <v>3797</v>
      </c>
      <c r="I621" s="1648"/>
      <c r="J621" s="1644" t="s">
        <v>38</v>
      </c>
      <c r="K621" s="1644" t="s">
        <v>3798</v>
      </c>
      <c r="L621" s="1645" t="s">
        <v>4417</v>
      </c>
      <c r="M621" s="1645" t="s">
        <v>3950</v>
      </c>
      <c r="N621" s="1645"/>
      <c r="O621" s="1645" t="s">
        <v>3950</v>
      </c>
      <c r="P621" s="1649"/>
      <c r="Q621" s="1645" t="s">
        <v>3757</v>
      </c>
      <c r="R621" s="1647" t="s">
        <v>4051</v>
      </c>
      <c r="S621" s="1644"/>
      <c r="T621" s="1644" t="s">
        <v>936</v>
      </c>
      <c r="U621" s="1644" t="s">
        <v>3802</v>
      </c>
      <c r="V621" s="1644"/>
      <c r="W621" s="1650" t="s">
        <v>3632</v>
      </c>
      <c r="X621" s="1644" t="s">
        <v>3989</v>
      </c>
      <c r="Y621" s="1647">
        <v>38346</v>
      </c>
      <c r="Z621" s="1647">
        <v>38711</v>
      </c>
      <c r="AA621" s="1650">
        <f t="shared" ca="1" si="33"/>
        <v>10.75</v>
      </c>
      <c r="AB621" s="2444" t="s">
        <v>3629</v>
      </c>
      <c r="AC621" s="2446" t="e">
        <f t="shared" ref="AC621:AC622" si="35">+#REF!-#REF!</f>
        <v>#REF!</v>
      </c>
      <c r="AD621" s="2438"/>
    </row>
    <row r="622" spans="1:30" ht="15.75" customHeight="1">
      <c r="A622" s="1644">
        <f t="shared" si="29"/>
        <v>68</v>
      </c>
      <c r="B622" s="1645" t="s">
        <v>2502</v>
      </c>
      <c r="C622" s="1644" t="s">
        <v>1578</v>
      </c>
      <c r="D622" s="1645" t="s">
        <v>549</v>
      </c>
      <c r="E622" s="1644" t="s">
        <v>2798</v>
      </c>
      <c r="F622" s="1644">
        <f t="shared" si="22"/>
        <v>1984</v>
      </c>
      <c r="G622" s="1647">
        <v>30906</v>
      </c>
      <c r="H622" s="1644" t="s">
        <v>3636</v>
      </c>
      <c r="I622" s="1648"/>
      <c r="J622" s="1644" t="s">
        <v>38</v>
      </c>
      <c r="K622" s="1644">
        <v>0</v>
      </c>
      <c r="L622" s="1645" t="s">
        <v>249</v>
      </c>
      <c r="M622" s="1645" t="s">
        <v>4743</v>
      </c>
      <c r="N622" s="1645"/>
      <c r="O622" s="1645" t="s">
        <v>2829</v>
      </c>
      <c r="P622" s="1649"/>
      <c r="Q622" s="1645" t="s">
        <v>3693</v>
      </c>
      <c r="R622" s="1647" t="s">
        <v>3710</v>
      </c>
      <c r="S622" s="1644" t="s">
        <v>3696</v>
      </c>
      <c r="T622" s="1644" t="s">
        <v>936</v>
      </c>
      <c r="U622" s="1644" t="s">
        <v>3711</v>
      </c>
      <c r="V622" s="1644"/>
      <c r="W622" s="1644"/>
      <c r="X622" s="1644"/>
      <c r="Y622" s="1647">
        <v>38145</v>
      </c>
      <c r="Z622" s="1647">
        <v>38510</v>
      </c>
      <c r="AA622" s="1650">
        <f t="shared" ca="1" si="33"/>
        <v>14.833333333333334</v>
      </c>
      <c r="AB622" s="2444" t="s">
        <v>3629</v>
      </c>
      <c r="AC622" s="2446" t="e">
        <f t="shared" si="35"/>
        <v>#REF!</v>
      </c>
      <c r="AD622" s="2438"/>
    </row>
    <row r="623" spans="1:30" ht="15.75" customHeight="1">
      <c r="A623" s="1644">
        <f t="shared" si="29"/>
        <v>69</v>
      </c>
      <c r="B623" s="1645" t="s">
        <v>2827</v>
      </c>
      <c r="C623" s="1644" t="s">
        <v>1578</v>
      </c>
      <c r="D623" s="1645" t="s">
        <v>549</v>
      </c>
      <c r="E623" s="1646" t="s">
        <v>2797</v>
      </c>
      <c r="F623" s="1644">
        <f t="shared" si="22"/>
        <v>1957</v>
      </c>
      <c r="G623" s="1647">
        <v>20952</v>
      </c>
      <c r="H623" s="1644" t="s">
        <v>3797</v>
      </c>
      <c r="I623" s="1648"/>
      <c r="J623" s="1644" t="s">
        <v>38</v>
      </c>
      <c r="K623" s="1644" t="s">
        <v>3798</v>
      </c>
      <c r="L623" s="1645" t="s">
        <v>249</v>
      </c>
      <c r="M623" s="1645" t="s">
        <v>4744</v>
      </c>
      <c r="N623" s="1645"/>
      <c r="O623" s="1645" t="s">
        <v>4743</v>
      </c>
      <c r="P623" s="1649"/>
      <c r="Q623" s="1645" t="s">
        <v>3693</v>
      </c>
      <c r="R623" s="1644" t="s">
        <v>3710</v>
      </c>
      <c r="S623" s="1644"/>
      <c r="T623" s="1644" t="s">
        <v>936</v>
      </c>
      <c r="U623" s="1644" t="s">
        <v>3802</v>
      </c>
      <c r="V623" s="1644"/>
      <c r="W623" s="1644">
        <v>0</v>
      </c>
      <c r="X623" s="1644"/>
      <c r="Y623" s="1647">
        <v>32381</v>
      </c>
      <c r="Z623" s="1647">
        <v>32746</v>
      </c>
      <c r="AA623" s="1650">
        <f t="shared" ca="1" si="33"/>
        <v>-7.416666666666667</v>
      </c>
      <c r="AB623" s="2444" t="s">
        <v>3629</v>
      </c>
      <c r="AC623" s="2445"/>
      <c r="AD623" s="2438"/>
    </row>
    <row r="624" spans="1:30" ht="15.75" customHeight="1">
      <c r="A624" s="1644">
        <f t="shared" si="29"/>
        <v>70</v>
      </c>
      <c r="B624" s="1645" t="s">
        <v>2506</v>
      </c>
      <c r="C624" s="1644" t="s">
        <v>1578</v>
      </c>
      <c r="D624" s="1645" t="s">
        <v>549</v>
      </c>
      <c r="E624" s="1644" t="s">
        <v>2798</v>
      </c>
      <c r="F624" s="1644">
        <f t="shared" si="22"/>
        <v>1986</v>
      </c>
      <c r="G624" s="1647">
        <v>31557</v>
      </c>
      <c r="H624" s="1644" t="s">
        <v>3636</v>
      </c>
      <c r="I624" s="1648"/>
      <c r="J624" s="1644" t="s">
        <v>37</v>
      </c>
      <c r="K624" s="1644">
        <v>0</v>
      </c>
      <c r="L624" s="1645" t="s">
        <v>249</v>
      </c>
      <c r="M624" s="1645" t="s">
        <v>4745</v>
      </c>
      <c r="N624" s="1645"/>
      <c r="O624" s="1645" t="s">
        <v>3645</v>
      </c>
      <c r="P624" s="1649"/>
      <c r="Q624" s="1645" t="s">
        <v>3693</v>
      </c>
      <c r="R624" s="1647" t="s">
        <v>3993</v>
      </c>
      <c r="S624" s="1644" t="s">
        <v>3696</v>
      </c>
      <c r="T624" s="1644" t="s">
        <v>936</v>
      </c>
      <c r="U624" s="1644" t="s">
        <v>3711</v>
      </c>
      <c r="V624" s="1644"/>
      <c r="W624" s="1644">
        <v>0</v>
      </c>
      <c r="X624" s="1644"/>
      <c r="Y624" s="1647"/>
      <c r="Z624" s="1647"/>
      <c r="AA624" s="1650">
        <f t="shared" ca="1" si="33"/>
        <v>16.583333333333332</v>
      </c>
      <c r="AB624" s="2444" t="s">
        <v>3629</v>
      </c>
      <c r="AC624" s="2445"/>
      <c r="AD624" s="2438"/>
    </row>
    <row r="625" spans="1:30" ht="15.75" customHeight="1">
      <c r="A625" s="1644">
        <f t="shared" si="29"/>
        <v>71</v>
      </c>
      <c r="B625" s="1645" t="s">
        <v>2495</v>
      </c>
      <c r="C625" s="1644" t="s">
        <v>1578</v>
      </c>
      <c r="D625" s="1645" t="s">
        <v>549</v>
      </c>
      <c r="E625" s="1644" t="s">
        <v>2798</v>
      </c>
      <c r="F625" s="1644">
        <f t="shared" si="22"/>
        <v>1986</v>
      </c>
      <c r="G625" s="1647">
        <v>31729</v>
      </c>
      <c r="H625" s="1644" t="s">
        <v>3636</v>
      </c>
      <c r="I625" s="1648"/>
      <c r="J625" s="1644" t="s">
        <v>37</v>
      </c>
      <c r="K625" s="1644">
        <v>0</v>
      </c>
      <c r="L625" s="1645" t="s">
        <v>249</v>
      </c>
      <c r="M625" s="1645" t="s">
        <v>4746</v>
      </c>
      <c r="N625" s="1645"/>
      <c r="O625" s="1645" t="s">
        <v>3645</v>
      </c>
      <c r="P625" s="1649"/>
      <c r="Q625" s="1645" t="s">
        <v>3693</v>
      </c>
      <c r="R625" s="1644"/>
      <c r="S625" s="1644" t="s">
        <v>3696</v>
      </c>
      <c r="T625" s="1644" t="s">
        <v>936</v>
      </c>
      <c r="U625" s="1644" t="s">
        <v>3711</v>
      </c>
      <c r="V625" s="1644"/>
      <c r="W625" s="1650" t="s">
        <v>3653</v>
      </c>
      <c r="X625" s="1644" t="s">
        <v>3633</v>
      </c>
      <c r="Y625" s="1647">
        <v>39207</v>
      </c>
      <c r="Z625" s="1647">
        <v>39573</v>
      </c>
      <c r="AA625" s="1650">
        <f t="shared" ca="1" si="33"/>
        <v>17.083333333333332</v>
      </c>
      <c r="AB625" s="2444" t="s">
        <v>3629</v>
      </c>
      <c r="AC625" s="2445"/>
      <c r="AD625" s="2438"/>
    </row>
    <row r="626" spans="1:30" ht="15.75" customHeight="1">
      <c r="A626" s="1644">
        <f t="shared" si="29"/>
        <v>72</v>
      </c>
      <c r="B626" s="1645" t="s">
        <v>2832</v>
      </c>
      <c r="C626" s="1644" t="s">
        <v>1578</v>
      </c>
      <c r="D626" s="1645" t="s">
        <v>549</v>
      </c>
      <c r="E626" s="1646" t="s">
        <v>2797</v>
      </c>
      <c r="F626" s="1644">
        <f t="shared" si="22"/>
        <v>1957</v>
      </c>
      <c r="G626" s="1647">
        <v>21064</v>
      </c>
      <c r="H626" s="1644" t="s">
        <v>3797</v>
      </c>
      <c r="I626" s="1648"/>
      <c r="J626" s="1644" t="s">
        <v>38</v>
      </c>
      <c r="K626" s="1644" t="s">
        <v>3798</v>
      </c>
      <c r="L626" s="1645" t="s">
        <v>249</v>
      </c>
      <c r="M626" s="1645" t="s">
        <v>4747</v>
      </c>
      <c r="N626" s="1645"/>
      <c r="O626" s="1645" t="s">
        <v>4748</v>
      </c>
      <c r="P626" s="1649"/>
      <c r="Q626" s="1645" t="s">
        <v>3693</v>
      </c>
      <c r="R626" s="1644" t="s">
        <v>3683</v>
      </c>
      <c r="S626" s="1644"/>
      <c r="T626" s="1644" t="s">
        <v>936</v>
      </c>
      <c r="U626" s="1644" t="s">
        <v>3802</v>
      </c>
      <c r="V626" s="1644"/>
      <c r="W626" s="1644" t="s">
        <v>936</v>
      </c>
      <c r="X626" s="1644"/>
      <c r="Y626" s="1647">
        <v>30944</v>
      </c>
      <c r="Z626" s="1647">
        <v>31309</v>
      </c>
      <c r="AA626" s="1650">
        <f t="shared" ca="1" si="33"/>
        <v>-7.166666666666667</v>
      </c>
      <c r="AB626" s="2444" t="s">
        <v>3629</v>
      </c>
      <c r="AC626" s="2445"/>
      <c r="AD626" s="2438"/>
    </row>
    <row r="627" spans="1:30" ht="15.75" customHeight="1">
      <c r="A627" s="1644">
        <f t="shared" si="29"/>
        <v>73</v>
      </c>
      <c r="B627" s="1645" t="s">
        <v>2508</v>
      </c>
      <c r="C627" s="1644" t="s">
        <v>1578</v>
      </c>
      <c r="D627" s="1645" t="s">
        <v>549</v>
      </c>
      <c r="E627" s="1644" t="s">
        <v>2797</v>
      </c>
      <c r="F627" s="1644">
        <f t="shared" si="22"/>
        <v>1976</v>
      </c>
      <c r="G627" s="1647">
        <v>28009</v>
      </c>
      <c r="H627" s="1644" t="s">
        <v>3628</v>
      </c>
      <c r="I627" s="1648"/>
      <c r="J627" s="1644" t="s">
        <v>38</v>
      </c>
      <c r="K627" s="1644">
        <v>0</v>
      </c>
      <c r="L627" s="1645" t="s">
        <v>249</v>
      </c>
      <c r="M627" s="1645" t="s">
        <v>2829</v>
      </c>
      <c r="N627" s="1645"/>
      <c r="O627" s="1645" t="s">
        <v>2829</v>
      </c>
      <c r="P627" s="1649"/>
      <c r="Q627" s="1645" t="s">
        <v>3693</v>
      </c>
      <c r="R627" s="1644"/>
      <c r="S627" s="1644" t="s">
        <v>3696</v>
      </c>
      <c r="T627" s="1644" t="s">
        <v>936</v>
      </c>
      <c r="U627" s="1644" t="s">
        <v>3631</v>
      </c>
      <c r="V627" s="1644"/>
      <c r="W627" s="1650" t="s">
        <v>3646</v>
      </c>
      <c r="X627" s="1644"/>
      <c r="Y627" s="1647"/>
      <c r="Z627" s="1647"/>
      <c r="AA627" s="1650">
        <f t="shared" ca="1" si="33"/>
        <v>11.916666666666666</v>
      </c>
      <c r="AB627" s="2444" t="s">
        <v>3629</v>
      </c>
      <c r="AC627" s="2445"/>
      <c r="AD627" s="2438"/>
    </row>
    <row r="628" spans="1:30" ht="15.75" customHeight="1">
      <c r="A628" s="1644">
        <f t="shared" si="29"/>
        <v>74</v>
      </c>
      <c r="B628" s="1645" t="s">
        <v>2492</v>
      </c>
      <c r="C628" s="1644" t="s">
        <v>1578</v>
      </c>
      <c r="D628" s="1645" t="s">
        <v>549</v>
      </c>
      <c r="E628" s="1644" t="s">
        <v>2798</v>
      </c>
      <c r="F628" s="1644">
        <f t="shared" si="22"/>
        <v>1974</v>
      </c>
      <c r="G628" s="1647">
        <v>27376</v>
      </c>
      <c r="H628" s="1644" t="s">
        <v>3628</v>
      </c>
      <c r="I628" s="1648"/>
      <c r="J628" s="1644" t="s">
        <v>38</v>
      </c>
      <c r="K628" s="1644">
        <v>0</v>
      </c>
      <c r="L628" s="1645" t="s">
        <v>3268</v>
      </c>
      <c r="M628" s="1645" t="s">
        <v>4749</v>
      </c>
      <c r="N628" s="1645"/>
      <c r="O628" s="1645" t="s">
        <v>3268</v>
      </c>
      <c r="P628" s="1649"/>
      <c r="Q628" s="1645" t="s">
        <v>3757</v>
      </c>
      <c r="R628" s="1647" t="s">
        <v>3683</v>
      </c>
      <c r="S628" s="1644" t="s">
        <v>3696</v>
      </c>
      <c r="T628" s="1644" t="s">
        <v>936</v>
      </c>
      <c r="U628" s="1644" t="s">
        <v>3631</v>
      </c>
      <c r="V628" s="1644"/>
      <c r="W628" s="1644" t="s">
        <v>3939</v>
      </c>
      <c r="X628" s="1644"/>
      <c r="Y628" s="1647">
        <v>38921</v>
      </c>
      <c r="Z628" s="1647">
        <v>39286</v>
      </c>
      <c r="AA628" s="1650">
        <f t="shared" ca="1" si="33"/>
        <v>5.166666666666667</v>
      </c>
      <c r="AB628" s="2444" t="s">
        <v>3629</v>
      </c>
      <c r="AC628" s="2445"/>
      <c r="AD628" s="2438"/>
    </row>
    <row r="629" spans="1:30" ht="15.75" customHeight="1">
      <c r="A629" s="1644">
        <f t="shared" si="29"/>
        <v>75</v>
      </c>
      <c r="B629" s="1645" t="s">
        <v>2498</v>
      </c>
      <c r="C629" s="1644" t="s">
        <v>1578</v>
      </c>
      <c r="D629" s="1645" t="s">
        <v>549</v>
      </c>
      <c r="E629" s="1644" t="s">
        <v>2798</v>
      </c>
      <c r="F629" s="1644">
        <f t="shared" si="22"/>
        <v>1976</v>
      </c>
      <c r="G629" s="1647">
        <v>27886</v>
      </c>
      <c r="H629" s="1644" t="s">
        <v>3628</v>
      </c>
      <c r="I629" s="1648"/>
      <c r="J629" s="1644" t="s">
        <v>38</v>
      </c>
      <c r="K629" s="1644">
        <v>0</v>
      </c>
      <c r="L629" s="1645" t="s">
        <v>249</v>
      </c>
      <c r="M629" s="1645" t="s">
        <v>4748</v>
      </c>
      <c r="N629" s="1645"/>
      <c r="O629" s="1645" t="s">
        <v>4748</v>
      </c>
      <c r="P629" s="1649"/>
      <c r="Q629" s="1645" t="s">
        <v>3757</v>
      </c>
      <c r="R629" s="1647" t="s">
        <v>3699</v>
      </c>
      <c r="S629" s="1644" t="s">
        <v>3696</v>
      </c>
      <c r="T629" s="1644" t="s">
        <v>936</v>
      </c>
      <c r="U629" s="1644" t="s">
        <v>3697</v>
      </c>
      <c r="V629" s="1644"/>
      <c r="W629" s="1650" t="s">
        <v>3632</v>
      </c>
      <c r="X629" s="1644" t="s">
        <v>3633</v>
      </c>
      <c r="Y629" s="1647">
        <v>35972</v>
      </c>
      <c r="Z629" s="1647">
        <v>36337</v>
      </c>
      <c r="AA629" s="1650">
        <f t="shared" ca="1" si="33"/>
        <v>6.583333333333333</v>
      </c>
      <c r="AB629" s="2444" t="e">
        <v>#REF!</v>
      </c>
      <c r="AC629" s="2446" t="e">
        <f>+#REF!-#REF!</f>
        <v>#REF!</v>
      </c>
      <c r="AD629" s="2438"/>
    </row>
    <row r="630" spans="1:30" ht="15.75" customHeight="1">
      <c r="A630" s="1644">
        <f t="shared" si="29"/>
        <v>76</v>
      </c>
      <c r="B630" s="1645" t="s">
        <v>2505</v>
      </c>
      <c r="C630" s="1644" t="s">
        <v>1578</v>
      </c>
      <c r="D630" s="1645" t="s">
        <v>549</v>
      </c>
      <c r="E630" s="1644" t="s">
        <v>2798</v>
      </c>
      <c r="F630" s="1644">
        <f t="shared" si="22"/>
        <v>1981</v>
      </c>
      <c r="G630" s="1647">
        <v>29778</v>
      </c>
      <c r="H630" s="1644" t="s">
        <v>3636</v>
      </c>
      <c r="I630" s="1648"/>
      <c r="J630" s="1644" t="s">
        <v>38</v>
      </c>
      <c r="K630" s="1644"/>
      <c r="L630" s="1651" t="s">
        <v>2828</v>
      </c>
      <c r="M630" s="1645">
        <v>0</v>
      </c>
      <c r="N630" s="1645"/>
      <c r="O630" s="1645" t="s">
        <v>2828</v>
      </c>
      <c r="P630" s="1649"/>
      <c r="Q630" s="1645" t="s">
        <v>3693</v>
      </c>
      <c r="R630" s="1644"/>
      <c r="S630" s="1644"/>
      <c r="T630" s="1644"/>
      <c r="U630" s="1644"/>
      <c r="V630" s="1644"/>
      <c r="W630" s="1644"/>
      <c r="X630" s="1644"/>
      <c r="Y630" s="1644"/>
      <c r="Z630" s="1647"/>
      <c r="AA630" s="1650">
        <f t="shared" ca="1" si="33"/>
        <v>11.75</v>
      </c>
      <c r="AB630" s="2444" t="s">
        <v>3629</v>
      </c>
      <c r="AC630" s="2445"/>
      <c r="AD630" s="2438"/>
    </row>
    <row r="631" spans="1:30" ht="15.75" customHeight="1">
      <c r="A631" s="1644">
        <f t="shared" si="29"/>
        <v>77</v>
      </c>
      <c r="B631" s="1645" t="s">
        <v>2494</v>
      </c>
      <c r="C631" s="1644" t="s">
        <v>1578</v>
      </c>
      <c r="D631" s="1645" t="s">
        <v>549</v>
      </c>
      <c r="E631" s="1646" t="s">
        <v>2798</v>
      </c>
      <c r="F631" s="1644">
        <f t="shared" si="22"/>
        <v>1983</v>
      </c>
      <c r="G631" s="1647">
        <v>30346</v>
      </c>
      <c r="H631" s="1644" t="s">
        <v>3636</v>
      </c>
      <c r="I631" s="1648"/>
      <c r="J631" s="1644" t="s">
        <v>38</v>
      </c>
      <c r="K631" s="1644">
        <v>0</v>
      </c>
      <c r="L631" s="1645" t="s">
        <v>249</v>
      </c>
      <c r="M631" s="1645" t="s">
        <v>4743</v>
      </c>
      <c r="N631" s="1645"/>
      <c r="O631" s="1645" t="s">
        <v>2829</v>
      </c>
      <c r="P631" s="1649"/>
      <c r="Q631" s="1645" t="s">
        <v>3693</v>
      </c>
      <c r="R631" s="1647" t="s">
        <v>3993</v>
      </c>
      <c r="S631" s="1644" t="s">
        <v>3696</v>
      </c>
      <c r="T631" s="1644" t="s">
        <v>936</v>
      </c>
      <c r="U631" s="1644" t="s">
        <v>3697</v>
      </c>
      <c r="V631" s="1644"/>
      <c r="W631" s="1644">
        <v>0</v>
      </c>
      <c r="X631" s="1644"/>
      <c r="Y631" s="1647">
        <v>37961</v>
      </c>
      <c r="Z631" s="1647">
        <v>38327</v>
      </c>
      <c r="AA631" s="1650">
        <f t="shared" ca="1" si="33"/>
        <v>13.25</v>
      </c>
      <c r="AB631" s="2444" t="s">
        <v>3629</v>
      </c>
      <c r="AC631" s="2445"/>
      <c r="AD631" s="2438"/>
    </row>
    <row r="632" spans="1:30" ht="15.75" customHeight="1">
      <c r="A632" s="1644">
        <f t="shared" si="29"/>
        <v>78</v>
      </c>
      <c r="B632" s="1645" t="s">
        <v>2497</v>
      </c>
      <c r="C632" s="1644" t="s">
        <v>1578</v>
      </c>
      <c r="D632" s="1645" t="s">
        <v>549</v>
      </c>
      <c r="E632" s="1646" t="s">
        <v>2798</v>
      </c>
      <c r="F632" s="1644">
        <f t="shared" si="22"/>
        <v>1976</v>
      </c>
      <c r="G632" s="1647">
        <v>27933</v>
      </c>
      <c r="H632" s="1644" t="s">
        <v>3636</v>
      </c>
      <c r="I632" s="1648"/>
      <c r="J632" s="1644" t="s">
        <v>38</v>
      </c>
      <c r="K632" s="1644">
        <v>0</v>
      </c>
      <c r="L632" s="1645" t="s">
        <v>4750</v>
      </c>
      <c r="M632" s="1645" t="s">
        <v>4750</v>
      </c>
      <c r="N632" s="1645"/>
      <c r="O632" s="1645" t="s">
        <v>4750</v>
      </c>
      <c r="P632" s="1649">
        <v>44673</v>
      </c>
      <c r="Q632" s="1645" t="s">
        <v>3693</v>
      </c>
      <c r="R632" s="1647" t="s">
        <v>3993</v>
      </c>
      <c r="S632" s="1644" t="s">
        <v>3696</v>
      </c>
      <c r="T632" s="1644" t="s">
        <v>936</v>
      </c>
      <c r="U632" s="1644" t="s">
        <v>3711</v>
      </c>
      <c r="V632" s="1644"/>
      <c r="W632" s="1644">
        <v>0</v>
      </c>
      <c r="X632" s="1644"/>
      <c r="Y632" s="1647">
        <v>41567</v>
      </c>
      <c r="Z632" s="1647">
        <v>41932</v>
      </c>
      <c r="AA632" s="1650">
        <f t="shared" ca="1" si="33"/>
        <v>6.666666666666667</v>
      </c>
      <c r="AB632" s="2444" t="s">
        <v>3629</v>
      </c>
      <c r="AC632" s="2445"/>
      <c r="AD632" s="2438"/>
    </row>
    <row r="633" spans="1:30" ht="15.75" customHeight="1">
      <c r="A633" s="1644">
        <f t="shared" si="29"/>
        <v>79</v>
      </c>
      <c r="B633" s="1645" t="s">
        <v>2509</v>
      </c>
      <c r="C633" s="1644" t="s">
        <v>1578</v>
      </c>
      <c r="D633" s="1645" t="s">
        <v>549</v>
      </c>
      <c r="E633" s="1644" t="s">
        <v>2798</v>
      </c>
      <c r="F633" s="1644">
        <f t="shared" si="22"/>
        <v>1987</v>
      </c>
      <c r="G633" s="1647">
        <v>32087</v>
      </c>
      <c r="H633" s="1644" t="s">
        <v>3636</v>
      </c>
      <c r="I633" s="1648"/>
      <c r="J633" s="1644" t="s">
        <v>38</v>
      </c>
      <c r="K633" s="1644">
        <v>0</v>
      </c>
      <c r="L633" s="1645" t="s">
        <v>4057</v>
      </c>
      <c r="M633" s="1645" t="s">
        <v>3268</v>
      </c>
      <c r="N633" s="1645"/>
      <c r="O633" s="1645" t="s">
        <v>3268</v>
      </c>
      <c r="P633" s="1649">
        <v>44409</v>
      </c>
      <c r="Q633" s="1645" t="s">
        <v>3693</v>
      </c>
      <c r="R633" s="1644" t="s">
        <v>3683</v>
      </c>
      <c r="S633" s="1644" t="s">
        <v>3696</v>
      </c>
      <c r="T633" s="1644" t="s">
        <v>936</v>
      </c>
      <c r="U633" s="1644" t="s">
        <v>3711</v>
      </c>
      <c r="V633" s="1644"/>
      <c r="W633" s="1644">
        <v>0</v>
      </c>
      <c r="X633" s="1644"/>
      <c r="Y633" s="1647">
        <v>39955</v>
      </c>
      <c r="Z633" s="1647">
        <v>40320</v>
      </c>
      <c r="AA633" s="1650">
        <f t="shared" ca="1" si="33"/>
        <v>18.083333333333332</v>
      </c>
      <c r="AB633" s="2444" t="s">
        <v>3629</v>
      </c>
      <c r="AC633" s="2445"/>
      <c r="AD633" s="2438"/>
    </row>
    <row r="634" spans="1:30" ht="15.75" customHeight="1">
      <c r="A634" s="1644">
        <f t="shared" si="29"/>
        <v>80</v>
      </c>
      <c r="B634" s="1645" t="s">
        <v>2496</v>
      </c>
      <c r="C634" s="1644" t="s">
        <v>1578</v>
      </c>
      <c r="D634" s="1645" t="s">
        <v>549</v>
      </c>
      <c r="E634" s="1646" t="s">
        <v>2798</v>
      </c>
      <c r="F634" s="1644">
        <f t="shared" si="22"/>
        <v>1984</v>
      </c>
      <c r="G634" s="1647">
        <v>30934</v>
      </c>
      <c r="H634" s="1644" t="s">
        <v>3636</v>
      </c>
      <c r="I634" s="1648"/>
      <c r="J634" s="1644" t="s">
        <v>38</v>
      </c>
      <c r="K634" s="1644">
        <v>0</v>
      </c>
      <c r="L634" s="1645" t="s">
        <v>249</v>
      </c>
      <c r="M634" s="1645" t="s">
        <v>4751</v>
      </c>
      <c r="N634" s="1645"/>
      <c r="O634" s="1645" t="s">
        <v>2828</v>
      </c>
      <c r="P634" s="1649"/>
      <c r="Q634" s="1645" t="s">
        <v>3693</v>
      </c>
      <c r="R634" s="1647" t="s">
        <v>3683</v>
      </c>
      <c r="S634" s="1644" t="s">
        <v>3696</v>
      </c>
      <c r="T634" s="1644" t="s">
        <v>936</v>
      </c>
      <c r="U634" s="1644" t="s">
        <v>3711</v>
      </c>
      <c r="V634" s="1644"/>
      <c r="W634" s="1650" t="s">
        <v>3646</v>
      </c>
      <c r="X634" s="1644"/>
      <c r="Y634" s="1647">
        <v>38788</v>
      </c>
      <c r="Z634" s="1647">
        <v>39153</v>
      </c>
      <c r="AA634" s="1650">
        <f t="shared" ca="1" si="33"/>
        <v>14.916666666666666</v>
      </c>
      <c r="AB634" s="2444" t="s">
        <v>3629</v>
      </c>
      <c r="AC634" s="2445"/>
      <c r="AD634" s="2438"/>
    </row>
    <row r="635" spans="1:30" ht="15.75" customHeight="1">
      <c r="A635" s="1644">
        <f t="shared" si="29"/>
        <v>81</v>
      </c>
      <c r="B635" s="1645" t="s">
        <v>4752</v>
      </c>
      <c r="C635" s="1644" t="s">
        <v>1578</v>
      </c>
      <c r="D635" s="1645" t="s">
        <v>549</v>
      </c>
      <c r="E635" s="1646" t="s">
        <v>2798</v>
      </c>
      <c r="F635" s="1644">
        <f t="shared" si="22"/>
        <v>1979</v>
      </c>
      <c r="G635" s="1647">
        <v>29089</v>
      </c>
      <c r="H635" s="1644" t="s">
        <v>3628</v>
      </c>
      <c r="I635" s="1648"/>
      <c r="J635" s="1644" t="s">
        <v>38</v>
      </c>
      <c r="K635" s="1644">
        <v>0</v>
      </c>
      <c r="L635" s="1645" t="s">
        <v>249</v>
      </c>
      <c r="M635" s="1645" t="s">
        <v>4753</v>
      </c>
      <c r="N635" s="1645"/>
      <c r="O635" s="1645" t="s">
        <v>4754</v>
      </c>
      <c r="P635" s="1649"/>
      <c r="Q635" s="1645" t="s">
        <v>3693</v>
      </c>
      <c r="R635" s="1644" t="s">
        <v>3699</v>
      </c>
      <c r="S635" s="1644" t="s">
        <v>3696</v>
      </c>
      <c r="T635" s="1644" t="s">
        <v>936</v>
      </c>
      <c r="U635" s="1644" t="s">
        <v>3697</v>
      </c>
      <c r="V635" s="1644"/>
      <c r="W635" s="1650" t="s">
        <v>3646</v>
      </c>
      <c r="X635" s="1644"/>
      <c r="Y635" s="1647">
        <v>42556</v>
      </c>
      <c r="Z635" s="1647">
        <v>42921</v>
      </c>
      <c r="AA635" s="1650">
        <f t="shared" ca="1" si="33"/>
        <v>9.8333333333333339</v>
      </c>
      <c r="AB635" s="2444" t="e">
        <v>#REF!</v>
      </c>
      <c r="AC635" s="2446" t="e">
        <f>+#REF!-#REF!</f>
        <v>#REF!</v>
      </c>
      <c r="AD635" s="2438"/>
    </row>
    <row r="636" spans="1:30" ht="15.75" customHeight="1">
      <c r="A636" s="1644">
        <f t="shared" si="29"/>
        <v>82</v>
      </c>
      <c r="B636" s="1645" t="s">
        <v>2501</v>
      </c>
      <c r="C636" s="1644" t="s">
        <v>1578</v>
      </c>
      <c r="D636" s="1645" t="s">
        <v>549</v>
      </c>
      <c r="E636" s="1644" t="s">
        <v>2798</v>
      </c>
      <c r="F636" s="1644">
        <f t="shared" si="22"/>
        <v>1982</v>
      </c>
      <c r="G636" s="1647">
        <v>30145</v>
      </c>
      <c r="H636" s="1644" t="s">
        <v>3628</v>
      </c>
      <c r="I636" s="1648"/>
      <c r="J636" s="1644" t="s">
        <v>38</v>
      </c>
      <c r="K636" s="1644">
        <v>0</v>
      </c>
      <c r="L636" s="1645" t="s">
        <v>4755</v>
      </c>
      <c r="M636" s="1645" t="s">
        <v>4746</v>
      </c>
      <c r="N636" s="1645"/>
      <c r="O636" s="1645" t="s">
        <v>4756</v>
      </c>
      <c r="P636" s="1649"/>
      <c r="Q636" s="1645" t="s">
        <v>3757</v>
      </c>
      <c r="R636" s="1647" t="s">
        <v>4203</v>
      </c>
      <c r="S636" s="1644" t="s">
        <v>3696</v>
      </c>
      <c r="T636" s="1644" t="s">
        <v>936</v>
      </c>
      <c r="U636" s="1644" t="s">
        <v>3697</v>
      </c>
      <c r="V636" s="1644"/>
      <c r="W636" s="1650" t="s">
        <v>4757</v>
      </c>
      <c r="X636" s="1644" t="s">
        <v>3759</v>
      </c>
      <c r="Y636" s="1647">
        <v>38116</v>
      </c>
      <c r="Z636" s="1647">
        <v>38481</v>
      </c>
      <c r="AA636" s="1650">
        <f t="shared" ca="1" si="33"/>
        <v>12.75</v>
      </c>
      <c r="AB636" s="2444" t="s">
        <v>3629</v>
      </c>
      <c r="AC636" s="2445"/>
      <c r="AD636" s="2438"/>
    </row>
    <row r="637" spans="1:30" ht="15.75" customHeight="1">
      <c r="A637" s="1644">
        <f t="shared" si="29"/>
        <v>83</v>
      </c>
      <c r="B637" s="1645" t="s">
        <v>4758</v>
      </c>
      <c r="C637" s="1644" t="s">
        <v>1578</v>
      </c>
      <c r="D637" s="1645" t="s">
        <v>549</v>
      </c>
      <c r="E637" s="1646" t="s">
        <v>2798</v>
      </c>
      <c r="F637" s="1644">
        <f t="shared" si="22"/>
        <v>1982</v>
      </c>
      <c r="G637" s="1647">
        <v>30224</v>
      </c>
      <c r="H637" s="1644" t="s">
        <v>3628</v>
      </c>
      <c r="I637" s="1648"/>
      <c r="J637" s="1644" t="s">
        <v>38</v>
      </c>
      <c r="K637" s="1644">
        <v>0</v>
      </c>
      <c r="L637" s="1645" t="s">
        <v>249</v>
      </c>
      <c r="M637" s="1645" t="s">
        <v>4743</v>
      </c>
      <c r="N637" s="1645"/>
      <c r="O637" s="1645" t="s">
        <v>4759</v>
      </c>
      <c r="P637" s="1649"/>
      <c r="Q637" s="1645" t="s">
        <v>3693</v>
      </c>
      <c r="R637" s="1647" t="s">
        <v>3683</v>
      </c>
      <c r="S637" s="1644" t="s">
        <v>3696</v>
      </c>
      <c r="T637" s="1644" t="s">
        <v>936</v>
      </c>
      <c r="U637" s="1644" t="s">
        <v>3697</v>
      </c>
      <c r="V637" s="1644"/>
      <c r="W637" s="1644" t="s">
        <v>4053</v>
      </c>
      <c r="X637" s="1644"/>
      <c r="Y637" s="1647">
        <v>42556</v>
      </c>
      <c r="Z637" s="1647">
        <v>42921</v>
      </c>
      <c r="AA637" s="1650">
        <f t="shared" ca="1" si="33"/>
        <v>12.916666666666666</v>
      </c>
      <c r="AB637" s="2444" t="s">
        <v>3629</v>
      </c>
      <c r="AC637" s="2445"/>
      <c r="AD637" s="2438"/>
    </row>
    <row r="638" spans="1:30" ht="15.75" customHeight="1">
      <c r="A638" s="1644">
        <f t="shared" si="29"/>
        <v>84</v>
      </c>
      <c r="B638" s="1645" t="s">
        <v>2507</v>
      </c>
      <c r="C638" s="1644" t="s">
        <v>1578</v>
      </c>
      <c r="D638" s="1645" t="s">
        <v>549</v>
      </c>
      <c r="E638" s="1644" t="s">
        <v>2798</v>
      </c>
      <c r="F638" s="1644">
        <f t="shared" si="22"/>
        <v>1987</v>
      </c>
      <c r="G638" s="1647">
        <v>32126</v>
      </c>
      <c r="H638" s="1644" t="s">
        <v>3636</v>
      </c>
      <c r="I638" s="1648"/>
      <c r="J638" s="1644" t="s">
        <v>37</v>
      </c>
      <c r="K638" s="1644">
        <v>0</v>
      </c>
      <c r="L638" s="1645" t="s">
        <v>249</v>
      </c>
      <c r="M638" s="1645" t="s">
        <v>3015</v>
      </c>
      <c r="N638" s="1645"/>
      <c r="O638" s="1645" t="s">
        <v>3645</v>
      </c>
      <c r="P638" s="1649"/>
      <c r="Q638" s="1645" t="s">
        <v>3693</v>
      </c>
      <c r="R638" s="1647" t="s">
        <v>4760</v>
      </c>
      <c r="S638" s="1644" t="s">
        <v>3696</v>
      </c>
      <c r="T638" s="1644"/>
      <c r="U638" s="1644" t="s">
        <v>3711</v>
      </c>
      <c r="V638" s="1644"/>
      <c r="W638" s="1644"/>
      <c r="X638" s="1644"/>
      <c r="Y638" s="1647">
        <v>39955</v>
      </c>
      <c r="Z638" s="1647">
        <v>40320</v>
      </c>
      <c r="AA638" s="1650">
        <f t="shared" ca="1" si="33"/>
        <v>18.166666666666668</v>
      </c>
      <c r="AB638" s="2444" t="s">
        <v>3629</v>
      </c>
      <c r="AC638" s="2445"/>
      <c r="AD638" s="2438"/>
    </row>
    <row r="639" spans="1:30" ht="15.75" customHeight="1">
      <c r="A639" s="1644">
        <f t="shared" si="29"/>
        <v>85</v>
      </c>
      <c r="B639" s="1645" t="s">
        <v>2499</v>
      </c>
      <c r="C639" s="1644" t="s">
        <v>1578</v>
      </c>
      <c r="D639" s="1645" t="s">
        <v>549</v>
      </c>
      <c r="E639" s="1646" t="s">
        <v>2798</v>
      </c>
      <c r="F639" s="1644">
        <f t="shared" si="22"/>
        <v>1985</v>
      </c>
      <c r="G639" s="1647">
        <v>31140</v>
      </c>
      <c r="H639" s="1646" t="s">
        <v>3636</v>
      </c>
      <c r="I639" s="1648"/>
      <c r="J639" s="1644" t="s">
        <v>38</v>
      </c>
      <c r="K639" s="1644"/>
      <c r="L639" s="1651" t="s">
        <v>3268</v>
      </c>
      <c r="M639" s="1645" t="s">
        <v>3268</v>
      </c>
      <c r="N639" s="1645"/>
      <c r="O639" s="1645" t="s">
        <v>2834</v>
      </c>
      <c r="P639" s="1649">
        <v>44166</v>
      </c>
      <c r="Q639" s="1645" t="s">
        <v>3693</v>
      </c>
      <c r="R639" s="1644"/>
      <c r="S639" s="1644"/>
      <c r="T639" s="1644"/>
      <c r="U639" s="1644" t="s">
        <v>3711</v>
      </c>
      <c r="V639" s="1644"/>
      <c r="W639" s="1644"/>
      <c r="X639" s="1644"/>
      <c r="Y639" s="1647">
        <v>41792</v>
      </c>
      <c r="Z639" s="1647">
        <v>42157</v>
      </c>
      <c r="AA639" s="1654"/>
      <c r="AB639" s="2444" t="s">
        <v>3629</v>
      </c>
      <c r="AC639" s="2445"/>
      <c r="AD639" s="2438"/>
    </row>
    <row r="640" spans="1:30" ht="15.75" customHeight="1">
      <c r="A640" s="1644">
        <f t="shared" si="29"/>
        <v>86</v>
      </c>
      <c r="B640" s="1645" t="s">
        <v>2462</v>
      </c>
      <c r="C640" s="1644" t="s">
        <v>1578</v>
      </c>
      <c r="D640" s="1645" t="s">
        <v>547</v>
      </c>
      <c r="E640" s="1646" t="s">
        <v>2798</v>
      </c>
      <c r="F640" s="1644">
        <f t="shared" si="22"/>
        <v>1975</v>
      </c>
      <c r="G640" s="1647">
        <v>27572</v>
      </c>
      <c r="H640" s="1644" t="s">
        <v>3628</v>
      </c>
      <c r="I640" s="1648"/>
      <c r="J640" s="1644" t="s">
        <v>38</v>
      </c>
      <c r="K640" s="1644">
        <v>0</v>
      </c>
      <c r="L640" s="1645" t="s">
        <v>1701</v>
      </c>
      <c r="M640" s="1645" t="s">
        <v>3013</v>
      </c>
      <c r="N640" s="1645"/>
      <c r="O640" s="1645" t="s">
        <v>3013</v>
      </c>
      <c r="P640" s="1649"/>
      <c r="Q640" s="1645" t="s">
        <v>3693</v>
      </c>
      <c r="R640" s="1647" t="s">
        <v>4517</v>
      </c>
      <c r="S640" s="1644"/>
      <c r="T640" s="1644" t="s">
        <v>936</v>
      </c>
      <c r="U640" s="1644" t="s">
        <v>3697</v>
      </c>
      <c r="V640" s="1644"/>
      <c r="W640" s="1644" t="s">
        <v>936</v>
      </c>
      <c r="X640" s="1644"/>
      <c r="Y640" s="1647">
        <v>41048</v>
      </c>
      <c r="Z640" s="1647">
        <v>41413</v>
      </c>
      <c r="AA640" s="1650">
        <f t="shared" ref="AA640:AA654" ca="1" si="36">IF(E640="nữ",660-DATEDIF(G640,TODAY(),"m"),720-DATEDIF(G640,TODAY(),"m"))/12</f>
        <v>5.666666666666667</v>
      </c>
      <c r="AB640" s="2444" t="s">
        <v>3629</v>
      </c>
      <c r="AC640" s="2445"/>
      <c r="AD640" s="2438"/>
    </row>
    <row r="641" spans="1:30" ht="15.75" customHeight="1">
      <c r="A641" s="1644">
        <f t="shared" si="29"/>
        <v>87</v>
      </c>
      <c r="B641" s="1645" t="s">
        <v>2469</v>
      </c>
      <c r="C641" s="1644" t="s">
        <v>1578</v>
      </c>
      <c r="D641" s="1645" t="s">
        <v>547</v>
      </c>
      <c r="E641" s="1644" t="s">
        <v>2797</v>
      </c>
      <c r="F641" s="1644">
        <f t="shared" ref="F641:F723" si="37">YEAR(G641)</f>
        <v>1976</v>
      </c>
      <c r="G641" s="1647">
        <v>28004</v>
      </c>
      <c r="H641" s="1644" t="s">
        <v>3628</v>
      </c>
      <c r="I641" s="1648"/>
      <c r="J641" s="1644" t="s">
        <v>38</v>
      </c>
      <c r="K641" s="1644">
        <v>0</v>
      </c>
      <c r="L641" s="1645" t="s">
        <v>1701</v>
      </c>
      <c r="M641" s="1645" t="s">
        <v>3014</v>
      </c>
      <c r="N641" s="1645"/>
      <c r="O641" s="1645" t="s">
        <v>4761</v>
      </c>
      <c r="P641" s="1649"/>
      <c r="Q641" s="1645" t="s">
        <v>3693</v>
      </c>
      <c r="R641" s="1647" t="s">
        <v>4762</v>
      </c>
      <c r="S641" s="1644" t="s">
        <v>3696</v>
      </c>
      <c r="T641" s="1644" t="s">
        <v>936</v>
      </c>
      <c r="U641" s="1644" t="s">
        <v>3631</v>
      </c>
      <c r="V641" s="1644"/>
      <c r="W641" s="1650" t="s">
        <v>3653</v>
      </c>
      <c r="X641" s="1644"/>
      <c r="Y641" s="1647">
        <v>38958</v>
      </c>
      <c r="Z641" s="1647">
        <v>39323</v>
      </c>
      <c r="AA641" s="1650">
        <f t="shared" ca="1" si="36"/>
        <v>11.833333333333334</v>
      </c>
      <c r="AB641" s="2444" t="s">
        <v>3629</v>
      </c>
      <c r="AC641" s="2445"/>
      <c r="AD641" s="2438"/>
    </row>
    <row r="642" spans="1:30" ht="15.75" customHeight="1">
      <c r="A642" s="1644">
        <f t="shared" si="29"/>
        <v>88</v>
      </c>
      <c r="B642" s="1645" t="s">
        <v>2465</v>
      </c>
      <c r="C642" s="1644" t="s">
        <v>1578</v>
      </c>
      <c r="D642" s="1645" t="s">
        <v>547</v>
      </c>
      <c r="E642" s="1644" t="s">
        <v>2797</v>
      </c>
      <c r="F642" s="1644">
        <f t="shared" si="37"/>
        <v>1973</v>
      </c>
      <c r="G642" s="1647">
        <v>26988</v>
      </c>
      <c r="H642" s="1644" t="s">
        <v>3636</v>
      </c>
      <c r="I642" s="1648"/>
      <c r="J642" s="1644" t="s">
        <v>38</v>
      </c>
      <c r="K642" s="1644">
        <v>0</v>
      </c>
      <c r="L642" s="1645" t="s">
        <v>1701</v>
      </c>
      <c r="M642" s="1645" t="s">
        <v>4763</v>
      </c>
      <c r="N642" s="1645"/>
      <c r="O642" s="1645" t="s">
        <v>1701</v>
      </c>
      <c r="P642" s="1649"/>
      <c r="Q642" s="1645"/>
      <c r="R642" s="1647" t="s">
        <v>4764</v>
      </c>
      <c r="S642" s="1644"/>
      <c r="T642" s="1644">
        <v>2018</v>
      </c>
      <c r="U642" s="1644" t="s">
        <v>3761</v>
      </c>
      <c r="V642" s="1643"/>
      <c r="W642" s="1644">
        <v>0</v>
      </c>
      <c r="X642" s="1644" t="s">
        <v>3633</v>
      </c>
      <c r="Y642" s="1647">
        <v>34884</v>
      </c>
      <c r="Z642" s="1647">
        <v>35250</v>
      </c>
      <c r="AA642" s="1650">
        <f t="shared" ca="1" si="36"/>
        <v>9.0833333333333339</v>
      </c>
      <c r="AB642" s="2444" t="e">
        <v>#REF!</v>
      </c>
      <c r="AC642" s="2446" t="e">
        <f>+#REF!-#REF!</f>
        <v>#REF!</v>
      </c>
      <c r="AD642" s="2438"/>
    </row>
    <row r="643" spans="1:30" ht="15.75" customHeight="1">
      <c r="A643" s="1644">
        <f t="shared" si="29"/>
        <v>89</v>
      </c>
      <c r="B643" s="1645" t="s">
        <v>2473</v>
      </c>
      <c r="C643" s="1644" t="s">
        <v>1578</v>
      </c>
      <c r="D643" s="1645" t="s">
        <v>547</v>
      </c>
      <c r="E643" s="1646" t="s">
        <v>2798</v>
      </c>
      <c r="F643" s="1644">
        <f t="shared" si="37"/>
        <v>1986</v>
      </c>
      <c r="G643" s="1647">
        <v>31413</v>
      </c>
      <c r="H643" s="1644" t="s">
        <v>3797</v>
      </c>
      <c r="I643" s="1648"/>
      <c r="J643" s="1644" t="s">
        <v>38</v>
      </c>
      <c r="K643" s="1644" t="s">
        <v>3798</v>
      </c>
      <c r="L643" s="1645" t="s">
        <v>1701</v>
      </c>
      <c r="M643" s="1645" t="s">
        <v>3013</v>
      </c>
      <c r="N643" s="1645"/>
      <c r="O643" s="1645" t="s">
        <v>1701</v>
      </c>
      <c r="P643" s="1649"/>
      <c r="Q643" s="1645" t="s">
        <v>3693</v>
      </c>
      <c r="R643" s="1644" t="s">
        <v>3683</v>
      </c>
      <c r="S643" s="1644" t="s">
        <v>3696</v>
      </c>
      <c r="T643" s="1644" t="s">
        <v>936</v>
      </c>
      <c r="U643" s="1644" t="s">
        <v>3631</v>
      </c>
      <c r="V643" s="1644"/>
      <c r="W643" s="1650" t="s">
        <v>3646</v>
      </c>
      <c r="X643" s="1644"/>
      <c r="Y643" s="1647">
        <v>39583</v>
      </c>
      <c r="Z643" s="1647">
        <v>39948</v>
      </c>
      <c r="AA643" s="1650">
        <f t="shared" ca="1" si="36"/>
        <v>16.166666666666668</v>
      </c>
      <c r="AB643" s="2444" t="s">
        <v>3629</v>
      </c>
      <c r="AC643" s="2445"/>
      <c r="AD643" s="2438"/>
    </row>
    <row r="644" spans="1:30" ht="15.75" customHeight="1">
      <c r="A644" s="1644">
        <f t="shared" si="29"/>
        <v>90</v>
      </c>
      <c r="B644" s="1645" t="s">
        <v>4765</v>
      </c>
      <c r="C644" s="1644" t="s">
        <v>1578</v>
      </c>
      <c r="D644" s="1645" t="s">
        <v>547</v>
      </c>
      <c r="E644" s="1644" t="s">
        <v>2798</v>
      </c>
      <c r="F644" s="1644">
        <f t="shared" si="37"/>
        <v>1970</v>
      </c>
      <c r="G644" s="1647">
        <v>25847</v>
      </c>
      <c r="H644" s="1644" t="s">
        <v>3628</v>
      </c>
      <c r="I644" s="1648"/>
      <c r="J644" s="1644" t="s">
        <v>38</v>
      </c>
      <c r="K644" s="1644">
        <v>0</v>
      </c>
      <c r="L644" s="1645" t="s">
        <v>1701</v>
      </c>
      <c r="M644" s="1645" t="s">
        <v>4020</v>
      </c>
      <c r="N644" s="1645"/>
      <c r="O644" s="1645" t="s">
        <v>1701</v>
      </c>
      <c r="P644" s="1649"/>
      <c r="Q644" s="1645" t="s">
        <v>3693</v>
      </c>
      <c r="R644" s="1647" t="s">
        <v>3727</v>
      </c>
      <c r="S644" s="1644" t="s">
        <v>3696</v>
      </c>
      <c r="T644" s="1644" t="s">
        <v>936</v>
      </c>
      <c r="U644" s="1644" t="s">
        <v>3631</v>
      </c>
      <c r="V644" s="1644"/>
      <c r="W644" s="1644">
        <v>0</v>
      </c>
      <c r="X644" s="1644" t="s">
        <v>3707</v>
      </c>
      <c r="Y644" s="1647">
        <v>42323</v>
      </c>
      <c r="Z644" s="1647">
        <v>42689</v>
      </c>
      <c r="AA644" s="1650">
        <f t="shared" ca="1" si="36"/>
        <v>1</v>
      </c>
      <c r="AB644" s="2444" t="s">
        <v>3629</v>
      </c>
      <c r="AC644" s="2445"/>
      <c r="AD644" s="2438"/>
    </row>
    <row r="645" spans="1:30" ht="15.75" customHeight="1">
      <c r="A645" s="1644">
        <f t="shared" si="29"/>
        <v>91</v>
      </c>
      <c r="B645" s="1645" t="s">
        <v>2466</v>
      </c>
      <c r="C645" s="1644" t="s">
        <v>1578</v>
      </c>
      <c r="D645" s="1645" t="s">
        <v>547</v>
      </c>
      <c r="E645" s="1644" t="s">
        <v>2797</v>
      </c>
      <c r="F645" s="1644">
        <f t="shared" si="37"/>
        <v>1959</v>
      </c>
      <c r="G645" s="1647">
        <v>21596</v>
      </c>
      <c r="H645" s="1644" t="s">
        <v>3797</v>
      </c>
      <c r="I645" s="1648"/>
      <c r="J645" s="1644" t="s">
        <v>38</v>
      </c>
      <c r="K645" s="1644" t="s">
        <v>3798</v>
      </c>
      <c r="L645" s="1645" t="s">
        <v>1701</v>
      </c>
      <c r="M645" s="1645" t="s">
        <v>1701</v>
      </c>
      <c r="N645" s="1645"/>
      <c r="O645" s="1645" t="s">
        <v>4766</v>
      </c>
      <c r="P645" s="1649"/>
      <c r="Q645" s="1645" t="s">
        <v>3693</v>
      </c>
      <c r="R645" s="1644" t="s">
        <v>3639</v>
      </c>
      <c r="S645" s="1644" t="s">
        <v>3962</v>
      </c>
      <c r="T645" s="1644" t="s">
        <v>936</v>
      </c>
      <c r="U645" s="1644" t="s">
        <v>3802</v>
      </c>
      <c r="V645" s="1644"/>
      <c r="W645" s="1644" t="s">
        <v>3658</v>
      </c>
      <c r="X645" s="1644"/>
      <c r="Y645" s="1647">
        <v>37286</v>
      </c>
      <c r="Z645" s="1647">
        <v>37651</v>
      </c>
      <c r="AA645" s="1650">
        <f t="shared" ca="1" si="36"/>
        <v>-5.666666666666667</v>
      </c>
      <c r="AB645" s="2444" t="s">
        <v>3629</v>
      </c>
      <c r="AC645" s="2445"/>
      <c r="AD645" s="2438"/>
    </row>
    <row r="646" spans="1:30" ht="15.75" customHeight="1">
      <c r="A646" s="1644">
        <f t="shared" si="29"/>
        <v>92</v>
      </c>
      <c r="B646" s="1645" t="s">
        <v>2467</v>
      </c>
      <c r="C646" s="1644" t="s">
        <v>1578</v>
      </c>
      <c r="D646" s="1645" t="s">
        <v>547</v>
      </c>
      <c r="E646" s="1644" t="s">
        <v>2798</v>
      </c>
      <c r="F646" s="1644">
        <f t="shared" si="37"/>
        <v>1970</v>
      </c>
      <c r="G646" s="1647">
        <v>25613</v>
      </c>
      <c r="H646" s="1644" t="s">
        <v>3628</v>
      </c>
      <c r="I646" s="1648"/>
      <c r="J646" s="1644" t="s">
        <v>38</v>
      </c>
      <c r="K646" s="1644">
        <v>0</v>
      </c>
      <c r="L646" s="1645" t="s">
        <v>1701</v>
      </c>
      <c r="M646" s="1645" t="s">
        <v>4767</v>
      </c>
      <c r="N646" s="1645"/>
      <c r="O646" s="1645" t="s">
        <v>4768</v>
      </c>
      <c r="P646" s="1649"/>
      <c r="Q646" s="1645" t="s">
        <v>3757</v>
      </c>
      <c r="R646" s="1647" t="s">
        <v>3683</v>
      </c>
      <c r="S646" s="1644" t="s">
        <v>3696</v>
      </c>
      <c r="T646" s="1644" t="s">
        <v>936</v>
      </c>
      <c r="U646" s="1644" t="s">
        <v>3697</v>
      </c>
      <c r="V646" s="1644"/>
      <c r="W646" s="1644">
        <v>0</v>
      </c>
      <c r="X646" s="1644" t="s">
        <v>3633</v>
      </c>
      <c r="Y646" s="1647">
        <v>37518</v>
      </c>
      <c r="Z646" s="1647">
        <v>37883</v>
      </c>
      <c r="AA646" s="1650">
        <f t="shared" ca="1" si="36"/>
        <v>0.33333333333333331</v>
      </c>
      <c r="AB646" s="2444" t="s">
        <v>3629</v>
      </c>
      <c r="AC646" s="2446" t="e">
        <f t="shared" ref="AC646:AC647" si="38">+#REF!-#REF!</f>
        <v>#REF!</v>
      </c>
      <c r="AD646" s="2438"/>
    </row>
    <row r="647" spans="1:30" ht="15.75" customHeight="1">
      <c r="A647" s="1644">
        <f t="shared" si="29"/>
        <v>93</v>
      </c>
      <c r="B647" s="1645" t="s">
        <v>2464</v>
      </c>
      <c r="C647" s="1644" t="s">
        <v>1578</v>
      </c>
      <c r="D647" s="1645" t="s">
        <v>547</v>
      </c>
      <c r="E647" s="1646" t="s">
        <v>2798</v>
      </c>
      <c r="F647" s="1644">
        <f t="shared" si="37"/>
        <v>1980</v>
      </c>
      <c r="G647" s="1647">
        <v>29323</v>
      </c>
      <c r="H647" s="1644" t="s">
        <v>3628</v>
      </c>
      <c r="I647" s="1648"/>
      <c r="J647" s="1644" t="s">
        <v>38</v>
      </c>
      <c r="K647" s="1644">
        <v>0</v>
      </c>
      <c r="L647" s="1645" t="s">
        <v>1701</v>
      </c>
      <c r="M647" s="1645" t="s">
        <v>4769</v>
      </c>
      <c r="N647" s="1645"/>
      <c r="O647" s="1645" t="s">
        <v>4769</v>
      </c>
      <c r="P647" s="1649"/>
      <c r="Q647" s="1645" t="s">
        <v>3693</v>
      </c>
      <c r="R647" s="1647" t="s">
        <v>4770</v>
      </c>
      <c r="S647" s="1644" t="s">
        <v>3696</v>
      </c>
      <c r="T647" s="1644">
        <v>2016</v>
      </c>
      <c r="U647" s="1644" t="s">
        <v>3631</v>
      </c>
      <c r="V647" s="1644"/>
      <c r="W647" s="1644">
        <v>0</v>
      </c>
      <c r="X647" s="1644"/>
      <c r="Y647" s="1647">
        <v>43099</v>
      </c>
      <c r="Z647" s="1647">
        <v>43464</v>
      </c>
      <c r="AA647" s="1650">
        <f t="shared" ca="1" si="36"/>
        <v>10.5</v>
      </c>
      <c r="AB647" s="2444" t="s">
        <v>3629</v>
      </c>
      <c r="AC647" s="2446" t="e">
        <f t="shared" si="38"/>
        <v>#REF!</v>
      </c>
      <c r="AD647" s="2438"/>
    </row>
    <row r="648" spans="1:30" ht="15.75" customHeight="1">
      <c r="A648" s="1644">
        <f t="shared" si="29"/>
        <v>94</v>
      </c>
      <c r="B648" s="1645" t="s">
        <v>2470</v>
      </c>
      <c r="C648" s="1644" t="s">
        <v>1578</v>
      </c>
      <c r="D648" s="1645" t="s">
        <v>547</v>
      </c>
      <c r="E648" s="1646" t="s">
        <v>2798</v>
      </c>
      <c r="F648" s="1644">
        <f t="shared" si="37"/>
        <v>1985</v>
      </c>
      <c r="G648" s="1647">
        <v>31291</v>
      </c>
      <c r="H648" s="1644" t="s">
        <v>3636</v>
      </c>
      <c r="I648" s="1648"/>
      <c r="J648" s="1644" t="s">
        <v>38</v>
      </c>
      <c r="K648" s="1644">
        <v>0</v>
      </c>
      <c r="L648" s="1645" t="s">
        <v>1701</v>
      </c>
      <c r="M648" s="1645" t="s">
        <v>3014</v>
      </c>
      <c r="N648" s="1645"/>
      <c r="O648" s="1645" t="s">
        <v>4771</v>
      </c>
      <c r="P648" s="1649"/>
      <c r="Q648" s="1645" t="s">
        <v>3693</v>
      </c>
      <c r="R648" s="1647" t="s">
        <v>3710</v>
      </c>
      <c r="S648" s="1644" t="s">
        <v>3696</v>
      </c>
      <c r="T648" s="1644">
        <v>0</v>
      </c>
      <c r="U648" s="1644" t="s">
        <v>3631</v>
      </c>
      <c r="V648" s="1644"/>
      <c r="W648" s="1644">
        <v>0</v>
      </c>
      <c r="X648" s="1644"/>
      <c r="Y648" s="1647">
        <v>39231</v>
      </c>
      <c r="Z648" s="1647">
        <v>39597</v>
      </c>
      <c r="AA648" s="1650">
        <f t="shared" ca="1" si="36"/>
        <v>15.833333333333334</v>
      </c>
      <c r="AB648" s="2444" t="s">
        <v>3629</v>
      </c>
      <c r="AC648" s="2445"/>
      <c r="AD648" s="2438"/>
    </row>
    <row r="649" spans="1:30" ht="15.75" customHeight="1">
      <c r="A649" s="1644">
        <f t="shared" si="29"/>
        <v>95</v>
      </c>
      <c r="B649" s="1645" t="s">
        <v>2468</v>
      </c>
      <c r="C649" s="1644" t="s">
        <v>1578</v>
      </c>
      <c r="D649" s="1645" t="s">
        <v>547</v>
      </c>
      <c r="E649" s="1644" t="s">
        <v>2797</v>
      </c>
      <c r="F649" s="1644">
        <f t="shared" si="37"/>
        <v>1969</v>
      </c>
      <c r="G649" s="1647">
        <v>25322</v>
      </c>
      <c r="H649" s="1644" t="s">
        <v>3636</v>
      </c>
      <c r="I649" s="1648"/>
      <c r="J649" s="1644" t="s">
        <v>38</v>
      </c>
      <c r="K649" s="1644">
        <v>0</v>
      </c>
      <c r="L649" s="1645" t="s">
        <v>1701</v>
      </c>
      <c r="M649" s="1645" t="s">
        <v>4768</v>
      </c>
      <c r="N649" s="1645"/>
      <c r="O649" s="1645" t="s">
        <v>4768</v>
      </c>
      <c r="P649" s="1649"/>
      <c r="Q649" s="1645" t="s">
        <v>3693</v>
      </c>
      <c r="R649" s="1644" t="s">
        <v>3904</v>
      </c>
      <c r="S649" s="1644" t="s">
        <v>3696</v>
      </c>
      <c r="T649" s="1644">
        <v>0</v>
      </c>
      <c r="U649" s="1644" t="s">
        <v>3631</v>
      </c>
      <c r="V649" s="1644"/>
      <c r="W649" s="1650" t="s">
        <v>3653</v>
      </c>
      <c r="X649" s="1644"/>
      <c r="Y649" s="1647"/>
      <c r="Z649" s="1647"/>
      <c r="AA649" s="1650">
        <f t="shared" ca="1" si="36"/>
        <v>4.5</v>
      </c>
      <c r="AB649" s="2444" t="s">
        <v>3629</v>
      </c>
      <c r="AC649" s="2445"/>
      <c r="AD649" s="2438"/>
    </row>
    <row r="650" spans="1:30" ht="15.75" customHeight="1">
      <c r="A650" s="1644">
        <f t="shared" si="29"/>
        <v>96</v>
      </c>
      <c r="B650" s="1645" t="s">
        <v>2463</v>
      </c>
      <c r="C650" s="1644" t="s">
        <v>1578</v>
      </c>
      <c r="D650" s="1645" t="s">
        <v>547</v>
      </c>
      <c r="E650" s="1646" t="s">
        <v>2798</v>
      </c>
      <c r="F650" s="1644">
        <f t="shared" si="37"/>
        <v>1979</v>
      </c>
      <c r="G650" s="1647">
        <v>29209</v>
      </c>
      <c r="H650" s="1644" t="s">
        <v>3636</v>
      </c>
      <c r="I650" s="1648"/>
      <c r="J650" s="1644" t="s">
        <v>37</v>
      </c>
      <c r="K650" s="1644">
        <v>0</v>
      </c>
      <c r="L650" s="1645" t="s">
        <v>1701</v>
      </c>
      <c r="M650" s="1645" t="s">
        <v>4772</v>
      </c>
      <c r="N650" s="1645"/>
      <c r="O650" s="1645" t="s">
        <v>3645</v>
      </c>
      <c r="P650" s="1649"/>
      <c r="Q650" s="1645" t="s">
        <v>3693</v>
      </c>
      <c r="R650" s="1647" t="s">
        <v>4203</v>
      </c>
      <c r="S650" s="1644" t="s">
        <v>3696</v>
      </c>
      <c r="T650" s="1644" t="s">
        <v>936</v>
      </c>
      <c r="U650" s="1644"/>
      <c r="V650" s="1644"/>
      <c r="W650" s="1644">
        <v>0</v>
      </c>
      <c r="X650" s="1644"/>
      <c r="Y650" s="1647">
        <v>38184</v>
      </c>
      <c r="Z650" s="1647">
        <v>38549</v>
      </c>
      <c r="AA650" s="1650">
        <f t="shared" ca="1" si="36"/>
        <v>10.166666666666666</v>
      </c>
      <c r="AB650" s="2444" t="s">
        <v>3629</v>
      </c>
      <c r="AC650" s="2445"/>
      <c r="AD650" s="2438"/>
    </row>
    <row r="651" spans="1:30" ht="15.75" customHeight="1">
      <c r="A651" s="1644">
        <f t="shared" si="29"/>
        <v>97</v>
      </c>
      <c r="B651" s="1645" t="s">
        <v>4773</v>
      </c>
      <c r="C651" s="1644" t="s">
        <v>1578</v>
      </c>
      <c r="D651" s="1645" t="s">
        <v>547</v>
      </c>
      <c r="E651" s="1644" t="s">
        <v>2797</v>
      </c>
      <c r="F651" s="1644">
        <f t="shared" si="37"/>
        <v>1977</v>
      </c>
      <c r="G651" s="1647">
        <v>28150</v>
      </c>
      <c r="H651" s="1644" t="s">
        <v>3636</v>
      </c>
      <c r="I651" s="1648"/>
      <c r="J651" s="1644" t="s">
        <v>38</v>
      </c>
      <c r="K651" s="1644">
        <v>0</v>
      </c>
      <c r="L651" s="1645" t="s">
        <v>1701</v>
      </c>
      <c r="M651" s="1645" t="s">
        <v>4774</v>
      </c>
      <c r="N651" s="1645"/>
      <c r="O651" s="1645" t="s">
        <v>4774</v>
      </c>
      <c r="P651" s="1649"/>
      <c r="Q651" s="1645"/>
      <c r="R651" s="1647" t="s">
        <v>4775</v>
      </c>
      <c r="S651" s="1644"/>
      <c r="T651" s="1644" t="s">
        <v>936</v>
      </c>
      <c r="U651" s="1644"/>
      <c r="V651" s="1644"/>
      <c r="W651" s="1644" t="s">
        <v>3658</v>
      </c>
      <c r="X651" s="1644"/>
      <c r="Y651" s="1647"/>
      <c r="Z651" s="1647" t="s">
        <v>936</v>
      </c>
      <c r="AA651" s="1650">
        <f t="shared" ca="1" si="36"/>
        <v>12.25</v>
      </c>
      <c r="AB651" s="2444" t="s">
        <v>3629</v>
      </c>
      <c r="AC651" s="2445"/>
      <c r="AD651" s="2438"/>
    </row>
    <row r="652" spans="1:30" ht="15.75" customHeight="1">
      <c r="A652" s="1644">
        <f t="shared" si="29"/>
        <v>98</v>
      </c>
      <c r="B652" s="1645" t="s">
        <v>2476</v>
      </c>
      <c r="C652" s="1644" t="s">
        <v>1578</v>
      </c>
      <c r="D652" s="1645" t="s">
        <v>547</v>
      </c>
      <c r="E652" s="1646" t="s">
        <v>2798</v>
      </c>
      <c r="F652" s="1644">
        <f t="shared" si="37"/>
        <v>1980</v>
      </c>
      <c r="G652" s="1647">
        <v>29412</v>
      </c>
      <c r="H652" s="1644" t="s">
        <v>3636</v>
      </c>
      <c r="I652" s="1648"/>
      <c r="J652" s="1644" t="s">
        <v>38</v>
      </c>
      <c r="K652" s="1644">
        <v>0</v>
      </c>
      <c r="L652" s="1645" t="s">
        <v>1701</v>
      </c>
      <c r="M652" s="1645" t="s">
        <v>4776</v>
      </c>
      <c r="N652" s="1645"/>
      <c r="O652" s="1645" t="s">
        <v>4776</v>
      </c>
      <c r="P652" s="1649"/>
      <c r="Q652" s="1645"/>
      <c r="R652" s="1647" t="s">
        <v>4775</v>
      </c>
      <c r="S652" s="1644"/>
      <c r="T652" s="1644" t="s">
        <v>936</v>
      </c>
      <c r="U652" s="1644"/>
      <c r="V652" s="1644"/>
      <c r="W652" s="1644">
        <v>0</v>
      </c>
      <c r="X652" s="1644"/>
      <c r="Y652" s="1647"/>
      <c r="Z652" s="1647" t="s">
        <v>936</v>
      </c>
      <c r="AA652" s="1650">
        <f t="shared" ca="1" si="36"/>
        <v>10.75</v>
      </c>
      <c r="AB652" s="2444" t="s">
        <v>3629</v>
      </c>
      <c r="AC652" s="2445"/>
      <c r="AD652" s="2438"/>
    </row>
    <row r="653" spans="1:30" ht="15.75" customHeight="1">
      <c r="A653" s="1644">
        <f t="shared" si="29"/>
        <v>99</v>
      </c>
      <c r="B653" s="1645" t="s">
        <v>2474</v>
      </c>
      <c r="C653" s="1644" t="s">
        <v>1578</v>
      </c>
      <c r="D653" s="1645" t="s">
        <v>547</v>
      </c>
      <c r="E653" s="1644" t="s">
        <v>2798</v>
      </c>
      <c r="F653" s="1644">
        <f t="shared" si="37"/>
        <v>1986</v>
      </c>
      <c r="G653" s="1647">
        <v>31596</v>
      </c>
      <c r="H653" s="1644" t="s">
        <v>3636</v>
      </c>
      <c r="I653" s="1648"/>
      <c r="J653" s="1644" t="s">
        <v>38</v>
      </c>
      <c r="K653" s="1644">
        <v>0</v>
      </c>
      <c r="L653" s="1645" t="s">
        <v>1701</v>
      </c>
      <c r="M653" s="1645" t="s">
        <v>4777</v>
      </c>
      <c r="N653" s="1645"/>
      <c r="O653" s="1645" t="s">
        <v>2824</v>
      </c>
      <c r="P653" s="1649"/>
      <c r="Q653" s="1645" t="s">
        <v>3693</v>
      </c>
      <c r="R653" s="1647" t="s">
        <v>4764</v>
      </c>
      <c r="S653" s="1644"/>
      <c r="T653" s="1644" t="s">
        <v>936</v>
      </c>
      <c r="U653" s="1644"/>
      <c r="V653" s="1644"/>
      <c r="W653" s="1644" t="s">
        <v>3679</v>
      </c>
      <c r="X653" s="1644"/>
      <c r="Y653" s="1647">
        <v>0</v>
      </c>
      <c r="Z653" s="1647">
        <v>0</v>
      </c>
      <c r="AA653" s="1650">
        <f t="shared" ca="1" si="36"/>
        <v>16.75</v>
      </c>
      <c r="AB653" s="2444" t="s">
        <v>3629</v>
      </c>
      <c r="AC653" s="2445"/>
      <c r="AD653" s="2438"/>
    </row>
    <row r="654" spans="1:30" ht="15.75" customHeight="1">
      <c r="A654" s="1644">
        <f t="shared" si="29"/>
        <v>100</v>
      </c>
      <c r="B654" s="1645" t="s">
        <v>2472</v>
      </c>
      <c r="C654" s="1644" t="s">
        <v>1578</v>
      </c>
      <c r="D654" s="1648" t="s">
        <v>547</v>
      </c>
      <c r="E654" s="1646" t="s">
        <v>2798</v>
      </c>
      <c r="F654" s="1644">
        <f t="shared" si="37"/>
        <v>1986</v>
      </c>
      <c r="G654" s="1647">
        <v>31683</v>
      </c>
      <c r="H654" s="1644" t="s">
        <v>3636</v>
      </c>
      <c r="I654" s="1648"/>
      <c r="J654" s="1644" t="s">
        <v>38</v>
      </c>
      <c r="K654" s="1644">
        <v>0</v>
      </c>
      <c r="L654" s="1645" t="s">
        <v>1701</v>
      </c>
      <c r="M654" s="1645" t="s">
        <v>4778</v>
      </c>
      <c r="N654" s="1645"/>
      <c r="O654" s="1645" t="s">
        <v>1701</v>
      </c>
      <c r="P654" s="1649"/>
      <c r="Q654" s="1645" t="s">
        <v>3693</v>
      </c>
      <c r="R654" s="1647" t="s">
        <v>3710</v>
      </c>
      <c r="S654" s="1644" t="s">
        <v>3696</v>
      </c>
      <c r="T654" s="1644"/>
      <c r="U654" s="1644" t="s">
        <v>3631</v>
      </c>
      <c r="V654" s="1644"/>
      <c r="W654" s="1644" t="s">
        <v>936</v>
      </c>
      <c r="X654" s="1644"/>
      <c r="Y654" s="1647">
        <v>39465</v>
      </c>
      <c r="Z654" s="1647">
        <v>39831</v>
      </c>
      <c r="AA654" s="1650">
        <f t="shared" ca="1" si="36"/>
        <v>16.916666666666668</v>
      </c>
      <c r="AB654" s="2444" t="s">
        <v>3629</v>
      </c>
      <c r="AC654" s="2445"/>
      <c r="AD654" s="2438"/>
    </row>
    <row r="655" spans="1:30" ht="15.75" customHeight="1">
      <c r="A655" s="1644">
        <f t="shared" si="29"/>
        <v>101</v>
      </c>
      <c r="B655" s="1645" t="s">
        <v>2616</v>
      </c>
      <c r="C655" s="1644" t="s">
        <v>1578</v>
      </c>
      <c r="D655" s="1645" t="s">
        <v>3288</v>
      </c>
      <c r="E655" s="1646" t="s">
        <v>2798</v>
      </c>
      <c r="F655" s="1644">
        <f t="shared" si="37"/>
        <v>1997</v>
      </c>
      <c r="G655" s="1647">
        <v>35684</v>
      </c>
      <c r="H655" s="1646" t="s">
        <v>3636</v>
      </c>
      <c r="I655" s="1648"/>
      <c r="J655" s="1644" t="s">
        <v>201</v>
      </c>
      <c r="K655" s="1644"/>
      <c r="L655" s="1651">
        <v>0</v>
      </c>
      <c r="M655" s="1645"/>
      <c r="N655" s="1645"/>
      <c r="O655" s="1645"/>
      <c r="P655" s="1649"/>
      <c r="Q655" s="1645"/>
      <c r="R655" s="1644"/>
      <c r="S655" s="1644"/>
      <c r="T655" s="1644"/>
      <c r="U655" s="1644"/>
      <c r="V655" s="1644"/>
      <c r="W655" s="1644"/>
      <c r="X655" s="1644"/>
      <c r="Y655" s="1644"/>
      <c r="Z655" s="1647"/>
      <c r="AA655" s="1654"/>
      <c r="AB655" s="2444" t="s">
        <v>3629</v>
      </c>
      <c r="AC655" s="2445"/>
      <c r="AD655" s="2438"/>
    </row>
    <row r="656" spans="1:30" ht="15.75" customHeight="1">
      <c r="A656" s="1644">
        <f t="shared" si="29"/>
        <v>102</v>
      </c>
      <c r="B656" s="1645" t="s">
        <v>2981</v>
      </c>
      <c r="C656" s="1644" t="s">
        <v>1578</v>
      </c>
      <c r="D656" s="1645" t="s">
        <v>3288</v>
      </c>
      <c r="E656" s="1646" t="s">
        <v>2797</v>
      </c>
      <c r="F656" s="1644">
        <f t="shared" si="37"/>
        <v>1981</v>
      </c>
      <c r="G656" s="1647">
        <v>29832</v>
      </c>
      <c r="H656" s="1644" t="s">
        <v>3636</v>
      </c>
      <c r="I656" s="1648"/>
      <c r="J656" s="1644" t="s">
        <v>38</v>
      </c>
      <c r="K656" s="1644">
        <v>0</v>
      </c>
      <c r="L656" s="1645" t="s">
        <v>4716</v>
      </c>
      <c r="M656" s="1645" t="s">
        <v>4779</v>
      </c>
      <c r="N656" s="1645"/>
      <c r="O656" s="1645" t="s">
        <v>4780</v>
      </c>
      <c r="P656" s="1649"/>
      <c r="Q656" s="1645" t="s">
        <v>4781</v>
      </c>
      <c r="R656" s="1647" t="s">
        <v>3952</v>
      </c>
      <c r="S656" s="1647" t="s">
        <v>4782</v>
      </c>
      <c r="T656" s="1644" t="s">
        <v>936</v>
      </c>
      <c r="U656" s="1644" t="s">
        <v>3631</v>
      </c>
      <c r="V656" s="1644"/>
      <c r="W656" s="1650" t="s">
        <v>3646</v>
      </c>
      <c r="X656" s="1644" t="s">
        <v>3707</v>
      </c>
      <c r="Y656" s="1647">
        <v>39522</v>
      </c>
      <c r="Z656" s="1647">
        <v>39887</v>
      </c>
      <c r="AA656" s="1650">
        <f t="shared" ref="AA656:AA670" ca="1" si="39">IF(E656="nữ",660-DATEDIF(G656,TODAY(),"m"),720-DATEDIF(G656,TODAY(),"m"))/12</f>
        <v>16.916666666666668</v>
      </c>
      <c r="AB656" s="2444" t="s">
        <v>3629</v>
      </c>
      <c r="AC656" s="2445"/>
      <c r="AD656" s="2438"/>
    </row>
    <row r="657" spans="1:30" ht="15.75" customHeight="1">
      <c r="A657" s="1644">
        <f t="shared" si="29"/>
        <v>103</v>
      </c>
      <c r="B657" s="1645" t="s">
        <v>2985</v>
      </c>
      <c r="C657" s="1644" t="s">
        <v>1578</v>
      </c>
      <c r="D657" s="1645" t="s">
        <v>3288</v>
      </c>
      <c r="E657" s="1644" t="s">
        <v>2798</v>
      </c>
      <c r="F657" s="1644">
        <f t="shared" si="37"/>
        <v>1988</v>
      </c>
      <c r="G657" s="1647">
        <v>32227</v>
      </c>
      <c r="H657" s="1644" t="s">
        <v>3636</v>
      </c>
      <c r="I657" s="1648"/>
      <c r="J657" s="1644" t="s">
        <v>38</v>
      </c>
      <c r="K657" s="1644">
        <v>0</v>
      </c>
      <c r="L657" s="1645" t="s">
        <v>506</v>
      </c>
      <c r="M657" s="1645" t="s">
        <v>4166</v>
      </c>
      <c r="N657" s="1645"/>
      <c r="O657" s="1645" t="s">
        <v>4780</v>
      </c>
      <c r="P657" s="1649">
        <v>43739</v>
      </c>
      <c r="Q657" s="1645" t="s">
        <v>3800</v>
      </c>
      <c r="R657" s="1644"/>
      <c r="S657" s="1644"/>
      <c r="T657" s="1644" t="s">
        <v>936</v>
      </c>
      <c r="U657" s="1644" t="s">
        <v>3711</v>
      </c>
      <c r="V657" s="1644"/>
      <c r="W657" s="1650" t="s">
        <v>3646</v>
      </c>
      <c r="X657" s="1644"/>
      <c r="Y657" s="1647">
        <v>42649</v>
      </c>
      <c r="Z657" s="1647">
        <v>43014</v>
      </c>
      <c r="AA657" s="1650">
        <f t="shared" ca="1" si="39"/>
        <v>18.416666666666668</v>
      </c>
      <c r="AB657" s="2444" t="s">
        <v>3629</v>
      </c>
      <c r="AC657" s="2445"/>
      <c r="AD657" s="2438"/>
    </row>
    <row r="658" spans="1:30" ht="15.75" customHeight="1">
      <c r="A658" s="1644">
        <f t="shared" si="29"/>
        <v>104</v>
      </c>
      <c r="B658" s="1645" t="s">
        <v>2610</v>
      </c>
      <c r="C658" s="1644" t="s">
        <v>1578</v>
      </c>
      <c r="D658" s="1645" t="s">
        <v>3288</v>
      </c>
      <c r="E658" s="1646" t="s">
        <v>2798</v>
      </c>
      <c r="F658" s="1644">
        <f t="shared" si="37"/>
        <v>1975</v>
      </c>
      <c r="G658" s="1647">
        <v>27413</v>
      </c>
      <c r="H658" s="1644" t="s">
        <v>3636</v>
      </c>
      <c r="I658" s="1648"/>
      <c r="J658" s="1644" t="s">
        <v>37</v>
      </c>
      <c r="K658" s="1644">
        <v>0</v>
      </c>
      <c r="L658" s="1645" t="s">
        <v>3268</v>
      </c>
      <c r="M658" s="1645" t="s">
        <v>4783</v>
      </c>
      <c r="N658" s="1645"/>
      <c r="O658" s="1645" t="s">
        <v>3645</v>
      </c>
      <c r="P658" s="1649"/>
      <c r="Q658" s="1645" t="s">
        <v>3800</v>
      </c>
      <c r="R658" s="1644"/>
      <c r="S658" s="1644" t="s">
        <v>3696</v>
      </c>
      <c r="T658" s="1644" t="s">
        <v>936</v>
      </c>
      <c r="U658" s="1644" t="s">
        <v>3711</v>
      </c>
      <c r="V658" s="1644" t="s">
        <v>936</v>
      </c>
      <c r="W658" s="1644" t="s">
        <v>936</v>
      </c>
      <c r="X658" s="1644"/>
      <c r="Y658" s="1647"/>
      <c r="Z658" s="1647"/>
      <c r="AA658" s="1650">
        <f t="shared" ca="1" si="39"/>
        <v>5.25</v>
      </c>
      <c r="AB658" s="2444" t="s">
        <v>3629</v>
      </c>
      <c r="AC658" s="2445"/>
      <c r="AD658" s="2438"/>
    </row>
    <row r="659" spans="1:30" ht="15.75" customHeight="1">
      <c r="A659" s="1644">
        <f t="shared" si="29"/>
        <v>105</v>
      </c>
      <c r="B659" s="1645" t="s">
        <v>2608</v>
      </c>
      <c r="C659" s="1644" t="s">
        <v>1578</v>
      </c>
      <c r="D659" s="1645" t="s">
        <v>3288</v>
      </c>
      <c r="E659" s="1644" t="s">
        <v>2798</v>
      </c>
      <c r="F659" s="1644">
        <f t="shared" si="37"/>
        <v>1976</v>
      </c>
      <c r="G659" s="1647">
        <v>28120</v>
      </c>
      <c r="H659" s="1644" t="s">
        <v>3628</v>
      </c>
      <c r="I659" s="1648"/>
      <c r="J659" s="1644" t="s">
        <v>38</v>
      </c>
      <c r="K659" s="1644">
        <v>0</v>
      </c>
      <c r="L659" s="1645" t="s">
        <v>2824</v>
      </c>
      <c r="M659" s="1645" t="s">
        <v>4784</v>
      </c>
      <c r="N659" s="1645"/>
      <c r="O659" s="1645" t="s">
        <v>4785</v>
      </c>
      <c r="P659" s="1649"/>
      <c r="Q659" s="1645" t="s">
        <v>4781</v>
      </c>
      <c r="R659" s="1644"/>
      <c r="S659" s="1644"/>
      <c r="T659" s="1644" t="s">
        <v>936</v>
      </c>
      <c r="U659" s="1644" t="s">
        <v>3697</v>
      </c>
      <c r="V659" s="1644"/>
      <c r="W659" s="1644">
        <v>0</v>
      </c>
      <c r="X659" s="1644" t="s">
        <v>3707</v>
      </c>
      <c r="Y659" s="1647">
        <v>40527</v>
      </c>
      <c r="Z659" s="1647">
        <v>40892</v>
      </c>
      <c r="AA659" s="1650">
        <f t="shared" ca="1" si="39"/>
        <v>7.166666666666667</v>
      </c>
      <c r="AB659" s="2444" t="e">
        <v>#REF!</v>
      </c>
      <c r="AC659" s="2446" t="e">
        <f>+#REF!-#REF!</f>
        <v>#REF!</v>
      </c>
      <c r="AD659" s="2438"/>
    </row>
    <row r="660" spans="1:30" ht="15.75" customHeight="1">
      <c r="A660" s="1644">
        <f t="shared" si="29"/>
        <v>106</v>
      </c>
      <c r="B660" s="1645" t="s">
        <v>2609</v>
      </c>
      <c r="C660" s="1644" t="s">
        <v>1578</v>
      </c>
      <c r="D660" s="1645" t="s">
        <v>3288</v>
      </c>
      <c r="E660" s="1644" t="s">
        <v>2798</v>
      </c>
      <c r="F660" s="1644">
        <f t="shared" si="37"/>
        <v>1975</v>
      </c>
      <c r="G660" s="1647">
        <v>27736</v>
      </c>
      <c r="H660" s="1644" t="s">
        <v>3628</v>
      </c>
      <c r="I660" s="1648"/>
      <c r="J660" s="1644" t="s">
        <v>38</v>
      </c>
      <c r="K660" s="1644">
        <v>0</v>
      </c>
      <c r="L660" s="1645" t="s">
        <v>3268</v>
      </c>
      <c r="M660" s="1645" t="s">
        <v>4783</v>
      </c>
      <c r="N660" s="1645"/>
      <c r="O660" s="1645" t="s">
        <v>4785</v>
      </c>
      <c r="P660" s="1649"/>
      <c r="Q660" s="1645" t="s">
        <v>3800</v>
      </c>
      <c r="R660" s="1647" t="s">
        <v>3683</v>
      </c>
      <c r="S660" s="1644" t="s">
        <v>3696</v>
      </c>
      <c r="T660" s="1644" t="s">
        <v>936</v>
      </c>
      <c r="U660" s="1644" t="s">
        <v>3697</v>
      </c>
      <c r="V660" s="1644"/>
      <c r="W660" s="1650" t="s">
        <v>3653</v>
      </c>
      <c r="X660" s="1644"/>
      <c r="Y660" s="1647">
        <v>41558</v>
      </c>
      <c r="Z660" s="1647">
        <v>41923</v>
      </c>
      <c r="AA660" s="1650">
        <f t="shared" ca="1" si="39"/>
        <v>6.166666666666667</v>
      </c>
      <c r="AB660" s="2444" t="e">
        <v>#REF!</v>
      </c>
      <c r="AC660" s="2445"/>
      <c r="AD660" s="2438"/>
    </row>
    <row r="661" spans="1:30" ht="15.75" customHeight="1">
      <c r="A661" s="1644">
        <f t="shared" si="29"/>
        <v>107</v>
      </c>
      <c r="B661" s="1645" t="s">
        <v>2983</v>
      </c>
      <c r="C661" s="1644" t="s">
        <v>1578</v>
      </c>
      <c r="D661" s="1645" t="s">
        <v>3288</v>
      </c>
      <c r="E661" s="1646" t="s">
        <v>2797</v>
      </c>
      <c r="F661" s="1644">
        <f t="shared" si="37"/>
        <v>1976</v>
      </c>
      <c r="G661" s="1647">
        <v>27933</v>
      </c>
      <c r="H661" s="1644" t="s">
        <v>3797</v>
      </c>
      <c r="I661" s="1648"/>
      <c r="J661" s="1644" t="s">
        <v>38</v>
      </c>
      <c r="K661" s="1644" t="s">
        <v>3798</v>
      </c>
      <c r="L661" s="1645" t="s">
        <v>3954</v>
      </c>
      <c r="M661" s="1645" t="s">
        <v>4786</v>
      </c>
      <c r="N661" s="1645"/>
      <c r="O661" s="1645" t="s">
        <v>4787</v>
      </c>
      <c r="P661" s="1649"/>
      <c r="Q661" s="1645" t="s">
        <v>4781</v>
      </c>
      <c r="R661" s="1647" t="s">
        <v>3952</v>
      </c>
      <c r="S661" s="1647" t="s">
        <v>4788</v>
      </c>
      <c r="T661" s="1644" t="s">
        <v>936</v>
      </c>
      <c r="U661" s="1644" t="s">
        <v>4095</v>
      </c>
      <c r="V661" s="1644"/>
      <c r="W661" s="1644" t="s">
        <v>936</v>
      </c>
      <c r="X661" s="1644" t="s">
        <v>3707</v>
      </c>
      <c r="Y661" s="1647">
        <v>39629</v>
      </c>
      <c r="Z661" s="1647">
        <v>39994</v>
      </c>
      <c r="AA661" s="1650">
        <f t="shared" ca="1" si="39"/>
        <v>11.666666666666666</v>
      </c>
      <c r="AB661" s="2444" t="e">
        <v>#REF!</v>
      </c>
      <c r="AC661" s="2446" t="e">
        <f>+#REF!-#REF!</f>
        <v>#REF!</v>
      </c>
      <c r="AD661" s="2438"/>
    </row>
    <row r="662" spans="1:30" ht="15.75" customHeight="1">
      <c r="A662" s="1644">
        <f t="shared" si="29"/>
        <v>108</v>
      </c>
      <c r="B662" s="1645" t="s">
        <v>4789</v>
      </c>
      <c r="C662" s="1644" t="s">
        <v>1578</v>
      </c>
      <c r="D662" s="1645" t="s">
        <v>3288</v>
      </c>
      <c r="E662" s="1646" t="s">
        <v>2798</v>
      </c>
      <c r="F662" s="1644">
        <f t="shared" si="37"/>
        <v>1964</v>
      </c>
      <c r="G662" s="1647">
        <v>23482</v>
      </c>
      <c r="H662" s="1644" t="s">
        <v>3797</v>
      </c>
      <c r="I662" s="1648"/>
      <c r="J662" s="1644" t="s">
        <v>38</v>
      </c>
      <c r="K662" s="1644" t="s">
        <v>3798</v>
      </c>
      <c r="L662" s="1645" t="s">
        <v>4790</v>
      </c>
      <c r="M662" s="1645" t="s">
        <v>4791</v>
      </c>
      <c r="N662" s="1645"/>
      <c r="O662" s="1645" t="s">
        <v>4716</v>
      </c>
      <c r="P662" s="1649"/>
      <c r="Q662" s="1645" t="s">
        <v>3757</v>
      </c>
      <c r="R662" s="1644" t="s">
        <v>3710</v>
      </c>
      <c r="S662" s="1644"/>
      <c r="T662" s="1644">
        <v>0</v>
      </c>
      <c r="U662" s="1644" t="s">
        <v>3802</v>
      </c>
      <c r="V662" s="1644"/>
      <c r="W662" s="1644" t="s">
        <v>936</v>
      </c>
      <c r="X662" s="1644" t="s">
        <v>3759</v>
      </c>
      <c r="Y662" s="1647">
        <v>35889</v>
      </c>
      <c r="Z662" s="1647">
        <v>36254</v>
      </c>
      <c r="AA662" s="1650">
        <f t="shared" ca="1" si="39"/>
        <v>-5.5</v>
      </c>
      <c r="AB662" s="2444" t="s">
        <v>3629</v>
      </c>
      <c r="AC662" s="2445"/>
      <c r="AD662" s="2438"/>
    </row>
    <row r="663" spans="1:30" ht="15.75" customHeight="1">
      <c r="A663" s="1644">
        <f t="shared" si="29"/>
        <v>109</v>
      </c>
      <c r="B663" s="1645" t="s">
        <v>2614</v>
      </c>
      <c r="C663" s="1644" t="s">
        <v>1578</v>
      </c>
      <c r="D663" s="1645" t="s">
        <v>3288</v>
      </c>
      <c r="E663" s="1644" t="s">
        <v>2798</v>
      </c>
      <c r="F663" s="1644">
        <f t="shared" si="37"/>
        <v>1976</v>
      </c>
      <c r="G663" s="1647">
        <v>27853</v>
      </c>
      <c r="H663" s="1644" t="s">
        <v>3628</v>
      </c>
      <c r="I663" s="1648"/>
      <c r="J663" s="1644" t="s">
        <v>38</v>
      </c>
      <c r="K663" s="1644">
        <v>0</v>
      </c>
      <c r="L663" s="1645" t="s">
        <v>2824</v>
      </c>
      <c r="M663" s="1645" t="s">
        <v>4779</v>
      </c>
      <c r="N663" s="1645"/>
      <c r="O663" s="1645" t="s">
        <v>4787</v>
      </c>
      <c r="P663" s="1649"/>
      <c r="Q663" s="1645" t="s">
        <v>3800</v>
      </c>
      <c r="R663" s="1647" t="s">
        <v>3710</v>
      </c>
      <c r="S663" s="1644" t="s">
        <v>3696</v>
      </c>
      <c r="T663" s="1644">
        <v>0</v>
      </c>
      <c r="U663" s="1644" t="s">
        <v>3711</v>
      </c>
      <c r="V663" s="1644"/>
      <c r="W663" s="1644">
        <v>0</v>
      </c>
      <c r="X663" s="1644"/>
      <c r="Y663" s="1647"/>
      <c r="Z663" s="1647"/>
      <c r="AA663" s="1650">
        <f t="shared" ca="1" si="39"/>
        <v>6.5</v>
      </c>
      <c r="AB663" s="2444" t="s">
        <v>3629</v>
      </c>
      <c r="AC663" s="2445"/>
      <c r="AD663" s="2438"/>
    </row>
    <row r="664" spans="1:30" ht="15.75" customHeight="1">
      <c r="A664" s="1644">
        <f t="shared" si="29"/>
        <v>110</v>
      </c>
      <c r="B664" s="1645" t="s">
        <v>2613</v>
      </c>
      <c r="C664" s="1644" t="s">
        <v>1578</v>
      </c>
      <c r="D664" s="1645" t="s">
        <v>3288</v>
      </c>
      <c r="E664" s="1646" t="s">
        <v>2798</v>
      </c>
      <c r="F664" s="1644">
        <f t="shared" si="37"/>
        <v>1977</v>
      </c>
      <c r="G664" s="1647">
        <v>28146</v>
      </c>
      <c r="H664" s="1644" t="s">
        <v>3628</v>
      </c>
      <c r="I664" s="1648"/>
      <c r="J664" s="1644" t="s">
        <v>38</v>
      </c>
      <c r="K664" s="1644">
        <v>0</v>
      </c>
      <c r="L664" s="1645" t="s">
        <v>249</v>
      </c>
      <c r="M664" s="1645" t="s">
        <v>4792</v>
      </c>
      <c r="N664" s="1645"/>
      <c r="O664" s="1645" t="s">
        <v>3692</v>
      </c>
      <c r="P664" s="1649"/>
      <c r="Q664" s="1645" t="s">
        <v>3800</v>
      </c>
      <c r="R664" s="1647" t="s">
        <v>3683</v>
      </c>
      <c r="S664" s="1644"/>
      <c r="T664" s="1644" t="s">
        <v>936</v>
      </c>
      <c r="U664" s="1644" t="s">
        <v>3697</v>
      </c>
      <c r="V664" s="1644"/>
      <c r="W664" s="1644">
        <v>0</v>
      </c>
      <c r="X664" s="1644"/>
      <c r="Y664" s="1647">
        <v>41558</v>
      </c>
      <c r="Z664" s="1647">
        <v>41923</v>
      </c>
      <c r="AA664" s="1650">
        <f t="shared" ca="1" si="39"/>
        <v>7.25</v>
      </c>
      <c r="AB664" s="2444" t="s">
        <v>3629</v>
      </c>
      <c r="AC664" s="2445"/>
      <c r="AD664" s="2438"/>
    </row>
    <row r="665" spans="1:30" ht="15.75" customHeight="1">
      <c r="A665" s="1644">
        <f t="shared" si="29"/>
        <v>111</v>
      </c>
      <c r="B665" s="1645" t="s">
        <v>4793</v>
      </c>
      <c r="C665" s="1644" t="s">
        <v>1578</v>
      </c>
      <c r="D665" s="1645" t="s">
        <v>3288</v>
      </c>
      <c r="E665" s="1644" t="s">
        <v>2798</v>
      </c>
      <c r="F665" s="1644">
        <f t="shared" si="37"/>
        <v>1981</v>
      </c>
      <c r="G665" s="1647">
        <v>29688</v>
      </c>
      <c r="H665" s="1644" t="s">
        <v>3628</v>
      </c>
      <c r="I665" s="1648"/>
      <c r="J665" s="1644" t="s">
        <v>38</v>
      </c>
      <c r="K665" s="1644">
        <v>0</v>
      </c>
      <c r="L665" s="1645" t="s">
        <v>249</v>
      </c>
      <c r="M665" s="1645" t="s">
        <v>506</v>
      </c>
      <c r="N665" s="1645"/>
      <c r="O665" s="1645" t="s">
        <v>4780</v>
      </c>
      <c r="P665" s="1649"/>
      <c r="Q665" s="1645" t="s">
        <v>4781</v>
      </c>
      <c r="R665" s="1647" t="s">
        <v>2862</v>
      </c>
      <c r="S665" s="1644"/>
      <c r="T665" s="1644" t="s">
        <v>936</v>
      </c>
      <c r="U665" s="1644" t="s">
        <v>3631</v>
      </c>
      <c r="V665" s="1644"/>
      <c r="W665" s="1650" t="s">
        <v>3646</v>
      </c>
      <c r="X665" s="1644"/>
      <c r="Y665" s="1647">
        <v>37800</v>
      </c>
      <c r="Z665" s="1647">
        <v>38166</v>
      </c>
      <c r="AA665" s="1650">
        <f t="shared" ca="1" si="39"/>
        <v>11.5</v>
      </c>
      <c r="AB665" s="2444" t="s">
        <v>3629</v>
      </c>
      <c r="AC665" s="2445"/>
      <c r="AD665" s="2438"/>
    </row>
    <row r="666" spans="1:30" ht="15.75" customHeight="1">
      <c r="A666" s="1644">
        <f t="shared" si="29"/>
        <v>112</v>
      </c>
      <c r="B666" s="1645" t="s">
        <v>2615</v>
      </c>
      <c r="C666" s="1644" t="s">
        <v>1578</v>
      </c>
      <c r="D666" s="1645" t="s">
        <v>3288</v>
      </c>
      <c r="E666" s="1644" t="s">
        <v>2797</v>
      </c>
      <c r="F666" s="1644">
        <f t="shared" si="37"/>
        <v>1989</v>
      </c>
      <c r="G666" s="1647">
        <v>32651</v>
      </c>
      <c r="H666" s="1644" t="s">
        <v>3636</v>
      </c>
      <c r="I666" s="1648"/>
      <c r="J666" s="1644" t="s">
        <v>37</v>
      </c>
      <c r="K666" s="1644">
        <v>0</v>
      </c>
      <c r="L666" s="1645" t="s">
        <v>4089</v>
      </c>
      <c r="M666" s="1645" t="s">
        <v>3692</v>
      </c>
      <c r="N666" s="1645"/>
      <c r="O666" s="1645">
        <v>0</v>
      </c>
      <c r="P666" s="1649"/>
      <c r="Q666" s="1645" t="s">
        <v>3800</v>
      </c>
      <c r="R666" s="1647" t="s">
        <v>3727</v>
      </c>
      <c r="S666" s="1644" t="s">
        <v>4698</v>
      </c>
      <c r="T666" s="1644">
        <v>2018</v>
      </c>
      <c r="U666" s="1644"/>
      <c r="V666" s="1644"/>
      <c r="W666" s="1650" t="s">
        <v>3646</v>
      </c>
      <c r="X666" s="1644"/>
      <c r="Y666" s="1647">
        <v>39335</v>
      </c>
      <c r="Z666" s="1647">
        <v>39701</v>
      </c>
      <c r="AA666" s="1650">
        <f t="shared" ca="1" si="39"/>
        <v>24.583333333333332</v>
      </c>
      <c r="AB666" s="2444" t="s">
        <v>3629</v>
      </c>
      <c r="AC666" s="2445"/>
      <c r="AD666" s="2438"/>
    </row>
    <row r="667" spans="1:30" ht="15.75" customHeight="1">
      <c r="A667" s="1644">
        <f t="shared" si="29"/>
        <v>113</v>
      </c>
      <c r="B667" s="1645" t="s">
        <v>2986</v>
      </c>
      <c r="C667" s="1644" t="s">
        <v>1578</v>
      </c>
      <c r="D667" s="1645" t="s">
        <v>3288</v>
      </c>
      <c r="E667" s="1646" t="s">
        <v>2797</v>
      </c>
      <c r="F667" s="1644">
        <f t="shared" si="37"/>
        <v>1989</v>
      </c>
      <c r="G667" s="1647">
        <v>32571</v>
      </c>
      <c r="H667" s="1644" t="s">
        <v>3636</v>
      </c>
      <c r="I667" s="1648"/>
      <c r="J667" s="1644" t="s">
        <v>37</v>
      </c>
      <c r="K667" s="1644">
        <v>0</v>
      </c>
      <c r="L667" s="1645" t="s">
        <v>3794</v>
      </c>
      <c r="M667" s="1645" t="s">
        <v>506</v>
      </c>
      <c r="N667" s="1645"/>
      <c r="O667" s="1645" t="s">
        <v>3645</v>
      </c>
      <c r="P667" s="1649"/>
      <c r="Q667" s="1645" t="s">
        <v>3757</v>
      </c>
      <c r="R667" s="1647" t="s">
        <v>3764</v>
      </c>
      <c r="S667" s="1644" t="s">
        <v>4068</v>
      </c>
      <c r="T667" s="1644" t="s">
        <v>936</v>
      </c>
      <c r="U667" s="1644"/>
      <c r="V667" s="1644"/>
      <c r="W667" s="1644" t="s">
        <v>3687</v>
      </c>
      <c r="X667" s="1644"/>
      <c r="Y667" s="1647"/>
      <c r="Z667" s="1647"/>
      <c r="AA667" s="1650">
        <f t="shared" ca="1" si="39"/>
        <v>24.416666666666668</v>
      </c>
      <c r="AB667" s="2444" t="s">
        <v>3629</v>
      </c>
      <c r="AC667" s="2445"/>
      <c r="AD667" s="2438"/>
    </row>
    <row r="668" spans="1:30" ht="15.75" customHeight="1">
      <c r="A668" s="1644">
        <f t="shared" si="29"/>
        <v>114</v>
      </c>
      <c r="B668" s="1645" t="s">
        <v>3010</v>
      </c>
      <c r="C668" s="1644" t="s">
        <v>1578</v>
      </c>
      <c r="D668" s="1645" t="s">
        <v>3288</v>
      </c>
      <c r="E668" s="1646" t="s">
        <v>2797</v>
      </c>
      <c r="F668" s="1644">
        <f t="shared" si="37"/>
        <v>1979</v>
      </c>
      <c r="G668" s="1647">
        <v>29187</v>
      </c>
      <c r="H668" s="1644" t="s">
        <v>3636</v>
      </c>
      <c r="I668" s="1648"/>
      <c r="J668" s="1644" t="s">
        <v>38</v>
      </c>
      <c r="K668" s="1644">
        <v>0</v>
      </c>
      <c r="L668" s="1645" t="s">
        <v>3741</v>
      </c>
      <c r="M668" s="1645" t="s">
        <v>506</v>
      </c>
      <c r="N668" s="1645"/>
      <c r="O668" s="1645" t="s">
        <v>506</v>
      </c>
      <c r="P668" s="1649"/>
      <c r="Q668" s="1645" t="s">
        <v>3800</v>
      </c>
      <c r="R668" s="1644"/>
      <c r="S668" s="1644"/>
      <c r="T668" s="1644" t="s">
        <v>936</v>
      </c>
      <c r="U668" s="1644" t="s">
        <v>3711</v>
      </c>
      <c r="V668" s="1644"/>
      <c r="W668" s="1650" t="s">
        <v>3653</v>
      </c>
      <c r="X668" s="1644" t="s">
        <v>3806</v>
      </c>
      <c r="Y668" s="1647">
        <v>40380</v>
      </c>
      <c r="Z668" s="1647">
        <v>40380</v>
      </c>
      <c r="AA668" s="1650">
        <f t="shared" ca="1" si="39"/>
        <v>15.083333333333334</v>
      </c>
      <c r="AB668" s="2444" t="e">
        <v>#REF!</v>
      </c>
      <c r="AC668" s="2446" t="e">
        <f>+#REF!-#REF!</f>
        <v>#REF!</v>
      </c>
      <c r="AD668" s="2438"/>
    </row>
    <row r="669" spans="1:30" ht="15.75" customHeight="1">
      <c r="A669" s="1644">
        <f t="shared" si="29"/>
        <v>115</v>
      </c>
      <c r="B669" s="1645" t="s">
        <v>4794</v>
      </c>
      <c r="C669" s="1644" t="s">
        <v>1578</v>
      </c>
      <c r="D669" s="1645" t="s">
        <v>3288</v>
      </c>
      <c r="E669" s="1646" t="s">
        <v>2797</v>
      </c>
      <c r="F669" s="1644">
        <f t="shared" si="37"/>
        <v>1958</v>
      </c>
      <c r="G669" s="1647">
        <v>21186</v>
      </c>
      <c r="H669" s="1644" t="s">
        <v>3628</v>
      </c>
      <c r="I669" s="1648"/>
      <c r="J669" s="1644" t="s">
        <v>38</v>
      </c>
      <c r="K669" s="1644">
        <v>0</v>
      </c>
      <c r="L669" s="1645" t="s">
        <v>4783</v>
      </c>
      <c r="M669" s="1645" t="s">
        <v>4795</v>
      </c>
      <c r="N669" s="1645"/>
      <c r="O669" s="1645" t="s">
        <v>4784</v>
      </c>
      <c r="P669" s="1649"/>
      <c r="Q669" s="1645" t="s">
        <v>3800</v>
      </c>
      <c r="R669" s="1647" t="s">
        <v>4796</v>
      </c>
      <c r="S669" s="1644"/>
      <c r="T669" s="1644" t="s">
        <v>936</v>
      </c>
      <c r="U669" s="1644" t="s">
        <v>3631</v>
      </c>
      <c r="V669" s="1644"/>
      <c r="W669" s="1644">
        <v>0</v>
      </c>
      <c r="X669" s="1644"/>
      <c r="Y669" s="1647">
        <v>34284</v>
      </c>
      <c r="Z669" s="1647">
        <v>34649</v>
      </c>
      <c r="AA669" s="1650">
        <f t="shared" ca="1" si="39"/>
        <v>-6.833333333333333</v>
      </c>
      <c r="AB669" s="2444" t="s">
        <v>3629</v>
      </c>
      <c r="AC669" s="2445"/>
      <c r="AD669" s="2438"/>
    </row>
    <row r="670" spans="1:30" ht="15.75" customHeight="1">
      <c r="A670" s="1644">
        <f t="shared" si="29"/>
        <v>116</v>
      </c>
      <c r="B670" s="1645" t="s">
        <v>2611</v>
      </c>
      <c r="C670" s="1644" t="s">
        <v>1578</v>
      </c>
      <c r="D670" s="1645" t="s">
        <v>3288</v>
      </c>
      <c r="E670" s="1644" t="s">
        <v>2798</v>
      </c>
      <c r="F670" s="1644">
        <f t="shared" si="37"/>
        <v>1991</v>
      </c>
      <c r="G670" s="1647">
        <v>33409</v>
      </c>
      <c r="H670" s="1644" t="s">
        <v>3636</v>
      </c>
      <c r="I670" s="1648"/>
      <c r="J670" s="1644" t="s">
        <v>38</v>
      </c>
      <c r="K670" s="1644">
        <v>0</v>
      </c>
      <c r="L670" s="1645" t="s">
        <v>4783</v>
      </c>
      <c r="M670" s="1645">
        <v>0</v>
      </c>
      <c r="N670" s="1645"/>
      <c r="O670" s="1645" t="s">
        <v>4797</v>
      </c>
      <c r="P670" s="1649"/>
      <c r="Q670" s="1645" t="s">
        <v>3693</v>
      </c>
      <c r="R670" s="1647" t="s">
        <v>3683</v>
      </c>
      <c r="S670" s="1644" t="s">
        <v>4698</v>
      </c>
      <c r="T670" s="1644"/>
      <c r="U670" s="1644" t="s">
        <v>3711</v>
      </c>
      <c r="V670" s="1644" t="s">
        <v>936</v>
      </c>
      <c r="W670" s="1644" t="s">
        <v>936</v>
      </c>
      <c r="X670" s="1644"/>
      <c r="Y670" s="1647"/>
      <c r="Z670" s="1647"/>
      <c r="AA670" s="1650">
        <f t="shared" ca="1" si="39"/>
        <v>21.666666666666668</v>
      </c>
      <c r="AB670" s="2444" t="s">
        <v>3629</v>
      </c>
      <c r="AC670" s="2445"/>
      <c r="AD670" s="2438"/>
    </row>
    <row r="671" spans="1:30" ht="15.75" customHeight="1">
      <c r="A671" s="1644">
        <f t="shared" si="29"/>
        <v>117</v>
      </c>
      <c r="B671" s="1645" t="s">
        <v>2617</v>
      </c>
      <c r="C671" s="1644" t="s">
        <v>1578</v>
      </c>
      <c r="D671" s="1645" t="s">
        <v>3288</v>
      </c>
      <c r="E671" s="1646" t="s">
        <v>2798</v>
      </c>
      <c r="F671" s="1644">
        <f t="shared" si="37"/>
        <v>1996</v>
      </c>
      <c r="G671" s="1647">
        <v>35215</v>
      </c>
      <c r="H671" s="1646" t="s">
        <v>3636</v>
      </c>
      <c r="I671" s="1648"/>
      <c r="J671" s="1644" t="s">
        <v>37</v>
      </c>
      <c r="K671" s="1644"/>
      <c r="L671" s="1645" t="s">
        <v>3263</v>
      </c>
      <c r="M671" s="1645" t="s">
        <v>3263</v>
      </c>
      <c r="N671" s="1645"/>
      <c r="O671" s="1645"/>
      <c r="P671" s="1649"/>
      <c r="Q671" s="1645"/>
      <c r="R671" s="1644"/>
      <c r="S671" s="1644"/>
      <c r="T671" s="1644"/>
      <c r="U671" s="1644"/>
      <c r="V671" s="1644"/>
      <c r="W671" s="1644"/>
      <c r="X671" s="1644"/>
      <c r="Y671" s="1644"/>
      <c r="Z671" s="1644"/>
      <c r="AA671" s="1654"/>
      <c r="AB671" s="2444" t="s">
        <v>3629</v>
      </c>
      <c r="AC671" s="2445"/>
      <c r="AD671" s="2438"/>
    </row>
    <row r="672" spans="1:30" ht="15.75" customHeight="1">
      <c r="A672" s="1644">
        <f t="shared" si="29"/>
        <v>118</v>
      </c>
      <c r="B672" s="1645" t="s">
        <v>2874</v>
      </c>
      <c r="C672" s="1644" t="s">
        <v>1578</v>
      </c>
      <c r="D672" s="1645" t="s">
        <v>548</v>
      </c>
      <c r="E672" s="1646" t="s">
        <v>2797</v>
      </c>
      <c r="F672" s="1644">
        <f t="shared" si="37"/>
        <v>1989</v>
      </c>
      <c r="G672" s="1647">
        <v>32644</v>
      </c>
      <c r="H672" s="1644" t="s">
        <v>3636</v>
      </c>
      <c r="I672" s="1648"/>
      <c r="J672" s="1644" t="s">
        <v>37</v>
      </c>
      <c r="K672" s="1644">
        <v>0</v>
      </c>
      <c r="L672" s="1645" t="s">
        <v>3794</v>
      </c>
      <c r="M672" s="1645" t="s">
        <v>4798</v>
      </c>
      <c r="N672" s="1645"/>
      <c r="O672" s="1645" t="s">
        <v>3645</v>
      </c>
      <c r="P672" s="1649"/>
      <c r="Q672" s="1645" t="s">
        <v>3693</v>
      </c>
      <c r="R672" s="1647" t="s">
        <v>4051</v>
      </c>
      <c r="S672" s="1644" t="s">
        <v>3795</v>
      </c>
      <c r="T672" s="1644" t="s">
        <v>936</v>
      </c>
      <c r="U672" s="1644"/>
      <c r="V672" s="1644"/>
      <c r="W672" s="1650" t="s">
        <v>3646</v>
      </c>
      <c r="X672" s="1644" t="s">
        <v>3633</v>
      </c>
      <c r="Y672" s="1647">
        <v>43799</v>
      </c>
      <c r="Z672" s="1647">
        <v>43799</v>
      </c>
      <c r="AA672" s="1650">
        <f t="shared" ref="AA672:AA723" ca="1" si="40">IF(E672="nữ",660-DATEDIF(G672,TODAY(),"m"),720-DATEDIF(G672,TODAY(),"m"))/12</f>
        <v>24.583333333333332</v>
      </c>
      <c r="AB672" s="2444" t="s">
        <v>3629</v>
      </c>
      <c r="AC672" s="2445"/>
      <c r="AD672" s="2438"/>
    </row>
    <row r="673" spans="1:30" ht="15.75" customHeight="1">
      <c r="A673" s="1644">
        <f t="shared" si="29"/>
        <v>119</v>
      </c>
      <c r="B673" s="1645" t="s">
        <v>4799</v>
      </c>
      <c r="C673" s="1644" t="s">
        <v>1578</v>
      </c>
      <c r="D673" s="1645" t="s">
        <v>548</v>
      </c>
      <c r="E673" s="1646" t="s">
        <v>2798</v>
      </c>
      <c r="F673" s="1644">
        <f t="shared" si="37"/>
        <v>1974</v>
      </c>
      <c r="G673" s="1647">
        <v>27179</v>
      </c>
      <c r="H673" s="1644" t="s">
        <v>3636</v>
      </c>
      <c r="I673" s="1648"/>
      <c r="J673" s="1644" t="s">
        <v>37</v>
      </c>
      <c r="K673" s="1644">
        <v>0</v>
      </c>
      <c r="L673" s="1645" t="s">
        <v>2824</v>
      </c>
      <c r="M673" s="1645" t="s">
        <v>3794</v>
      </c>
      <c r="N673" s="1645"/>
      <c r="O673" s="1645" t="s">
        <v>3645</v>
      </c>
      <c r="P673" s="1649"/>
      <c r="Q673" s="1645" t="s">
        <v>3693</v>
      </c>
      <c r="R673" s="1647" t="s">
        <v>3683</v>
      </c>
      <c r="S673" s="1644" t="s">
        <v>3795</v>
      </c>
      <c r="T673" s="1644" t="s">
        <v>936</v>
      </c>
      <c r="U673" s="1644" t="s">
        <v>3711</v>
      </c>
      <c r="V673" s="1644"/>
      <c r="W673" s="1644" t="s">
        <v>3687</v>
      </c>
      <c r="X673" s="1644"/>
      <c r="Y673" s="1647"/>
      <c r="Z673" s="1647"/>
      <c r="AA673" s="1650">
        <f t="shared" ca="1" si="40"/>
        <v>4.583333333333333</v>
      </c>
      <c r="AB673" s="2444" t="e">
        <v>#REF!</v>
      </c>
      <c r="AC673" s="2445"/>
      <c r="AD673" s="2438"/>
    </row>
    <row r="674" spans="1:30" ht="15.75" customHeight="1">
      <c r="A674" s="1644">
        <f t="shared" si="29"/>
        <v>120</v>
      </c>
      <c r="B674" s="1645" t="s">
        <v>2823</v>
      </c>
      <c r="C674" s="1644" t="s">
        <v>1578</v>
      </c>
      <c r="D674" s="1645" t="s">
        <v>548</v>
      </c>
      <c r="E674" s="1644" t="s">
        <v>2798</v>
      </c>
      <c r="F674" s="1644">
        <f t="shared" si="37"/>
        <v>1964</v>
      </c>
      <c r="G674" s="1647">
        <v>23489</v>
      </c>
      <c r="H674" s="1644" t="s">
        <v>3628</v>
      </c>
      <c r="I674" s="1648"/>
      <c r="J674" s="1644" t="s">
        <v>38</v>
      </c>
      <c r="K674" s="1644">
        <v>0</v>
      </c>
      <c r="L674" s="1645" t="s">
        <v>2824</v>
      </c>
      <c r="M674" s="1645" t="s">
        <v>4800</v>
      </c>
      <c r="N674" s="1645"/>
      <c r="O674" s="1645" t="s">
        <v>244</v>
      </c>
      <c r="P674" s="1649"/>
      <c r="Q674" s="1645" t="s">
        <v>3693</v>
      </c>
      <c r="R674" s="1647" t="s">
        <v>3683</v>
      </c>
      <c r="S674" s="1644" t="s">
        <v>4801</v>
      </c>
      <c r="T674" s="1644"/>
      <c r="U674" s="1644" t="s">
        <v>3631</v>
      </c>
      <c r="V674" s="1644"/>
      <c r="W674" s="1644">
        <v>0</v>
      </c>
      <c r="X674" s="1644"/>
      <c r="Y674" s="1647">
        <v>36774</v>
      </c>
      <c r="Z674" s="1647">
        <v>37139</v>
      </c>
      <c r="AA674" s="1650">
        <f t="shared" ca="1" si="40"/>
        <v>-5.5</v>
      </c>
      <c r="AB674" s="2444" t="e">
        <v>#REF!</v>
      </c>
      <c r="AC674" s="2445"/>
      <c r="AD674" s="2438"/>
    </row>
    <row r="675" spans="1:30" ht="15.75" customHeight="1">
      <c r="A675" s="1644">
        <f t="shared" si="29"/>
        <v>121</v>
      </c>
      <c r="B675" s="1645" t="s">
        <v>4802</v>
      </c>
      <c r="C675" s="1644" t="s">
        <v>1578</v>
      </c>
      <c r="D675" s="1645" t="s">
        <v>548</v>
      </c>
      <c r="E675" s="1646" t="s">
        <v>2798</v>
      </c>
      <c r="F675" s="1644">
        <f t="shared" si="37"/>
        <v>1975</v>
      </c>
      <c r="G675" s="1647">
        <v>27569</v>
      </c>
      <c r="H675" s="1644" t="s">
        <v>3628</v>
      </c>
      <c r="I675" s="1648"/>
      <c r="J675" s="1644" t="s">
        <v>38</v>
      </c>
      <c r="K675" s="1644">
        <v>0</v>
      </c>
      <c r="L675" s="1645" t="s">
        <v>4803</v>
      </c>
      <c r="M675" s="1645" t="s">
        <v>4804</v>
      </c>
      <c r="N675" s="1645"/>
      <c r="O675" s="1645" t="s">
        <v>3794</v>
      </c>
      <c r="P675" s="1649"/>
      <c r="Q675" s="1645" t="s">
        <v>3693</v>
      </c>
      <c r="R675" s="1647" t="s">
        <v>3710</v>
      </c>
      <c r="S675" s="1644" t="s">
        <v>4801</v>
      </c>
      <c r="T675" s="1644"/>
      <c r="U675" s="1644" t="s">
        <v>3697</v>
      </c>
      <c r="V675" s="1644"/>
      <c r="W675" s="1644">
        <v>0</v>
      </c>
      <c r="X675" s="1644" t="s">
        <v>3633</v>
      </c>
      <c r="Y675" s="1647">
        <v>37345</v>
      </c>
      <c r="Z675" s="1647">
        <v>37710</v>
      </c>
      <c r="AA675" s="1650">
        <f t="shared" ca="1" si="40"/>
        <v>5.666666666666667</v>
      </c>
      <c r="AB675" s="2444" t="e">
        <v>#REF!</v>
      </c>
      <c r="AC675" s="2446" t="e">
        <f>+#REF!-#REF!</f>
        <v>#REF!</v>
      </c>
      <c r="AD675" s="2438"/>
    </row>
    <row r="676" spans="1:30" ht="15.75" customHeight="1">
      <c r="A676" s="1644">
        <f t="shared" si="29"/>
        <v>122</v>
      </c>
      <c r="B676" s="1645" t="s">
        <v>3128</v>
      </c>
      <c r="C676" s="1644" t="s">
        <v>1578</v>
      </c>
      <c r="D676" s="1645" t="s">
        <v>548</v>
      </c>
      <c r="E676" s="1646" t="s">
        <v>2797</v>
      </c>
      <c r="F676" s="1644">
        <f t="shared" si="37"/>
        <v>1972</v>
      </c>
      <c r="G676" s="1647">
        <v>26649</v>
      </c>
      <c r="H676" s="1644" t="s">
        <v>3628</v>
      </c>
      <c r="I676" s="1648"/>
      <c r="J676" s="1644" t="s">
        <v>37</v>
      </c>
      <c r="K676" s="1644">
        <v>0</v>
      </c>
      <c r="L676" s="1645" t="s">
        <v>2824</v>
      </c>
      <c r="M676" s="1645" t="s">
        <v>3874</v>
      </c>
      <c r="N676" s="1645"/>
      <c r="O676" s="1645" t="s">
        <v>3645</v>
      </c>
      <c r="P676" s="1649"/>
      <c r="Q676" s="1645" t="s">
        <v>3693</v>
      </c>
      <c r="R676" s="1647" t="s">
        <v>3702</v>
      </c>
      <c r="S676" s="1644" t="s">
        <v>3795</v>
      </c>
      <c r="T676" s="1644" t="s">
        <v>936</v>
      </c>
      <c r="U676" s="1644" t="s">
        <v>3631</v>
      </c>
      <c r="V676" s="1644"/>
      <c r="W676" s="1650" t="s">
        <v>3646</v>
      </c>
      <c r="X676" s="1644" t="s">
        <v>3712</v>
      </c>
      <c r="Y676" s="1647">
        <v>38665</v>
      </c>
      <c r="Z676" s="1647">
        <v>39030</v>
      </c>
      <c r="AA676" s="1650">
        <f t="shared" ca="1" si="40"/>
        <v>8.1666666666666661</v>
      </c>
      <c r="AB676" s="2444" t="s">
        <v>3629</v>
      </c>
      <c r="AC676" s="2445"/>
      <c r="AD676" s="2438"/>
    </row>
    <row r="677" spans="1:30" ht="15.75" customHeight="1">
      <c r="A677" s="1644">
        <f t="shared" si="29"/>
        <v>123</v>
      </c>
      <c r="B677" s="1645" t="s">
        <v>4805</v>
      </c>
      <c r="C677" s="1644" t="s">
        <v>1578</v>
      </c>
      <c r="D677" s="1645" t="s">
        <v>626</v>
      </c>
      <c r="E677" s="1646" t="s">
        <v>2798</v>
      </c>
      <c r="F677" s="1644">
        <f t="shared" si="37"/>
        <v>1972</v>
      </c>
      <c r="G677" s="1647">
        <v>26462</v>
      </c>
      <c r="H677" s="1644" t="s">
        <v>3636</v>
      </c>
      <c r="I677" s="1648"/>
      <c r="J677" s="1644" t="s">
        <v>38</v>
      </c>
      <c r="K677" s="1644">
        <v>0</v>
      </c>
      <c r="L677" s="1645" t="s">
        <v>2824</v>
      </c>
      <c r="M677" s="1645" t="s">
        <v>2824</v>
      </c>
      <c r="N677" s="1645"/>
      <c r="O677" s="1645" t="s">
        <v>2824</v>
      </c>
      <c r="P677" s="1649"/>
      <c r="Q677" s="1645" t="s">
        <v>3693</v>
      </c>
      <c r="R677" s="1647" t="s">
        <v>4203</v>
      </c>
      <c r="S677" s="1644"/>
      <c r="T677" s="1644" t="s">
        <v>936</v>
      </c>
      <c r="U677" s="1644"/>
      <c r="V677" s="1644"/>
      <c r="W677" s="1644" t="s">
        <v>3944</v>
      </c>
      <c r="X677" s="1644" t="s">
        <v>3633</v>
      </c>
      <c r="Y677" s="1647">
        <v>40883</v>
      </c>
      <c r="Z677" s="1647">
        <v>41249</v>
      </c>
      <c r="AA677" s="1650">
        <f t="shared" ca="1" si="40"/>
        <v>2.6666666666666665</v>
      </c>
      <c r="AB677" s="2444" t="s">
        <v>3629</v>
      </c>
      <c r="AC677" s="2445"/>
      <c r="AD677" s="2438"/>
    </row>
    <row r="678" spans="1:30" ht="15.75" customHeight="1">
      <c r="A678" s="1644">
        <f t="shared" si="29"/>
        <v>124</v>
      </c>
      <c r="B678" s="1645" t="s">
        <v>2881</v>
      </c>
      <c r="C678" s="1644" t="s">
        <v>1578</v>
      </c>
      <c r="D678" s="1645" t="s">
        <v>626</v>
      </c>
      <c r="E678" s="1644" t="s">
        <v>2797</v>
      </c>
      <c r="F678" s="1644">
        <f t="shared" si="37"/>
        <v>1989</v>
      </c>
      <c r="G678" s="1647">
        <v>32625</v>
      </c>
      <c r="H678" s="1644" t="s">
        <v>3636</v>
      </c>
      <c r="I678" s="1648"/>
      <c r="J678" s="1644" t="s">
        <v>37</v>
      </c>
      <c r="K678" s="1644">
        <v>0</v>
      </c>
      <c r="L678" s="1645" t="s">
        <v>4212</v>
      </c>
      <c r="M678" s="1645" t="s">
        <v>2882</v>
      </c>
      <c r="N678" s="1645"/>
      <c r="O678" s="1645" t="s">
        <v>3645</v>
      </c>
      <c r="P678" s="1649"/>
      <c r="Q678" s="1645" t="s">
        <v>3693</v>
      </c>
      <c r="R678" s="1647" t="s">
        <v>3699</v>
      </c>
      <c r="S678" s="1644" t="s">
        <v>3696</v>
      </c>
      <c r="T678" s="1644" t="s">
        <v>936</v>
      </c>
      <c r="U678" s="1644"/>
      <c r="V678" s="1644"/>
      <c r="W678" s="1650" t="s">
        <v>3646</v>
      </c>
      <c r="X678" s="1644"/>
      <c r="Y678" s="1647"/>
      <c r="Z678" s="1647" t="s">
        <v>936</v>
      </c>
      <c r="AA678" s="1650">
        <f t="shared" ca="1" si="40"/>
        <v>24.5</v>
      </c>
      <c r="AB678" s="2444" t="s">
        <v>3629</v>
      </c>
      <c r="AC678" s="2445"/>
      <c r="AD678" s="2438"/>
    </row>
    <row r="679" spans="1:30" ht="15.75" customHeight="1">
      <c r="A679" s="1644">
        <f t="shared" si="29"/>
        <v>125</v>
      </c>
      <c r="B679" s="1645" t="s">
        <v>2799</v>
      </c>
      <c r="C679" s="1644" t="s">
        <v>1578</v>
      </c>
      <c r="D679" s="1645" t="s">
        <v>626</v>
      </c>
      <c r="E679" s="1646" t="s">
        <v>2797</v>
      </c>
      <c r="F679" s="1644">
        <f t="shared" si="37"/>
        <v>1956</v>
      </c>
      <c r="G679" s="1647">
        <v>20730</v>
      </c>
      <c r="H679" s="1644" t="s">
        <v>3797</v>
      </c>
      <c r="I679" s="1648"/>
      <c r="J679" s="1644" t="s">
        <v>38</v>
      </c>
      <c r="K679" s="1644" t="s">
        <v>3798</v>
      </c>
      <c r="L679" s="1645" t="s">
        <v>4212</v>
      </c>
      <c r="M679" s="1645" t="s">
        <v>2882</v>
      </c>
      <c r="N679" s="1645"/>
      <c r="O679" s="1645" t="s">
        <v>2882</v>
      </c>
      <c r="P679" s="1649"/>
      <c r="Q679" s="1645" t="s">
        <v>3693</v>
      </c>
      <c r="R679" s="1644" t="s">
        <v>3683</v>
      </c>
      <c r="S679" s="1644"/>
      <c r="T679" s="1644" t="s">
        <v>936</v>
      </c>
      <c r="U679" s="1644" t="s">
        <v>3802</v>
      </c>
      <c r="V679" s="1644"/>
      <c r="W679" s="1644" t="s">
        <v>936</v>
      </c>
      <c r="X679" s="1644"/>
      <c r="Y679" s="1647">
        <v>36301</v>
      </c>
      <c r="Z679" s="1647">
        <v>36667</v>
      </c>
      <c r="AA679" s="1650">
        <f t="shared" ca="1" si="40"/>
        <v>-8.0833333333333339</v>
      </c>
      <c r="AB679" s="2444" t="s">
        <v>3629</v>
      </c>
      <c r="AC679" s="2445"/>
      <c r="AD679" s="2438"/>
    </row>
    <row r="680" spans="1:30" ht="15.75" customHeight="1">
      <c r="A680" s="1644">
        <f t="shared" si="29"/>
        <v>126</v>
      </c>
      <c r="B680" s="1645" t="s">
        <v>2839</v>
      </c>
      <c r="C680" s="1644" t="s">
        <v>1578</v>
      </c>
      <c r="D680" s="1645" t="s">
        <v>626</v>
      </c>
      <c r="E680" s="1644" t="s">
        <v>2798</v>
      </c>
      <c r="F680" s="1644">
        <f t="shared" si="37"/>
        <v>1988</v>
      </c>
      <c r="G680" s="1647">
        <v>32465</v>
      </c>
      <c r="H680" s="1644" t="s">
        <v>3636</v>
      </c>
      <c r="I680" s="1648"/>
      <c r="J680" s="1644" t="s">
        <v>38</v>
      </c>
      <c r="K680" s="1644">
        <v>0</v>
      </c>
      <c r="L680" s="1645" t="s">
        <v>2824</v>
      </c>
      <c r="M680" s="1645" t="s">
        <v>4806</v>
      </c>
      <c r="N680" s="1645"/>
      <c r="O680" s="1645" t="s">
        <v>2824</v>
      </c>
      <c r="P680" s="1649"/>
      <c r="Q680" s="1645" t="s">
        <v>3693</v>
      </c>
      <c r="R680" s="1647" t="s">
        <v>4807</v>
      </c>
      <c r="S680" s="1644"/>
      <c r="T680" s="1644" t="s">
        <v>936</v>
      </c>
      <c r="U680" s="1644"/>
      <c r="V680" s="1644"/>
      <c r="W680" s="1644" t="s">
        <v>3679</v>
      </c>
      <c r="X680" s="1644"/>
      <c r="Y680" s="1647"/>
      <c r="Z680" s="1647"/>
      <c r="AA680" s="1650">
        <f t="shared" ca="1" si="40"/>
        <v>19.083333333333332</v>
      </c>
      <c r="AB680" s="2444" t="s">
        <v>3629</v>
      </c>
      <c r="AC680" s="2445"/>
      <c r="AD680" s="2438"/>
    </row>
    <row r="681" spans="1:30" ht="15.75" customHeight="1">
      <c r="A681" s="1644">
        <f t="shared" si="29"/>
        <v>127</v>
      </c>
      <c r="B681" s="1645" t="s">
        <v>2974</v>
      </c>
      <c r="C681" s="1644" t="s">
        <v>1578</v>
      </c>
      <c r="D681" s="1645" t="s">
        <v>626</v>
      </c>
      <c r="E681" s="1646" t="s">
        <v>2797</v>
      </c>
      <c r="F681" s="1644">
        <f t="shared" si="37"/>
        <v>1984</v>
      </c>
      <c r="G681" s="1647">
        <v>30843</v>
      </c>
      <c r="H681" s="1644" t="s">
        <v>3636</v>
      </c>
      <c r="I681" s="1648"/>
      <c r="J681" s="1644" t="s">
        <v>38</v>
      </c>
      <c r="K681" s="1644">
        <v>0</v>
      </c>
      <c r="L681" s="1645" t="s">
        <v>2824</v>
      </c>
      <c r="M681" s="1645" t="s">
        <v>4011</v>
      </c>
      <c r="N681" s="1645"/>
      <c r="O681" s="1645" t="s">
        <v>2824</v>
      </c>
      <c r="P681" s="1649"/>
      <c r="Q681" s="1645" t="s">
        <v>3693</v>
      </c>
      <c r="R681" s="1647" t="s">
        <v>3904</v>
      </c>
      <c r="S681" s="1644" t="s">
        <v>3696</v>
      </c>
      <c r="T681" s="1644" t="s">
        <v>936</v>
      </c>
      <c r="U681" s="1644" t="s">
        <v>3631</v>
      </c>
      <c r="V681" s="1644"/>
      <c r="W681" s="1650" t="s">
        <v>3653</v>
      </c>
      <c r="X681" s="1644" t="s">
        <v>3707</v>
      </c>
      <c r="Y681" s="1647">
        <v>38853</v>
      </c>
      <c r="Z681" s="1647">
        <v>39218</v>
      </c>
      <c r="AA681" s="1650">
        <f t="shared" ca="1" si="40"/>
        <v>19.666666666666668</v>
      </c>
      <c r="AB681" s="2444" t="e">
        <v>#REF!</v>
      </c>
      <c r="AC681" s="2446" t="e">
        <f>+#REF!-#REF!</f>
        <v>#REF!</v>
      </c>
      <c r="AD681" s="2438"/>
    </row>
    <row r="682" spans="1:30" ht="15.75" customHeight="1">
      <c r="A682" s="1644">
        <f t="shared" si="29"/>
        <v>128</v>
      </c>
      <c r="B682" s="1645" t="s">
        <v>4808</v>
      </c>
      <c r="C682" s="1644" t="s">
        <v>1578</v>
      </c>
      <c r="D682" s="1645" t="s">
        <v>626</v>
      </c>
      <c r="E682" s="1644" t="s">
        <v>2797</v>
      </c>
      <c r="F682" s="1644">
        <f t="shared" si="37"/>
        <v>1978</v>
      </c>
      <c r="G682" s="1647">
        <v>28698</v>
      </c>
      <c r="H682" s="1644" t="s">
        <v>3797</v>
      </c>
      <c r="I682" s="1648"/>
      <c r="J682" s="1644" t="s">
        <v>38</v>
      </c>
      <c r="K682" s="1644" t="s">
        <v>3798</v>
      </c>
      <c r="L682" s="1645" t="s">
        <v>2824</v>
      </c>
      <c r="M682" s="1645" t="s">
        <v>2824</v>
      </c>
      <c r="N682" s="1645"/>
      <c r="O682" s="1645" t="s">
        <v>4011</v>
      </c>
      <c r="P682" s="1649"/>
      <c r="Q682" s="1645" t="s">
        <v>3693</v>
      </c>
      <c r="R682" s="1647" t="s">
        <v>4051</v>
      </c>
      <c r="S682" s="1644" t="s">
        <v>3696</v>
      </c>
      <c r="T682" s="1644" t="s">
        <v>936</v>
      </c>
      <c r="U682" s="1644" t="s">
        <v>3802</v>
      </c>
      <c r="V682" s="1644"/>
      <c r="W682" s="1644" t="s">
        <v>3679</v>
      </c>
      <c r="X682" s="1644"/>
      <c r="Y682" s="1647">
        <v>37512</v>
      </c>
      <c r="Z682" s="1647">
        <v>37876</v>
      </c>
      <c r="AA682" s="1650">
        <f t="shared" ca="1" si="40"/>
        <v>13.75</v>
      </c>
      <c r="AB682" s="2444" t="s">
        <v>3629</v>
      </c>
      <c r="AC682" s="2445"/>
      <c r="AD682" s="2438"/>
    </row>
    <row r="683" spans="1:30" ht="15.75" customHeight="1">
      <c r="A683" s="1644">
        <f t="shared" si="29"/>
        <v>129</v>
      </c>
      <c r="B683" s="1645" t="s">
        <v>2978</v>
      </c>
      <c r="C683" s="1644" t="s">
        <v>1578</v>
      </c>
      <c r="D683" s="1645" t="s">
        <v>626</v>
      </c>
      <c r="E683" s="1644" t="s">
        <v>2797</v>
      </c>
      <c r="F683" s="1644">
        <f t="shared" si="37"/>
        <v>1979</v>
      </c>
      <c r="G683" s="1647">
        <v>28982</v>
      </c>
      <c r="H683" s="1644" t="s">
        <v>3797</v>
      </c>
      <c r="I683" s="1648"/>
      <c r="J683" s="1644" t="s">
        <v>38</v>
      </c>
      <c r="K683" s="1644" t="s">
        <v>3798</v>
      </c>
      <c r="L683" s="1645" t="s">
        <v>2824</v>
      </c>
      <c r="M683" s="1645" t="s">
        <v>4809</v>
      </c>
      <c r="N683" s="1645"/>
      <c r="O683" s="1645" t="s">
        <v>4810</v>
      </c>
      <c r="P683" s="1649"/>
      <c r="Q683" s="1645" t="s">
        <v>3757</v>
      </c>
      <c r="R683" s="1647" t="s">
        <v>4811</v>
      </c>
      <c r="S683" s="1644" t="s">
        <v>3696</v>
      </c>
      <c r="T683" s="1644" t="s">
        <v>936</v>
      </c>
      <c r="U683" s="1644" t="s">
        <v>3802</v>
      </c>
      <c r="V683" s="1644"/>
      <c r="W683" s="1650" t="s">
        <v>3646</v>
      </c>
      <c r="X683" s="1644" t="s">
        <v>3633</v>
      </c>
      <c r="Y683" s="1647">
        <v>36987</v>
      </c>
      <c r="Z683" s="1647">
        <v>37352</v>
      </c>
      <c r="AA683" s="1650">
        <f t="shared" ca="1" si="40"/>
        <v>14.583333333333334</v>
      </c>
      <c r="AB683" s="2444" t="s">
        <v>3629</v>
      </c>
      <c r="AC683" s="2445"/>
      <c r="AD683" s="2438"/>
    </row>
    <row r="684" spans="1:30" ht="15.75" customHeight="1">
      <c r="A684" s="1644">
        <f t="shared" si="29"/>
        <v>130</v>
      </c>
      <c r="B684" s="1645" t="s">
        <v>4812</v>
      </c>
      <c r="C684" s="1644" t="s">
        <v>1578</v>
      </c>
      <c r="D684" s="1645" t="s">
        <v>626</v>
      </c>
      <c r="E684" s="1644" t="s">
        <v>2797</v>
      </c>
      <c r="F684" s="1644">
        <f t="shared" si="37"/>
        <v>1959</v>
      </c>
      <c r="G684" s="1647">
        <v>21791</v>
      </c>
      <c r="H684" s="1644" t="s">
        <v>3628</v>
      </c>
      <c r="I684" s="1648"/>
      <c r="J684" s="1644" t="s">
        <v>38</v>
      </c>
      <c r="K684" s="1644">
        <v>0</v>
      </c>
      <c r="L684" s="1645" t="s">
        <v>2824</v>
      </c>
      <c r="M684" s="1645" t="s">
        <v>4806</v>
      </c>
      <c r="N684" s="1645"/>
      <c r="O684" s="1645" t="s">
        <v>2882</v>
      </c>
      <c r="P684" s="1649"/>
      <c r="Q684" s="1645" t="s">
        <v>3693</v>
      </c>
      <c r="R684" s="1647" t="s">
        <v>3683</v>
      </c>
      <c r="S684" s="1644"/>
      <c r="T684" s="1644">
        <v>0</v>
      </c>
      <c r="U684" s="1644"/>
      <c r="V684" s="1644"/>
      <c r="W684" s="1644">
        <v>0</v>
      </c>
      <c r="X684" s="1644"/>
      <c r="Y684" s="1647">
        <v>32381</v>
      </c>
      <c r="Z684" s="1647">
        <v>32746</v>
      </c>
      <c r="AA684" s="1650">
        <f t="shared" ca="1" si="40"/>
        <v>-5.166666666666667</v>
      </c>
      <c r="AB684" s="2444" t="s">
        <v>3629</v>
      </c>
      <c r="AC684" s="2445"/>
      <c r="AD684" s="2438"/>
    </row>
    <row r="685" spans="1:30" ht="15.75" customHeight="1">
      <c r="A685" s="1644">
        <f t="shared" si="29"/>
        <v>131</v>
      </c>
      <c r="B685" s="1645" t="s">
        <v>4813</v>
      </c>
      <c r="C685" s="1644" t="s">
        <v>1578</v>
      </c>
      <c r="D685" s="1645" t="s">
        <v>626</v>
      </c>
      <c r="E685" s="1644" t="s">
        <v>2797</v>
      </c>
      <c r="F685" s="1644">
        <f t="shared" si="37"/>
        <v>1976</v>
      </c>
      <c r="G685" s="1647">
        <v>28087</v>
      </c>
      <c r="H685" s="1644" t="s">
        <v>3636</v>
      </c>
      <c r="I685" s="1648"/>
      <c r="J685" s="1644" t="s">
        <v>38</v>
      </c>
      <c r="K685" s="1644">
        <v>0</v>
      </c>
      <c r="L685" s="1645" t="s">
        <v>2824</v>
      </c>
      <c r="M685" s="1645" t="s">
        <v>4806</v>
      </c>
      <c r="N685" s="1645"/>
      <c r="O685" s="1645" t="s">
        <v>4806</v>
      </c>
      <c r="P685" s="1649"/>
      <c r="Q685" s="1645"/>
      <c r="R685" s="1647" t="s">
        <v>4764</v>
      </c>
      <c r="S685" s="1644"/>
      <c r="T685" s="1644" t="s">
        <v>936</v>
      </c>
      <c r="U685" s="1644"/>
      <c r="V685" s="1644"/>
      <c r="W685" s="1644">
        <v>0</v>
      </c>
      <c r="X685" s="1644"/>
      <c r="Y685" s="1647"/>
      <c r="Z685" s="1647"/>
      <c r="AA685" s="1650">
        <f t="shared" ca="1" si="40"/>
        <v>12.083333333333334</v>
      </c>
      <c r="AB685" s="2444" t="s">
        <v>3629</v>
      </c>
      <c r="AC685" s="2445"/>
      <c r="AD685" s="2438"/>
    </row>
    <row r="686" spans="1:30" ht="15.75" customHeight="1">
      <c r="A686" s="1644">
        <f t="shared" si="29"/>
        <v>132</v>
      </c>
      <c r="B686" s="1645" t="s">
        <v>4814</v>
      </c>
      <c r="C686" s="1644" t="s">
        <v>1578</v>
      </c>
      <c r="D686" s="1645" t="s">
        <v>626</v>
      </c>
      <c r="E686" s="1646" t="s">
        <v>2797</v>
      </c>
      <c r="F686" s="1644">
        <f t="shared" si="37"/>
        <v>1979</v>
      </c>
      <c r="G686" s="1647">
        <v>28921</v>
      </c>
      <c r="H686" s="1644" t="s">
        <v>3797</v>
      </c>
      <c r="I686" s="1648"/>
      <c r="J686" s="1644" t="s">
        <v>38</v>
      </c>
      <c r="K686" s="1644" t="s">
        <v>3798</v>
      </c>
      <c r="L686" s="1645" t="s">
        <v>4803</v>
      </c>
      <c r="M686" s="1645" t="s">
        <v>2882</v>
      </c>
      <c r="N686" s="1645"/>
      <c r="O686" s="1645" t="s">
        <v>4815</v>
      </c>
      <c r="P686" s="1649"/>
      <c r="Q686" s="1645" t="s">
        <v>3693</v>
      </c>
      <c r="R686" s="1647" t="s">
        <v>4816</v>
      </c>
      <c r="S686" s="1644" t="s">
        <v>3696</v>
      </c>
      <c r="T686" s="1644">
        <v>2018</v>
      </c>
      <c r="U686" s="1644" t="s">
        <v>3697</v>
      </c>
      <c r="V686" s="1644"/>
      <c r="W686" s="1644">
        <v>0</v>
      </c>
      <c r="X686" s="1644"/>
      <c r="Y686" s="1647">
        <v>38121</v>
      </c>
      <c r="Z686" s="1647">
        <v>38486</v>
      </c>
      <c r="AA686" s="1650">
        <f t="shared" ca="1" si="40"/>
        <v>14.416666666666666</v>
      </c>
      <c r="AB686" s="2444" t="s">
        <v>3629</v>
      </c>
      <c r="AC686" s="2445"/>
      <c r="AD686" s="2438"/>
    </row>
    <row r="687" spans="1:30" ht="15.75" customHeight="1">
      <c r="A687" s="1644">
        <f t="shared" si="29"/>
        <v>133</v>
      </c>
      <c r="B687" s="1645" t="s">
        <v>2976</v>
      </c>
      <c r="C687" s="1644" t="s">
        <v>1578</v>
      </c>
      <c r="D687" s="1645" t="s">
        <v>626</v>
      </c>
      <c r="E687" s="1646" t="s">
        <v>2798</v>
      </c>
      <c r="F687" s="1644">
        <f t="shared" si="37"/>
        <v>1977</v>
      </c>
      <c r="G687" s="1647">
        <v>28462</v>
      </c>
      <c r="H687" s="1644" t="s">
        <v>3628</v>
      </c>
      <c r="I687" s="1648"/>
      <c r="J687" s="1644" t="s">
        <v>38</v>
      </c>
      <c r="K687" s="1644">
        <v>0</v>
      </c>
      <c r="L687" s="1645" t="s">
        <v>2824</v>
      </c>
      <c r="M687" s="1645" t="s">
        <v>4806</v>
      </c>
      <c r="N687" s="1645"/>
      <c r="O687" s="1645" t="s">
        <v>4810</v>
      </c>
      <c r="P687" s="1649"/>
      <c r="Q687" s="1645" t="s">
        <v>3693</v>
      </c>
      <c r="R687" s="1647" t="s">
        <v>4203</v>
      </c>
      <c r="S687" s="1644" t="s">
        <v>3696</v>
      </c>
      <c r="T687" s="1644" t="s">
        <v>936</v>
      </c>
      <c r="U687" s="1644" t="s">
        <v>3697</v>
      </c>
      <c r="V687" s="1644"/>
      <c r="W687" s="1644" t="s">
        <v>3658</v>
      </c>
      <c r="X687" s="1644" t="s">
        <v>3633</v>
      </c>
      <c r="Y687" s="1647">
        <v>38246</v>
      </c>
      <c r="Z687" s="1647">
        <v>38611</v>
      </c>
      <c r="AA687" s="1650">
        <f t="shared" ca="1" si="40"/>
        <v>8.1666666666666661</v>
      </c>
      <c r="AB687" s="2444" t="s">
        <v>3629</v>
      </c>
      <c r="AC687" s="2445"/>
      <c r="AD687" s="2438"/>
    </row>
    <row r="688" spans="1:30" ht="15.75" customHeight="1">
      <c r="A688" s="1644">
        <f t="shared" si="29"/>
        <v>134</v>
      </c>
      <c r="B688" s="1645" t="s">
        <v>4817</v>
      </c>
      <c r="C688" s="1644" t="s">
        <v>1578</v>
      </c>
      <c r="D688" s="1645" t="s">
        <v>626</v>
      </c>
      <c r="E688" s="1644" t="s">
        <v>2797</v>
      </c>
      <c r="F688" s="1644">
        <f t="shared" si="37"/>
        <v>1973</v>
      </c>
      <c r="G688" s="1647">
        <v>26692</v>
      </c>
      <c r="H688" s="1644" t="s">
        <v>3636</v>
      </c>
      <c r="I688" s="1648"/>
      <c r="J688" s="1644" t="s">
        <v>38</v>
      </c>
      <c r="K688" s="1644">
        <v>0</v>
      </c>
      <c r="L688" s="1645" t="s">
        <v>2824</v>
      </c>
      <c r="M688" s="1645" t="s">
        <v>4020</v>
      </c>
      <c r="N688" s="1645"/>
      <c r="O688" s="1645" t="s">
        <v>2824</v>
      </c>
      <c r="P688" s="1649"/>
      <c r="Q688" s="1645" t="s">
        <v>3693</v>
      </c>
      <c r="R688" s="1647" t="s">
        <v>3683</v>
      </c>
      <c r="S688" s="1644"/>
      <c r="T688" s="1644" t="s">
        <v>936</v>
      </c>
      <c r="U688" s="1644" t="s">
        <v>3631</v>
      </c>
      <c r="V688" s="1644"/>
      <c r="W688" s="1644" t="s">
        <v>3658</v>
      </c>
      <c r="X688" s="1644"/>
      <c r="Y688" s="1647">
        <v>38860</v>
      </c>
      <c r="Z688" s="1647">
        <v>39225</v>
      </c>
      <c r="AA688" s="1650">
        <f t="shared" ca="1" si="40"/>
        <v>8.25</v>
      </c>
      <c r="AB688" s="2444" t="s">
        <v>3629</v>
      </c>
      <c r="AC688" s="2445"/>
      <c r="AD688" s="2438"/>
    </row>
    <row r="689" spans="1:30" ht="15.75" customHeight="1">
      <c r="A689" s="1644">
        <f t="shared" si="29"/>
        <v>135</v>
      </c>
      <c r="B689" s="1645" t="s">
        <v>2808</v>
      </c>
      <c r="C689" s="1644" t="s">
        <v>1578</v>
      </c>
      <c r="D689" s="1645" t="s">
        <v>626</v>
      </c>
      <c r="E689" s="1646" t="s">
        <v>2797</v>
      </c>
      <c r="F689" s="1644">
        <f t="shared" si="37"/>
        <v>1958</v>
      </c>
      <c r="G689" s="1647">
        <v>21262</v>
      </c>
      <c r="H689" s="1644" t="s">
        <v>3797</v>
      </c>
      <c r="I689" s="1648"/>
      <c r="J689" s="1644" t="s">
        <v>38</v>
      </c>
      <c r="K689" s="1644" t="s">
        <v>3798</v>
      </c>
      <c r="L689" s="1645" t="s">
        <v>4803</v>
      </c>
      <c r="M689" s="1645" t="s">
        <v>4717</v>
      </c>
      <c r="N689" s="1645"/>
      <c r="O689" s="1645" t="s">
        <v>4169</v>
      </c>
      <c r="P689" s="1649"/>
      <c r="Q689" s="1645" t="s">
        <v>3693</v>
      </c>
      <c r="R689" s="1644" t="s">
        <v>3683</v>
      </c>
      <c r="S689" s="1644"/>
      <c r="T689" s="1644" t="s">
        <v>936</v>
      </c>
      <c r="U689" s="1644" t="s">
        <v>3802</v>
      </c>
      <c r="V689" s="1644"/>
      <c r="W689" s="1644">
        <v>0</v>
      </c>
      <c r="X689" s="1644"/>
      <c r="Y689" s="1647">
        <v>34459</v>
      </c>
      <c r="Z689" s="1647">
        <v>34459</v>
      </c>
      <c r="AA689" s="1650">
        <f t="shared" ca="1" si="40"/>
        <v>-6.583333333333333</v>
      </c>
      <c r="AB689" s="2444" t="s">
        <v>3629</v>
      </c>
      <c r="AC689" s="2445"/>
      <c r="AD689" s="2438"/>
    </row>
    <row r="690" spans="1:30" ht="15.75" customHeight="1">
      <c r="A690" s="1644">
        <f t="shared" si="29"/>
        <v>136</v>
      </c>
      <c r="B690" s="1645" t="s">
        <v>2975</v>
      </c>
      <c r="C690" s="1644" t="s">
        <v>1578</v>
      </c>
      <c r="D690" s="1645" t="s">
        <v>626</v>
      </c>
      <c r="E690" s="1644" t="s">
        <v>2798</v>
      </c>
      <c r="F690" s="1644">
        <f t="shared" si="37"/>
        <v>1974</v>
      </c>
      <c r="G690" s="1647">
        <v>27307</v>
      </c>
      <c r="H690" s="1644" t="s">
        <v>3797</v>
      </c>
      <c r="I690" s="1648"/>
      <c r="J690" s="1644" t="s">
        <v>38</v>
      </c>
      <c r="K690" s="1644" t="s">
        <v>3798</v>
      </c>
      <c r="L690" s="1645" t="s">
        <v>2824</v>
      </c>
      <c r="M690" s="1645" t="s">
        <v>2824</v>
      </c>
      <c r="N690" s="1645"/>
      <c r="O690" s="1645" t="s">
        <v>2824</v>
      </c>
      <c r="P690" s="1649"/>
      <c r="Q690" s="1645" t="s">
        <v>3693</v>
      </c>
      <c r="R690" s="1647" t="s">
        <v>4051</v>
      </c>
      <c r="S690" s="1644" t="s">
        <v>3696</v>
      </c>
      <c r="T690" s="1644" t="s">
        <v>936</v>
      </c>
      <c r="U690" s="1644" t="s">
        <v>3802</v>
      </c>
      <c r="V690" s="1644"/>
      <c r="W690" s="1644">
        <v>0</v>
      </c>
      <c r="X690" s="1644"/>
      <c r="Y690" s="1647">
        <v>38818</v>
      </c>
      <c r="Z690" s="1647">
        <v>39183</v>
      </c>
      <c r="AA690" s="1650">
        <f t="shared" ca="1" si="40"/>
        <v>5</v>
      </c>
      <c r="AB690" s="2444" t="e">
        <v>#REF!</v>
      </c>
      <c r="AC690" s="2446" t="e">
        <f>+#REF!-#REF!</f>
        <v>#REF!</v>
      </c>
      <c r="AD690" s="2438"/>
    </row>
    <row r="691" spans="1:30" ht="15.75" customHeight="1">
      <c r="A691" s="1644">
        <f t="shared" si="29"/>
        <v>137</v>
      </c>
      <c r="B691" s="1645" t="s">
        <v>4818</v>
      </c>
      <c r="C691" s="1644" t="s">
        <v>1578</v>
      </c>
      <c r="D691" s="1645" t="s">
        <v>626</v>
      </c>
      <c r="E691" s="1646" t="s">
        <v>2798</v>
      </c>
      <c r="F691" s="1644">
        <f t="shared" si="37"/>
        <v>1976</v>
      </c>
      <c r="G691" s="1647">
        <v>28002</v>
      </c>
      <c r="H691" s="1644" t="s">
        <v>3628</v>
      </c>
      <c r="I691" s="1648"/>
      <c r="J691" s="1644" t="s">
        <v>38</v>
      </c>
      <c r="K691" s="1644">
        <v>0</v>
      </c>
      <c r="L691" s="1645" t="s">
        <v>2824</v>
      </c>
      <c r="M691" s="1645" t="s">
        <v>4809</v>
      </c>
      <c r="N691" s="1645"/>
      <c r="O691" s="1645" t="s">
        <v>4810</v>
      </c>
      <c r="P691" s="1649"/>
      <c r="Q691" s="1645" t="s">
        <v>3693</v>
      </c>
      <c r="R691" s="1647" t="s">
        <v>4203</v>
      </c>
      <c r="S691" s="1644" t="s">
        <v>3696</v>
      </c>
      <c r="T691" s="1644" t="s">
        <v>936</v>
      </c>
      <c r="U691" s="1644" t="s">
        <v>3697</v>
      </c>
      <c r="V691" s="1644"/>
      <c r="W691" s="1644">
        <v>0</v>
      </c>
      <c r="X691" s="1644"/>
      <c r="Y691" s="1647">
        <v>39189</v>
      </c>
      <c r="Z691" s="1647">
        <v>39555</v>
      </c>
      <c r="AA691" s="1650">
        <f t="shared" ca="1" si="40"/>
        <v>6.833333333333333</v>
      </c>
      <c r="AB691" s="2444" t="s">
        <v>3629</v>
      </c>
      <c r="AC691" s="2445"/>
      <c r="AD691" s="2438"/>
    </row>
    <row r="692" spans="1:30" ht="15.75" customHeight="1">
      <c r="A692" s="1644">
        <f t="shared" si="29"/>
        <v>138</v>
      </c>
      <c r="B692" s="1645" t="s">
        <v>3007</v>
      </c>
      <c r="C692" s="1644" t="s">
        <v>1578</v>
      </c>
      <c r="D692" s="1645" t="s">
        <v>626</v>
      </c>
      <c r="E692" s="1646" t="s">
        <v>2798</v>
      </c>
      <c r="F692" s="1644">
        <f t="shared" si="37"/>
        <v>1982</v>
      </c>
      <c r="G692" s="1647">
        <v>30242</v>
      </c>
      <c r="H692" s="1644" t="s">
        <v>3636</v>
      </c>
      <c r="I692" s="1648"/>
      <c r="J692" s="1644" t="s">
        <v>38</v>
      </c>
      <c r="K692" s="1644">
        <v>0</v>
      </c>
      <c r="L692" s="1645" t="s">
        <v>2824</v>
      </c>
      <c r="M692" s="1645" t="s">
        <v>2824</v>
      </c>
      <c r="N692" s="1645"/>
      <c r="O692" s="1645" t="s">
        <v>2824</v>
      </c>
      <c r="P692" s="1649"/>
      <c r="Q692" s="1645" t="s">
        <v>3693</v>
      </c>
      <c r="R692" s="1647" t="s">
        <v>4203</v>
      </c>
      <c r="S692" s="1644" t="s">
        <v>3696</v>
      </c>
      <c r="T692" s="1644" t="s">
        <v>936</v>
      </c>
      <c r="U692" s="1644" t="s">
        <v>3631</v>
      </c>
      <c r="V692" s="1644"/>
      <c r="W692" s="1644">
        <v>0</v>
      </c>
      <c r="X692" s="1644"/>
      <c r="Y692" s="1647">
        <v>38146</v>
      </c>
      <c r="Z692" s="1647">
        <v>38511</v>
      </c>
      <c r="AA692" s="1650">
        <f t="shared" ca="1" si="40"/>
        <v>13</v>
      </c>
      <c r="AB692" s="2444" t="s">
        <v>3629</v>
      </c>
      <c r="AC692" s="2445"/>
      <c r="AD692" s="2438"/>
    </row>
    <row r="693" spans="1:30" ht="15.75" customHeight="1">
      <c r="A693" s="1644">
        <f t="shared" si="29"/>
        <v>139</v>
      </c>
      <c r="B693" s="1645" t="s">
        <v>4819</v>
      </c>
      <c r="C693" s="1644" t="s">
        <v>1578</v>
      </c>
      <c r="D693" s="1645" t="s">
        <v>626</v>
      </c>
      <c r="E693" s="1644" t="s">
        <v>2798</v>
      </c>
      <c r="F693" s="1644">
        <f t="shared" si="37"/>
        <v>1982</v>
      </c>
      <c r="G693" s="1647">
        <v>30200</v>
      </c>
      <c r="H693" s="1644" t="s">
        <v>3636</v>
      </c>
      <c r="I693" s="1648"/>
      <c r="J693" s="1644" t="s">
        <v>38</v>
      </c>
      <c r="K693" s="1644">
        <v>0</v>
      </c>
      <c r="L693" s="1645" t="s">
        <v>4803</v>
      </c>
      <c r="M693" s="1645" t="s">
        <v>4011</v>
      </c>
      <c r="N693" s="1645"/>
      <c r="O693" s="1645" t="s">
        <v>2882</v>
      </c>
      <c r="P693" s="1649"/>
      <c r="Q693" s="1645" t="s">
        <v>3693</v>
      </c>
      <c r="R693" s="1647" t="s">
        <v>3710</v>
      </c>
      <c r="S693" s="1644" t="s">
        <v>3696</v>
      </c>
      <c r="T693" s="1644" t="s">
        <v>936</v>
      </c>
      <c r="U693" s="1644"/>
      <c r="V693" s="1644"/>
      <c r="W693" s="1644"/>
      <c r="X693" s="1644"/>
      <c r="Y693" s="1647"/>
      <c r="Z693" s="1647"/>
      <c r="AA693" s="1650">
        <f t="shared" ca="1" si="40"/>
        <v>12.916666666666666</v>
      </c>
      <c r="AB693" s="2444" t="s">
        <v>3629</v>
      </c>
      <c r="AC693" s="2445"/>
      <c r="AD693" s="2438"/>
    </row>
    <row r="694" spans="1:30" ht="15.75" customHeight="1">
      <c r="A694" s="1644">
        <f t="shared" si="29"/>
        <v>140</v>
      </c>
      <c r="B694" s="1645" t="s">
        <v>2980</v>
      </c>
      <c r="C694" s="1644" t="s">
        <v>1578</v>
      </c>
      <c r="D694" s="1645" t="s">
        <v>626</v>
      </c>
      <c r="E694" s="1646" t="s">
        <v>2798</v>
      </c>
      <c r="F694" s="1644">
        <f t="shared" si="37"/>
        <v>1975</v>
      </c>
      <c r="G694" s="1647">
        <v>27428</v>
      </c>
      <c r="H694" s="1644" t="s">
        <v>3628</v>
      </c>
      <c r="I694" s="1648"/>
      <c r="J694" s="1644" t="s">
        <v>38</v>
      </c>
      <c r="K694" s="1644">
        <v>0</v>
      </c>
      <c r="L694" s="1645" t="s">
        <v>2824</v>
      </c>
      <c r="M694" s="1645" t="s">
        <v>4011</v>
      </c>
      <c r="N694" s="1645"/>
      <c r="O694" s="1645" t="s">
        <v>2824</v>
      </c>
      <c r="P694" s="1649"/>
      <c r="Q694" s="1645" t="s">
        <v>3693</v>
      </c>
      <c r="R694" s="1647" t="s">
        <v>4820</v>
      </c>
      <c r="S694" s="1644" t="s">
        <v>3696</v>
      </c>
      <c r="T694" s="1644" t="s">
        <v>936</v>
      </c>
      <c r="U694" s="1644" t="s">
        <v>3697</v>
      </c>
      <c r="V694" s="1644"/>
      <c r="W694" s="1644">
        <v>0</v>
      </c>
      <c r="X694" s="1644"/>
      <c r="Y694" s="1647">
        <v>36340</v>
      </c>
      <c r="Z694" s="1647">
        <v>36706</v>
      </c>
      <c r="AA694" s="1650">
        <f t="shared" ca="1" si="40"/>
        <v>5.333333333333333</v>
      </c>
      <c r="AB694" s="2444" t="s">
        <v>3629</v>
      </c>
      <c r="AC694" s="2445"/>
      <c r="AD694" s="2438"/>
    </row>
    <row r="695" spans="1:30" ht="15.75" customHeight="1">
      <c r="A695" s="1644">
        <f t="shared" si="29"/>
        <v>141</v>
      </c>
      <c r="B695" s="1645" t="s">
        <v>4821</v>
      </c>
      <c r="C695" s="1644" t="s">
        <v>1578</v>
      </c>
      <c r="D695" s="1645" t="s">
        <v>626</v>
      </c>
      <c r="E695" s="1644" t="s">
        <v>2797</v>
      </c>
      <c r="F695" s="1644">
        <f t="shared" si="37"/>
        <v>1987</v>
      </c>
      <c r="G695" s="1647">
        <v>31938</v>
      </c>
      <c r="H695" s="1644" t="s">
        <v>3636</v>
      </c>
      <c r="I695" s="1648"/>
      <c r="J695" s="1644" t="s">
        <v>38</v>
      </c>
      <c r="K695" s="1644">
        <v>0</v>
      </c>
      <c r="L695" s="1645" t="s">
        <v>2824</v>
      </c>
      <c r="M695" s="1645" t="s">
        <v>4011</v>
      </c>
      <c r="N695" s="1645"/>
      <c r="O695" s="1645" t="s">
        <v>3645</v>
      </c>
      <c r="P695" s="1649"/>
      <c r="Q695" s="1645"/>
      <c r="R695" s="1647" t="s">
        <v>4822</v>
      </c>
      <c r="S695" s="1644"/>
      <c r="T695" s="1644" t="s">
        <v>936</v>
      </c>
      <c r="U695" s="1644"/>
      <c r="V695" s="1644"/>
      <c r="W695" s="1644">
        <v>0</v>
      </c>
      <c r="X695" s="1644"/>
      <c r="Y695" s="1647"/>
      <c r="Z695" s="1647" t="s">
        <v>936</v>
      </c>
      <c r="AA695" s="1650">
        <f t="shared" ca="1" si="40"/>
        <v>22.666666666666668</v>
      </c>
      <c r="AB695" s="2444" t="s">
        <v>3629</v>
      </c>
      <c r="AC695" s="2445"/>
      <c r="AD695" s="2438"/>
    </row>
    <row r="696" spans="1:30" ht="15.75" customHeight="1">
      <c r="A696" s="1644">
        <f t="shared" si="29"/>
        <v>142</v>
      </c>
      <c r="B696" s="1645" t="s">
        <v>2977</v>
      </c>
      <c r="C696" s="1644" t="s">
        <v>1578</v>
      </c>
      <c r="D696" s="1645" t="s">
        <v>626</v>
      </c>
      <c r="E696" s="1646" t="s">
        <v>2797</v>
      </c>
      <c r="F696" s="1644">
        <f t="shared" si="37"/>
        <v>1981</v>
      </c>
      <c r="G696" s="1647">
        <v>29595</v>
      </c>
      <c r="H696" s="1644" t="s">
        <v>3797</v>
      </c>
      <c r="I696" s="1648"/>
      <c r="J696" s="1644" t="s">
        <v>38</v>
      </c>
      <c r="K696" s="1644" t="s">
        <v>3798</v>
      </c>
      <c r="L696" s="1645" t="s">
        <v>2824</v>
      </c>
      <c r="M696" s="1645" t="s">
        <v>2882</v>
      </c>
      <c r="N696" s="1645"/>
      <c r="O696" s="1645" t="s">
        <v>2882</v>
      </c>
      <c r="P696" s="1649"/>
      <c r="Q696" s="1645" t="s">
        <v>3693</v>
      </c>
      <c r="R696" s="1647" t="s">
        <v>4051</v>
      </c>
      <c r="S696" s="1644" t="s">
        <v>3696</v>
      </c>
      <c r="T696" s="1644" t="s">
        <v>936</v>
      </c>
      <c r="U696" s="1644" t="s">
        <v>4095</v>
      </c>
      <c r="V696" s="1644"/>
      <c r="W696" s="1650" t="s">
        <v>3653</v>
      </c>
      <c r="X696" s="1644"/>
      <c r="Y696" s="1647">
        <v>37795</v>
      </c>
      <c r="Z696" s="1647">
        <v>38161</v>
      </c>
      <c r="AA696" s="1650">
        <f t="shared" ca="1" si="40"/>
        <v>16.25</v>
      </c>
      <c r="AB696" s="2444" t="s">
        <v>3629</v>
      </c>
      <c r="AC696" s="2445"/>
      <c r="AD696" s="2438"/>
    </row>
    <row r="697" spans="1:30" ht="15.75" customHeight="1">
      <c r="A697" s="1644">
        <f t="shared" si="29"/>
        <v>143</v>
      </c>
      <c r="B697" s="1645" t="s">
        <v>2804</v>
      </c>
      <c r="C697" s="1644" t="s">
        <v>1578</v>
      </c>
      <c r="D697" s="1645" t="s">
        <v>626</v>
      </c>
      <c r="E697" s="1646" t="s">
        <v>2797</v>
      </c>
      <c r="F697" s="1644">
        <f t="shared" si="37"/>
        <v>1957</v>
      </c>
      <c r="G697" s="1647">
        <v>20839</v>
      </c>
      <c r="H697" s="1644" t="s">
        <v>3797</v>
      </c>
      <c r="I697" s="1648"/>
      <c r="J697" s="1644" t="s">
        <v>38</v>
      </c>
      <c r="K697" s="1644" t="s">
        <v>2806</v>
      </c>
      <c r="L697" s="1645" t="s">
        <v>2824</v>
      </c>
      <c r="M697" s="1645" t="s">
        <v>4011</v>
      </c>
      <c r="N697" s="1645"/>
      <c r="O697" s="1645" t="s">
        <v>4011</v>
      </c>
      <c r="P697" s="1649"/>
      <c r="Q697" s="1645" t="s">
        <v>3693</v>
      </c>
      <c r="R697" s="1644" t="s">
        <v>3683</v>
      </c>
      <c r="S697" s="1644"/>
      <c r="T697" s="1644" t="s">
        <v>936</v>
      </c>
      <c r="U697" s="1644" t="s">
        <v>3802</v>
      </c>
      <c r="V697" s="1644"/>
      <c r="W697" s="1644" t="s">
        <v>3687</v>
      </c>
      <c r="X697" s="1644"/>
      <c r="Y697" s="1647">
        <v>32933</v>
      </c>
      <c r="Z697" s="1647">
        <v>33298</v>
      </c>
      <c r="AA697" s="1650">
        <f t="shared" ca="1" si="40"/>
        <v>-7.75</v>
      </c>
      <c r="AB697" s="2444" t="s">
        <v>3629</v>
      </c>
      <c r="AC697" s="2445"/>
      <c r="AD697" s="2438"/>
    </row>
    <row r="698" spans="1:30" ht="15.75" customHeight="1">
      <c r="A698" s="1644">
        <f t="shared" si="29"/>
        <v>144</v>
      </c>
      <c r="B698" s="1645" t="s">
        <v>4823</v>
      </c>
      <c r="C698" s="1644" t="s">
        <v>1578</v>
      </c>
      <c r="D698" s="1645" t="s">
        <v>626</v>
      </c>
      <c r="E698" s="1646" t="s">
        <v>2798</v>
      </c>
      <c r="F698" s="1644">
        <f t="shared" si="37"/>
        <v>1975</v>
      </c>
      <c r="G698" s="1647">
        <v>27410</v>
      </c>
      <c r="H698" s="1644" t="s">
        <v>3628</v>
      </c>
      <c r="I698" s="1648"/>
      <c r="J698" s="1644" t="s">
        <v>38</v>
      </c>
      <c r="K698" s="1644">
        <v>0</v>
      </c>
      <c r="L698" s="1645" t="s">
        <v>2824</v>
      </c>
      <c r="M698" s="1645" t="s">
        <v>4824</v>
      </c>
      <c r="N698" s="1645"/>
      <c r="O698" s="1645" t="s">
        <v>4824</v>
      </c>
      <c r="P698" s="1649"/>
      <c r="Q698" s="1645" t="s">
        <v>3693</v>
      </c>
      <c r="R698" s="1647" t="s">
        <v>4203</v>
      </c>
      <c r="S698" s="1644" t="s">
        <v>3696</v>
      </c>
      <c r="T698" s="1644" t="s">
        <v>936</v>
      </c>
      <c r="U698" s="1644" t="s">
        <v>3631</v>
      </c>
      <c r="V698" s="1644"/>
      <c r="W698" s="1644">
        <v>0</v>
      </c>
      <c r="X698" s="1644"/>
      <c r="Y698" s="1647">
        <v>36635</v>
      </c>
      <c r="Z698" s="1647">
        <v>37000</v>
      </c>
      <c r="AA698" s="1650">
        <f t="shared" ca="1" si="40"/>
        <v>5.25</v>
      </c>
      <c r="AB698" s="2444" t="s">
        <v>3629</v>
      </c>
      <c r="AC698" s="2445"/>
      <c r="AD698" s="2438"/>
    </row>
    <row r="699" spans="1:30" ht="15.75" customHeight="1">
      <c r="A699" s="1644">
        <f t="shared" si="29"/>
        <v>145</v>
      </c>
      <c r="B699" s="1645" t="s">
        <v>4825</v>
      </c>
      <c r="C699" s="1644" t="s">
        <v>1578</v>
      </c>
      <c r="D699" s="1645" t="s">
        <v>626</v>
      </c>
      <c r="E699" s="1644" t="s">
        <v>2797</v>
      </c>
      <c r="F699" s="1644">
        <f t="shared" si="37"/>
        <v>1978</v>
      </c>
      <c r="G699" s="1647">
        <v>28807</v>
      </c>
      <c r="H699" s="1644" t="s">
        <v>3628</v>
      </c>
      <c r="I699" s="1648"/>
      <c r="J699" s="1644" t="s">
        <v>38</v>
      </c>
      <c r="K699" s="1644">
        <v>0</v>
      </c>
      <c r="L699" s="1645" t="s">
        <v>2824</v>
      </c>
      <c r="M699" s="1645" t="s">
        <v>2824</v>
      </c>
      <c r="N699" s="1645"/>
      <c r="O699" s="1645" t="s">
        <v>4826</v>
      </c>
      <c r="P699" s="1649"/>
      <c r="Q699" s="1645" t="s">
        <v>3693</v>
      </c>
      <c r="R699" s="1647" t="s">
        <v>3639</v>
      </c>
      <c r="S699" s="1644"/>
      <c r="T699" s="1644" t="s">
        <v>936</v>
      </c>
      <c r="U699" s="1644"/>
      <c r="V699" s="1644"/>
      <c r="W699" s="1644" t="s">
        <v>936</v>
      </c>
      <c r="X699" s="1644" t="s">
        <v>3707</v>
      </c>
      <c r="Y699" s="1647">
        <v>37694</v>
      </c>
      <c r="Z699" s="1647">
        <v>38060</v>
      </c>
      <c r="AA699" s="1650">
        <f t="shared" ca="1" si="40"/>
        <v>14.083333333333334</v>
      </c>
      <c r="AB699" s="2444" t="s">
        <v>3629</v>
      </c>
      <c r="AC699" s="2445"/>
      <c r="AD699" s="2438"/>
    </row>
    <row r="700" spans="1:30" ht="15.75" customHeight="1">
      <c r="A700" s="1644">
        <f t="shared" si="29"/>
        <v>146</v>
      </c>
      <c r="B700" s="1645" t="s">
        <v>4827</v>
      </c>
      <c r="C700" s="1644" t="s">
        <v>1578</v>
      </c>
      <c r="D700" s="1645" t="s">
        <v>626</v>
      </c>
      <c r="E700" s="1644" t="s">
        <v>2798</v>
      </c>
      <c r="F700" s="1644">
        <f t="shared" si="37"/>
        <v>1975</v>
      </c>
      <c r="G700" s="1647">
        <v>27478</v>
      </c>
      <c r="H700" s="1644" t="s">
        <v>3628</v>
      </c>
      <c r="I700" s="1648"/>
      <c r="J700" s="1644" t="s">
        <v>38</v>
      </c>
      <c r="K700" s="1644">
        <v>0</v>
      </c>
      <c r="L700" s="1645" t="s">
        <v>2824</v>
      </c>
      <c r="M700" s="1645" t="s">
        <v>4824</v>
      </c>
      <c r="N700" s="1645"/>
      <c r="O700" s="1645" t="s">
        <v>4824</v>
      </c>
      <c r="P700" s="1649"/>
      <c r="Q700" s="1645" t="s">
        <v>3693</v>
      </c>
      <c r="R700" s="1647" t="s">
        <v>4203</v>
      </c>
      <c r="S700" s="1644" t="s">
        <v>3696</v>
      </c>
      <c r="T700" s="1644" t="s">
        <v>936</v>
      </c>
      <c r="U700" s="1644" t="s">
        <v>3697</v>
      </c>
      <c r="V700" s="1644"/>
      <c r="W700" s="1644" t="s">
        <v>3679</v>
      </c>
      <c r="X700" s="1644"/>
      <c r="Y700" s="1647">
        <v>37735</v>
      </c>
      <c r="Z700" s="1647">
        <v>38101</v>
      </c>
      <c r="AA700" s="1650">
        <f t="shared" ca="1" si="40"/>
        <v>5.416666666666667</v>
      </c>
      <c r="AB700" s="2444" t="s">
        <v>3629</v>
      </c>
      <c r="AC700" s="2445"/>
      <c r="AD700" s="2438"/>
    </row>
    <row r="701" spans="1:30" ht="15.75" customHeight="1">
      <c r="A701" s="1644">
        <f t="shared" si="29"/>
        <v>147</v>
      </c>
      <c r="B701" s="1645" t="s">
        <v>4828</v>
      </c>
      <c r="C701" s="1644" t="s">
        <v>1578</v>
      </c>
      <c r="D701" s="1645" t="s">
        <v>626</v>
      </c>
      <c r="E701" s="1646" t="s">
        <v>2798</v>
      </c>
      <c r="F701" s="1644">
        <f t="shared" si="37"/>
        <v>1981</v>
      </c>
      <c r="G701" s="1647">
        <v>29800</v>
      </c>
      <c r="H701" s="1644" t="s">
        <v>3628</v>
      </c>
      <c r="I701" s="1648"/>
      <c r="J701" s="1644" t="s">
        <v>38</v>
      </c>
      <c r="K701" s="1644">
        <v>0</v>
      </c>
      <c r="L701" s="1645" t="s">
        <v>2824</v>
      </c>
      <c r="M701" s="1645" t="s">
        <v>2824</v>
      </c>
      <c r="N701" s="1645"/>
      <c r="O701" s="1645" t="s">
        <v>4011</v>
      </c>
      <c r="P701" s="1649"/>
      <c r="Q701" s="1645" t="s">
        <v>3693</v>
      </c>
      <c r="R701" s="1647" t="s">
        <v>4829</v>
      </c>
      <c r="S701" s="1644" t="s">
        <v>3696</v>
      </c>
      <c r="T701" s="1644" t="s">
        <v>936</v>
      </c>
      <c r="U701" s="1644" t="s">
        <v>3631</v>
      </c>
      <c r="V701" s="1644"/>
      <c r="W701" s="1644" t="s">
        <v>3939</v>
      </c>
      <c r="X701" s="1644" t="s">
        <v>3633</v>
      </c>
      <c r="Y701" s="1647">
        <v>37571</v>
      </c>
      <c r="Z701" s="1647">
        <v>37936</v>
      </c>
      <c r="AA701" s="1650">
        <f t="shared" ca="1" si="40"/>
        <v>11.75</v>
      </c>
      <c r="AB701" s="2444" t="s">
        <v>3629</v>
      </c>
      <c r="AC701" s="2445"/>
      <c r="AD701" s="2438"/>
    </row>
    <row r="702" spans="1:30" ht="15.75" customHeight="1">
      <c r="A702" s="1644">
        <f t="shared" si="29"/>
        <v>148</v>
      </c>
      <c r="B702" s="1645" t="s">
        <v>4830</v>
      </c>
      <c r="C702" s="1644" t="s">
        <v>1578</v>
      </c>
      <c r="D702" s="1645" t="s">
        <v>626</v>
      </c>
      <c r="E702" s="1644" t="s">
        <v>2798</v>
      </c>
      <c r="F702" s="1644">
        <f t="shared" si="37"/>
        <v>1974</v>
      </c>
      <c r="G702" s="1647">
        <v>27314</v>
      </c>
      <c r="H702" s="1644" t="s">
        <v>3628</v>
      </c>
      <c r="I702" s="1648"/>
      <c r="J702" s="1644" t="s">
        <v>38</v>
      </c>
      <c r="K702" s="1644">
        <v>0</v>
      </c>
      <c r="L702" s="1645" t="s">
        <v>4212</v>
      </c>
      <c r="M702" s="1645" t="s">
        <v>2882</v>
      </c>
      <c r="N702" s="1645"/>
      <c r="O702" s="1645" t="s">
        <v>2882</v>
      </c>
      <c r="P702" s="1649"/>
      <c r="Q702" s="1645" t="s">
        <v>3693</v>
      </c>
      <c r="R702" s="1647" t="s">
        <v>4203</v>
      </c>
      <c r="S702" s="1644"/>
      <c r="T702" s="1644" t="s">
        <v>936</v>
      </c>
      <c r="U702" s="1644" t="s">
        <v>3631</v>
      </c>
      <c r="V702" s="1644"/>
      <c r="W702" s="1644" t="s">
        <v>3968</v>
      </c>
      <c r="X702" s="1644"/>
      <c r="Y702" s="1647">
        <v>35717</v>
      </c>
      <c r="Z702" s="1647">
        <v>36082</v>
      </c>
      <c r="AA702" s="1650">
        <f t="shared" ca="1" si="40"/>
        <v>5</v>
      </c>
      <c r="AB702" s="2444" t="s">
        <v>3629</v>
      </c>
      <c r="AC702" s="2445"/>
      <c r="AD702" s="2438"/>
    </row>
    <row r="703" spans="1:30" ht="15.75" customHeight="1">
      <c r="A703" s="1644">
        <f t="shared" si="29"/>
        <v>149</v>
      </c>
      <c r="B703" s="1645" t="s">
        <v>2926</v>
      </c>
      <c r="C703" s="1644" t="s">
        <v>1578</v>
      </c>
      <c r="D703" s="1645" t="s">
        <v>545</v>
      </c>
      <c r="E703" s="1644" t="s">
        <v>2797</v>
      </c>
      <c r="F703" s="1644">
        <f t="shared" si="37"/>
        <v>1977</v>
      </c>
      <c r="G703" s="1647">
        <v>28460</v>
      </c>
      <c r="H703" s="1644" t="s">
        <v>3797</v>
      </c>
      <c r="I703" s="1648"/>
      <c r="J703" s="1644" t="s">
        <v>38</v>
      </c>
      <c r="K703" s="1644" t="s">
        <v>3798</v>
      </c>
      <c r="L703" s="1645" t="s">
        <v>1733</v>
      </c>
      <c r="M703" s="1645" t="s">
        <v>1743</v>
      </c>
      <c r="N703" s="1645"/>
      <c r="O703" s="1645" t="s">
        <v>1743</v>
      </c>
      <c r="P703" s="1649"/>
      <c r="Q703" s="1645" t="s">
        <v>3757</v>
      </c>
      <c r="R703" s="1647" t="s">
        <v>3904</v>
      </c>
      <c r="S703" s="1644"/>
      <c r="T703" s="1644">
        <v>0</v>
      </c>
      <c r="U703" s="1644" t="s">
        <v>3802</v>
      </c>
      <c r="V703" s="1644"/>
      <c r="W703" s="1644">
        <v>0</v>
      </c>
      <c r="X703" s="1644" t="s">
        <v>3633</v>
      </c>
      <c r="Y703" s="1647">
        <v>38351</v>
      </c>
      <c r="Z703" s="1647">
        <v>38716</v>
      </c>
      <c r="AA703" s="1650">
        <f t="shared" ca="1" si="40"/>
        <v>13.083333333333334</v>
      </c>
      <c r="AB703" s="2444" t="e">
        <v>#REF!</v>
      </c>
      <c r="AC703" s="2446" t="e">
        <f>+#REF!-#REF!</f>
        <v>#REF!</v>
      </c>
      <c r="AD703" s="2438"/>
    </row>
    <row r="704" spans="1:30" ht="15.75" customHeight="1">
      <c r="A704" s="1644">
        <f t="shared" si="29"/>
        <v>150</v>
      </c>
      <c r="B704" s="1645" t="s">
        <v>2814</v>
      </c>
      <c r="C704" s="1644" t="s">
        <v>1578</v>
      </c>
      <c r="D704" s="1645" t="s">
        <v>545</v>
      </c>
      <c r="E704" s="1644" t="s">
        <v>2797</v>
      </c>
      <c r="F704" s="1644">
        <f t="shared" si="37"/>
        <v>1960</v>
      </c>
      <c r="G704" s="1647">
        <v>22073</v>
      </c>
      <c r="H704" s="1644" t="s">
        <v>3797</v>
      </c>
      <c r="I704" s="1648"/>
      <c r="J704" s="1644" t="s">
        <v>38</v>
      </c>
      <c r="K704" s="1644" t="s">
        <v>2806</v>
      </c>
      <c r="L704" s="1645" t="s">
        <v>1733</v>
      </c>
      <c r="M704" s="1645" t="s">
        <v>1733</v>
      </c>
      <c r="N704" s="1645"/>
      <c r="O704" s="1645" t="s">
        <v>1743</v>
      </c>
      <c r="P704" s="1649"/>
      <c r="Q704" s="1645" t="s">
        <v>3800</v>
      </c>
      <c r="R704" s="1644"/>
      <c r="S704" s="1644"/>
      <c r="T704" s="1644"/>
      <c r="U704" s="1644" t="s">
        <v>3802</v>
      </c>
      <c r="V704" s="1644"/>
      <c r="W704" s="1644" t="s">
        <v>936</v>
      </c>
      <c r="X704" s="1644" t="s">
        <v>3759</v>
      </c>
      <c r="Y704" s="1647">
        <v>35782</v>
      </c>
      <c r="Z704" s="1647">
        <v>36147</v>
      </c>
      <c r="AA704" s="1650">
        <f t="shared" ca="1" si="40"/>
        <v>-4.333333333333333</v>
      </c>
      <c r="AB704" s="2444" t="e">
        <v>#REF!</v>
      </c>
      <c r="AC704" s="2445"/>
      <c r="AD704" s="2438"/>
    </row>
    <row r="705" spans="1:30" ht="15.75" customHeight="1">
      <c r="A705" s="1644">
        <f t="shared" si="29"/>
        <v>151</v>
      </c>
      <c r="B705" s="1645" t="s">
        <v>2937</v>
      </c>
      <c r="C705" s="1644" t="s">
        <v>1578</v>
      </c>
      <c r="D705" s="1645" t="s">
        <v>545</v>
      </c>
      <c r="E705" s="1646" t="s">
        <v>2798</v>
      </c>
      <c r="F705" s="1644">
        <f t="shared" si="37"/>
        <v>1982</v>
      </c>
      <c r="G705" s="1647">
        <v>29976</v>
      </c>
      <c r="H705" s="1644" t="s">
        <v>3636</v>
      </c>
      <c r="I705" s="1648"/>
      <c r="J705" s="1644" t="s">
        <v>38</v>
      </c>
      <c r="K705" s="1644">
        <v>0</v>
      </c>
      <c r="L705" s="1645" t="s">
        <v>1733</v>
      </c>
      <c r="M705" s="1645" t="s">
        <v>1743</v>
      </c>
      <c r="N705" s="1645"/>
      <c r="O705" s="1645" t="s">
        <v>3645</v>
      </c>
      <c r="P705" s="1649">
        <v>44075</v>
      </c>
      <c r="Q705" s="1645" t="s">
        <v>3693</v>
      </c>
      <c r="R705" s="1647" t="s">
        <v>4831</v>
      </c>
      <c r="S705" s="1644" t="s">
        <v>3696</v>
      </c>
      <c r="T705" s="1644" t="s">
        <v>936</v>
      </c>
      <c r="U705" s="1644"/>
      <c r="V705" s="1644"/>
      <c r="W705" s="1644" t="s">
        <v>936</v>
      </c>
      <c r="X705" s="1644"/>
      <c r="Y705" s="1647">
        <v>37616</v>
      </c>
      <c r="Z705" s="1647">
        <v>37981</v>
      </c>
      <c r="AA705" s="1650">
        <f t="shared" ca="1" si="40"/>
        <v>12.25</v>
      </c>
      <c r="AB705" s="2444" t="e">
        <v>#REF!</v>
      </c>
      <c r="AC705" s="2445"/>
      <c r="AD705" s="2438"/>
    </row>
    <row r="706" spans="1:30" ht="15.75" customHeight="1">
      <c r="A706" s="1644">
        <f t="shared" si="29"/>
        <v>152</v>
      </c>
      <c r="B706" s="1645" t="s">
        <v>4832</v>
      </c>
      <c r="C706" s="1644" t="s">
        <v>1578</v>
      </c>
      <c r="D706" s="1645" t="s">
        <v>545</v>
      </c>
      <c r="E706" s="1644" t="s">
        <v>2797</v>
      </c>
      <c r="F706" s="1644">
        <f t="shared" si="37"/>
        <v>1983</v>
      </c>
      <c r="G706" s="1647">
        <v>30460</v>
      </c>
      <c r="H706" s="1644" t="s">
        <v>3636</v>
      </c>
      <c r="I706" s="1648"/>
      <c r="J706" s="1644" t="s">
        <v>37</v>
      </c>
      <c r="K706" s="1644">
        <v>0</v>
      </c>
      <c r="L706" s="1645" t="s">
        <v>1733</v>
      </c>
      <c r="M706" s="1645" t="s">
        <v>1743</v>
      </c>
      <c r="N706" s="1645"/>
      <c r="O706" s="1645" t="s">
        <v>3645</v>
      </c>
      <c r="P706" s="1649"/>
      <c r="Q706" s="1645" t="s">
        <v>3693</v>
      </c>
      <c r="R706" s="1647" t="s">
        <v>3639</v>
      </c>
      <c r="S706" s="1644"/>
      <c r="T706" s="1644" t="s">
        <v>936</v>
      </c>
      <c r="U706" s="1644" t="s">
        <v>3711</v>
      </c>
      <c r="V706" s="1644"/>
      <c r="W706" s="1644" t="s">
        <v>3687</v>
      </c>
      <c r="X706" s="1644"/>
      <c r="Y706" s="1647"/>
      <c r="Z706" s="1647"/>
      <c r="AA706" s="1650">
        <f t="shared" ca="1" si="40"/>
        <v>18.583333333333332</v>
      </c>
      <c r="AB706" s="2444" t="s">
        <v>3629</v>
      </c>
      <c r="AC706" s="2445"/>
      <c r="AD706" s="2438"/>
    </row>
    <row r="707" spans="1:30" ht="15.75" customHeight="1">
      <c r="A707" s="1644">
        <f t="shared" si="29"/>
        <v>153</v>
      </c>
      <c r="B707" s="1645" t="s">
        <v>4833</v>
      </c>
      <c r="C707" s="1644" t="s">
        <v>1578</v>
      </c>
      <c r="D707" s="1645" t="s">
        <v>545</v>
      </c>
      <c r="E707" s="1646" t="s">
        <v>2797</v>
      </c>
      <c r="F707" s="1644">
        <f t="shared" si="37"/>
        <v>1987</v>
      </c>
      <c r="G707" s="1647">
        <v>31804</v>
      </c>
      <c r="H707" s="1644" t="s">
        <v>3636</v>
      </c>
      <c r="I707" s="1648"/>
      <c r="J707" s="1644" t="s">
        <v>38</v>
      </c>
      <c r="K707" s="1644">
        <v>0</v>
      </c>
      <c r="L707" s="1645" t="s">
        <v>1733</v>
      </c>
      <c r="M707" s="1645" t="s">
        <v>1743</v>
      </c>
      <c r="N707" s="1645"/>
      <c r="O707" s="1645" t="s">
        <v>3645</v>
      </c>
      <c r="P707" s="1649"/>
      <c r="Q707" s="1645"/>
      <c r="R707" s="1647" t="s">
        <v>3999</v>
      </c>
      <c r="S707" s="1644"/>
      <c r="T707" s="1644" t="s">
        <v>936</v>
      </c>
      <c r="U707" s="1644" t="s">
        <v>3711</v>
      </c>
      <c r="V707" s="1644"/>
      <c r="W707" s="1644" t="s">
        <v>3687</v>
      </c>
      <c r="X707" s="1644"/>
      <c r="Y707" s="1647"/>
      <c r="Z707" s="1647" t="s">
        <v>936</v>
      </c>
      <c r="AA707" s="1650">
        <f t="shared" ca="1" si="40"/>
        <v>22.25</v>
      </c>
      <c r="AB707" s="2444" t="s">
        <v>3629</v>
      </c>
      <c r="AC707" s="2445"/>
      <c r="AD707" s="2438"/>
    </row>
    <row r="708" spans="1:30" ht="15.75" customHeight="1">
      <c r="A708" s="1644">
        <f t="shared" si="29"/>
        <v>154</v>
      </c>
      <c r="B708" s="1645" t="s">
        <v>2938</v>
      </c>
      <c r="C708" s="1644" t="s">
        <v>1578</v>
      </c>
      <c r="D708" s="1645" t="s">
        <v>545</v>
      </c>
      <c r="E708" s="1644" t="s">
        <v>2797</v>
      </c>
      <c r="F708" s="1644">
        <f t="shared" si="37"/>
        <v>1983</v>
      </c>
      <c r="G708" s="1647">
        <v>30442</v>
      </c>
      <c r="H708" s="1644" t="s">
        <v>3636</v>
      </c>
      <c r="I708" s="1648"/>
      <c r="J708" s="1644" t="s">
        <v>38</v>
      </c>
      <c r="K708" s="1644">
        <v>0</v>
      </c>
      <c r="L708" s="1645" t="s">
        <v>1733</v>
      </c>
      <c r="M708" s="1645" t="s">
        <v>4834</v>
      </c>
      <c r="N708" s="1645"/>
      <c r="O708" s="1645" t="s">
        <v>1743</v>
      </c>
      <c r="P708" s="1649"/>
      <c r="Q708" s="1645" t="s">
        <v>3693</v>
      </c>
      <c r="R708" s="1644"/>
      <c r="S708" s="1644" t="s">
        <v>3696</v>
      </c>
      <c r="T708" s="1644">
        <v>2018</v>
      </c>
      <c r="U708" s="1644" t="s">
        <v>3711</v>
      </c>
      <c r="V708" s="1644"/>
      <c r="W708" s="1650" t="s">
        <v>3653</v>
      </c>
      <c r="X708" s="1644" t="s">
        <v>3707</v>
      </c>
      <c r="Y708" s="1647">
        <v>42050</v>
      </c>
      <c r="Z708" s="1647">
        <v>42415</v>
      </c>
      <c r="AA708" s="1650">
        <f t="shared" ca="1" si="40"/>
        <v>18.583333333333332</v>
      </c>
      <c r="AB708" s="2444" t="e">
        <v>#REF!</v>
      </c>
      <c r="AC708" s="2446" t="e">
        <f>+#REF!-#REF!</f>
        <v>#REF!</v>
      </c>
      <c r="AD708" s="2438"/>
    </row>
    <row r="709" spans="1:30" ht="15.75" customHeight="1">
      <c r="A709" s="1644">
        <f t="shared" si="29"/>
        <v>155</v>
      </c>
      <c r="B709" s="1645" t="s">
        <v>2903</v>
      </c>
      <c r="C709" s="1644" t="s">
        <v>1578</v>
      </c>
      <c r="D709" s="1645" t="s">
        <v>545</v>
      </c>
      <c r="E709" s="1644" t="s">
        <v>2797</v>
      </c>
      <c r="F709" s="1644">
        <f t="shared" si="37"/>
        <v>1981</v>
      </c>
      <c r="G709" s="1647">
        <v>29944</v>
      </c>
      <c r="H709" s="1644" t="s">
        <v>3628</v>
      </c>
      <c r="I709" s="1648"/>
      <c r="J709" s="1644" t="s">
        <v>38</v>
      </c>
      <c r="K709" s="1644">
        <v>0</v>
      </c>
      <c r="L709" s="1645" t="s">
        <v>3954</v>
      </c>
      <c r="M709" s="1645" t="s">
        <v>1743</v>
      </c>
      <c r="N709" s="1645"/>
      <c r="O709" s="1645" t="s">
        <v>1743</v>
      </c>
      <c r="P709" s="1649"/>
      <c r="Q709" s="1645" t="s">
        <v>3693</v>
      </c>
      <c r="R709" s="1644" t="s">
        <v>3904</v>
      </c>
      <c r="S709" s="1644" t="s">
        <v>3696</v>
      </c>
      <c r="T709" s="1644" t="s">
        <v>936</v>
      </c>
      <c r="U709" s="1644" t="s">
        <v>3631</v>
      </c>
      <c r="V709" s="1644"/>
      <c r="W709" s="1650" t="s">
        <v>3653</v>
      </c>
      <c r="X709" s="1644"/>
      <c r="Y709" s="1647">
        <v>41981</v>
      </c>
      <c r="Z709" s="1647">
        <v>42346</v>
      </c>
      <c r="AA709" s="1650">
        <f t="shared" ca="1" si="40"/>
        <v>17.166666666666668</v>
      </c>
      <c r="AB709" s="2444" t="s">
        <v>3629</v>
      </c>
      <c r="AC709" s="2445"/>
      <c r="AD709" s="2438"/>
    </row>
    <row r="710" spans="1:30" ht="15.75" customHeight="1">
      <c r="A710" s="1644">
        <f t="shared" si="29"/>
        <v>156</v>
      </c>
      <c r="B710" s="1645" t="s">
        <v>2905</v>
      </c>
      <c r="C710" s="1644" t="s">
        <v>1578</v>
      </c>
      <c r="D710" s="1645" t="s">
        <v>545</v>
      </c>
      <c r="E710" s="1646" t="s">
        <v>2797</v>
      </c>
      <c r="F710" s="1644">
        <f t="shared" si="37"/>
        <v>1987</v>
      </c>
      <c r="G710" s="1647">
        <v>32051</v>
      </c>
      <c r="H710" s="1644" t="s">
        <v>3636</v>
      </c>
      <c r="I710" s="1648"/>
      <c r="J710" s="1644" t="s">
        <v>37</v>
      </c>
      <c r="K710" s="1644">
        <v>0</v>
      </c>
      <c r="L710" s="1645" t="s">
        <v>1733</v>
      </c>
      <c r="M710" s="1645" t="s">
        <v>4835</v>
      </c>
      <c r="N710" s="1645"/>
      <c r="O710" s="1645" t="s">
        <v>3645</v>
      </c>
      <c r="P710" s="1649"/>
      <c r="Q710" s="1645" t="s">
        <v>3693</v>
      </c>
      <c r="R710" s="1644"/>
      <c r="S710" s="1644" t="s">
        <v>3743</v>
      </c>
      <c r="T710" s="1644" t="s">
        <v>936</v>
      </c>
      <c r="U710" s="1644" t="s">
        <v>3711</v>
      </c>
      <c r="V710" s="1644"/>
      <c r="W710" s="1644">
        <v>0</v>
      </c>
      <c r="X710" s="1644"/>
      <c r="Y710" s="1647">
        <v>40371</v>
      </c>
      <c r="Z710" s="1647">
        <v>40736</v>
      </c>
      <c r="AA710" s="1650">
        <f t="shared" ca="1" si="40"/>
        <v>22.916666666666668</v>
      </c>
      <c r="AB710" s="2444" t="s">
        <v>3629</v>
      </c>
      <c r="AC710" s="2445"/>
      <c r="AD710" s="2438"/>
    </row>
    <row r="711" spans="1:30" ht="15.75" customHeight="1">
      <c r="A711" s="1644">
        <f t="shared" si="29"/>
        <v>157</v>
      </c>
      <c r="B711" s="1645" t="s">
        <v>4836</v>
      </c>
      <c r="C711" s="1644" t="s">
        <v>1578</v>
      </c>
      <c r="D711" s="1645" t="s">
        <v>545</v>
      </c>
      <c r="E711" s="1646" t="s">
        <v>2797</v>
      </c>
      <c r="F711" s="1644">
        <f t="shared" si="37"/>
        <v>1975</v>
      </c>
      <c r="G711" s="1647">
        <v>27531</v>
      </c>
      <c r="H711" s="1644" t="s">
        <v>3628</v>
      </c>
      <c r="I711" s="1648"/>
      <c r="J711" s="1644" t="s">
        <v>38</v>
      </c>
      <c r="K711" s="1644">
        <v>0</v>
      </c>
      <c r="L711" s="1645" t="s">
        <v>1733</v>
      </c>
      <c r="M711" s="1645" t="s">
        <v>4837</v>
      </c>
      <c r="N711" s="1645"/>
      <c r="O711" s="1645" t="s">
        <v>4837</v>
      </c>
      <c r="P711" s="1649"/>
      <c r="Q711" s="1645" t="s">
        <v>3693</v>
      </c>
      <c r="R711" s="1647" t="s">
        <v>4838</v>
      </c>
      <c r="S711" s="1644" t="s">
        <v>3696</v>
      </c>
      <c r="T711" s="1644" t="s">
        <v>936</v>
      </c>
      <c r="U711" s="1644" t="s">
        <v>3631</v>
      </c>
      <c r="V711" s="1644"/>
      <c r="W711" s="1650" t="s">
        <v>3653</v>
      </c>
      <c r="X711" s="1644" t="s">
        <v>3633</v>
      </c>
      <c r="Y711" s="1647">
        <v>38351</v>
      </c>
      <c r="Z711" s="1647">
        <v>38716</v>
      </c>
      <c r="AA711" s="1650">
        <f t="shared" ca="1" si="40"/>
        <v>10.583333333333334</v>
      </c>
      <c r="AB711" s="2444" t="s">
        <v>3629</v>
      </c>
      <c r="AC711" s="2445"/>
      <c r="AD711" s="2438"/>
    </row>
    <row r="712" spans="1:30" ht="15.75" customHeight="1">
      <c r="A712" s="1644">
        <f t="shared" si="29"/>
        <v>158</v>
      </c>
      <c r="B712" s="1645" t="s">
        <v>2945</v>
      </c>
      <c r="C712" s="1644" t="s">
        <v>1578</v>
      </c>
      <c r="D712" s="1645" t="s">
        <v>545</v>
      </c>
      <c r="E712" s="1646" t="s">
        <v>2798</v>
      </c>
      <c r="F712" s="1644">
        <f t="shared" si="37"/>
        <v>1976</v>
      </c>
      <c r="G712" s="1647">
        <v>28063</v>
      </c>
      <c r="H712" s="1644" t="s">
        <v>3797</v>
      </c>
      <c r="I712" s="1648"/>
      <c r="J712" s="1644" t="s">
        <v>38</v>
      </c>
      <c r="K712" s="1644" t="s">
        <v>3798</v>
      </c>
      <c r="L712" s="1645" t="s">
        <v>1733</v>
      </c>
      <c r="M712" s="1645" t="s">
        <v>4839</v>
      </c>
      <c r="N712" s="1645"/>
      <c r="O712" s="1645" t="s">
        <v>4840</v>
      </c>
      <c r="P712" s="1649"/>
      <c r="Q712" s="1645" t="s">
        <v>3757</v>
      </c>
      <c r="R712" s="1647" t="s">
        <v>4051</v>
      </c>
      <c r="S712" s="1644"/>
      <c r="T712" s="1644" t="s">
        <v>936</v>
      </c>
      <c r="U712" s="1644"/>
      <c r="V712" s="1644"/>
      <c r="W712" s="1644">
        <v>0</v>
      </c>
      <c r="X712" s="1644" t="s">
        <v>3633</v>
      </c>
      <c r="Y712" s="1647">
        <v>38148</v>
      </c>
      <c r="Z712" s="1647">
        <v>38513</v>
      </c>
      <c r="AA712" s="1650">
        <f t="shared" ca="1" si="40"/>
        <v>7</v>
      </c>
      <c r="AB712" s="2444" t="s">
        <v>3629</v>
      </c>
      <c r="AC712" s="2445"/>
      <c r="AD712" s="2438"/>
    </row>
    <row r="713" spans="1:30" ht="15.75" hidden="1" customHeight="1">
      <c r="A713" s="1644">
        <f t="shared" si="29"/>
        <v>158</v>
      </c>
      <c r="B713" s="1645" t="s">
        <v>4841</v>
      </c>
      <c r="C713" s="1645" t="s">
        <v>1578</v>
      </c>
      <c r="D713" s="1645" t="s">
        <v>4842</v>
      </c>
      <c r="E713" s="1644" t="s">
        <v>2798</v>
      </c>
      <c r="F713" s="1645">
        <f t="shared" si="37"/>
        <v>1980</v>
      </c>
      <c r="G713" s="1647">
        <v>29257</v>
      </c>
      <c r="H713" s="1644" t="s">
        <v>3642</v>
      </c>
      <c r="I713" s="1648" t="s">
        <v>3629</v>
      </c>
      <c r="J713" s="1645" t="s">
        <v>37</v>
      </c>
      <c r="K713" s="1645"/>
      <c r="L713" s="1651" t="s">
        <v>4843</v>
      </c>
      <c r="M713" s="1645" t="s">
        <v>4843</v>
      </c>
      <c r="N713" s="1645"/>
      <c r="O713" s="1645">
        <v>0</v>
      </c>
      <c r="P713" s="1649"/>
      <c r="Q713" s="1645"/>
      <c r="R713" s="1647" t="s">
        <v>3667</v>
      </c>
      <c r="S713" s="1644"/>
      <c r="T713" s="1644"/>
      <c r="U713" s="1644"/>
      <c r="V713" s="1644" t="s">
        <v>3649</v>
      </c>
      <c r="W713" s="1644">
        <v>0</v>
      </c>
      <c r="X713" s="1644"/>
      <c r="Y713" s="1647"/>
      <c r="Z713" s="1647"/>
      <c r="AA713" s="1650">
        <f t="shared" ca="1" si="40"/>
        <v>10.333333333333334</v>
      </c>
      <c r="AB713" s="2444" t="e">
        <v>#REF!</v>
      </c>
      <c r="AC713" s="2445"/>
      <c r="AD713" s="2438"/>
    </row>
    <row r="714" spans="1:30" ht="15.75" hidden="1" customHeight="1">
      <c r="A714" s="1644">
        <f t="shared" si="29"/>
        <v>158</v>
      </c>
      <c r="B714" s="1645" t="s">
        <v>4844</v>
      </c>
      <c r="C714" s="1645" t="s">
        <v>1578</v>
      </c>
      <c r="D714" s="1645" t="s">
        <v>4842</v>
      </c>
      <c r="E714" s="1644" t="s">
        <v>2798</v>
      </c>
      <c r="F714" s="1645">
        <f t="shared" si="37"/>
        <v>1992</v>
      </c>
      <c r="G714" s="1647">
        <v>33927</v>
      </c>
      <c r="H714" s="1644" t="s">
        <v>3642</v>
      </c>
      <c r="I714" s="1648" t="s">
        <v>3629</v>
      </c>
      <c r="J714" s="1645" t="s">
        <v>37</v>
      </c>
      <c r="K714" s="1645"/>
      <c r="L714" s="1645" t="s">
        <v>506</v>
      </c>
      <c r="M714" s="1645" t="s">
        <v>506</v>
      </c>
      <c r="N714" s="1645"/>
      <c r="O714" s="1645">
        <v>0</v>
      </c>
      <c r="P714" s="1649"/>
      <c r="Q714" s="1645"/>
      <c r="R714" s="1647" t="s">
        <v>3667</v>
      </c>
      <c r="S714" s="1644" t="s">
        <v>3743</v>
      </c>
      <c r="T714" s="1644" t="s">
        <v>936</v>
      </c>
      <c r="U714" s="1644"/>
      <c r="V714" s="1644" t="s">
        <v>3649</v>
      </c>
      <c r="W714" s="1644" t="s">
        <v>3679</v>
      </c>
      <c r="X714" s="1644"/>
      <c r="Y714" s="1647">
        <v>42048</v>
      </c>
      <c r="Z714" s="1647">
        <v>42413</v>
      </c>
      <c r="AA714" s="1650">
        <f t="shared" ca="1" si="40"/>
        <v>23.083333333333332</v>
      </c>
      <c r="AB714" s="2444" t="e">
        <v>#REF!</v>
      </c>
      <c r="AC714" s="2445"/>
      <c r="AD714" s="2438"/>
    </row>
    <row r="715" spans="1:30" ht="15.75" hidden="1" customHeight="1">
      <c r="A715" s="1644">
        <f t="shared" si="29"/>
        <v>158</v>
      </c>
      <c r="B715" s="1645" t="s">
        <v>4845</v>
      </c>
      <c r="C715" s="1645" t="s">
        <v>1578</v>
      </c>
      <c r="D715" s="1645" t="s">
        <v>4842</v>
      </c>
      <c r="E715" s="1646" t="s">
        <v>2797</v>
      </c>
      <c r="F715" s="1645">
        <f t="shared" si="37"/>
        <v>1979</v>
      </c>
      <c r="G715" s="1647">
        <v>28867</v>
      </c>
      <c r="H715" s="1644" t="s">
        <v>3642</v>
      </c>
      <c r="I715" s="1648" t="s">
        <v>3629</v>
      </c>
      <c r="J715" s="1645" t="s">
        <v>38</v>
      </c>
      <c r="K715" s="1645">
        <v>0</v>
      </c>
      <c r="L715" s="1645" t="s">
        <v>1701</v>
      </c>
      <c r="M715" s="1645" t="s">
        <v>4846</v>
      </c>
      <c r="N715" s="1645"/>
      <c r="O715" s="1645" t="s">
        <v>3645</v>
      </c>
      <c r="P715" s="1653" t="s">
        <v>3718</v>
      </c>
      <c r="Q715" s="1645"/>
      <c r="R715" s="1644"/>
      <c r="S715" s="1644"/>
      <c r="T715" s="1644"/>
      <c r="U715" s="1644"/>
      <c r="V715" s="1644"/>
      <c r="W715" s="1650" t="s">
        <v>4096</v>
      </c>
      <c r="X715" s="1644" t="s">
        <v>3633</v>
      </c>
      <c r="Y715" s="1647">
        <v>40156</v>
      </c>
      <c r="Z715" s="1647">
        <v>40521</v>
      </c>
      <c r="AA715" s="1650">
        <f t="shared" ca="1" si="40"/>
        <v>14.25</v>
      </c>
      <c r="AB715" s="2444" t="s">
        <v>3629</v>
      </c>
      <c r="AC715" s="2446" t="e">
        <f t="shared" ref="AC715:AC716" si="41">+#REF!-#REF!</f>
        <v>#REF!</v>
      </c>
      <c r="AD715" s="2438"/>
    </row>
    <row r="716" spans="1:30" ht="15.75" hidden="1" customHeight="1">
      <c r="A716" s="1644">
        <f t="shared" si="29"/>
        <v>158</v>
      </c>
      <c r="B716" s="1645" t="s">
        <v>2620</v>
      </c>
      <c r="C716" s="1645" t="s">
        <v>1578</v>
      </c>
      <c r="D716" s="1645" t="s">
        <v>4842</v>
      </c>
      <c r="E716" s="1646" t="s">
        <v>2797</v>
      </c>
      <c r="F716" s="1645">
        <f t="shared" si="37"/>
        <v>1971</v>
      </c>
      <c r="G716" s="1647">
        <v>26236</v>
      </c>
      <c r="H716" s="1644" t="s">
        <v>3636</v>
      </c>
      <c r="I716" s="1648" t="s">
        <v>3629</v>
      </c>
      <c r="J716" s="1645" t="s">
        <v>38</v>
      </c>
      <c r="K716" s="1645">
        <v>0</v>
      </c>
      <c r="L716" s="1645" t="s">
        <v>1701</v>
      </c>
      <c r="M716" s="1645" t="s">
        <v>1701</v>
      </c>
      <c r="N716" s="1645"/>
      <c r="O716" s="1645" t="s">
        <v>4847</v>
      </c>
      <c r="P716" s="1649"/>
      <c r="Q716" s="1645" t="s">
        <v>3800</v>
      </c>
      <c r="R716" s="1644" t="s">
        <v>3710</v>
      </c>
      <c r="S716" s="1644"/>
      <c r="T716" s="1644" t="s">
        <v>936</v>
      </c>
      <c r="U716" s="1644" t="s">
        <v>3631</v>
      </c>
      <c r="V716" s="1644"/>
      <c r="W716" s="1644" t="s">
        <v>4669</v>
      </c>
      <c r="X716" s="1644" t="s">
        <v>3633</v>
      </c>
      <c r="Y716" s="1647">
        <v>34817</v>
      </c>
      <c r="Z716" s="1647">
        <v>35183</v>
      </c>
      <c r="AA716" s="1650">
        <f t="shared" ca="1" si="40"/>
        <v>7</v>
      </c>
      <c r="AB716" s="2444" t="s">
        <v>3629</v>
      </c>
      <c r="AC716" s="2446" t="e">
        <f t="shared" si="41"/>
        <v>#REF!</v>
      </c>
      <c r="AD716" s="2438"/>
    </row>
    <row r="717" spans="1:30" ht="15.75" hidden="1" customHeight="1">
      <c r="A717" s="1644">
        <f t="shared" si="29"/>
        <v>158</v>
      </c>
      <c r="B717" s="1645" t="s">
        <v>4848</v>
      </c>
      <c r="C717" s="1645" t="s">
        <v>1578</v>
      </c>
      <c r="D717" s="1645" t="s">
        <v>4842</v>
      </c>
      <c r="E717" s="1644" t="s">
        <v>2798</v>
      </c>
      <c r="F717" s="1645">
        <f t="shared" si="37"/>
        <v>1977</v>
      </c>
      <c r="G717" s="1647">
        <v>28436</v>
      </c>
      <c r="H717" s="1644" t="s">
        <v>3642</v>
      </c>
      <c r="I717" s="1648" t="s">
        <v>3629</v>
      </c>
      <c r="J717" s="1645" t="s">
        <v>37</v>
      </c>
      <c r="K717" s="1645">
        <v>0</v>
      </c>
      <c r="L717" s="1645" t="s">
        <v>2682</v>
      </c>
      <c r="M717" s="1645" t="s">
        <v>2682</v>
      </c>
      <c r="N717" s="1645"/>
      <c r="O717" s="1645" t="s">
        <v>3645</v>
      </c>
      <c r="P717" s="1649"/>
      <c r="Q717" s="1645"/>
      <c r="R717" s="1647" t="s">
        <v>3898</v>
      </c>
      <c r="S717" s="1644"/>
      <c r="T717" s="1644" t="s">
        <v>936</v>
      </c>
      <c r="U717" s="1644"/>
      <c r="V717" s="1644"/>
      <c r="W717" s="1650" t="s">
        <v>3653</v>
      </c>
      <c r="X717" s="1644"/>
      <c r="Y717" s="1647">
        <v>37760</v>
      </c>
      <c r="Z717" s="1647">
        <v>38126</v>
      </c>
      <c r="AA717" s="1650">
        <f t="shared" ca="1" si="40"/>
        <v>8.0833333333333339</v>
      </c>
      <c r="AB717" s="2444" t="s">
        <v>3629</v>
      </c>
      <c r="AC717" s="2445"/>
      <c r="AD717" s="2438"/>
    </row>
    <row r="718" spans="1:30" ht="15.75" hidden="1" customHeight="1">
      <c r="A718" s="1644">
        <f t="shared" si="29"/>
        <v>158</v>
      </c>
      <c r="B718" s="1645" t="s">
        <v>4849</v>
      </c>
      <c r="C718" s="1645" t="s">
        <v>1578</v>
      </c>
      <c r="D718" s="1645" t="s">
        <v>4842</v>
      </c>
      <c r="E718" s="1646" t="s">
        <v>2798</v>
      </c>
      <c r="F718" s="1645">
        <f t="shared" si="37"/>
        <v>1972</v>
      </c>
      <c r="G718" s="1647">
        <v>26523</v>
      </c>
      <c r="H718" s="1644" t="s">
        <v>3642</v>
      </c>
      <c r="I718" s="1648" t="s">
        <v>3629</v>
      </c>
      <c r="J718" s="1645" t="s">
        <v>37</v>
      </c>
      <c r="K718" s="1645">
        <v>0</v>
      </c>
      <c r="L718" s="1645" t="s">
        <v>3741</v>
      </c>
      <c r="M718" s="1645" t="s">
        <v>506</v>
      </c>
      <c r="N718" s="1645"/>
      <c r="O718" s="1645" t="s">
        <v>3645</v>
      </c>
      <c r="P718" s="1649"/>
      <c r="Q718" s="1645"/>
      <c r="R718" s="1644" t="s">
        <v>3699</v>
      </c>
      <c r="S718" s="1644" t="s">
        <v>3743</v>
      </c>
      <c r="T718" s="1644"/>
      <c r="U718" s="1644"/>
      <c r="V718" s="1644" t="s">
        <v>3649</v>
      </c>
      <c r="W718" s="1650" t="s">
        <v>3653</v>
      </c>
      <c r="X718" s="1644"/>
      <c r="Y718" s="1647">
        <v>38502</v>
      </c>
      <c r="Z718" s="1647">
        <v>38867</v>
      </c>
      <c r="AA718" s="1650">
        <f t="shared" ca="1" si="40"/>
        <v>2.8333333333333335</v>
      </c>
      <c r="AB718" s="2444" t="s">
        <v>3629</v>
      </c>
      <c r="AC718" s="2445"/>
      <c r="AD718" s="2438"/>
    </row>
    <row r="719" spans="1:30" ht="15.75" hidden="1" customHeight="1">
      <c r="A719" s="1644">
        <f t="shared" si="29"/>
        <v>158</v>
      </c>
      <c r="B719" s="1645" t="s">
        <v>4850</v>
      </c>
      <c r="C719" s="1645" t="s">
        <v>1578</v>
      </c>
      <c r="D719" s="1645" t="s">
        <v>4842</v>
      </c>
      <c r="E719" s="1646" t="s">
        <v>2798</v>
      </c>
      <c r="F719" s="1645">
        <f t="shared" si="37"/>
        <v>1987</v>
      </c>
      <c r="G719" s="1647">
        <v>31953</v>
      </c>
      <c r="H719" s="1644" t="s">
        <v>4626</v>
      </c>
      <c r="I719" s="1648" t="s">
        <v>3629</v>
      </c>
      <c r="J719" s="1645" t="s">
        <v>201</v>
      </c>
      <c r="K719" s="1645">
        <v>0</v>
      </c>
      <c r="L719" s="1645" t="s">
        <v>3367</v>
      </c>
      <c r="M719" s="1645">
        <v>0</v>
      </c>
      <c r="N719" s="1645"/>
      <c r="O719" s="1645" t="s">
        <v>3645</v>
      </c>
      <c r="P719" s="1649"/>
      <c r="Q719" s="1645"/>
      <c r="R719" s="1647" t="s">
        <v>3699</v>
      </c>
      <c r="S719" s="1644" t="s">
        <v>206</v>
      </c>
      <c r="T719" s="1644"/>
      <c r="U719" s="1644" t="s">
        <v>4627</v>
      </c>
      <c r="V719" s="1644"/>
      <c r="W719" s="1644">
        <v>0</v>
      </c>
      <c r="X719" s="1644"/>
      <c r="Y719" s="1647">
        <v>37741</v>
      </c>
      <c r="Z719" s="1647">
        <v>38107</v>
      </c>
      <c r="AA719" s="1650">
        <f t="shared" ca="1" si="40"/>
        <v>17.666666666666668</v>
      </c>
      <c r="AB719" s="2444" t="s">
        <v>3629</v>
      </c>
      <c r="AC719" s="2445"/>
      <c r="AD719" s="2438"/>
    </row>
    <row r="720" spans="1:30" ht="15.75" customHeight="1">
      <c r="A720" s="1644">
        <f t="shared" si="29"/>
        <v>159</v>
      </c>
      <c r="B720" s="1645" t="s">
        <v>4851</v>
      </c>
      <c r="C720" s="1644" t="s">
        <v>1578</v>
      </c>
      <c r="D720" s="1645" t="s">
        <v>4522</v>
      </c>
      <c r="E720" s="1646" t="s">
        <v>2798</v>
      </c>
      <c r="F720" s="1644">
        <f t="shared" si="37"/>
        <v>1970</v>
      </c>
      <c r="G720" s="1647">
        <v>25594</v>
      </c>
      <c r="H720" s="1644" t="s">
        <v>3661</v>
      </c>
      <c r="I720" s="1648"/>
      <c r="J720" s="1644" t="s">
        <v>201</v>
      </c>
      <c r="K720" s="1644">
        <v>0</v>
      </c>
      <c r="L720" s="1645" t="s">
        <v>4704</v>
      </c>
      <c r="M720" s="1645">
        <v>0</v>
      </c>
      <c r="N720" s="1645"/>
      <c r="O720" s="1645" t="s">
        <v>3645</v>
      </c>
      <c r="P720" s="1649"/>
      <c r="Q720" s="1645"/>
      <c r="R720" s="1644" t="s">
        <v>4852</v>
      </c>
      <c r="S720" s="1644"/>
      <c r="T720" s="1644"/>
      <c r="U720" s="1644"/>
      <c r="V720" s="1644"/>
      <c r="W720" s="1650" t="s">
        <v>3646</v>
      </c>
      <c r="X720" s="1644"/>
      <c r="Y720" s="1647"/>
      <c r="Z720" s="1647"/>
      <c r="AA720" s="1650">
        <f t="shared" ca="1" si="40"/>
        <v>0.25</v>
      </c>
      <c r="AB720" s="2444" t="s">
        <v>3629</v>
      </c>
      <c r="AC720" s="2445"/>
      <c r="AD720" s="2438"/>
    </row>
    <row r="721" spans="1:30" ht="15.75" customHeight="1">
      <c r="A721" s="1644">
        <f t="shared" si="29"/>
        <v>160</v>
      </c>
      <c r="B721" s="1645" t="s">
        <v>4853</v>
      </c>
      <c r="C721" s="1644" t="s">
        <v>1578</v>
      </c>
      <c r="D721" s="1645" t="s">
        <v>4522</v>
      </c>
      <c r="E721" s="1646" t="s">
        <v>2798</v>
      </c>
      <c r="F721" s="1644">
        <f t="shared" si="37"/>
        <v>1979</v>
      </c>
      <c r="G721" s="1647">
        <v>29089</v>
      </c>
      <c r="H721" s="1644" t="s">
        <v>3642</v>
      </c>
      <c r="I721" s="1648"/>
      <c r="J721" s="1644" t="s">
        <v>37</v>
      </c>
      <c r="K721" s="1644">
        <v>0</v>
      </c>
      <c r="L721" s="1645" t="s">
        <v>3741</v>
      </c>
      <c r="M721" s="1645" t="s">
        <v>506</v>
      </c>
      <c r="N721" s="1655">
        <v>43707</v>
      </c>
      <c r="O721" s="1645" t="s">
        <v>3645</v>
      </c>
      <c r="P721" s="1649"/>
      <c r="Q721" s="1645"/>
      <c r="R721" s="1644"/>
      <c r="S721" s="1644"/>
      <c r="T721" s="1644"/>
      <c r="U721" s="1644"/>
      <c r="V721" s="1644" t="s">
        <v>3980</v>
      </c>
      <c r="W721" s="1650" t="s">
        <v>3653</v>
      </c>
      <c r="X721" s="1644"/>
      <c r="Y721" s="1647"/>
      <c r="Z721" s="1647"/>
      <c r="AA721" s="1650">
        <f t="shared" ca="1" si="40"/>
        <v>9.8333333333333339</v>
      </c>
      <c r="AB721" s="2444" t="s">
        <v>3629</v>
      </c>
      <c r="AC721" s="2445"/>
      <c r="AD721" s="2438"/>
    </row>
    <row r="722" spans="1:30" ht="15.75" customHeight="1">
      <c r="A722" s="1644">
        <f t="shared" si="29"/>
        <v>161</v>
      </c>
      <c r="B722" s="1645" t="s">
        <v>4854</v>
      </c>
      <c r="C722" s="1644" t="s">
        <v>1578</v>
      </c>
      <c r="D722" s="1645" t="s">
        <v>4522</v>
      </c>
      <c r="E722" s="1646" t="s">
        <v>2797</v>
      </c>
      <c r="F722" s="1644">
        <f t="shared" si="37"/>
        <v>1973</v>
      </c>
      <c r="G722" s="1647">
        <v>26932</v>
      </c>
      <c r="H722" s="1644" t="s">
        <v>3642</v>
      </c>
      <c r="I722" s="1648"/>
      <c r="J722" s="1644" t="s">
        <v>37</v>
      </c>
      <c r="K722" s="1644">
        <v>0</v>
      </c>
      <c r="L722" s="1645" t="s">
        <v>1701</v>
      </c>
      <c r="M722" s="1645" t="s">
        <v>4166</v>
      </c>
      <c r="N722" s="1645"/>
      <c r="O722" s="1645" t="s">
        <v>3645</v>
      </c>
      <c r="P722" s="1649"/>
      <c r="Q722" s="1645"/>
      <c r="R722" s="1644"/>
      <c r="S722" s="1644"/>
      <c r="T722" s="1644" t="s">
        <v>936</v>
      </c>
      <c r="U722" s="1644"/>
      <c r="V722" s="1644"/>
      <c r="W722" s="1650" t="s">
        <v>3653</v>
      </c>
      <c r="X722" s="1644"/>
      <c r="Y722" s="1647">
        <v>37590</v>
      </c>
      <c r="Z722" s="1647">
        <v>37955</v>
      </c>
      <c r="AA722" s="1650">
        <f t="shared" ca="1" si="40"/>
        <v>8.9166666666666661</v>
      </c>
      <c r="AB722" s="2444" t="s">
        <v>3629</v>
      </c>
      <c r="AC722" s="2445"/>
      <c r="AD722" s="2438"/>
    </row>
    <row r="723" spans="1:30" ht="15.75" customHeight="1">
      <c r="A723" s="1644">
        <f t="shared" si="29"/>
        <v>162</v>
      </c>
      <c r="B723" s="1645" t="s">
        <v>4855</v>
      </c>
      <c r="C723" s="1644" t="s">
        <v>1578</v>
      </c>
      <c r="D723" s="1645" t="s">
        <v>4522</v>
      </c>
      <c r="E723" s="1646" t="s">
        <v>2798</v>
      </c>
      <c r="F723" s="1644">
        <f t="shared" si="37"/>
        <v>1977</v>
      </c>
      <c r="G723" s="1647">
        <v>28259</v>
      </c>
      <c r="H723" s="1644" t="s">
        <v>3642</v>
      </c>
      <c r="I723" s="1648"/>
      <c r="J723" s="1644" t="s">
        <v>201</v>
      </c>
      <c r="K723" s="1644">
        <v>0</v>
      </c>
      <c r="L723" s="1645" t="s">
        <v>4057</v>
      </c>
      <c r="M723" s="1645">
        <v>0</v>
      </c>
      <c r="N723" s="1645"/>
      <c r="O723" s="1645" t="s">
        <v>3645</v>
      </c>
      <c r="P723" s="1649"/>
      <c r="Q723" s="1645"/>
      <c r="R723" s="1644" t="s">
        <v>3904</v>
      </c>
      <c r="S723" s="1644"/>
      <c r="T723" s="1644" t="s">
        <v>936</v>
      </c>
      <c r="U723" s="1644"/>
      <c r="V723" s="1644"/>
      <c r="W723" s="1650" t="s">
        <v>3653</v>
      </c>
      <c r="X723" s="1644"/>
      <c r="Y723" s="1647">
        <v>38233</v>
      </c>
      <c r="Z723" s="1647">
        <v>38598</v>
      </c>
      <c r="AA723" s="1650">
        <f t="shared" ca="1" si="40"/>
        <v>7.583333333333333</v>
      </c>
      <c r="AB723" s="2444" t="s">
        <v>3629</v>
      </c>
      <c r="AC723" s="2445"/>
      <c r="AD723" s="2438"/>
    </row>
    <row r="724" spans="1:30" ht="15.75" customHeight="1">
      <c r="A724" s="1644">
        <f t="shared" si="29"/>
        <v>163</v>
      </c>
      <c r="B724" s="1667" t="s">
        <v>2959</v>
      </c>
      <c r="C724" s="1668" t="s">
        <v>1578</v>
      </c>
      <c r="D724" s="1667" t="s">
        <v>4522</v>
      </c>
      <c r="E724" s="1668" t="s">
        <v>2797</v>
      </c>
      <c r="F724" s="1668">
        <v>1974</v>
      </c>
      <c r="G724" s="1669">
        <v>27238</v>
      </c>
      <c r="H724" s="1670" t="s">
        <v>3797</v>
      </c>
      <c r="I724" s="1648"/>
      <c r="J724" s="1668" t="s">
        <v>38</v>
      </c>
      <c r="K724" s="1668" t="s">
        <v>3798</v>
      </c>
      <c r="L724" s="1645" t="s">
        <v>1733</v>
      </c>
      <c r="M724" s="1645" t="s">
        <v>1733</v>
      </c>
      <c r="N724" s="1645"/>
      <c r="O724" s="1645" t="s">
        <v>1733</v>
      </c>
      <c r="P724" s="1649"/>
      <c r="Q724" s="1645"/>
      <c r="R724" s="1667"/>
      <c r="S724" s="1647" t="s">
        <v>4856</v>
      </c>
      <c r="T724" s="1667" t="s">
        <v>936</v>
      </c>
      <c r="U724" s="1667"/>
      <c r="V724" s="1644" t="s">
        <v>3980</v>
      </c>
      <c r="W724" s="1667"/>
      <c r="X724" s="1644" t="s">
        <v>3759</v>
      </c>
      <c r="Y724" s="1645"/>
      <c r="Z724" s="1647" t="s">
        <v>936</v>
      </c>
      <c r="AA724" s="1667"/>
      <c r="AB724" s="2444" t="s">
        <v>3629</v>
      </c>
      <c r="AC724" s="2445"/>
      <c r="AD724" s="2438"/>
    </row>
    <row r="725" spans="1:30" ht="15.75" customHeight="1">
      <c r="A725" s="1644">
        <f t="shared" si="29"/>
        <v>164</v>
      </c>
      <c r="B725" s="1645" t="s">
        <v>4857</v>
      </c>
      <c r="C725" s="1644" t="s">
        <v>1578</v>
      </c>
      <c r="D725" s="1645" t="s">
        <v>4522</v>
      </c>
      <c r="E725" s="1644" t="s">
        <v>2798</v>
      </c>
      <c r="F725" s="1644">
        <f t="shared" ref="F725:F733" si="42">YEAR(G725)</f>
        <v>1980</v>
      </c>
      <c r="G725" s="1647">
        <v>29484</v>
      </c>
      <c r="H725" s="1644" t="s">
        <v>3642</v>
      </c>
      <c r="I725" s="1648"/>
      <c r="J725" s="1644" t="s">
        <v>37</v>
      </c>
      <c r="K725" s="1644">
        <v>0</v>
      </c>
      <c r="L725" s="1645" t="s">
        <v>3268</v>
      </c>
      <c r="M725" s="1645" t="s">
        <v>4705</v>
      </c>
      <c r="N725" s="1645"/>
      <c r="O725" s="1645" t="s">
        <v>3645</v>
      </c>
      <c r="P725" s="1649"/>
      <c r="Q725" s="1645"/>
      <c r="R725" s="1644"/>
      <c r="S725" s="1644"/>
      <c r="T725" s="1644"/>
      <c r="U725" s="1644"/>
      <c r="V725" s="1644" t="s">
        <v>3649</v>
      </c>
      <c r="W725" s="1650" t="s">
        <v>3653</v>
      </c>
      <c r="X725" s="1644"/>
      <c r="Y725" s="1647">
        <v>42049</v>
      </c>
      <c r="Z725" s="1647">
        <v>42414</v>
      </c>
      <c r="AA725" s="1650">
        <f t="shared" ref="AA725:AA796" ca="1" si="43">IF(E725="nữ",660-DATEDIF(G725,TODAY(),"m"),720-DATEDIF(G725,TODAY(),"m"))/12</f>
        <v>10.916666666666666</v>
      </c>
      <c r="AB725" s="2444" t="s">
        <v>3629</v>
      </c>
      <c r="AC725" s="2445"/>
      <c r="AD725" s="2438"/>
    </row>
    <row r="726" spans="1:30" ht="15.75" customHeight="1">
      <c r="A726" s="1644">
        <f t="shared" si="29"/>
        <v>165</v>
      </c>
      <c r="B726" s="1645" t="s">
        <v>4858</v>
      </c>
      <c r="C726" s="1644" t="s">
        <v>1578</v>
      </c>
      <c r="D726" s="1645" t="s">
        <v>4522</v>
      </c>
      <c r="E726" s="1644" t="s">
        <v>2798</v>
      </c>
      <c r="F726" s="1644">
        <f t="shared" si="42"/>
        <v>1981</v>
      </c>
      <c r="G726" s="1647">
        <v>29793</v>
      </c>
      <c r="H726" s="1644" t="s">
        <v>3642</v>
      </c>
      <c r="I726" s="1648"/>
      <c r="J726" s="1644" t="s">
        <v>37</v>
      </c>
      <c r="K726" s="1644"/>
      <c r="L726" s="1651" t="s">
        <v>2828</v>
      </c>
      <c r="M726" s="1645" t="s">
        <v>2828</v>
      </c>
      <c r="N726" s="1645"/>
      <c r="O726" s="1645">
        <v>0</v>
      </c>
      <c r="P726" s="1649"/>
      <c r="Q726" s="1645"/>
      <c r="R726" s="1644"/>
      <c r="S726" s="1644"/>
      <c r="T726" s="1644"/>
      <c r="U726" s="1644"/>
      <c r="V726" s="1644" t="s">
        <v>3657</v>
      </c>
      <c r="W726" s="1644">
        <v>0</v>
      </c>
      <c r="X726" s="1644"/>
      <c r="Y726" s="1647"/>
      <c r="Z726" s="1647"/>
      <c r="AA726" s="1650">
        <f t="shared" ca="1" si="43"/>
        <v>11.75</v>
      </c>
      <c r="AB726" s="2444" t="s">
        <v>3629</v>
      </c>
      <c r="AC726" s="2445"/>
      <c r="AD726" s="2438"/>
    </row>
    <row r="727" spans="1:30" ht="15.75" customHeight="1">
      <c r="A727" s="1644">
        <f t="shared" si="29"/>
        <v>166</v>
      </c>
      <c r="B727" s="1645" t="s">
        <v>4859</v>
      </c>
      <c r="C727" s="1644" t="s">
        <v>1578</v>
      </c>
      <c r="D727" s="1645" t="s">
        <v>4522</v>
      </c>
      <c r="E727" s="1644" t="s">
        <v>2798</v>
      </c>
      <c r="F727" s="1644">
        <f t="shared" si="42"/>
        <v>1980</v>
      </c>
      <c r="G727" s="1647">
        <v>29243</v>
      </c>
      <c r="H727" s="1644" t="s">
        <v>3642</v>
      </c>
      <c r="I727" s="1648"/>
      <c r="J727" s="1644" t="s">
        <v>201</v>
      </c>
      <c r="K727" s="1644">
        <v>0</v>
      </c>
      <c r="L727" s="1645" t="s">
        <v>3741</v>
      </c>
      <c r="M727" s="1645">
        <v>0</v>
      </c>
      <c r="N727" s="1645"/>
      <c r="O727" s="1645" t="s">
        <v>3645</v>
      </c>
      <c r="P727" s="1649"/>
      <c r="Q727" s="1645"/>
      <c r="R727" s="1647" t="s">
        <v>4852</v>
      </c>
      <c r="S727" s="1644"/>
      <c r="T727" s="1644" t="s">
        <v>936</v>
      </c>
      <c r="U727" s="1644"/>
      <c r="V727" s="1644"/>
      <c r="W727" s="1650" t="s">
        <v>3653</v>
      </c>
      <c r="X727" s="1644"/>
      <c r="Y727" s="1647"/>
      <c r="Z727" s="1647"/>
      <c r="AA727" s="1650">
        <f t="shared" ca="1" si="43"/>
        <v>10.25</v>
      </c>
      <c r="AB727" s="2444" t="s">
        <v>3629</v>
      </c>
      <c r="AC727" s="2445"/>
      <c r="AD727" s="2438"/>
    </row>
    <row r="728" spans="1:30" ht="15.75" customHeight="1">
      <c r="A728" s="1644">
        <f t="shared" si="29"/>
        <v>167</v>
      </c>
      <c r="B728" s="1645" t="s">
        <v>4860</v>
      </c>
      <c r="C728" s="1644" t="s">
        <v>1578</v>
      </c>
      <c r="D728" s="1645" t="s">
        <v>4522</v>
      </c>
      <c r="E728" s="1644" t="s">
        <v>2798</v>
      </c>
      <c r="F728" s="1644">
        <f t="shared" si="42"/>
        <v>1976</v>
      </c>
      <c r="G728" s="1647">
        <v>28031</v>
      </c>
      <c r="H728" s="1644" t="s">
        <v>3642</v>
      </c>
      <c r="I728" s="1648"/>
      <c r="J728" s="1644" t="s">
        <v>37</v>
      </c>
      <c r="K728" s="1644">
        <v>0</v>
      </c>
      <c r="L728" s="1645" t="s">
        <v>2824</v>
      </c>
      <c r="M728" s="1645" t="s">
        <v>4861</v>
      </c>
      <c r="N728" s="1645"/>
      <c r="O728" s="1645" t="s">
        <v>3645</v>
      </c>
      <c r="P728" s="1649"/>
      <c r="Q728" s="1645"/>
      <c r="R728" s="1644"/>
      <c r="S728" s="1644"/>
      <c r="T728" s="1644" t="s">
        <v>936</v>
      </c>
      <c r="U728" s="1644"/>
      <c r="V728" s="1644" t="s">
        <v>3980</v>
      </c>
      <c r="W728" s="1650" t="s">
        <v>3653</v>
      </c>
      <c r="X728" s="1644" t="s">
        <v>3633</v>
      </c>
      <c r="Y728" s="1647">
        <v>38047</v>
      </c>
      <c r="Z728" s="1647">
        <v>38047</v>
      </c>
      <c r="AA728" s="1650">
        <f t="shared" ca="1" si="43"/>
        <v>6.916666666666667</v>
      </c>
      <c r="AB728" s="2444" t="s">
        <v>3629</v>
      </c>
      <c r="AC728" s="2445"/>
      <c r="AD728" s="2438"/>
    </row>
    <row r="729" spans="1:30" ht="15.75" hidden="1" customHeight="1">
      <c r="A729" s="1644">
        <f t="shared" si="29"/>
        <v>167</v>
      </c>
      <c r="B729" s="1645" t="s">
        <v>4862</v>
      </c>
      <c r="C729" s="1645" t="s">
        <v>4863</v>
      </c>
      <c r="D729" s="1648" t="s">
        <v>626</v>
      </c>
      <c r="E729" s="1644" t="s">
        <v>2797</v>
      </c>
      <c r="F729" s="1645">
        <f t="shared" si="42"/>
        <v>1977</v>
      </c>
      <c r="G729" s="1647">
        <v>28358</v>
      </c>
      <c r="H729" s="1644" t="s">
        <v>3628</v>
      </c>
      <c r="I729" s="1648" t="s">
        <v>3629</v>
      </c>
      <c r="J729" s="1645" t="s">
        <v>38</v>
      </c>
      <c r="K729" s="1645">
        <v>0</v>
      </c>
      <c r="L729" s="1645" t="s">
        <v>2824</v>
      </c>
      <c r="M729" s="1645" t="s">
        <v>4809</v>
      </c>
      <c r="N729" s="1645"/>
      <c r="O729" s="1645" t="s">
        <v>4824</v>
      </c>
      <c r="P729" s="1649"/>
      <c r="Q729" s="1645" t="s">
        <v>3757</v>
      </c>
      <c r="R729" s="1644" t="s">
        <v>3952</v>
      </c>
      <c r="S729" s="1644" t="s">
        <v>3696</v>
      </c>
      <c r="T729" s="1644" t="s">
        <v>936</v>
      </c>
      <c r="U729" s="1644" t="s">
        <v>3697</v>
      </c>
      <c r="V729" s="1644"/>
      <c r="W729" s="1644">
        <v>0</v>
      </c>
      <c r="X729" s="1644" t="s">
        <v>3759</v>
      </c>
      <c r="Y729" s="1647">
        <v>36328</v>
      </c>
      <c r="Z729" s="1647">
        <v>36694</v>
      </c>
      <c r="AA729" s="1650">
        <f t="shared" ca="1" si="43"/>
        <v>12.833333333333334</v>
      </c>
      <c r="AB729" s="2444" t="s">
        <v>3629</v>
      </c>
      <c r="AC729" s="2445"/>
      <c r="AD729" s="2438"/>
    </row>
    <row r="730" spans="1:30" ht="15.75" hidden="1" customHeight="1">
      <c r="A730" s="1644">
        <f t="shared" si="29"/>
        <v>167</v>
      </c>
      <c r="B730" s="1645" t="s">
        <v>4864</v>
      </c>
      <c r="C730" s="1645" t="s">
        <v>4863</v>
      </c>
      <c r="D730" s="1645" t="s">
        <v>4865</v>
      </c>
      <c r="E730" s="1646" t="s">
        <v>2798</v>
      </c>
      <c r="F730" s="1645">
        <f t="shared" si="42"/>
        <v>1980</v>
      </c>
      <c r="G730" s="1647">
        <v>29551</v>
      </c>
      <c r="H730" s="1644" t="s">
        <v>4719</v>
      </c>
      <c r="I730" s="1648" t="s">
        <v>3629</v>
      </c>
      <c r="J730" s="1645" t="s">
        <v>37</v>
      </c>
      <c r="K730" s="1645">
        <v>0</v>
      </c>
      <c r="L730" s="1645" t="s">
        <v>3741</v>
      </c>
      <c r="M730" s="1645" t="s">
        <v>4866</v>
      </c>
      <c r="N730" s="1645"/>
      <c r="O730" s="1645" t="s">
        <v>3645</v>
      </c>
      <c r="P730" s="1649"/>
      <c r="Q730" s="1645"/>
      <c r="R730" s="1647" t="s">
        <v>4408</v>
      </c>
      <c r="S730" s="1644"/>
      <c r="T730" s="1644"/>
      <c r="U730" s="1644" t="s">
        <v>4867</v>
      </c>
      <c r="V730" s="1644"/>
      <c r="W730" s="1644">
        <v>0</v>
      </c>
      <c r="X730" s="1644"/>
      <c r="Y730" s="1647"/>
      <c r="Z730" s="1647"/>
      <c r="AA730" s="1650">
        <f t="shared" ca="1" si="43"/>
        <v>11.083333333333334</v>
      </c>
      <c r="AB730" s="2444" t="s">
        <v>3629</v>
      </c>
      <c r="AC730" s="2445"/>
      <c r="AD730" s="2438"/>
    </row>
    <row r="731" spans="1:30" ht="15.75" hidden="1" customHeight="1">
      <c r="A731" s="1644">
        <f t="shared" si="29"/>
        <v>167</v>
      </c>
      <c r="B731" s="1645" t="s">
        <v>4868</v>
      </c>
      <c r="C731" s="1645" t="s">
        <v>4863</v>
      </c>
      <c r="D731" s="1645" t="s">
        <v>4865</v>
      </c>
      <c r="E731" s="1646" t="s">
        <v>2798</v>
      </c>
      <c r="F731" s="1645">
        <f t="shared" si="42"/>
        <v>1975</v>
      </c>
      <c r="G731" s="1647">
        <v>27493</v>
      </c>
      <c r="H731" s="1644" t="s">
        <v>4719</v>
      </c>
      <c r="I731" s="1648" t="s">
        <v>3629</v>
      </c>
      <c r="J731" s="1645" t="s">
        <v>37</v>
      </c>
      <c r="K731" s="1645">
        <v>0</v>
      </c>
      <c r="L731" s="1645" t="s">
        <v>3741</v>
      </c>
      <c r="M731" s="1645" t="s">
        <v>3741</v>
      </c>
      <c r="N731" s="1645"/>
      <c r="O731" s="1645" t="s">
        <v>3645</v>
      </c>
      <c r="P731" s="1649"/>
      <c r="Q731" s="1645"/>
      <c r="R731" s="1647" t="s">
        <v>3710</v>
      </c>
      <c r="S731" s="1644"/>
      <c r="T731" s="1644"/>
      <c r="U731" s="1644" t="s">
        <v>4867</v>
      </c>
      <c r="V731" s="1644"/>
      <c r="W731" s="1644" t="s">
        <v>3679</v>
      </c>
      <c r="X731" s="1644"/>
      <c r="Y731" s="1647">
        <v>41776</v>
      </c>
      <c r="Z731" s="1647">
        <v>42141</v>
      </c>
      <c r="AA731" s="1650">
        <f t="shared" ca="1" si="43"/>
        <v>5.5</v>
      </c>
      <c r="AB731" s="2444" t="s">
        <v>3629</v>
      </c>
      <c r="AC731" s="2445"/>
      <c r="AD731" s="2438"/>
    </row>
    <row r="732" spans="1:30" ht="15.75" hidden="1" customHeight="1">
      <c r="A732" s="1644">
        <f t="shared" si="29"/>
        <v>167</v>
      </c>
      <c r="B732" s="1645" t="s">
        <v>4869</v>
      </c>
      <c r="C732" s="1645" t="s">
        <v>4863</v>
      </c>
      <c r="D732" s="1645" t="s">
        <v>4865</v>
      </c>
      <c r="E732" s="1646" t="s">
        <v>2798</v>
      </c>
      <c r="F732" s="1645">
        <f t="shared" si="42"/>
        <v>1981</v>
      </c>
      <c r="G732" s="1647">
        <v>29898</v>
      </c>
      <c r="H732" s="1644" t="s">
        <v>4719</v>
      </c>
      <c r="I732" s="1648" t="s">
        <v>3629</v>
      </c>
      <c r="J732" s="1645" t="s">
        <v>37</v>
      </c>
      <c r="K732" s="1645">
        <v>0</v>
      </c>
      <c r="L732" s="1645" t="s">
        <v>3741</v>
      </c>
      <c r="M732" s="1645" t="s">
        <v>1580</v>
      </c>
      <c r="N732" s="1645"/>
      <c r="O732" s="1645" t="s">
        <v>3645</v>
      </c>
      <c r="P732" s="1649"/>
      <c r="Q732" s="1645"/>
      <c r="R732" s="1647" t="s">
        <v>3710</v>
      </c>
      <c r="S732" s="1644"/>
      <c r="T732" s="1644"/>
      <c r="U732" s="1644" t="s">
        <v>4867</v>
      </c>
      <c r="V732" s="1644"/>
      <c r="W732" s="1644">
        <v>0</v>
      </c>
      <c r="X732" s="1644"/>
      <c r="Y732" s="1647"/>
      <c r="Z732" s="1647"/>
      <c r="AA732" s="1650">
        <f t="shared" ca="1" si="43"/>
        <v>12.083333333333334</v>
      </c>
      <c r="AB732" s="2444" t="s">
        <v>3629</v>
      </c>
      <c r="AC732" s="2445"/>
      <c r="AD732" s="2438"/>
    </row>
    <row r="733" spans="1:30" ht="15.75" hidden="1" customHeight="1">
      <c r="A733" s="1644">
        <f t="shared" si="29"/>
        <v>167</v>
      </c>
      <c r="B733" s="1645" t="s">
        <v>4870</v>
      </c>
      <c r="C733" s="1645" t="s">
        <v>4863</v>
      </c>
      <c r="D733" s="1645" t="s">
        <v>4865</v>
      </c>
      <c r="E733" s="1646" t="s">
        <v>2797</v>
      </c>
      <c r="F733" s="1645">
        <f t="shared" si="42"/>
        <v>1979</v>
      </c>
      <c r="G733" s="1647">
        <v>28991</v>
      </c>
      <c r="H733" s="1644" t="s">
        <v>4719</v>
      </c>
      <c r="I733" s="1648" t="s">
        <v>3629</v>
      </c>
      <c r="J733" s="1645" t="s">
        <v>37</v>
      </c>
      <c r="K733" s="1645">
        <v>0</v>
      </c>
      <c r="L733" s="1645" t="s">
        <v>3741</v>
      </c>
      <c r="M733" s="1645" t="s">
        <v>3741</v>
      </c>
      <c r="N733" s="1645"/>
      <c r="O733" s="1645" t="s">
        <v>3645</v>
      </c>
      <c r="P733" s="1649"/>
      <c r="Q733" s="1645"/>
      <c r="R733" s="1647" t="s">
        <v>4408</v>
      </c>
      <c r="S733" s="1644"/>
      <c r="T733" s="1644"/>
      <c r="U733" s="1644" t="s">
        <v>4867</v>
      </c>
      <c r="V733" s="1644"/>
      <c r="W733" s="1644">
        <v>0</v>
      </c>
      <c r="X733" s="1644"/>
      <c r="Y733" s="1647">
        <v>37984</v>
      </c>
      <c r="Z733" s="1647">
        <v>38350</v>
      </c>
      <c r="AA733" s="1650">
        <f t="shared" ca="1" si="43"/>
        <v>14.583333333333334</v>
      </c>
      <c r="AB733" s="2444" t="s">
        <v>3629</v>
      </c>
      <c r="AC733" s="2445"/>
      <c r="AD733" s="2438"/>
    </row>
    <row r="734" spans="1:30" ht="15.75" hidden="1" customHeight="1">
      <c r="A734" s="1644">
        <f t="shared" si="29"/>
        <v>167</v>
      </c>
      <c r="B734" s="1645" t="s">
        <v>4871</v>
      </c>
      <c r="C734" s="1645" t="s">
        <v>4863</v>
      </c>
      <c r="D734" s="1645" t="s">
        <v>4865</v>
      </c>
      <c r="E734" s="1644" t="s">
        <v>2798</v>
      </c>
      <c r="F734" s="1645">
        <v>1980</v>
      </c>
      <c r="G734" s="1647">
        <v>29297</v>
      </c>
      <c r="H734" s="1644" t="s">
        <v>4872</v>
      </c>
      <c r="I734" s="1648" t="s">
        <v>3629</v>
      </c>
      <c r="J734" s="1645" t="s">
        <v>37</v>
      </c>
      <c r="K734" s="1645">
        <v>0</v>
      </c>
      <c r="L734" s="1645" t="s">
        <v>3741</v>
      </c>
      <c r="M734" s="1645" t="s">
        <v>4873</v>
      </c>
      <c r="N734" s="1645"/>
      <c r="O734" s="1645" t="s">
        <v>3645</v>
      </c>
      <c r="P734" s="1649"/>
      <c r="Q734" s="1645"/>
      <c r="R734" s="1647" t="s">
        <v>3683</v>
      </c>
      <c r="S734" s="1644"/>
      <c r="T734" s="1644"/>
      <c r="U734" s="1644" t="s">
        <v>4867</v>
      </c>
      <c r="V734" s="1644" t="s">
        <v>936</v>
      </c>
      <c r="W734" s="1644" t="s">
        <v>936</v>
      </c>
      <c r="X734" s="1644"/>
      <c r="Y734" s="1647">
        <v>38992</v>
      </c>
      <c r="Z734" s="1647">
        <v>39357</v>
      </c>
      <c r="AA734" s="1650">
        <f t="shared" ca="1" si="43"/>
        <v>10.416666666666666</v>
      </c>
      <c r="AB734" s="2444" t="s">
        <v>3629</v>
      </c>
      <c r="AC734" s="2445"/>
      <c r="AD734" s="2438"/>
    </row>
    <row r="735" spans="1:30" ht="15.75" hidden="1" customHeight="1">
      <c r="A735" s="1644">
        <f t="shared" si="29"/>
        <v>167</v>
      </c>
      <c r="B735" s="1645" t="s">
        <v>4874</v>
      </c>
      <c r="C735" s="1645" t="s">
        <v>4863</v>
      </c>
      <c r="D735" s="1645" t="s">
        <v>4865</v>
      </c>
      <c r="E735" s="1646" t="s">
        <v>2798</v>
      </c>
      <c r="F735" s="1645">
        <f t="shared" ref="F735:F747" si="44">YEAR(G735)</f>
        <v>1987</v>
      </c>
      <c r="G735" s="1647">
        <v>31906</v>
      </c>
      <c r="H735" s="1644" t="s">
        <v>4719</v>
      </c>
      <c r="I735" s="1648" t="s">
        <v>3629</v>
      </c>
      <c r="J735" s="1645" t="s">
        <v>201</v>
      </c>
      <c r="K735" s="1645">
        <v>0</v>
      </c>
      <c r="L735" s="1645" t="s">
        <v>3741</v>
      </c>
      <c r="M735" s="1645">
        <v>0</v>
      </c>
      <c r="N735" s="1645"/>
      <c r="O735" s="1645" t="s">
        <v>3645</v>
      </c>
      <c r="P735" s="1649"/>
      <c r="Q735" s="1645"/>
      <c r="R735" s="1647" t="s">
        <v>3710</v>
      </c>
      <c r="S735" s="1644"/>
      <c r="T735" s="1644"/>
      <c r="U735" s="1644" t="s">
        <v>4867</v>
      </c>
      <c r="V735" s="1644" t="s">
        <v>936</v>
      </c>
      <c r="W735" s="1644" t="s">
        <v>3968</v>
      </c>
      <c r="X735" s="1644"/>
      <c r="Y735" s="1647"/>
      <c r="Z735" s="1647"/>
      <c r="AA735" s="1650">
        <f t="shared" ca="1" si="43"/>
        <v>17.583333333333332</v>
      </c>
      <c r="AB735" s="2444" t="s">
        <v>3629</v>
      </c>
      <c r="AC735" s="2445"/>
      <c r="AD735" s="2438"/>
    </row>
    <row r="736" spans="1:30" ht="15.75" hidden="1" customHeight="1">
      <c r="A736" s="1644">
        <f t="shared" si="29"/>
        <v>167</v>
      </c>
      <c r="B736" s="1645" t="s">
        <v>4875</v>
      </c>
      <c r="C736" s="1645" t="s">
        <v>4863</v>
      </c>
      <c r="D736" s="1645" t="s">
        <v>4876</v>
      </c>
      <c r="E736" s="1646" t="s">
        <v>2798</v>
      </c>
      <c r="F736" s="1645">
        <f t="shared" si="44"/>
        <v>1977</v>
      </c>
      <c r="G736" s="1647">
        <v>28182</v>
      </c>
      <c r="H736" s="1644" t="s">
        <v>4872</v>
      </c>
      <c r="I736" s="1648" t="s">
        <v>3629</v>
      </c>
      <c r="J736" s="1645" t="s">
        <v>37</v>
      </c>
      <c r="K736" s="1645">
        <v>0</v>
      </c>
      <c r="L736" s="1645" t="s">
        <v>4020</v>
      </c>
      <c r="M736" s="1645" t="s">
        <v>4877</v>
      </c>
      <c r="N736" s="1645"/>
      <c r="O736" s="1645" t="s">
        <v>3645</v>
      </c>
      <c r="P736" s="1649"/>
      <c r="Q736" s="1645"/>
      <c r="R736" s="1647" t="s">
        <v>3683</v>
      </c>
      <c r="S736" s="1644"/>
      <c r="T736" s="1644"/>
      <c r="U736" s="1644" t="s">
        <v>4867</v>
      </c>
      <c r="V736" s="1644"/>
      <c r="W736" s="1644">
        <v>0</v>
      </c>
      <c r="X736" s="1644"/>
      <c r="Y736" s="1647">
        <v>39584</v>
      </c>
      <c r="Z736" s="1647">
        <v>39949</v>
      </c>
      <c r="AA736" s="1650">
        <f t="shared" ca="1" si="43"/>
        <v>7.333333333333333</v>
      </c>
      <c r="AB736" s="2444" t="s">
        <v>3629</v>
      </c>
      <c r="AC736" s="2445"/>
      <c r="AD736" s="2438"/>
    </row>
    <row r="737" spans="1:30" ht="15.75" hidden="1" customHeight="1">
      <c r="A737" s="1644">
        <f t="shared" si="29"/>
        <v>167</v>
      </c>
      <c r="B737" s="1645" t="s">
        <v>4878</v>
      </c>
      <c r="C737" s="1645" t="s">
        <v>4863</v>
      </c>
      <c r="D737" s="1645" t="s">
        <v>4876</v>
      </c>
      <c r="E737" s="1646" t="s">
        <v>2797</v>
      </c>
      <c r="F737" s="1645">
        <f t="shared" si="44"/>
        <v>1976</v>
      </c>
      <c r="G737" s="1647">
        <v>28112</v>
      </c>
      <c r="H737" s="1644" t="s">
        <v>4872</v>
      </c>
      <c r="I737" s="1648" t="s">
        <v>3629</v>
      </c>
      <c r="J737" s="1645" t="s">
        <v>37</v>
      </c>
      <c r="K737" s="1645">
        <v>0</v>
      </c>
      <c r="L737" s="1645" t="s">
        <v>1664</v>
      </c>
      <c r="M737" s="1645" t="s">
        <v>4366</v>
      </c>
      <c r="N737" s="1645"/>
      <c r="O737" s="1645" t="s">
        <v>3645</v>
      </c>
      <c r="P737" s="1649"/>
      <c r="Q737" s="1645"/>
      <c r="R737" s="1647" t="s">
        <v>3683</v>
      </c>
      <c r="S737" s="1644"/>
      <c r="T737" s="1644"/>
      <c r="U737" s="1644" t="s">
        <v>4867</v>
      </c>
      <c r="V737" s="1644"/>
      <c r="W737" s="1644">
        <v>0</v>
      </c>
      <c r="X737" s="1644"/>
      <c r="Y737" s="1647">
        <v>41559</v>
      </c>
      <c r="Z737" s="1647">
        <v>41924</v>
      </c>
      <c r="AA737" s="1650">
        <f t="shared" ca="1" si="43"/>
        <v>12.166666666666666</v>
      </c>
      <c r="AB737" s="2444" t="s">
        <v>3629</v>
      </c>
      <c r="AC737" s="2445"/>
      <c r="AD737" s="2438"/>
    </row>
    <row r="738" spans="1:30" ht="15.75" hidden="1" customHeight="1">
      <c r="A738" s="1644">
        <f t="shared" si="29"/>
        <v>167</v>
      </c>
      <c r="B738" s="1645" t="s">
        <v>4879</v>
      </c>
      <c r="C738" s="1645" t="s">
        <v>4863</v>
      </c>
      <c r="D738" s="1645" t="s">
        <v>4876</v>
      </c>
      <c r="E738" s="1644" t="s">
        <v>2798</v>
      </c>
      <c r="F738" s="1645">
        <f t="shared" si="44"/>
        <v>1977</v>
      </c>
      <c r="G738" s="1647">
        <v>28455</v>
      </c>
      <c r="H738" s="1644" t="s">
        <v>4872</v>
      </c>
      <c r="I738" s="1648" t="s">
        <v>3629</v>
      </c>
      <c r="J738" s="1645" t="s">
        <v>37</v>
      </c>
      <c r="K738" s="1645">
        <v>0</v>
      </c>
      <c r="L738" s="1645" t="s">
        <v>1664</v>
      </c>
      <c r="M738" s="1645" t="s">
        <v>4008</v>
      </c>
      <c r="N738" s="1645"/>
      <c r="O738" s="1645" t="s">
        <v>3645</v>
      </c>
      <c r="P738" s="1649"/>
      <c r="Q738" s="1645"/>
      <c r="R738" s="1647" t="s">
        <v>3683</v>
      </c>
      <c r="S738" s="1644"/>
      <c r="T738" s="1644"/>
      <c r="U738" s="1644" t="s">
        <v>4867</v>
      </c>
      <c r="V738" s="1644"/>
      <c r="W738" s="1644">
        <v>0</v>
      </c>
      <c r="X738" s="1644"/>
      <c r="Y738" s="1647">
        <v>37551</v>
      </c>
      <c r="Z738" s="1647">
        <v>37551</v>
      </c>
      <c r="AA738" s="1650">
        <f t="shared" ca="1" si="43"/>
        <v>8.0833333333333339</v>
      </c>
      <c r="AB738" s="2444" t="s">
        <v>3629</v>
      </c>
      <c r="AC738" s="2445"/>
      <c r="AD738" s="2438"/>
    </row>
    <row r="739" spans="1:30" ht="15.75" hidden="1" customHeight="1">
      <c r="A739" s="1644">
        <f t="shared" si="29"/>
        <v>167</v>
      </c>
      <c r="B739" s="1645" t="s">
        <v>4880</v>
      </c>
      <c r="C739" s="1645" t="s">
        <v>4863</v>
      </c>
      <c r="D739" s="1645" t="s">
        <v>4876</v>
      </c>
      <c r="E739" s="1646" t="s">
        <v>2798</v>
      </c>
      <c r="F739" s="1645">
        <f t="shared" si="44"/>
        <v>1986</v>
      </c>
      <c r="G739" s="1647">
        <v>31721</v>
      </c>
      <c r="H739" s="1644" t="s">
        <v>4719</v>
      </c>
      <c r="I739" s="1648" t="s">
        <v>3629</v>
      </c>
      <c r="J739" s="1645" t="s">
        <v>37</v>
      </c>
      <c r="K739" s="1645">
        <v>0</v>
      </c>
      <c r="L739" s="1645" t="s">
        <v>1664</v>
      </c>
      <c r="M739" s="1645" t="s">
        <v>4008</v>
      </c>
      <c r="N739" s="1645"/>
      <c r="O739" s="1645" t="s">
        <v>3645</v>
      </c>
      <c r="P739" s="1649"/>
      <c r="Q739" s="1645"/>
      <c r="R739" s="1644" t="s">
        <v>3683</v>
      </c>
      <c r="S739" s="1644"/>
      <c r="T739" s="1644">
        <v>0</v>
      </c>
      <c r="U739" s="1644" t="s">
        <v>4867</v>
      </c>
      <c r="V739" s="1644"/>
      <c r="W739" s="1644" t="s">
        <v>3687</v>
      </c>
      <c r="X739" s="1644"/>
      <c r="Y739" s="1647">
        <v>39240</v>
      </c>
      <c r="Z739" s="1647">
        <v>39606</v>
      </c>
      <c r="AA739" s="1650">
        <f t="shared" ca="1" si="43"/>
        <v>17.083333333333332</v>
      </c>
      <c r="AB739" s="2444" t="s">
        <v>3629</v>
      </c>
      <c r="AC739" s="2445"/>
      <c r="AD739" s="2438"/>
    </row>
    <row r="740" spans="1:30" ht="15.75" hidden="1" customHeight="1">
      <c r="A740" s="1644">
        <f t="shared" si="29"/>
        <v>167</v>
      </c>
      <c r="B740" s="1645" t="s">
        <v>4881</v>
      </c>
      <c r="C740" s="1645" t="s">
        <v>4863</v>
      </c>
      <c r="D740" s="1645" t="s">
        <v>4876</v>
      </c>
      <c r="E740" s="1644" t="s">
        <v>2798</v>
      </c>
      <c r="F740" s="1645">
        <f t="shared" si="44"/>
        <v>1975</v>
      </c>
      <c r="G740" s="1647">
        <v>27494</v>
      </c>
      <c r="H740" s="1644" t="s">
        <v>4872</v>
      </c>
      <c r="I740" s="1648" t="s">
        <v>3629</v>
      </c>
      <c r="J740" s="1645" t="s">
        <v>37</v>
      </c>
      <c r="K740" s="1645">
        <v>0</v>
      </c>
      <c r="L740" s="1645" t="s">
        <v>1664</v>
      </c>
      <c r="M740" s="1645" t="s">
        <v>4008</v>
      </c>
      <c r="N740" s="1645"/>
      <c r="O740" s="1645" t="s">
        <v>3645</v>
      </c>
      <c r="P740" s="1649"/>
      <c r="Q740" s="1645"/>
      <c r="R740" s="1647" t="s">
        <v>3699</v>
      </c>
      <c r="S740" s="1644"/>
      <c r="T740" s="1644"/>
      <c r="U740" s="1644" t="s">
        <v>4867</v>
      </c>
      <c r="V740" s="1644"/>
      <c r="W740" s="1644">
        <v>0</v>
      </c>
      <c r="X740" s="1644"/>
      <c r="Y740" s="1647">
        <v>41776</v>
      </c>
      <c r="Z740" s="1647">
        <v>42141</v>
      </c>
      <c r="AA740" s="1650">
        <f t="shared" ca="1" si="43"/>
        <v>5.5</v>
      </c>
      <c r="AB740" s="2444" t="s">
        <v>3629</v>
      </c>
      <c r="AC740" s="2445"/>
      <c r="AD740" s="2438"/>
    </row>
    <row r="741" spans="1:30" ht="15.75" hidden="1" customHeight="1">
      <c r="A741" s="1644">
        <f t="shared" si="29"/>
        <v>167</v>
      </c>
      <c r="B741" s="1645" t="s">
        <v>4882</v>
      </c>
      <c r="C741" s="1645" t="s">
        <v>4863</v>
      </c>
      <c r="D741" s="1645" t="s">
        <v>4876</v>
      </c>
      <c r="E741" s="1644" t="s">
        <v>2797</v>
      </c>
      <c r="F741" s="1645">
        <f t="shared" si="44"/>
        <v>1980</v>
      </c>
      <c r="G741" s="1647">
        <v>29257</v>
      </c>
      <c r="H741" s="1644" t="s">
        <v>4872</v>
      </c>
      <c r="I741" s="1648" t="s">
        <v>3629</v>
      </c>
      <c r="J741" s="1645" t="s">
        <v>38</v>
      </c>
      <c r="K741" s="1645">
        <v>0</v>
      </c>
      <c r="L741" s="1645" t="s">
        <v>1664</v>
      </c>
      <c r="M741" s="1645" t="s">
        <v>4008</v>
      </c>
      <c r="N741" s="1645"/>
      <c r="O741" s="1645" t="s">
        <v>3645</v>
      </c>
      <c r="P741" s="1649"/>
      <c r="Q741" s="1645"/>
      <c r="R741" s="1644"/>
      <c r="S741" s="1644"/>
      <c r="T741" s="1644"/>
      <c r="U741" s="1644" t="s">
        <v>4867</v>
      </c>
      <c r="V741" s="1644"/>
      <c r="W741" s="1644">
        <v>0</v>
      </c>
      <c r="X741" s="1644"/>
      <c r="Y741" s="1647">
        <v>40700</v>
      </c>
      <c r="Z741" s="1647">
        <v>41066</v>
      </c>
      <c r="AA741" s="1650">
        <f t="shared" ca="1" si="43"/>
        <v>15.333333333333334</v>
      </c>
      <c r="AB741" s="2444" t="s">
        <v>3629</v>
      </c>
      <c r="AC741" s="2445"/>
      <c r="AD741" s="2438"/>
    </row>
    <row r="742" spans="1:30" ht="15.75" hidden="1" customHeight="1">
      <c r="A742" s="1644">
        <f t="shared" si="29"/>
        <v>167</v>
      </c>
      <c r="B742" s="1645" t="s">
        <v>4883</v>
      </c>
      <c r="C742" s="1645" t="s">
        <v>4863</v>
      </c>
      <c r="D742" s="1645" t="s">
        <v>4884</v>
      </c>
      <c r="E742" s="1646" t="s">
        <v>2798</v>
      </c>
      <c r="F742" s="1645">
        <f t="shared" si="44"/>
        <v>1971</v>
      </c>
      <c r="G742" s="1647">
        <v>26120</v>
      </c>
      <c r="H742" s="1644" t="s">
        <v>4872</v>
      </c>
      <c r="I742" s="1648" t="s">
        <v>3629</v>
      </c>
      <c r="J742" s="1645" t="s">
        <v>37</v>
      </c>
      <c r="K742" s="1645">
        <v>0</v>
      </c>
      <c r="L742" s="1645" t="s">
        <v>3268</v>
      </c>
      <c r="M742" s="1645" t="s">
        <v>3268</v>
      </c>
      <c r="N742" s="1645"/>
      <c r="O742" s="1645" t="s">
        <v>4526</v>
      </c>
      <c r="P742" s="1649"/>
      <c r="Q742" s="1645"/>
      <c r="R742" s="1647" t="s">
        <v>3683</v>
      </c>
      <c r="S742" s="1644"/>
      <c r="T742" s="1644"/>
      <c r="U742" s="1644" t="s">
        <v>4867</v>
      </c>
      <c r="V742" s="1644"/>
      <c r="W742" s="1644">
        <v>0</v>
      </c>
      <c r="X742" s="1644"/>
      <c r="Y742" s="1647">
        <v>41776</v>
      </c>
      <c r="Z742" s="1647">
        <v>42141</v>
      </c>
      <c r="AA742" s="1650">
        <f t="shared" ca="1" si="43"/>
        <v>1.75</v>
      </c>
      <c r="AB742" s="2444" t="s">
        <v>3629</v>
      </c>
      <c r="AC742" s="2445"/>
      <c r="AD742" s="2438"/>
    </row>
    <row r="743" spans="1:30" ht="15.75" hidden="1" customHeight="1">
      <c r="A743" s="1644">
        <f t="shared" si="29"/>
        <v>167</v>
      </c>
      <c r="B743" s="1645" t="s">
        <v>4885</v>
      </c>
      <c r="C743" s="1645" t="s">
        <v>4863</v>
      </c>
      <c r="D743" s="1645" t="s">
        <v>4884</v>
      </c>
      <c r="E743" s="1644" t="s">
        <v>2798</v>
      </c>
      <c r="F743" s="1645">
        <f t="shared" si="44"/>
        <v>1978</v>
      </c>
      <c r="G743" s="1647">
        <v>28805</v>
      </c>
      <c r="H743" s="1644" t="s">
        <v>4872</v>
      </c>
      <c r="I743" s="1648" t="s">
        <v>3629</v>
      </c>
      <c r="J743" s="1645" t="s">
        <v>201</v>
      </c>
      <c r="K743" s="1645">
        <v>0</v>
      </c>
      <c r="L743" s="1645" t="s">
        <v>3741</v>
      </c>
      <c r="M743" s="1645">
        <v>0</v>
      </c>
      <c r="N743" s="1645"/>
      <c r="O743" s="1645">
        <v>0</v>
      </c>
      <c r="P743" s="1649"/>
      <c r="Q743" s="1645"/>
      <c r="R743" s="1647" t="s">
        <v>3710</v>
      </c>
      <c r="S743" s="1644"/>
      <c r="T743" s="1644"/>
      <c r="U743" s="1644" t="s">
        <v>4867</v>
      </c>
      <c r="V743" s="1644"/>
      <c r="W743" s="1644">
        <v>0</v>
      </c>
      <c r="X743" s="1644"/>
      <c r="Y743" s="1647"/>
      <c r="Z743" s="1647"/>
      <c r="AA743" s="1650">
        <f t="shared" ca="1" si="43"/>
        <v>9.0833333333333339</v>
      </c>
      <c r="AB743" s="2444" t="s">
        <v>3629</v>
      </c>
      <c r="AC743" s="2445"/>
      <c r="AD743" s="2438"/>
    </row>
    <row r="744" spans="1:30" ht="15.75" hidden="1" customHeight="1">
      <c r="A744" s="1644">
        <f t="shared" si="29"/>
        <v>167</v>
      </c>
      <c r="B744" s="1645" t="s">
        <v>4886</v>
      </c>
      <c r="C744" s="1645" t="s">
        <v>4863</v>
      </c>
      <c r="D744" s="1645" t="s">
        <v>4887</v>
      </c>
      <c r="E744" s="1646" t="s">
        <v>2798</v>
      </c>
      <c r="F744" s="1645">
        <f t="shared" si="44"/>
        <v>1978</v>
      </c>
      <c r="G744" s="1647">
        <v>28510</v>
      </c>
      <c r="H744" s="1644" t="s">
        <v>4872</v>
      </c>
      <c r="I744" s="1648" t="s">
        <v>3629</v>
      </c>
      <c r="J744" s="1645" t="s">
        <v>201</v>
      </c>
      <c r="K744" s="1645">
        <v>0</v>
      </c>
      <c r="L744" s="1645" t="s">
        <v>4055</v>
      </c>
      <c r="M744" s="1645">
        <v>0</v>
      </c>
      <c r="N744" s="1645"/>
      <c r="O744" s="1645" t="s">
        <v>3645</v>
      </c>
      <c r="P744" s="1649"/>
      <c r="Q744" s="1645"/>
      <c r="R744" s="1647" t="s">
        <v>3683</v>
      </c>
      <c r="S744" s="1644" t="s">
        <v>3743</v>
      </c>
      <c r="T744" s="1644"/>
      <c r="U744" s="1644" t="s">
        <v>4867</v>
      </c>
      <c r="V744" s="1644"/>
      <c r="W744" s="1644">
        <v>0</v>
      </c>
      <c r="X744" s="1644"/>
      <c r="Y744" s="1647">
        <v>39785</v>
      </c>
      <c r="Z744" s="1647">
        <v>40150</v>
      </c>
      <c r="AA744" s="1650">
        <f t="shared" ca="1" si="43"/>
        <v>8.25</v>
      </c>
      <c r="AB744" s="2444" t="s">
        <v>3629</v>
      </c>
      <c r="AC744" s="2445"/>
      <c r="AD744" s="2438"/>
    </row>
    <row r="745" spans="1:30" ht="15.75" hidden="1" customHeight="1">
      <c r="A745" s="1644">
        <f t="shared" si="29"/>
        <v>167</v>
      </c>
      <c r="B745" s="1645" t="s">
        <v>4888</v>
      </c>
      <c r="C745" s="1645" t="s">
        <v>4863</v>
      </c>
      <c r="D745" s="1645" t="s">
        <v>4887</v>
      </c>
      <c r="E745" s="1644" t="s">
        <v>2797</v>
      </c>
      <c r="F745" s="1645">
        <f t="shared" si="44"/>
        <v>1987</v>
      </c>
      <c r="G745" s="1647">
        <v>32024</v>
      </c>
      <c r="H745" s="1644" t="s">
        <v>4719</v>
      </c>
      <c r="I745" s="1648" t="s">
        <v>3629</v>
      </c>
      <c r="J745" s="1645" t="s">
        <v>201</v>
      </c>
      <c r="K745" s="1645"/>
      <c r="L745" s="1645" t="s">
        <v>4246</v>
      </c>
      <c r="M745" s="1645">
        <v>0</v>
      </c>
      <c r="N745" s="1645"/>
      <c r="O745" s="1645">
        <v>0</v>
      </c>
      <c r="P745" s="1649"/>
      <c r="Q745" s="1645"/>
      <c r="R745" s="1647" t="s">
        <v>3667</v>
      </c>
      <c r="S745" s="1644"/>
      <c r="T745" s="1644"/>
      <c r="U745" s="1644"/>
      <c r="V745" s="1644"/>
      <c r="W745" s="1644">
        <v>0</v>
      </c>
      <c r="X745" s="1644"/>
      <c r="Y745" s="1647">
        <v>44293</v>
      </c>
      <c r="Z745" s="1647">
        <v>0</v>
      </c>
      <c r="AA745" s="1650">
        <f t="shared" ca="1" si="43"/>
        <v>22.916666666666668</v>
      </c>
      <c r="AB745" s="2444" t="s">
        <v>3629</v>
      </c>
      <c r="AC745" s="2445"/>
      <c r="AD745" s="2438"/>
    </row>
    <row r="746" spans="1:30" ht="15.75" hidden="1" customHeight="1">
      <c r="A746" s="1644">
        <f t="shared" si="29"/>
        <v>167</v>
      </c>
      <c r="B746" s="1645" t="s">
        <v>4889</v>
      </c>
      <c r="C746" s="1645" t="s">
        <v>4863</v>
      </c>
      <c r="D746" s="1645" t="s">
        <v>4887</v>
      </c>
      <c r="E746" s="1644" t="s">
        <v>2798</v>
      </c>
      <c r="F746" s="1645">
        <f t="shared" si="44"/>
        <v>1976</v>
      </c>
      <c r="G746" s="1647">
        <v>28101</v>
      </c>
      <c r="H746" s="1644" t="s">
        <v>4872</v>
      </c>
      <c r="I746" s="1648" t="s">
        <v>3629</v>
      </c>
      <c r="J746" s="1645" t="s">
        <v>37</v>
      </c>
      <c r="K746" s="1645">
        <v>0</v>
      </c>
      <c r="L746" s="1645" t="s">
        <v>1701</v>
      </c>
      <c r="M746" s="1645" t="s">
        <v>4890</v>
      </c>
      <c r="N746" s="1645"/>
      <c r="O746" s="1645" t="s">
        <v>3645</v>
      </c>
      <c r="P746" s="1649"/>
      <c r="Q746" s="1645"/>
      <c r="R746" s="1647" t="s">
        <v>3699</v>
      </c>
      <c r="S746" s="1644"/>
      <c r="T746" s="1644"/>
      <c r="U746" s="1644" t="s">
        <v>4867</v>
      </c>
      <c r="V746" s="1644"/>
      <c r="W746" s="1644" t="s">
        <v>3687</v>
      </c>
      <c r="X746" s="1644"/>
      <c r="Y746" s="1647">
        <v>40700</v>
      </c>
      <c r="Z746" s="1647">
        <v>41066</v>
      </c>
      <c r="AA746" s="1650">
        <f t="shared" ca="1" si="43"/>
        <v>7.166666666666667</v>
      </c>
      <c r="AB746" s="2444" t="s">
        <v>3629</v>
      </c>
      <c r="AC746" s="2445"/>
      <c r="AD746" s="2438"/>
    </row>
    <row r="747" spans="1:30" ht="15.75" hidden="1" customHeight="1">
      <c r="A747" s="1644">
        <f t="shared" si="29"/>
        <v>167</v>
      </c>
      <c r="B747" s="1645" t="s">
        <v>4891</v>
      </c>
      <c r="C747" s="1645" t="s">
        <v>4863</v>
      </c>
      <c r="D747" s="1667" t="s">
        <v>4887</v>
      </c>
      <c r="E747" s="1644" t="s">
        <v>2798</v>
      </c>
      <c r="F747" s="1645">
        <f t="shared" si="44"/>
        <v>1985</v>
      </c>
      <c r="G747" s="1647">
        <v>31202</v>
      </c>
      <c r="H747" s="1644" t="s">
        <v>4719</v>
      </c>
      <c r="I747" s="1648" t="s">
        <v>3629</v>
      </c>
      <c r="J747" s="1645" t="s">
        <v>37</v>
      </c>
      <c r="K747" s="1645">
        <v>0</v>
      </c>
      <c r="L747" s="1645" t="s">
        <v>1701</v>
      </c>
      <c r="M747" s="1645" t="s">
        <v>1701</v>
      </c>
      <c r="N747" s="1645"/>
      <c r="O747" s="1645" t="s">
        <v>3645</v>
      </c>
      <c r="P747" s="1649"/>
      <c r="Q747" s="1645"/>
      <c r="R747" s="1647" t="s">
        <v>3699</v>
      </c>
      <c r="S747" s="1644"/>
      <c r="T747" s="1644"/>
      <c r="U747" s="1644" t="s">
        <v>4867</v>
      </c>
      <c r="V747" s="1644"/>
      <c r="W747" s="1644">
        <v>0</v>
      </c>
      <c r="X747" s="1644"/>
      <c r="Y747" s="1647"/>
      <c r="Z747" s="1647"/>
      <c r="AA747" s="1650">
        <f t="shared" ca="1" si="43"/>
        <v>15.666666666666666</v>
      </c>
      <c r="AB747" s="2444" t="s">
        <v>3629</v>
      </c>
      <c r="AC747" s="2445"/>
      <c r="AD747" s="2438"/>
    </row>
    <row r="748" spans="1:30" ht="15.75" hidden="1" customHeight="1">
      <c r="A748" s="1644">
        <f t="shared" si="29"/>
        <v>167</v>
      </c>
      <c r="B748" s="1645" t="s">
        <v>4892</v>
      </c>
      <c r="C748" s="1645" t="s">
        <v>4863</v>
      </c>
      <c r="D748" s="1645" t="s">
        <v>4887</v>
      </c>
      <c r="E748" s="1644" t="s">
        <v>2797</v>
      </c>
      <c r="F748" s="1645">
        <v>1977</v>
      </c>
      <c r="G748" s="1647">
        <v>28471</v>
      </c>
      <c r="H748" s="1644" t="s">
        <v>4872</v>
      </c>
      <c r="I748" s="1648" t="s">
        <v>3629</v>
      </c>
      <c r="J748" s="1645" t="s">
        <v>201</v>
      </c>
      <c r="K748" s="1645">
        <v>0</v>
      </c>
      <c r="L748" s="1645" t="s">
        <v>3720</v>
      </c>
      <c r="M748" s="1645">
        <v>0</v>
      </c>
      <c r="N748" s="1645"/>
      <c r="O748" s="1645" t="s">
        <v>3645</v>
      </c>
      <c r="P748" s="1649"/>
      <c r="Q748" s="1645"/>
      <c r="R748" s="1644" t="s">
        <v>3699</v>
      </c>
      <c r="S748" s="1644"/>
      <c r="T748" s="1644"/>
      <c r="U748" s="1644" t="s">
        <v>4867</v>
      </c>
      <c r="V748" s="1644"/>
      <c r="W748" s="1650" t="s">
        <v>3653</v>
      </c>
      <c r="X748" s="1644"/>
      <c r="Y748" s="1647">
        <v>37805</v>
      </c>
      <c r="Z748" s="1647">
        <v>38171</v>
      </c>
      <c r="AA748" s="1650">
        <f t="shared" ca="1" si="43"/>
        <v>13.166666666666666</v>
      </c>
      <c r="AB748" s="2444" t="s">
        <v>3629</v>
      </c>
      <c r="AC748" s="2445"/>
      <c r="AD748" s="2438"/>
    </row>
    <row r="749" spans="1:30" ht="15.75" hidden="1" customHeight="1">
      <c r="A749" s="1644">
        <f t="shared" si="29"/>
        <v>167</v>
      </c>
      <c r="B749" s="1645" t="s">
        <v>4893</v>
      </c>
      <c r="C749" s="1645" t="s">
        <v>4863</v>
      </c>
      <c r="D749" s="1645" t="s">
        <v>4887</v>
      </c>
      <c r="E749" s="1644" t="s">
        <v>2797</v>
      </c>
      <c r="F749" s="1645">
        <f t="shared" ref="F749:F761" si="45">YEAR(G749)</f>
        <v>1979</v>
      </c>
      <c r="G749" s="1647">
        <v>28980</v>
      </c>
      <c r="H749" s="1644" t="s">
        <v>4872</v>
      </c>
      <c r="I749" s="1648" t="s">
        <v>3629</v>
      </c>
      <c r="J749" s="1645" t="s">
        <v>37</v>
      </c>
      <c r="K749" s="1645">
        <v>0</v>
      </c>
      <c r="L749" s="1645" t="s">
        <v>4055</v>
      </c>
      <c r="M749" s="1645" t="s">
        <v>3692</v>
      </c>
      <c r="N749" s="1645"/>
      <c r="O749" s="1645" t="s">
        <v>3645</v>
      </c>
      <c r="P749" s="1649"/>
      <c r="Q749" s="1645"/>
      <c r="R749" s="1644" t="s">
        <v>3683</v>
      </c>
      <c r="S749" s="1644"/>
      <c r="T749" s="1644"/>
      <c r="U749" s="1644" t="s">
        <v>4867</v>
      </c>
      <c r="V749" s="1644"/>
      <c r="W749" s="1650" t="s">
        <v>3653</v>
      </c>
      <c r="X749" s="1644"/>
      <c r="Y749" s="1647">
        <v>37411</v>
      </c>
      <c r="Z749" s="1647">
        <v>37776</v>
      </c>
      <c r="AA749" s="1650">
        <f t="shared" ca="1" si="43"/>
        <v>14.583333333333334</v>
      </c>
      <c r="AB749" s="2444" t="s">
        <v>3629</v>
      </c>
      <c r="AC749" s="2445"/>
      <c r="AD749" s="2438"/>
    </row>
    <row r="750" spans="1:30" ht="15.75" hidden="1" customHeight="1">
      <c r="A750" s="1644">
        <f t="shared" si="29"/>
        <v>167</v>
      </c>
      <c r="B750" s="1645" t="s">
        <v>4894</v>
      </c>
      <c r="C750" s="1645" t="s">
        <v>4863</v>
      </c>
      <c r="D750" s="1645" t="s">
        <v>4887</v>
      </c>
      <c r="E750" s="1644" t="s">
        <v>2798</v>
      </c>
      <c r="F750" s="1645">
        <f t="shared" si="45"/>
        <v>1983</v>
      </c>
      <c r="G750" s="1647">
        <v>30630</v>
      </c>
      <c r="H750" s="1644" t="s">
        <v>4872</v>
      </c>
      <c r="I750" s="1648" t="s">
        <v>3629</v>
      </c>
      <c r="J750" s="1645" t="s">
        <v>37</v>
      </c>
      <c r="K750" s="1645">
        <v>0</v>
      </c>
      <c r="L750" s="1645" t="s">
        <v>1701</v>
      </c>
      <c r="M750" s="1645" t="s">
        <v>3966</v>
      </c>
      <c r="N750" s="1645"/>
      <c r="O750" s="1645" t="s">
        <v>3645</v>
      </c>
      <c r="P750" s="1649"/>
      <c r="Q750" s="1645"/>
      <c r="R750" s="1644"/>
      <c r="S750" s="1644"/>
      <c r="T750" s="1644" t="s">
        <v>936</v>
      </c>
      <c r="U750" s="1644" t="s">
        <v>4867</v>
      </c>
      <c r="V750" s="1644"/>
      <c r="W750" s="1644">
        <v>0</v>
      </c>
      <c r="X750" s="1644"/>
      <c r="Y750" s="1647"/>
      <c r="Z750" s="1647"/>
      <c r="AA750" s="1650">
        <f t="shared" ca="1" si="43"/>
        <v>14.083333333333334</v>
      </c>
      <c r="AB750" s="2444" t="s">
        <v>3629</v>
      </c>
      <c r="AC750" s="2445"/>
      <c r="AD750" s="2438"/>
    </row>
    <row r="751" spans="1:30" ht="15.75" hidden="1" customHeight="1">
      <c r="A751" s="1644">
        <f t="shared" si="29"/>
        <v>167</v>
      </c>
      <c r="B751" s="1645" t="s">
        <v>4895</v>
      </c>
      <c r="C751" s="1645" t="s">
        <v>4863</v>
      </c>
      <c r="D751" s="1667" t="s">
        <v>4896</v>
      </c>
      <c r="E751" s="1644" t="s">
        <v>2798</v>
      </c>
      <c r="F751" s="1645">
        <f t="shared" si="45"/>
        <v>1973</v>
      </c>
      <c r="G751" s="1647">
        <v>26829</v>
      </c>
      <c r="H751" s="1644" t="s">
        <v>4872</v>
      </c>
      <c r="I751" s="1648" t="s">
        <v>3629</v>
      </c>
      <c r="J751" s="1645" t="s">
        <v>201</v>
      </c>
      <c r="K751" s="1645">
        <v>0</v>
      </c>
      <c r="L751" s="1645" t="s">
        <v>2682</v>
      </c>
      <c r="M751" s="1645">
        <v>0</v>
      </c>
      <c r="N751" s="1645"/>
      <c r="O751" s="1645" t="s">
        <v>3645</v>
      </c>
      <c r="P751" s="1649"/>
      <c r="Q751" s="1645"/>
      <c r="R751" s="1647" t="s">
        <v>3683</v>
      </c>
      <c r="S751" s="1644"/>
      <c r="T751" s="1644"/>
      <c r="U751" s="1644" t="s">
        <v>4867</v>
      </c>
      <c r="V751" s="1644"/>
      <c r="W751" s="1644">
        <v>0</v>
      </c>
      <c r="X751" s="1644"/>
      <c r="Y751" s="1647">
        <v>38118</v>
      </c>
      <c r="Z751" s="1647">
        <v>38483</v>
      </c>
      <c r="AA751" s="1650">
        <f t="shared" ca="1" si="43"/>
        <v>3.6666666666666665</v>
      </c>
      <c r="AB751" s="2444" t="s">
        <v>3629</v>
      </c>
      <c r="AC751" s="2445"/>
      <c r="AD751" s="2438"/>
    </row>
    <row r="752" spans="1:30" ht="15.75" hidden="1" customHeight="1">
      <c r="A752" s="1644">
        <f t="shared" si="29"/>
        <v>167</v>
      </c>
      <c r="B752" s="1645" t="s">
        <v>4897</v>
      </c>
      <c r="C752" s="1645" t="s">
        <v>4863</v>
      </c>
      <c r="D752" s="1645" t="s">
        <v>4896</v>
      </c>
      <c r="E752" s="1646" t="s">
        <v>2798</v>
      </c>
      <c r="F752" s="1645">
        <f t="shared" si="45"/>
        <v>1983</v>
      </c>
      <c r="G752" s="1647">
        <v>30411</v>
      </c>
      <c r="H752" s="1644" t="s">
        <v>4872</v>
      </c>
      <c r="I752" s="1648" t="s">
        <v>3629</v>
      </c>
      <c r="J752" s="1645" t="s">
        <v>37</v>
      </c>
      <c r="K752" s="1645">
        <v>0</v>
      </c>
      <c r="L752" s="1645" t="s">
        <v>2682</v>
      </c>
      <c r="M752" s="1645" t="s">
        <v>2759</v>
      </c>
      <c r="N752" s="1645"/>
      <c r="O752" s="1645" t="s">
        <v>3645</v>
      </c>
      <c r="P752" s="1649"/>
      <c r="Q752" s="1645"/>
      <c r="R752" s="1644"/>
      <c r="S752" s="1644"/>
      <c r="T752" s="1644"/>
      <c r="U752" s="1644" t="s">
        <v>4867</v>
      </c>
      <c r="V752" s="1644"/>
      <c r="W752" s="1644">
        <v>0</v>
      </c>
      <c r="X752" s="1644"/>
      <c r="Y752" s="1647">
        <v>38386</v>
      </c>
      <c r="Z752" s="1647">
        <v>38751</v>
      </c>
      <c r="AA752" s="1650">
        <f t="shared" ca="1" si="43"/>
        <v>13.5</v>
      </c>
      <c r="AB752" s="2444" t="s">
        <v>3629</v>
      </c>
      <c r="AC752" s="2445"/>
      <c r="AD752" s="2438"/>
    </row>
    <row r="753" spans="1:30" ht="15.75" hidden="1" customHeight="1">
      <c r="A753" s="1644">
        <f t="shared" si="29"/>
        <v>167</v>
      </c>
      <c r="B753" s="1645" t="s">
        <v>4898</v>
      </c>
      <c r="C753" s="1645" t="s">
        <v>4863</v>
      </c>
      <c r="D753" s="1667" t="s">
        <v>4896</v>
      </c>
      <c r="E753" s="1644" t="s">
        <v>2798</v>
      </c>
      <c r="F753" s="1645">
        <f t="shared" si="45"/>
        <v>1979</v>
      </c>
      <c r="G753" s="1647">
        <v>28894</v>
      </c>
      <c r="H753" s="1644" t="s">
        <v>4872</v>
      </c>
      <c r="I753" s="1648" t="s">
        <v>3629</v>
      </c>
      <c r="J753" s="1645" t="s">
        <v>37</v>
      </c>
      <c r="K753" s="1645">
        <v>0</v>
      </c>
      <c r="L753" s="1645" t="s">
        <v>4057</v>
      </c>
      <c r="M753" s="1645" t="s">
        <v>4057</v>
      </c>
      <c r="N753" s="1645"/>
      <c r="O753" s="1645" t="s">
        <v>3645</v>
      </c>
      <c r="P753" s="1649"/>
      <c r="Q753" s="1645"/>
      <c r="R753" s="1644" t="s">
        <v>3699</v>
      </c>
      <c r="S753" s="1644"/>
      <c r="T753" s="1644"/>
      <c r="U753" s="1644" t="s">
        <v>4867</v>
      </c>
      <c r="V753" s="1644"/>
      <c r="W753" s="1644">
        <v>0</v>
      </c>
      <c r="X753" s="1644"/>
      <c r="Y753" s="1647">
        <v>39417</v>
      </c>
      <c r="Z753" s="1647">
        <v>39783</v>
      </c>
      <c r="AA753" s="1650">
        <f t="shared" ca="1" si="43"/>
        <v>9.3333333333333339</v>
      </c>
      <c r="AB753" s="2444" t="s">
        <v>3629</v>
      </c>
      <c r="AC753" s="2445"/>
      <c r="AD753" s="2438"/>
    </row>
    <row r="754" spans="1:30" ht="15.75" hidden="1" customHeight="1">
      <c r="A754" s="1644">
        <f t="shared" si="29"/>
        <v>167</v>
      </c>
      <c r="B754" s="1645" t="s">
        <v>4899</v>
      </c>
      <c r="C754" s="1645" t="s">
        <v>4863</v>
      </c>
      <c r="D754" s="1645" t="s">
        <v>4896</v>
      </c>
      <c r="E754" s="1644" t="s">
        <v>2798</v>
      </c>
      <c r="F754" s="1645">
        <f t="shared" si="45"/>
        <v>1977</v>
      </c>
      <c r="G754" s="1647">
        <v>28185</v>
      </c>
      <c r="H754" s="1644" t="s">
        <v>4872</v>
      </c>
      <c r="I754" s="1648" t="s">
        <v>3629</v>
      </c>
      <c r="J754" s="1645" t="s">
        <v>37</v>
      </c>
      <c r="K754" s="1645">
        <v>0</v>
      </c>
      <c r="L754" s="1645" t="s">
        <v>4900</v>
      </c>
      <c r="M754" s="1645">
        <v>0</v>
      </c>
      <c r="N754" s="1645"/>
      <c r="O754" s="1645" t="s">
        <v>3645</v>
      </c>
      <c r="P754" s="1649"/>
      <c r="Q754" s="1645"/>
      <c r="R754" s="1647" t="s">
        <v>3683</v>
      </c>
      <c r="S754" s="1644"/>
      <c r="T754" s="1644"/>
      <c r="U754" s="1644" t="s">
        <v>4867</v>
      </c>
      <c r="V754" s="1644"/>
      <c r="W754" s="1644">
        <v>0</v>
      </c>
      <c r="X754" s="1644"/>
      <c r="Y754" s="1647">
        <v>36894</v>
      </c>
      <c r="Z754" s="1647">
        <v>37259</v>
      </c>
      <c r="AA754" s="1650">
        <f t="shared" ca="1" si="43"/>
        <v>7.333333333333333</v>
      </c>
      <c r="AB754" s="2444" t="s">
        <v>3629</v>
      </c>
      <c r="AC754" s="2445"/>
      <c r="AD754" s="2438"/>
    </row>
    <row r="755" spans="1:30" ht="15.75" hidden="1" customHeight="1">
      <c r="A755" s="1644">
        <f t="shared" si="29"/>
        <v>167</v>
      </c>
      <c r="B755" s="1645" t="s">
        <v>4901</v>
      </c>
      <c r="C755" s="1645" t="s">
        <v>4863</v>
      </c>
      <c r="D755" s="1667" t="s">
        <v>4896</v>
      </c>
      <c r="E755" s="1646" t="s">
        <v>2798</v>
      </c>
      <c r="F755" s="1645">
        <f t="shared" si="45"/>
        <v>1971</v>
      </c>
      <c r="G755" s="1647">
        <v>25937</v>
      </c>
      <c r="H755" s="1644" t="s">
        <v>4872</v>
      </c>
      <c r="I755" s="1648" t="s">
        <v>3629</v>
      </c>
      <c r="J755" s="1645" t="s">
        <v>37</v>
      </c>
      <c r="K755" s="1645">
        <v>0</v>
      </c>
      <c r="L755" s="1645" t="s">
        <v>1747</v>
      </c>
      <c r="M755" s="1645">
        <v>0</v>
      </c>
      <c r="N755" s="1645"/>
      <c r="O755" s="1645" t="s">
        <v>3645</v>
      </c>
      <c r="P755" s="1649"/>
      <c r="Q755" s="1645"/>
      <c r="R755" s="1644" t="s">
        <v>3683</v>
      </c>
      <c r="S755" s="1644"/>
      <c r="T755" s="1644"/>
      <c r="U755" s="1644" t="s">
        <v>4867</v>
      </c>
      <c r="V755" s="1644"/>
      <c r="W755" s="1644">
        <v>0</v>
      </c>
      <c r="X755" s="1644"/>
      <c r="Y755" s="1647"/>
      <c r="Z755" s="1647"/>
      <c r="AA755" s="1650">
        <f t="shared" ca="1" si="43"/>
        <v>1.25</v>
      </c>
      <c r="AB755" s="2444" t="s">
        <v>3629</v>
      </c>
      <c r="AC755" s="2445"/>
      <c r="AD755" s="2438"/>
    </row>
    <row r="756" spans="1:30" ht="15.75" hidden="1" customHeight="1">
      <c r="A756" s="1644">
        <f t="shared" si="29"/>
        <v>167</v>
      </c>
      <c r="B756" s="1645" t="s">
        <v>4902</v>
      </c>
      <c r="C756" s="1645" t="s">
        <v>4863</v>
      </c>
      <c r="D756" s="1645" t="s">
        <v>4896</v>
      </c>
      <c r="E756" s="1646" t="s">
        <v>2798</v>
      </c>
      <c r="F756" s="1645">
        <f t="shared" si="45"/>
        <v>1976</v>
      </c>
      <c r="G756" s="1647">
        <v>27922</v>
      </c>
      <c r="H756" s="1644" t="s">
        <v>4872</v>
      </c>
      <c r="I756" s="1648" t="s">
        <v>3629</v>
      </c>
      <c r="J756" s="1645" t="s">
        <v>37</v>
      </c>
      <c r="K756" s="1645">
        <v>0</v>
      </c>
      <c r="L756" s="1645" t="s">
        <v>2682</v>
      </c>
      <c r="M756" s="1645" t="s">
        <v>4903</v>
      </c>
      <c r="N756" s="1645"/>
      <c r="O756" s="1645" t="s">
        <v>3645</v>
      </c>
      <c r="P756" s="1649"/>
      <c r="Q756" s="1645"/>
      <c r="R756" s="1647" t="s">
        <v>3699</v>
      </c>
      <c r="S756" s="1644"/>
      <c r="T756" s="1644"/>
      <c r="U756" s="1644" t="s">
        <v>4867</v>
      </c>
      <c r="V756" s="1644"/>
      <c r="W756" s="1644">
        <v>0</v>
      </c>
      <c r="X756" s="1644"/>
      <c r="Y756" s="1647">
        <v>41430</v>
      </c>
      <c r="Z756" s="1647">
        <v>41795</v>
      </c>
      <c r="AA756" s="1650">
        <f t="shared" ca="1" si="43"/>
        <v>6.666666666666667</v>
      </c>
      <c r="AB756" s="2444" t="s">
        <v>3629</v>
      </c>
      <c r="AC756" s="2445"/>
      <c r="AD756" s="2438"/>
    </row>
    <row r="757" spans="1:30" ht="15.75" hidden="1" customHeight="1">
      <c r="A757" s="1644">
        <f t="shared" si="29"/>
        <v>167</v>
      </c>
      <c r="B757" s="1645" t="s">
        <v>4904</v>
      </c>
      <c r="C757" s="1645" t="s">
        <v>4863</v>
      </c>
      <c r="D757" s="1645" t="s">
        <v>4905</v>
      </c>
      <c r="E757" s="1646" t="s">
        <v>2798</v>
      </c>
      <c r="F757" s="1645">
        <f t="shared" si="45"/>
        <v>1985</v>
      </c>
      <c r="G757" s="1647">
        <v>31051</v>
      </c>
      <c r="H757" s="1644" t="s">
        <v>4719</v>
      </c>
      <c r="I757" s="1648" t="s">
        <v>3629</v>
      </c>
      <c r="J757" s="1645" t="s">
        <v>201</v>
      </c>
      <c r="K757" s="1645"/>
      <c r="L757" s="1645" t="s">
        <v>4803</v>
      </c>
      <c r="M757" s="1645">
        <v>0</v>
      </c>
      <c r="N757" s="1645"/>
      <c r="O757" s="1645">
        <v>0</v>
      </c>
      <c r="P757" s="1649"/>
      <c r="Q757" s="1645"/>
      <c r="R757" s="1647" t="s">
        <v>3667</v>
      </c>
      <c r="S757" s="1644" t="s">
        <v>3743</v>
      </c>
      <c r="T757" s="1644" t="s">
        <v>936</v>
      </c>
      <c r="U757" s="1644" t="s">
        <v>4867</v>
      </c>
      <c r="V757" s="1644"/>
      <c r="W757" s="1644" t="s">
        <v>3658</v>
      </c>
      <c r="X757" s="1644"/>
      <c r="Y757" s="1647"/>
      <c r="Z757" s="1647"/>
      <c r="AA757" s="1650">
        <f t="shared" ca="1" si="43"/>
        <v>15.25</v>
      </c>
      <c r="AB757" s="2444" t="s">
        <v>3629</v>
      </c>
      <c r="AC757" s="2445"/>
      <c r="AD757" s="2438"/>
    </row>
    <row r="758" spans="1:30" ht="15.75" hidden="1" customHeight="1">
      <c r="A758" s="1644">
        <f t="shared" si="29"/>
        <v>167</v>
      </c>
      <c r="B758" s="1645" t="s">
        <v>4906</v>
      </c>
      <c r="C758" s="1645" t="s">
        <v>4863</v>
      </c>
      <c r="D758" s="1645" t="s">
        <v>4905</v>
      </c>
      <c r="E758" s="1646" t="s">
        <v>2797</v>
      </c>
      <c r="F758" s="1645">
        <f t="shared" si="45"/>
        <v>1983</v>
      </c>
      <c r="G758" s="1647">
        <v>30480</v>
      </c>
      <c r="H758" s="1644" t="s">
        <v>4872</v>
      </c>
      <c r="I758" s="1648" t="s">
        <v>3629</v>
      </c>
      <c r="J758" s="1645" t="s">
        <v>38</v>
      </c>
      <c r="K758" s="1645">
        <v>0</v>
      </c>
      <c r="L758" s="1645" t="s">
        <v>2824</v>
      </c>
      <c r="M758" s="1645" t="s">
        <v>2824</v>
      </c>
      <c r="N758" s="1645"/>
      <c r="O758" s="1645" t="s">
        <v>2824</v>
      </c>
      <c r="P758" s="1649"/>
      <c r="Q758" s="1645"/>
      <c r="R758" s="1647" t="s">
        <v>3683</v>
      </c>
      <c r="S758" s="1644"/>
      <c r="T758" s="1644"/>
      <c r="U758" s="1644" t="s">
        <v>4867</v>
      </c>
      <c r="V758" s="1644"/>
      <c r="W758" s="1650" t="s">
        <v>3646</v>
      </c>
      <c r="X758" s="1644"/>
      <c r="Y758" s="1647">
        <v>38477</v>
      </c>
      <c r="Z758" s="1647">
        <v>38842</v>
      </c>
      <c r="AA758" s="1650">
        <f t="shared" ca="1" si="43"/>
        <v>18.666666666666668</v>
      </c>
      <c r="AB758" s="2444" t="s">
        <v>3629</v>
      </c>
      <c r="AC758" s="2445"/>
      <c r="AD758" s="2438"/>
    </row>
    <row r="759" spans="1:30" ht="15.75" hidden="1" customHeight="1">
      <c r="A759" s="1644">
        <f t="shared" si="29"/>
        <v>167</v>
      </c>
      <c r="B759" s="1645" t="s">
        <v>4907</v>
      </c>
      <c r="C759" s="1645" t="s">
        <v>4863</v>
      </c>
      <c r="D759" s="1645" t="s">
        <v>4905</v>
      </c>
      <c r="E759" s="1644" t="s">
        <v>2797</v>
      </c>
      <c r="F759" s="1645">
        <f t="shared" si="45"/>
        <v>1984</v>
      </c>
      <c r="G759" s="1647">
        <v>30968</v>
      </c>
      <c r="H759" s="1644" t="s">
        <v>4872</v>
      </c>
      <c r="I759" s="1648" t="s">
        <v>3629</v>
      </c>
      <c r="J759" s="1645" t="s">
        <v>37</v>
      </c>
      <c r="K759" s="1645">
        <v>0</v>
      </c>
      <c r="L759" s="1645" t="s">
        <v>2824</v>
      </c>
      <c r="M759" s="1645" t="s">
        <v>4018</v>
      </c>
      <c r="N759" s="1645"/>
      <c r="O759" s="1645" t="s">
        <v>3645</v>
      </c>
      <c r="P759" s="1649"/>
      <c r="Q759" s="1645"/>
      <c r="R759" s="1647" t="s">
        <v>3699</v>
      </c>
      <c r="S759" s="1644"/>
      <c r="T759" s="1644"/>
      <c r="U759" s="1644" t="s">
        <v>4867</v>
      </c>
      <c r="V759" s="1644"/>
      <c r="W759" s="1644">
        <v>0</v>
      </c>
      <c r="X759" s="1644"/>
      <c r="Y759" s="1647">
        <v>40700</v>
      </c>
      <c r="Z759" s="1647">
        <v>41066</v>
      </c>
      <c r="AA759" s="1650">
        <f t="shared" ca="1" si="43"/>
        <v>20</v>
      </c>
      <c r="AB759" s="2444" t="s">
        <v>3629</v>
      </c>
      <c r="AC759" s="2445"/>
      <c r="AD759" s="2438"/>
    </row>
    <row r="760" spans="1:30" ht="15.75" hidden="1" customHeight="1">
      <c r="A760" s="1644">
        <f t="shared" si="29"/>
        <v>167</v>
      </c>
      <c r="B760" s="1645" t="s">
        <v>4908</v>
      </c>
      <c r="C760" s="1645" t="s">
        <v>4863</v>
      </c>
      <c r="D760" s="1648" t="s">
        <v>4905</v>
      </c>
      <c r="E760" s="1644" t="s">
        <v>2797</v>
      </c>
      <c r="F760" s="1645">
        <f t="shared" si="45"/>
        <v>1972</v>
      </c>
      <c r="G760" s="1647">
        <v>26653</v>
      </c>
      <c r="H760" s="1644" t="s">
        <v>3628</v>
      </c>
      <c r="I760" s="1648" t="s">
        <v>3629</v>
      </c>
      <c r="J760" s="1645" t="s">
        <v>38</v>
      </c>
      <c r="K760" s="1645">
        <v>0</v>
      </c>
      <c r="L760" s="1645" t="s">
        <v>2824</v>
      </c>
      <c r="M760" s="1645" t="s">
        <v>4020</v>
      </c>
      <c r="N760" s="1645"/>
      <c r="O760" s="1645" t="s">
        <v>2824</v>
      </c>
      <c r="P760" s="1649"/>
      <c r="Q760" s="1645" t="s">
        <v>3693</v>
      </c>
      <c r="R760" s="1647" t="s">
        <v>3683</v>
      </c>
      <c r="S760" s="1644" t="s">
        <v>3743</v>
      </c>
      <c r="T760" s="1644"/>
      <c r="U760" s="1644"/>
      <c r="V760" s="1644"/>
      <c r="W760" s="1644" t="s">
        <v>936</v>
      </c>
      <c r="X760" s="1644" t="s">
        <v>3633</v>
      </c>
      <c r="Y760" s="1647">
        <v>35504</v>
      </c>
      <c r="Z760" s="1647">
        <v>35869</v>
      </c>
      <c r="AA760" s="1650">
        <f t="shared" ca="1" si="43"/>
        <v>8.1666666666666661</v>
      </c>
      <c r="AB760" s="2444" t="s">
        <v>3629</v>
      </c>
      <c r="AC760" s="2445"/>
      <c r="AD760" s="2438"/>
    </row>
    <row r="761" spans="1:30" ht="15.75" hidden="1" customHeight="1">
      <c r="A761" s="1644">
        <f t="shared" si="29"/>
        <v>167</v>
      </c>
      <c r="B761" s="1645" t="s">
        <v>4909</v>
      </c>
      <c r="C761" s="1645" t="s">
        <v>4863</v>
      </c>
      <c r="D761" s="1645" t="s">
        <v>4905</v>
      </c>
      <c r="E761" s="1646" t="s">
        <v>2797</v>
      </c>
      <c r="F761" s="1645">
        <f t="shared" si="45"/>
        <v>1972</v>
      </c>
      <c r="G761" s="1647">
        <v>26370</v>
      </c>
      <c r="H761" s="1644" t="s">
        <v>4872</v>
      </c>
      <c r="I761" s="1648" t="s">
        <v>3629</v>
      </c>
      <c r="J761" s="1645" t="s">
        <v>38</v>
      </c>
      <c r="K761" s="1645">
        <v>0</v>
      </c>
      <c r="L761" s="1645" t="s">
        <v>2824</v>
      </c>
      <c r="M761" s="1645" t="s">
        <v>2824</v>
      </c>
      <c r="N761" s="1645"/>
      <c r="O761" s="1645" t="s">
        <v>4806</v>
      </c>
      <c r="P761" s="1649"/>
      <c r="Q761" s="1645"/>
      <c r="R761" s="1647" t="s">
        <v>3789</v>
      </c>
      <c r="S761" s="1644" t="s">
        <v>3962</v>
      </c>
      <c r="T761" s="1644"/>
      <c r="U761" s="1644" t="s">
        <v>4867</v>
      </c>
      <c r="V761" s="1644"/>
      <c r="W761" s="1644" t="s">
        <v>936</v>
      </c>
      <c r="X761" s="1644" t="s">
        <v>3633</v>
      </c>
      <c r="Y761" s="1647">
        <v>36678</v>
      </c>
      <c r="Z761" s="1647">
        <v>37043</v>
      </c>
      <c r="AA761" s="1650">
        <f t="shared" ca="1" si="43"/>
        <v>7.416666666666667</v>
      </c>
      <c r="AB761" s="2444" t="s">
        <v>3629</v>
      </c>
      <c r="AC761" s="2445"/>
      <c r="AD761" s="2438"/>
    </row>
    <row r="762" spans="1:30" ht="15.75" hidden="1" customHeight="1">
      <c r="A762" s="1644">
        <f t="shared" si="29"/>
        <v>167</v>
      </c>
      <c r="B762" s="1645" t="s">
        <v>4910</v>
      </c>
      <c r="C762" s="1645" t="s">
        <v>4863</v>
      </c>
      <c r="D762" s="1645" t="s">
        <v>4905</v>
      </c>
      <c r="E762" s="1644" t="s">
        <v>2797</v>
      </c>
      <c r="F762" s="1645">
        <v>1982</v>
      </c>
      <c r="G762" s="1647">
        <v>30031</v>
      </c>
      <c r="H762" s="1644" t="s">
        <v>4719</v>
      </c>
      <c r="I762" s="1648" t="s">
        <v>3629</v>
      </c>
      <c r="J762" s="1645" t="s">
        <v>37</v>
      </c>
      <c r="K762" s="1645">
        <v>0</v>
      </c>
      <c r="L762" s="1645" t="s">
        <v>2824</v>
      </c>
      <c r="M762" s="1645" t="s">
        <v>4911</v>
      </c>
      <c r="N762" s="1645"/>
      <c r="O762" s="1645" t="s">
        <v>3645</v>
      </c>
      <c r="P762" s="1649"/>
      <c r="Q762" s="1645"/>
      <c r="R762" s="1644" t="s">
        <v>3683</v>
      </c>
      <c r="S762" s="1644"/>
      <c r="T762" s="1644"/>
      <c r="U762" s="1644" t="s">
        <v>4867</v>
      </c>
      <c r="V762" s="1644"/>
      <c r="W762" s="1644">
        <v>0</v>
      </c>
      <c r="X762" s="1644"/>
      <c r="Y762" s="1647">
        <v>39401</v>
      </c>
      <c r="Z762" s="1647">
        <v>39767</v>
      </c>
      <c r="AA762" s="1650">
        <f t="shared" ca="1" si="43"/>
        <v>17.416666666666668</v>
      </c>
      <c r="AB762" s="2444" t="s">
        <v>3629</v>
      </c>
      <c r="AC762" s="2445"/>
      <c r="AD762" s="2438"/>
    </row>
    <row r="763" spans="1:30" ht="15.75" hidden="1" customHeight="1">
      <c r="A763" s="1644">
        <f t="shared" si="29"/>
        <v>167</v>
      </c>
      <c r="B763" s="1645" t="s">
        <v>4912</v>
      </c>
      <c r="C763" s="1645" t="s">
        <v>4863</v>
      </c>
      <c r="D763" s="1645" t="s">
        <v>4905</v>
      </c>
      <c r="E763" s="1646" t="s">
        <v>2797</v>
      </c>
      <c r="F763" s="1645">
        <f t="shared" ref="F763:F766" si="46">YEAR(G763)</f>
        <v>1981</v>
      </c>
      <c r="G763" s="1647">
        <v>29724</v>
      </c>
      <c r="H763" s="1644" t="s">
        <v>4872</v>
      </c>
      <c r="I763" s="1648" t="s">
        <v>3629</v>
      </c>
      <c r="J763" s="1645" t="s">
        <v>37</v>
      </c>
      <c r="K763" s="1645">
        <v>0</v>
      </c>
      <c r="L763" s="1645" t="s">
        <v>2824</v>
      </c>
      <c r="M763" s="1645" t="s">
        <v>4010</v>
      </c>
      <c r="N763" s="1645"/>
      <c r="O763" s="1645" t="s">
        <v>4913</v>
      </c>
      <c r="P763" s="1649"/>
      <c r="Q763" s="1645"/>
      <c r="R763" s="1647" t="s">
        <v>3683</v>
      </c>
      <c r="S763" s="1644"/>
      <c r="T763" s="1644"/>
      <c r="U763" s="1644" t="s">
        <v>4867</v>
      </c>
      <c r="V763" s="1644"/>
      <c r="W763" s="1650" t="s">
        <v>3646</v>
      </c>
      <c r="X763" s="1644"/>
      <c r="Y763" s="1647">
        <v>38161</v>
      </c>
      <c r="Z763" s="1647">
        <v>38526</v>
      </c>
      <c r="AA763" s="1650">
        <f t="shared" ca="1" si="43"/>
        <v>16.583333333333332</v>
      </c>
      <c r="AB763" s="2444" t="s">
        <v>3629</v>
      </c>
      <c r="AC763" s="2445"/>
      <c r="AD763" s="2438"/>
    </row>
    <row r="764" spans="1:30" ht="15.75" hidden="1" customHeight="1">
      <c r="A764" s="1644">
        <f t="shared" si="29"/>
        <v>167</v>
      </c>
      <c r="B764" s="1645" t="s">
        <v>4914</v>
      </c>
      <c r="C764" s="1645" t="s">
        <v>4863</v>
      </c>
      <c r="D764" s="1645" t="s">
        <v>4905</v>
      </c>
      <c r="E764" s="1646" t="s">
        <v>2797</v>
      </c>
      <c r="F764" s="1645">
        <f t="shared" si="46"/>
        <v>1970</v>
      </c>
      <c r="G764" s="1647">
        <v>25590</v>
      </c>
      <c r="H764" s="1644" t="s">
        <v>4719</v>
      </c>
      <c r="I764" s="1648" t="s">
        <v>3629</v>
      </c>
      <c r="J764" s="1645" t="s">
        <v>37</v>
      </c>
      <c r="K764" s="1645">
        <v>0</v>
      </c>
      <c r="L764" s="1645" t="s">
        <v>2824</v>
      </c>
      <c r="M764" s="1645" t="s">
        <v>2824</v>
      </c>
      <c r="N764" s="1645"/>
      <c r="O764" s="1645" t="s">
        <v>3645</v>
      </c>
      <c r="P764" s="1649"/>
      <c r="Q764" s="1645"/>
      <c r="R764" s="1644" t="s">
        <v>3683</v>
      </c>
      <c r="S764" s="1644"/>
      <c r="T764" s="1644"/>
      <c r="U764" s="1644" t="s">
        <v>4867</v>
      </c>
      <c r="V764" s="1644"/>
      <c r="W764" s="1650" t="s">
        <v>3653</v>
      </c>
      <c r="X764" s="1644"/>
      <c r="Y764" s="1647">
        <v>38118</v>
      </c>
      <c r="Z764" s="1647">
        <v>38487</v>
      </c>
      <c r="AA764" s="1650">
        <f t="shared" ca="1" si="43"/>
        <v>5.25</v>
      </c>
      <c r="AB764" s="2444" t="s">
        <v>3629</v>
      </c>
      <c r="AC764" s="2445"/>
      <c r="AD764" s="2438"/>
    </row>
    <row r="765" spans="1:30" ht="15.75" hidden="1" customHeight="1">
      <c r="A765" s="1644">
        <f t="shared" si="29"/>
        <v>167</v>
      </c>
      <c r="B765" s="1645" t="s">
        <v>4915</v>
      </c>
      <c r="C765" s="1645" t="s">
        <v>4863</v>
      </c>
      <c r="D765" s="1645" t="s">
        <v>4905</v>
      </c>
      <c r="E765" s="1646" t="s">
        <v>2798</v>
      </c>
      <c r="F765" s="1645">
        <f t="shared" si="46"/>
        <v>1985</v>
      </c>
      <c r="G765" s="1647">
        <v>31365</v>
      </c>
      <c r="H765" s="1644" t="s">
        <v>4719</v>
      </c>
      <c r="I765" s="1648" t="s">
        <v>3629</v>
      </c>
      <c r="J765" s="1645" t="s">
        <v>38</v>
      </c>
      <c r="K765" s="1645">
        <v>0</v>
      </c>
      <c r="L765" s="1645" t="s">
        <v>2824</v>
      </c>
      <c r="M765" s="1645" t="s">
        <v>2824</v>
      </c>
      <c r="N765" s="1645"/>
      <c r="O765" s="1645" t="s">
        <v>244</v>
      </c>
      <c r="P765" s="1649"/>
      <c r="Q765" s="1645"/>
      <c r="R765" s="1647" t="s">
        <v>3683</v>
      </c>
      <c r="S765" s="1644"/>
      <c r="T765" s="1644"/>
      <c r="U765" s="1644" t="s">
        <v>4867</v>
      </c>
      <c r="V765" s="1644"/>
      <c r="W765" s="1644">
        <v>0</v>
      </c>
      <c r="X765" s="1644"/>
      <c r="Y765" s="1647">
        <v>38516</v>
      </c>
      <c r="Z765" s="1647">
        <v>38850</v>
      </c>
      <c r="AA765" s="1650">
        <f t="shared" ca="1" si="43"/>
        <v>16.083333333333332</v>
      </c>
      <c r="AB765" s="2444" t="s">
        <v>3629</v>
      </c>
      <c r="AC765" s="2445"/>
      <c r="AD765" s="2438"/>
    </row>
    <row r="766" spans="1:30" ht="15.75" hidden="1" customHeight="1">
      <c r="A766" s="1644">
        <f t="shared" si="29"/>
        <v>167</v>
      </c>
      <c r="B766" s="1645" t="s">
        <v>4916</v>
      </c>
      <c r="C766" s="1645" t="s">
        <v>4863</v>
      </c>
      <c r="D766" s="1645" t="s">
        <v>4905</v>
      </c>
      <c r="E766" s="1644" t="s">
        <v>2798</v>
      </c>
      <c r="F766" s="1645">
        <f t="shared" si="46"/>
        <v>1980</v>
      </c>
      <c r="G766" s="1647">
        <v>29548</v>
      </c>
      <c r="H766" s="1644" t="s">
        <v>4872</v>
      </c>
      <c r="I766" s="1648" t="s">
        <v>3629</v>
      </c>
      <c r="J766" s="1645" t="s">
        <v>37</v>
      </c>
      <c r="K766" s="1645">
        <v>0</v>
      </c>
      <c r="L766" s="1645" t="s">
        <v>2824</v>
      </c>
      <c r="M766" s="1645" t="s">
        <v>4010</v>
      </c>
      <c r="N766" s="1645"/>
      <c r="O766" s="1645" t="s">
        <v>3645</v>
      </c>
      <c r="P766" s="1649"/>
      <c r="Q766" s="1645"/>
      <c r="R766" s="1647" t="s">
        <v>3683</v>
      </c>
      <c r="S766" s="1644"/>
      <c r="T766" s="1644"/>
      <c r="U766" s="1644" t="s">
        <v>4867</v>
      </c>
      <c r="V766" s="1644"/>
      <c r="W766" s="1644">
        <v>0</v>
      </c>
      <c r="X766" s="1644"/>
      <c r="Y766" s="1647"/>
      <c r="Z766" s="1647"/>
      <c r="AA766" s="1650">
        <f t="shared" ca="1" si="43"/>
        <v>11.083333333333334</v>
      </c>
      <c r="AB766" s="2444" t="s">
        <v>3629</v>
      </c>
      <c r="AC766" s="2445"/>
      <c r="AD766" s="2438"/>
    </row>
    <row r="767" spans="1:30" ht="15.75" hidden="1" customHeight="1">
      <c r="A767" s="1644">
        <f t="shared" si="29"/>
        <v>167</v>
      </c>
      <c r="B767" s="1645" t="s">
        <v>4917</v>
      </c>
      <c r="C767" s="1645" t="s">
        <v>4863</v>
      </c>
      <c r="D767" s="1645" t="s">
        <v>4905</v>
      </c>
      <c r="E767" s="1644" t="s">
        <v>2798</v>
      </c>
      <c r="F767" s="1645">
        <v>1979</v>
      </c>
      <c r="G767" s="1647">
        <v>29128</v>
      </c>
      <c r="H767" s="1644" t="s">
        <v>4872</v>
      </c>
      <c r="I767" s="1648" t="s">
        <v>3629</v>
      </c>
      <c r="J767" s="1645" t="s">
        <v>37</v>
      </c>
      <c r="K767" s="1645">
        <v>0</v>
      </c>
      <c r="L767" s="1645" t="s">
        <v>2824</v>
      </c>
      <c r="M767" s="1645" t="s">
        <v>2824</v>
      </c>
      <c r="N767" s="1645"/>
      <c r="O767" s="1645" t="s">
        <v>3645</v>
      </c>
      <c r="P767" s="1649"/>
      <c r="Q767" s="1645"/>
      <c r="R767" s="1647" t="s">
        <v>3683</v>
      </c>
      <c r="S767" s="1644"/>
      <c r="T767" s="1644"/>
      <c r="U767" s="1644" t="s">
        <v>4867</v>
      </c>
      <c r="V767" s="1644"/>
      <c r="W767" s="1644">
        <v>0</v>
      </c>
      <c r="X767" s="1644"/>
      <c r="Y767" s="1647">
        <v>37064</v>
      </c>
      <c r="Z767" s="1647">
        <v>37429</v>
      </c>
      <c r="AA767" s="1650">
        <f t="shared" ca="1" si="43"/>
        <v>9.9166666666666661</v>
      </c>
      <c r="AB767" s="2444" t="s">
        <v>3629</v>
      </c>
      <c r="AC767" s="2445"/>
      <c r="AD767" s="2438"/>
    </row>
    <row r="768" spans="1:30" ht="15.75" hidden="1" customHeight="1">
      <c r="A768" s="1644">
        <f t="shared" si="29"/>
        <v>167</v>
      </c>
      <c r="B768" s="1645" t="s">
        <v>4918</v>
      </c>
      <c r="C768" s="1645" t="s">
        <v>4863</v>
      </c>
      <c r="D768" s="1645" t="s">
        <v>4905</v>
      </c>
      <c r="E768" s="1644" t="s">
        <v>2798</v>
      </c>
      <c r="F768" s="1645">
        <f t="shared" ref="F768:F773" si="47">YEAR(G768)</f>
        <v>1980</v>
      </c>
      <c r="G768" s="1647">
        <v>29383</v>
      </c>
      <c r="H768" s="1644" t="s">
        <v>4872</v>
      </c>
      <c r="I768" s="1648" t="s">
        <v>3629</v>
      </c>
      <c r="J768" s="1645" t="s">
        <v>37</v>
      </c>
      <c r="K768" s="1645">
        <v>0</v>
      </c>
      <c r="L768" s="1645" t="s">
        <v>2824</v>
      </c>
      <c r="M768" s="1645" t="s">
        <v>1766</v>
      </c>
      <c r="N768" s="1645"/>
      <c r="O768" s="1645" t="s">
        <v>3645</v>
      </c>
      <c r="P768" s="1649"/>
      <c r="Q768" s="1645"/>
      <c r="R768" s="1647" t="s">
        <v>3683</v>
      </c>
      <c r="S768" s="1644" t="s">
        <v>3795</v>
      </c>
      <c r="T768" s="1644"/>
      <c r="U768" s="1644" t="s">
        <v>4867</v>
      </c>
      <c r="V768" s="1644"/>
      <c r="W768" s="1644">
        <v>0</v>
      </c>
      <c r="X768" s="1644"/>
      <c r="Y768" s="1647">
        <v>41466</v>
      </c>
      <c r="Z768" s="1647">
        <v>41831</v>
      </c>
      <c r="AA768" s="1650">
        <f t="shared" ca="1" si="43"/>
        <v>10.666666666666666</v>
      </c>
      <c r="AB768" s="2444" t="s">
        <v>3629</v>
      </c>
      <c r="AC768" s="2445"/>
      <c r="AD768" s="2438"/>
    </row>
    <row r="769" spans="1:30" ht="15.75" hidden="1" customHeight="1">
      <c r="A769" s="1644">
        <f t="shared" si="29"/>
        <v>167</v>
      </c>
      <c r="B769" s="1645" t="s">
        <v>4919</v>
      </c>
      <c r="C769" s="1645" t="s">
        <v>4863</v>
      </c>
      <c r="D769" s="1645" t="s">
        <v>4905</v>
      </c>
      <c r="E769" s="1646" t="s">
        <v>2797</v>
      </c>
      <c r="F769" s="1645">
        <f t="shared" si="47"/>
        <v>1983</v>
      </c>
      <c r="G769" s="1647">
        <v>30330</v>
      </c>
      <c r="H769" s="1644" t="s">
        <v>4719</v>
      </c>
      <c r="I769" s="1648" t="s">
        <v>3629</v>
      </c>
      <c r="J769" s="1645" t="s">
        <v>38</v>
      </c>
      <c r="K769" s="1645">
        <v>0</v>
      </c>
      <c r="L769" s="1645" t="s">
        <v>2824</v>
      </c>
      <c r="M769" s="1645" t="s">
        <v>2824</v>
      </c>
      <c r="N769" s="1645"/>
      <c r="O769" s="1645" t="s">
        <v>2824</v>
      </c>
      <c r="P769" s="1649">
        <v>43922</v>
      </c>
      <c r="Q769" s="1645"/>
      <c r="R769" s="1647" t="s">
        <v>4203</v>
      </c>
      <c r="S769" s="1644"/>
      <c r="T769" s="1644"/>
      <c r="U769" s="1644"/>
      <c r="V769" s="1644"/>
      <c r="W769" s="1644">
        <v>0</v>
      </c>
      <c r="X769" s="1644" t="s">
        <v>3633</v>
      </c>
      <c r="Y769" s="1647">
        <v>41053</v>
      </c>
      <c r="Z769" s="1647">
        <v>41418</v>
      </c>
      <c r="AA769" s="1650">
        <f t="shared" ca="1" si="43"/>
        <v>18.25</v>
      </c>
      <c r="AB769" s="2444" t="s">
        <v>3629</v>
      </c>
      <c r="AC769" s="2445"/>
      <c r="AD769" s="2438"/>
    </row>
    <row r="770" spans="1:30" ht="15.75" hidden="1" customHeight="1">
      <c r="A770" s="1644">
        <f t="shared" si="29"/>
        <v>167</v>
      </c>
      <c r="B770" s="1645" t="s">
        <v>4920</v>
      </c>
      <c r="C770" s="1645" t="s">
        <v>4863</v>
      </c>
      <c r="D770" s="1645" t="s">
        <v>4905</v>
      </c>
      <c r="E770" s="1646" t="s">
        <v>2797</v>
      </c>
      <c r="F770" s="1645">
        <f t="shared" si="47"/>
        <v>1981</v>
      </c>
      <c r="G770" s="1647">
        <v>29844</v>
      </c>
      <c r="H770" s="1644" t="s">
        <v>4872</v>
      </c>
      <c r="I770" s="1648" t="s">
        <v>3629</v>
      </c>
      <c r="J770" s="1645" t="s">
        <v>37</v>
      </c>
      <c r="K770" s="1645">
        <v>0</v>
      </c>
      <c r="L770" s="1645" t="s">
        <v>4921</v>
      </c>
      <c r="M770" s="1645" t="s">
        <v>2824</v>
      </c>
      <c r="N770" s="1645"/>
      <c r="O770" s="1645" t="s">
        <v>3645</v>
      </c>
      <c r="P770" s="1649"/>
      <c r="Q770" s="1645"/>
      <c r="R770" s="1644"/>
      <c r="S770" s="1644"/>
      <c r="T770" s="1644">
        <v>0</v>
      </c>
      <c r="U770" s="1644" t="s">
        <v>4867</v>
      </c>
      <c r="V770" s="1644"/>
      <c r="W770" s="1650" t="s">
        <v>3646</v>
      </c>
      <c r="X770" s="1644"/>
      <c r="Y770" s="1647">
        <v>38154</v>
      </c>
      <c r="Z770" s="1647">
        <v>38519</v>
      </c>
      <c r="AA770" s="1650">
        <f t="shared" ca="1" si="43"/>
        <v>16.916666666666668</v>
      </c>
      <c r="AB770" s="2444" t="s">
        <v>3629</v>
      </c>
      <c r="AC770" s="2445"/>
      <c r="AD770" s="2438"/>
    </row>
    <row r="771" spans="1:30" ht="15.75" hidden="1" customHeight="1">
      <c r="A771" s="1644">
        <f t="shared" ref="A771:A1014" si="48">+SUBTOTAL(3,$C$6:C771)</f>
        <v>167</v>
      </c>
      <c r="B771" s="1645" t="s">
        <v>4922</v>
      </c>
      <c r="C771" s="1645" t="s">
        <v>4863</v>
      </c>
      <c r="D771" s="1645" t="s">
        <v>4905</v>
      </c>
      <c r="E771" s="1644" t="s">
        <v>2797</v>
      </c>
      <c r="F771" s="1645">
        <f t="shared" si="47"/>
        <v>1978</v>
      </c>
      <c r="G771" s="1647">
        <v>28772</v>
      </c>
      <c r="H771" s="1644" t="s">
        <v>4719</v>
      </c>
      <c r="I771" s="1648" t="s">
        <v>3629</v>
      </c>
      <c r="J771" s="1645" t="s">
        <v>37</v>
      </c>
      <c r="K771" s="1645">
        <v>0</v>
      </c>
      <c r="L771" s="1645" t="s">
        <v>2824</v>
      </c>
      <c r="M771" s="1645" t="s">
        <v>4809</v>
      </c>
      <c r="N771" s="1645"/>
      <c r="O771" s="1645" t="s">
        <v>3645</v>
      </c>
      <c r="P771" s="1649"/>
      <c r="Q771" s="1645"/>
      <c r="R771" s="1647" t="s">
        <v>3710</v>
      </c>
      <c r="S771" s="1644" t="s">
        <v>3743</v>
      </c>
      <c r="T771" s="1644"/>
      <c r="U771" s="1644" t="s">
        <v>4867</v>
      </c>
      <c r="V771" s="1644"/>
      <c r="W771" s="1644">
        <v>0</v>
      </c>
      <c r="X771" s="1644"/>
      <c r="Y771" s="1647">
        <v>41559</v>
      </c>
      <c r="Z771" s="1647">
        <v>41924</v>
      </c>
      <c r="AA771" s="1650">
        <f t="shared" ca="1" si="43"/>
        <v>14</v>
      </c>
      <c r="AB771" s="2444" t="s">
        <v>3629</v>
      </c>
      <c r="AC771" s="2445"/>
      <c r="AD771" s="2438"/>
    </row>
    <row r="772" spans="1:30" ht="15.75" hidden="1" customHeight="1">
      <c r="A772" s="1644">
        <f t="shared" si="48"/>
        <v>167</v>
      </c>
      <c r="B772" s="1645" t="s">
        <v>4923</v>
      </c>
      <c r="C772" s="1645" t="s">
        <v>4863</v>
      </c>
      <c r="D772" s="1645" t="s">
        <v>4905</v>
      </c>
      <c r="E772" s="1646" t="s">
        <v>2797</v>
      </c>
      <c r="F772" s="1645">
        <f t="shared" si="47"/>
        <v>1970</v>
      </c>
      <c r="G772" s="1647">
        <v>25778</v>
      </c>
      <c r="H772" s="1644" t="s">
        <v>4924</v>
      </c>
      <c r="I772" s="1648" t="s">
        <v>3629</v>
      </c>
      <c r="J772" s="1645" t="s">
        <v>38</v>
      </c>
      <c r="K772" s="1645">
        <v>0</v>
      </c>
      <c r="L772" s="1645" t="s">
        <v>2824</v>
      </c>
      <c r="M772" s="1645" t="s">
        <v>4020</v>
      </c>
      <c r="N772" s="1645"/>
      <c r="O772" s="1645" t="s">
        <v>4925</v>
      </c>
      <c r="P772" s="1649"/>
      <c r="Q772" s="1645"/>
      <c r="R772" s="1644" t="s">
        <v>3683</v>
      </c>
      <c r="S772" s="1644"/>
      <c r="T772" s="1644" t="s">
        <v>936</v>
      </c>
      <c r="U772" s="1644"/>
      <c r="V772" s="1644"/>
      <c r="W772" s="1644">
        <v>0</v>
      </c>
      <c r="X772" s="1644"/>
      <c r="Y772" s="1647">
        <v>36962</v>
      </c>
      <c r="Z772" s="1647">
        <v>37327</v>
      </c>
      <c r="AA772" s="1650">
        <f t="shared" ca="1" si="43"/>
        <v>5.75</v>
      </c>
      <c r="AB772" s="2444" t="s">
        <v>3629</v>
      </c>
      <c r="AC772" s="2445"/>
      <c r="AD772" s="2438"/>
    </row>
    <row r="773" spans="1:30" ht="15.75" hidden="1" customHeight="1">
      <c r="A773" s="1644">
        <f t="shared" si="48"/>
        <v>167</v>
      </c>
      <c r="B773" s="1645" t="s">
        <v>4926</v>
      </c>
      <c r="C773" s="1645" t="s">
        <v>4863</v>
      </c>
      <c r="D773" s="1645" t="s">
        <v>4927</v>
      </c>
      <c r="E773" s="1644" t="s">
        <v>2797</v>
      </c>
      <c r="F773" s="1645">
        <f t="shared" si="47"/>
        <v>1973</v>
      </c>
      <c r="G773" s="1647">
        <v>26893</v>
      </c>
      <c r="H773" s="1644" t="s">
        <v>4719</v>
      </c>
      <c r="I773" s="1648" t="s">
        <v>3629</v>
      </c>
      <c r="J773" s="1645" t="s">
        <v>38</v>
      </c>
      <c r="K773" s="1645">
        <v>0</v>
      </c>
      <c r="L773" s="1645" t="s">
        <v>1733</v>
      </c>
      <c r="M773" s="1645" t="s">
        <v>1733</v>
      </c>
      <c r="N773" s="1645"/>
      <c r="O773" s="1645" t="s">
        <v>4834</v>
      </c>
      <c r="P773" s="1649"/>
      <c r="Q773" s="1645"/>
      <c r="R773" s="1644" t="s">
        <v>3699</v>
      </c>
      <c r="S773" s="1644"/>
      <c r="T773" s="1644"/>
      <c r="U773" s="1644" t="s">
        <v>4867</v>
      </c>
      <c r="V773" s="1644"/>
      <c r="W773" s="1644">
        <v>0</v>
      </c>
      <c r="X773" s="1644"/>
      <c r="Y773" s="1647">
        <v>38118</v>
      </c>
      <c r="Z773" s="1647">
        <v>38483</v>
      </c>
      <c r="AA773" s="1650">
        <f t="shared" ca="1" si="43"/>
        <v>8.8333333333333339</v>
      </c>
      <c r="AB773" s="2444" t="s">
        <v>3629</v>
      </c>
      <c r="AC773" s="2445"/>
      <c r="AD773" s="2438"/>
    </row>
    <row r="774" spans="1:30" ht="15.75" hidden="1" customHeight="1">
      <c r="A774" s="1644">
        <f t="shared" si="48"/>
        <v>167</v>
      </c>
      <c r="B774" s="1645" t="s">
        <v>4928</v>
      </c>
      <c r="C774" s="1645" t="s">
        <v>4863</v>
      </c>
      <c r="D774" s="1645" t="s">
        <v>4927</v>
      </c>
      <c r="E774" s="1646" t="s">
        <v>2798</v>
      </c>
      <c r="F774" s="1645">
        <v>1972</v>
      </c>
      <c r="G774" s="1647">
        <v>26644</v>
      </c>
      <c r="H774" s="1644" t="s">
        <v>4872</v>
      </c>
      <c r="I774" s="1648" t="s">
        <v>3629</v>
      </c>
      <c r="J774" s="1645" t="s">
        <v>37</v>
      </c>
      <c r="K774" s="1645">
        <v>0</v>
      </c>
      <c r="L774" s="1645" t="s">
        <v>1701</v>
      </c>
      <c r="M774" s="1645" t="s">
        <v>1701</v>
      </c>
      <c r="N774" s="1645"/>
      <c r="O774" s="1645" t="s">
        <v>3645</v>
      </c>
      <c r="P774" s="1649"/>
      <c r="Q774" s="1645"/>
      <c r="R774" s="1644"/>
      <c r="S774" s="1644"/>
      <c r="T774" s="1644"/>
      <c r="U774" s="1644" t="s">
        <v>4867</v>
      </c>
      <c r="V774" s="1644"/>
      <c r="W774" s="1644" t="s">
        <v>3687</v>
      </c>
      <c r="X774" s="1644"/>
      <c r="Y774" s="1647">
        <v>37363</v>
      </c>
      <c r="Z774" s="1647">
        <v>37728</v>
      </c>
      <c r="AA774" s="1650">
        <f t="shared" ca="1" si="43"/>
        <v>3.1666666666666665</v>
      </c>
      <c r="AB774" s="2444" t="s">
        <v>3629</v>
      </c>
      <c r="AC774" s="2445"/>
      <c r="AD774" s="2438"/>
    </row>
    <row r="775" spans="1:30" ht="15.75" hidden="1" customHeight="1">
      <c r="A775" s="1644">
        <f t="shared" si="48"/>
        <v>167</v>
      </c>
      <c r="B775" s="1645" t="s">
        <v>4929</v>
      </c>
      <c r="C775" s="1645" t="s">
        <v>4863</v>
      </c>
      <c r="D775" s="1645" t="s">
        <v>4927</v>
      </c>
      <c r="E775" s="1644" t="s">
        <v>2798</v>
      </c>
      <c r="F775" s="1645">
        <f t="shared" ref="F775:F804" si="49">YEAR(G775)</f>
        <v>1973</v>
      </c>
      <c r="G775" s="1647">
        <v>26971</v>
      </c>
      <c r="H775" s="1644" t="s">
        <v>4924</v>
      </c>
      <c r="I775" s="1648" t="s">
        <v>3629</v>
      </c>
      <c r="J775" s="1645" t="s">
        <v>38</v>
      </c>
      <c r="K775" s="1645">
        <v>0</v>
      </c>
      <c r="L775" s="1645" t="s">
        <v>1664</v>
      </c>
      <c r="M775" s="1645" t="s">
        <v>1664</v>
      </c>
      <c r="N775" s="1645"/>
      <c r="O775" s="1645" t="s">
        <v>4930</v>
      </c>
      <c r="P775" s="1649"/>
      <c r="Q775" s="1645"/>
      <c r="R775" s="1647" t="s">
        <v>3683</v>
      </c>
      <c r="S775" s="1644"/>
      <c r="T775" s="1644"/>
      <c r="U775" s="1644"/>
      <c r="V775" s="1644"/>
      <c r="W775" s="1650" t="s">
        <v>3653</v>
      </c>
      <c r="X775" s="1644"/>
      <c r="Y775" s="1647">
        <v>37644</v>
      </c>
      <c r="Z775" s="1647">
        <v>38009</v>
      </c>
      <c r="AA775" s="1650">
        <f t="shared" ca="1" si="43"/>
        <v>4.083333333333333</v>
      </c>
      <c r="AB775" s="2444" t="s">
        <v>3629</v>
      </c>
      <c r="AC775" s="2445"/>
      <c r="AD775" s="2438"/>
    </row>
    <row r="776" spans="1:30" ht="15.75" hidden="1" customHeight="1">
      <c r="A776" s="1644">
        <f t="shared" si="48"/>
        <v>167</v>
      </c>
      <c r="B776" s="1645" t="s">
        <v>4931</v>
      </c>
      <c r="C776" s="1645" t="s">
        <v>4863</v>
      </c>
      <c r="D776" s="1645" t="s">
        <v>4932</v>
      </c>
      <c r="E776" s="1644" t="s">
        <v>2798</v>
      </c>
      <c r="F776" s="1645">
        <f t="shared" si="49"/>
        <v>1985</v>
      </c>
      <c r="G776" s="1647">
        <v>31393</v>
      </c>
      <c r="H776" s="1644" t="s">
        <v>4719</v>
      </c>
      <c r="I776" s="1648" t="s">
        <v>3629</v>
      </c>
      <c r="J776" s="1645" t="s">
        <v>37</v>
      </c>
      <c r="K776" s="1645">
        <v>0</v>
      </c>
      <c r="L776" s="1645" t="s">
        <v>3268</v>
      </c>
      <c r="M776" s="1645" t="s">
        <v>3961</v>
      </c>
      <c r="N776" s="1645"/>
      <c r="O776" s="1645" t="s">
        <v>3645</v>
      </c>
      <c r="P776" s="1649"/>
      <c r="Q776" s="1645"/>
      <c r="R776" s="1647" t="s">
        <v>3699</v>
      </c>
      <c r="S776" s="1644"/>
      <c r="T776" s="1644"/>
      <c r="U776" s="1644" t="s">
        <v>4867</v>
      </c>
      <c r="V776" s="1644"/>
      <c r="W776" s="1644">
        <v>0</v>
      </c>
      <c r="X776" s="1644"/>
      <c r="Y776" s="1647">
        <v>38851</v>
      </c>
      <c r="Z776" s="1647">
        <v>39216</v>
      </c>
      <c r="AA776" s="1650">
        <f t="shared" ca="1" si="43"/>
        <v>16.166666666666668</v>
      </c>
      <c r="AB776" s="2444" t="s">
        <v>3629</v>
      </c>
      <c r="AC776" s="2445"/>
      <c r="AD776" s="2438"/>
    </row>
    <row r="777" spans="1:30" ht="15.75" hidden="1" customHeight="1">
      <c r="A777" s="1644">
        <f t="shared" si="48"/>
        <v>167</v>
      </c>
      <c r="B777" s="1645" t="s">
        <v>4933</v>
      </c>
      <c r="C777" s="1645" t="s">
        <v>4863</v>
      </c>
      <c r="D777" s="1645" t="s">
        <v>4932</v>
      </c>
      <c r="E777" s="1646" t="s">
        <v>2798</v>
      </c>
      <c r="F777" s="1645">
        <f t="shared" si="49"/>
        <v>1985</v>
      </c>
      <c r="G777" s="1647">
        <v>31077</v>
      </c>
      <c r="H777" s="1644" t="s">
        <v>4719</v>
      </c>
      <c r="I777" s="1648" t="s">
        <v>3629</v>
      </c>
      <c r="J777" s="1645" t="s">
        <v>37</v>
      </c>
      <c r="K777" s="1645">
        <v>0</v>
      </c>
      <c r="L777" s="1645" t="s">
        <v>3961</v>
      </c>
      <c r="M777" s="1645">
        <v>0</v>
      </c>
      <c r="N777" s="1645"/>
      <c r="O777" s="1645" t="s">
        <v>3645</v>
      </c>
      <c r="P777" s="1649"/>
      <c r="Q777" s="1645"/>
      <c r="R777" s="1647" t="s">
        <v>3683</v>
      </c>
      <c r="S777" s="1644"/>
      <c r="T777" s="1644"/>
      <c r="U777" s="1644" t="s">
        <v>4867</v>
      </c>
      <c r="V777" s="1644"/>
      <c r="W777" s="1644" t="s">
        <v>3968</v>
      </c>
      <c r="X777" s="1644"/>
      <c r="Y777" s="1647"/>
      <c r="Z777" s="1647"/>
      <c r="AA777" s="1650">
        <f t="shared" ca="1" si="43"/>
        <v>15.25</v>
      </c>
      <c r="AB777" s="2444" t="s">
        <v>3629</v>
      </c>
      <c r="AC777" s="2445"/>
      <c r="AD777" s="2438"/>
    </row>
    <row r="778" spans="1:30" ht="15.75" hidden="1" customHeight="1">
      <c r="A778" s="1644">
        <f t="shared" si="48"/>
        <v>167</v>
      </c>
      <c r="B778" s="1645" t="s">
        <v>4934</v>
      </c>
      <c r="C778" s="1645" t="s">
        <v>4863</v>
      </c>
      <c r="D778" s="1645" t="s">
        <v>4932</v>
      </c>
      <c r="E778" s="1646" t="s">
        <v>2798</v>
      </c>
      <c r="F778" s="1645">
        <f t="shared" si="49"/>
        <v>1980</v>
      </c>
      <c r="G778" s="1647">
        <v>29317</v>
      </c>
      <c r="H778" s="1644" t="s">
        <v>4872</v>
      </c>
      <c r="I778" s="1648" t="s">
        <v>3629</v>
      </c>
      <c r="J778" s="1645" t="s">
        <v>37</v>
      </c>
      <c r="K778" s="1645">
        <v>0</v>
      </c>
      <c r="L778" s="1645" t="s">
        <v>3268</v>
      </c>
      <c r="M778" s="1645" t="s">
        <v>3961</v>
      </c>
      <c r="N778" s="1645"/>
      <c r="O778" s="1645" t="s">
        <v>3645</v>
      </c>
      <c r="P778" s="1649"/>
      <c r="Q778" s="1645"/>
      <c r="R778" s="1647" t="s">
        <v>3683</v>
      </c>
      <c r="S778" s="1644"/>
      <c r="T778" s="1644"/>
      <c r="U778" s="1644" t="s">
        <v>4867</v>
      </c>
      <c r="V778" s="1644"/>
      <c r="W778" s="1644">
        <v>0</v>
      </c>
      <c r="X778" s="1644"/>
      <c r="Y778" s="1647">
        <v>41776</v>
      </c>
      <c r="Z778" s="1647">
        <v>42141</v>
      </c>
      <c r="AA778" s="1650">
        <f t="shared" ca="1" si="43"/>
        <v>10.5</v>
      </c>
      <c r="AB778" s="2444" t="s">
        <v>3629</v>
      </c>
      <c r="AC778" s="2445"/>
      <c r="AD778" s="2438"/>
    </row>
    <row r="779" spans="1:30" ht="15.75" hidden="1" customHeight="1">
      <c r="A779" s="1644">
        <f t="shared" si="48"/>
        <v>167</v>
      </c>
      <c r="B779" s="1645" t="s">
        <v>4935</v>
      </c>
      <c r="C779" s="1645" t="s">
        <v>4863</v>
      </c>
      <c r="D779" s="1645" t="s">
        <v>4932</v>
      </c>
      <c r="E779" s="1644" t="s">
        <v>2798</v>
      </c>
      <c r="F779" s="1645">
        <f t="shared" si="49"/>
        <v>1981</v>
      </c>
      <c r="G779" s="1647">
        <v>29894</v>
      </c>
      <c r="H779" s="1644" t="s">
        <v>4872</v>
      </c>
      <c r="I779" s="1648" t="s">
        <v>3629</v>
      </c>
      <c r="J779" s="1645" t="s">
        <v>37</v>
      </c>
      <c r="K779" s="1645">
        <v>0</v>
      </c>
      <c r="L779" s="1645" t="s">
        <v>3268</v>
      </c>
      <c r="M779" s="1645" t="s">
        <v>3961</v>
      </c>
      <c r="N779" s="1645"/>
      <c r="O779" s="1645" t="s">
        <v>3645</v>
      </c>
      <c r="P779" s="1649"/>
      <c r="Q779" s="1645"/>
      <c r="R779" s="1647" t="s">
        <v>3699</v>
      </c>
      <c r="S779" s="1644"/>
      <c r="T779" s="1644"/>
      <c r="U779" s="1644" t="s">
        <v>4867</v>
      </c>
      <c r="V779" s="1644"/>
      <c r="W779" s="1644">
        <v>0</v>
      </c>
      <c r="X779" s="1644"/>
      <c r="Y779" s="1647">
        <v>41053</v>
      </c>
      <c r="Z779" s="1647">
        <v>41418</v>
      </c>
      <c r="AA779" s="1650">
        <f t="shared" ca="1" si="43"/>
        <v>12.083333333333334</v>
      </c>
      <c r="AB779" s="2444" t="s">
        <v>3629</v>
      </c>
      <c r="AC779" s="2445"/>
      <c r="AD779" s="2438"/>
    </row>
    <row r="780" spans="1:30" ht="15.75" hidden="1" customHeight="1">
      <c r="A780" s="1644">
        <f t="shared" si="48"/>
        <v>167</v>
      </c>
      <c r="B780" s="1645" t="s">
        <v>4936</v>
      </c>
      <c r="C780" s="1645" t="s">
        <v>4863</v>
      </c>
      <c r="D780" s="1645" t="s">
        <v>4937</v>
      </c>
      <c r="E780" s="1646" t="s">
        <v>2798</v>
      </c>
      <c r="F780" s="1645">
        <f t="shared" si="49"/>
        <v>1979</v>
      </c>
      <c r="G780" s="1647">
        <v>28898</v>
      </c>
      <c r="H780" s="1644" t="s">
        <v>4719</v>
      </c>
      <c r="I780" s="1648" t="s">
        <v>3629</v>
      </c>
      <c r="J780" s="1645" t="s">
        <v>37</v>
      </c>
      <c r="K780" s="1645">
        <v>0</v>
      </c>
      <c r="L780" s="1645" t="s">
        <v>3268</v>
      </c>
      <c r="M780" s="1645" t="s">
        <v>3268</v>
      </c>
      <c r="N780" s="1645"/>
      <c r="O780" s="1645" t="s">
        <v>3645</v>
      </c>
      <c r="P780" s="1649"/>
      <c r="Q780" s="1645"/>
      <c r="R780" s="1647" t="s">
        <v>3699</v>
      </c>
      <c r="S780" s="1644"/>
      <c r="T780" s="1644"/>
      <c r="U780" s="1644" t="s">
        <v>4867</v>
      </c>
      <c r="V780" s="1644"/>
      <c r="W780" s="1650" t="s">
        <v>3653</v>
      </c>
      <c r="X780" s="1644"/>
      <c r="Y780" s="1647"/>
      <c r="Z780" s="1647"/>
      <c r="AA780" s="1650">
        <f t="shared" ca="1" si="43"/>
        <v>9.3333333333333339</v>
      </c>
      <c r="AB780" s="2444" t="s">
        <v>3629</v>
      </c>
      <c r="AC780" s="2445"/>
      <c r="AD780" s="2438"/>
    </row>
    <row r="781" spans="1:30" ht="15.75" hidden="1" customHeight="1">
      <c r="A781" s="1644">
        <f t="shared" si="48"/>
        <v>167</v>
      </c>
      <c r="B781" s="1645" t="s">
        <v>4938</v>
      </c>
      <c r="C781" s="1645" t="s">
        <v>4863</v>
      </c>
      <c r="D781" s="1645" t="s">
        <v>4932</v>
      </c>
      <c r="E781" s="1644" t="s">
        <v>2798</v>
      </c>
      <c r="F781" s="1645">
        <f t="shared" si="49"/>
        <v>1977</v>
      </c>
      <c r="G781" s="1647">
        <v>28176</v>
      </c>
      <c r="H781" s="1644" t="s">
        <v>4872</v>
      </c>
      <c r="I781" s="1648" t="s">
        <v>3629</v>
      </c>
      <c r="J781" s="1645" t="s">
        <v>37</v>
      </c>
      <c r="K781" s="1645">
        <v>0</v>
      </c>
      <c r="L781" s="1645" t="s">
        <v>3268</v>
      </c>
      <c r="M781" s="1645" t="s">
        <v>3961</v>
      </c>
      <c r="N781" s="1645"/>
      <c r="O781" s="1645" t="s">
        <v>3645</v>
      </c>
      <c r="P781" s="1649"/>
      <c r="Q781" s="1645"/>
      <c r="R781" s="1644"/>
      <c r="S781" s="1644"/>
      <c r="T781" s="1644"/>
      <c r="U781" s="1644" t="s">
        <v>4867</v>
      </c>
      <c r="V781" s="1644"/>
      <c r="W781" s="1644">
        <v>0</v>
      </c>
      <c r="X781" s="1644"/>
      <c r="Y781" s="1647">
        <v>40700</v>
      </c>
      <c r="Z781" s="1647">
        <v>41066</v>
      </c>
      <c r="AA781" s="1650">
        <f t="shared" ca="1" si="43"/>
        <v>7.333333333333333</v>
      </c>
      <c r="AB781" s="2444" t="s">
        <v>3629</v>
      </c>
      <c r="AC781" s="2445"/>
      <c r="AD781" s="2438"/>
    </row>
    <row r="782" spans="1:30" ht="15.75" hidden="1" customHeight="1">
      <c r="A782" s="1644">
        <f t="shared" si="48"/>
        <v>167</v>
      </c>
      <c r="B782" s="1645" t="s">
        <v>4939</v>
      </c>
      <c r="C782" s="1645" t="s">
        <v>4863</v>
      </c>
      <c r="D782" s="1648" t="s">
        <v>4932</v>
      </c>
      <c r="E782" s="1646" t="s">
        <v>2798</v>
      </c>
      <c r="F782" s="1645">
        <f t="shared" si="49"/>
        <v>1978</v>
      </c>
      <c r="G782" s="1647">
        <v>28647</v>
      </c>
      <c r="H782" s="1644" t="s">
        <v>4872</v>
      </c>
      <c r="I782" s="1648" t="s">
        <v>3629</v>
      </c>
      <c r="J782" s="1645" t="s">
        <v>37</v>
      </c>
      <c r="K782" s="1645">
        <v>0</v>
      </c>
      <c r="L782" s="1645" t="s">
        <v>4448</v>
      </c>
      <c r="M782" s="1645" t="s">
        <v>4448</v>
      </c>
      <c r="N782" s="1645"/>
      <c r="O782" s="1645" t="s">
        <v>3645</v>
      </c>
      <c r="P782" s="1649"/>
      <c r="Q782" s="1645"/>
      <c r="R782" s="1644"/>
      <c r="S782" s="1644"/>
      <c r="T782" s="1644"/>
      <c r="U782" s="1644" t="s">
        <v>4867</v>
      </c>
      <c r="V782" s="1644"/>
      <c r="W782" s="1644">
        <v>0</v>
      </c>
      <c r="X782" s="1644"/>
      <c r="Y782" s="1647">
        <v>38855</v>
      </c>
      <c r="Z782" s="1647">
        <v>39220</v>
      </c>
      <c r="AA782" s="1650">
        <f t="shared" ca="1" si="43"/>
        <v>8.6666666666666661</v>
      </c>
      <c r="AB782" s="2444" t="s">
        <v>3629</v>
      </c>
      <c r="AC782" s="2445"/>
      <c r="AD782" s="2438"/>
    </row>
    <row r="783" spans="1:30" ht="15.75" hidden="1" customHeight="1">
      <c r="A783" s="1644">
        <f t="shared" si="48"/>
        <v>167</v>
      </c>
      <c r="B783" s="1645" t="s">
        <v>4940</v>
      </c>
      <c r="C783" s="1645" t="s">
        <v>4863</v>
      </c>
      <c r="D783" s="1645" t="s">
        <v>4932</v>
      </c>
      <c r="E783" s="1646" t="s">
        <v>2798</v>
      </c>
      <c r="F783" s="1645">
        <f t="shared" si="49"/>
        <v>1982</v>
      </c>
      <c r="G783" s="1647">
        <v>29997</v>
      </c>
      <c r="H783" s="1644" t="s">
        <v>4872</v>
      </c>
      <c r="I783" s="1648" t="s">
        <v>3629</v>
      </c>
      <c r="J783" s="1645" t="s">
        <v>37</v>
      </c>
      <c r="K783" s="1645">
        <v>0</v>
      </c>
      <c r="L783" s="1645" t="s">
        <v>3268</v>
      </c>
      <c r="M783" s="1645" t="s">
        <v>3961</v>
      </c>
      <c r="N783" s="1645"/>
      <c r="O783" s="1645" t="s">
        <v>3645</v>
      </c>
      <c r="P783" s="1649"/>
      <c r="Q783" s="1645"/>
      <c r="R783" s="1647" t="s">
        <v>3683</v>
      </c>
      <c r="S783" s="1644"/>
      <c r="T783" s="1644"/>
      <c r="U783" s="1644" t="s">
        <v>4867</v>
      </c>
      <c r="V783" s="1644"/>
      <c r="W783" s="1644" t="s">
        <v>936</v>
      </c>
      <c r="X783" s="1644"/>
      <c r="Y783" s="1647">
        <v>39060</v>
      </c>
      <c r="Z783" s="1647">
        <v>39425</v>
      </c>
      <c r="AA783" s="1650">
        <f t="shared" ca="1" si="43"/>
        <v>12.333333333333334</v>
      </c>
      <c r="AB783" s="2444" t="s">
        <v>3629</v>
      </c>
      <c r="AC783" s="2445"/>
      <c r="AD783" s="2438"/>
    </row>
    <row r="784" spans="1:30" ht="15.75" hidden="1" customHeight="1">
      <c r="A784" s="1644">
        <f t="shared" si="48"/>
        <v>167</v>
      </c>
      <c r="B784" s="1645" t="s">
        <v>4941</v>
      </c>
      <c r="C784" s="1645" t="s">
        <v>4863</v>
      </c>
      <c r="D784" s="1645" t="s">
        <v>4942</v>
      </c>
      <c r="E784" s="1644" t="s">
        <v>2797</v>
      </c>
      <c r="F784" s="1645">
        <f t="shared" si="49"/>
        <v>1985</v>
      </c>
      <c r="G784" s="1647">
        <v>31105</v>
      </c>
      <c r="H784" s="1644" t="s">
        <v>4719</v>
      </c>
      <c r="I784" s="1648" t="s">
        <v>3629</v>
      </c>
      <c r="J784" s="1645" t="s">
        <v>37</v>
      </c>
      <c r="K784" s="1645">
        <v>0</v>
      </c>
      <c r="L784" s="1645" t="s">
        <v>1733</v>
      </c>
      <c r="M784" s="1645" t="s">
        <v>4834</v>
      </c>
      <c r="N784" s="1645"/>
      <c r="O784" s="1645" t="s">
        <v>3645</v>
      </c>
      <c r="P784" s="1649"/>
      <c r="Q784" s="1645"/>
      <c r="R784" s="1647" t="s">
        <v>3699</v>
      </c>
      <c r="S784" s="1644"/>
      <c r="T784" s="1644"/>
      <c r="U784" s="1644" t="s">
        <v>4867</v>
      </c>
      <c r="V784" s="1644"/>
      <c r="W784" s="1650" t="s">
        <v>3646</v>
      </c>
      <c r="X784" s="1644"/>
      <c r="Y784" s="1647">
        <v>39213</v>
      </c>
      <c r="Z784" s="1647">
        <v>39579</v>
      </c>
      <c r="AA784" s="1650">
        <f t="shared" ca="1" si="43"/>
        <v>20.333333333333332</v>
      </c>
      <c r="AB784" s="2444" t="s">
        <v>3629</v>
      </c>
      <c r="AC784" s="2445"/>
      <c r="AD784" s="2438"/>
    </row>
    <row r="785" spans="1:30" ht="15.75" hidden="1" customHeight="1">
      <c r="A785" s="1644">
        <f t="shared" si="48"/>
        <v>167</v>
      </c>
      <c r="B785" s="1645" t="s">
        <v>4943</v>
      </c>
      <c r="C785" s="1645" t="s">
        <v>4863</v>
      </c>
      <c r="D785" s="1645" t="s">
        <v>4942</v>
      </c>
      <c r="E785" s="1644" t="s">
        <v>2798</v>
      </c>
      <c r="F785" s="1645">
        <f t="shared" si="49"/>
        <v>1984</v>
      </c>
      <c r="G785" s="1647">
        <v>30715</v>
      </c>
      <c r="H785" s="1644" t="s">
        <v>4719</v>
      </c>
      <c r="I785" s="1648" t="s">
        <v>3629</v>
      </c>
      <c r="J785" s="1645" t="s">
        <v>37</v>
      </c>
      <c r="K785" s="1645">
        <v>0</v>
      </c>
      <c r="L785" s="1645" t="s">
        <v>1733</v>
      </c>
      <c r="M785" s="1645" t="s">
        <v>1733</v>
      </c>
      <c r="N785" s="1645"/>
      <c r="O785" s="1645" t="s">
        <v>3645</v>
      </c>
      <c r="P785" s="1649"/>
      <c r="Q785" s="1645"/>
      <c r="R785" s="1647" t="s">
        <v>3699</v>
      </c>
      <c r="S785" s="1644"/>
      <c r="T785" s="1644" t="s">
        <v>936</v>
      </c>
      <c r="U785" s="1644" t="s">
        <v>4867</v>
      </c>
      <c r="V785" s="1644"/>
      <c r="W785" s="1644" t="s">
        <v>3939</v>
      </c>
      <c r="X785" s="1644"/>
      <c r="Y785" s="1647"/>
      <c r="Z785" s="1647"/>
      <c r="AA785" s="1650">
        <f t="shared" ca="1" si="43"/>
        <v>14.333333333333334</v>
      </c>
      <c r="AB785" s="2444" t="s">
        <v>3629</v>
      </c>
      <c r="AC785" s="2445"/>
      <c r="AD785" s="2438"/>
    </row>
    <row r="786" spans="1:30" ht="15.75" hidden="1" customHeight="1">
      <c r="A786" s="1644">
        <f t="shared" si="48"/>
        <v>167</v>
      </c>
      <c r="B786" s="1645" t="s">
        <v>4944</v>
      </c>
      <c r="C786" s="1645" t="s">
        <v>4863</v>
      </c>
      <c r="D786" s="1645" t="s">
        <v>4942</v>
      </c>
      <c r="E786" s="1646" t="s">
        <v>2797</v>
      </c>
      <c r="F786" s="1645">
        <f t="shared" si="49"/>
        <v>1976</v>
      </c>
      <c r="G786" s="1647">
        <v>28073</v>
      </c>
      <c r="H786" s="1644" t="s">
        <v>4719</v>
      </c>
      <c r="I786" s="1648" t="s">
        <v>3629</v>
      </c>
      <c r="J786" s="1645" t="s">
        <v>38</v>
      </c>
      <c r="K786" s="1645">
        <v>0</v>
      </c>
      <c r="L786" s="1645" t="s">
        <v>1733</v>
      </c>
      <c r="M786" s="1645" t="s">
        <v>1743</v>
      </c>
      <c r="N786" s="1645"/>
      <c r="O786" s="1645" t="s">
        <v>1733</v>
      </c>
      <c r="P786" s="1649"/>
      <c r="Q786" s="1645"/>
      <c r="R786" s="1647" t="s">
        <v>3710</v>
      </c>
      <c r="S786" s="1644" t="s">
        <v>3743</v>
      </c>
      <c r="T786" s="1644"/>
      <c r="U786" s="1644"/>
      <c r="V786" s="1644"/>
      <c r="W786" s="1650" t="s">
        <v>3646</v>
      </c>
      <c r="X786" s="1644" t="s">
        <v>3707</v>
      </c>
      <c r="Y786" s="1647">
        <v>39417</v>
      </c>
      <c r="Z786" s="1647">
        <v>39783</v>
      </c>
      <c r="AA786" s="1650">
        <f t="shared" ca="1" si="43"/>
        <v>12.083333333333334</v>
      </c>
      <c r="AB786" s="2444" t="s">
        <v>3629</v>
      </c>
      <c r="AC786" s="2445"/>
      <c r="AD786" s="2438"/>
    </row>
    <row r="787" spans="1:30" ht="15.75" hidden="1" customHeight="1">
      <c r="A787" s="1644">
        <f t="shared" si="48"/>
        <v>167</v>
      </c>
      <c r="B787" s="1645" t="s">
        <v>4945</v>
      </c>
      <c r="C787" s="1645" t="s">
        <v>4863</v>
      </c>
      <c r="D787" s="1645" t="s">
        <v>4942</v>
      </c>
      <c r="E787" s="1644" t="s">
        <v>2797</v>
      </c>
      <c r="F787" s="1645">
        <f t="shared" si="49"/>
        <v>1981</v>
      </c>
      <c r="G787" s="1647">
        <v>29725</v>
      </c>
      <c r="H787" s="1644" t="s">
        <v>4872</v>
      </c>
      <c r="I787" s="1648" t="s">
        <v>3629</v>
      </c>
      <c r="J787" s="1645" t="s">
        <v>37</v>
      </c>
      <c r="K787" s="1645">
        <v>0</v>
      </c>
      <c r="L787" s="1645" t="s">
        <v>1733</v>
      </c>
      <c r="M787" s="1645" t="s">
        <v>1743</v>
      </c>
      <c r="N787" s="1645"/>
      <c r="O787" s="1645" t="s">
        <v>3645</v>
      </c>
      <c r="P787" s="1649"/>
      <c r="Q787" s="1645"/>
      <c r="R787" s="1644"/>
      <c r="S787" s="1644"/>
      <c r="T787" s="1644"/>
      <c r="U787" s="1644" t="s">
        <v>4867</v>
      </c>
      <c r="V787" s="1644"/>
      <c r="W787" s="1644">
        <v>0</v>
      </c>
      <c r="X787" s="1644"/>
      <c r="Y787" s="1647">
        <v>37819</v>
      </c>
      <c r="Z787" s="1647">
        <v>38185</v>
      </c>
      <c r="AA787" s="1650">
        <f t="shared" ca="1" si="43"/>
        <v>16.583333333333332</v>
      </c>
      <c r="AB787" s="2444" t="s">
        <v>3629</v>
      </c>
      <c r="AC787" s="2445"/>
      <c r="AD787" s="2438"/>
    </row>
    <row r="788" spans="1:30" ht="15.75" hidden="1" customHeight="1">
      <c r="A788" s="1644">
        <f t="shared" si="48"/>
        <v>167</v>
      </c>
      <c r="B788" s="1645" t="s">
        <v>4946</v>
      </c>
      <c r="C788" s="1645" t="s">
        <v>4863</v>
      </c>
      <c r="D788" s="1648" t="s">
        <v>4942</v>
      </c>
      <c r="E788" s="1646" t="s">
        <v>2797</v>
      </c>
      <c r="F788" s="1645">
        <f t="shared" si="49"/>
        <v>1972</v>
      </c>
      <c r="G788" s="1647">
        <v>26645</v>
      </c>
      <c r="H788" s="1644" t="s">
        <v>3628</v>
      </c>
      <c r="I788" s="1648" t="s">
        <v>3629</v>
      </c>
      <c r="J788" s="1645" t="s">
        <v>38</v>
      </c>
      <c r="K788" s="1645">
        <v>0</v>
      </c>
      <c r="L788" s="1645" t="s">
        <v>1733</v>
      </c>
      <c r="M788" s="1645" t="s">
        <v>1733</v>
      </c>
      <c r="N788" s="1645"/>
      <c r="O788" s="1645" t="s">
        <v>4160</v>
      </c>
      <c r="P788" s="1649"/>
      <c r="Q788" s="1645" t="s">
        <v>3693</v>
      </c>
      <c r="R788" s="1647" t="s">
        <v>3683</v>
      </c>
      <c r="S788" s="1644"/>
      <c r="T788" s="1644"/>
      <c r="U788" s="1644"/>
      <c r="V788" s="1644"/>
      <c r="W788" s="1644">
        <v>0</v>
      </c>
      <c r="X788" s="1644" t="s">
        <v>3633</v>
      </c>
      <c r="Y788" s="1647">
        <v>37696</v>
      </c>
      <c r="Z788" s="1647">
        <v>38062</v>
      </c>
      <c r="AA788" s="1650">
        <f t="shared" ca="1" si="43"/>
        <v>8.1666666666666661</v>
      </c>
      <c r="AB788" s="2444" t="s">
        <v>3629</v>
      </c>
      <c r="AC788" s="2445"/>
      <c r="AD788" s="2438"/>
    </row>
    <row r="789" spans="1:30" ht="15.75" hidden="1" customHeight="1">
      <c r="A789" s="1644">
        <f t="shared" si="48"/>
        <v>167</v>
      </c>
      <c r="B789" s="1645" t="s">
        <v>4947</v>
      </c>
      <c r="C789" s="1645" t="s">
        <v>4863</v>
      </c>
      <c r="D789" s="1645" t="s">
        <v>4942</v>
      </c>
      <c r="E789" s="1644" t="s">
        <v>2797</v>
      </c>
      <c r="F789" s="1645">
        <f t="shared" si="49"/>
        <v>1981</v>
      </c>
      <c r="G789" s="1647">
        <v>29680</v>
      </c>
      <c r="H789" s="1644" t="s">
        <v>4719</v>
      </c>
      <c r="I789" s="1648" t="s">
        <v>3629</v>
      </c>
      <c r="J789" s="1645" t="s">
        <v>37</v>
      </c>
      <c r="K789" s="1645">
        <v>0</v>
      </c>
      <c r="L789" s="1645" t="s">
        <v>1733</v>
      </c>
      <c r="M789" s="1645" t="s">
        <v>4948</v>
      </c>
      <c r="N789" s="1645"/>
      <c r="O789" s="1645" t="s">
        <v>3645</v>
      </c>
      <c r="P789" s="1649"/>
      <c r="Q789" s="1645"/>
      <c r="R789" s="1644"/>
      <c r="S789" s="1644"/>
      <c r="T789" s="1644"/>
      <c r="U789" s="1644" t="s">
        <v>4867</v>
      </c>
      <c r="V789" s="1644"/>
      <c r="W789" s="1644">
        <v>0</v>
      </c>
      <c r="X789" s="1644"/>
      <c r="Y789" s="1647"/>
      <c r="Z789" s="1647"/>
      <c r="AA789" s="1650">
        <f t="shared" ca="1" si="43"/>
        <v>16.5</v>
      </c>
      <c r="AB789" s="2444" t="s">
        <v>3629</v>
      </c>
      <c r="AC789" s="2445"/>
      <c r="AD789" s="2438"/>
    </row>
    <row r="790" spans="1:30" ht="15.75" hidden="1" customHeight="1">
      <c r="A790" s="1644">
        <f t="shared" si="48"/>
        <v>167</v>
      </c>
      <c r="B790" s="1645" t="s">
        <v>4949</v>
      </c>
      <c r="C790" s="1645" t="s">
        <v>4863</v>
      </c>
      <c r="D790" s="1645" t="s">
        <v>4950</v>
      </c>
      <c r="E790" s="1644" t="s">
        <v>2797</v>
      </c>
      <c r="F790" s="1645">
        <f t="shared" si="49"/>
        <v>1976</v>
      </c>
      <c r="G790" s="1647">
        <v>27980</v>
      </c>
      <c r="H790" s="1644" t="s">
        <v>4872</v>
      </c>
      <c r="I790" s="1648" t="s">
        <v>3629</v>
      </c>
      <c r="J790" s="1645" t="s">
        <v>201</v>
      </c>
      <c r="K790" s="1645">
        <v>0</v>
      </c>
      <c r="L790" s="1645" t="s">
        <v>4055</v>
      </c>
      <c r="M790" s="1645">
        <v>0</v>
      </c>
      <c r="N790" s="1645"/>
      <c r="O790" s="1645" t="s">
        <v>3645</v>
      </c>
      <c r="P790" s="1649"/>
      <c r="Q790" s="1645"/>
      <c r="R790" s="1647" t="s">
        <v>3683</v>
      </c>
      <c r="S790" s="1644"/>
      <c r="T790" s="1644"/>
      <c r="U790" s="1644" t="s">
        <v>4867</v>
      </c>
      <c r="V790" s="1644"/>
      <c r="W790" s="1650" t="s">
        <v>3646</v>
      </c>
      <c r="X790" s="1644"/>
      <c r="Y790" s="1647">
        <v>36068</v>
      </c>
      <c r="Z790" s="1647">
        <v>36433</v>
      </c>
      <c r="AA790" s="1650">
        <f t="shared" ca="1" si="43"/>
        <v>11.833333333333334</v>
      </c>
      <c r="AB790" s="2444" t="s">
        <v>3629</v>
      </c>
      <c r="AC790" s="2445"/>
      <c r="AD790" s="2438"/>
    </row>
    <row r="791" spans="1:30" ht="15.75" hidden="1" customHeight="1">
      <c r="A791" s="1644">
        <f t="shared" si="48"/>
        <v>167</v>
      </c>
      <c r="B791" s="1645" t="s">
        <v>4951</v>
      </c>
      <c r="C791" s="1645" t="s">
        <v>4863</v>
      </c>
      <c r="D791" s="1645" t="s">
        <v>4950</v>
      </c>
      <c r="E791" s="1646" t="s">
        <v>2798</v>
      </c>
      <c r="F791" s="1645">
        <f t="shared" si="49"/>
        <v>1973</v>
      </c>
      <c r="G791" s="1647">
        <v>26867</v>
      </c>
      <c r="H791" s="1644" t="s">
        <v>4872</v>
      </c>
      <c r="I791" s="1648" t="s">
        <v>3629</v>
      </c>
      <c r="J791" s="1645" t="s">
        <v>37</v>
      </c>
      <c r="K791" s="1645">
        <v>0</v>
      </c>
      <c r="L791" s="1645" t="s">
        <v>2682</v>
      </c>
      <c r="M791" s="1645" t="s">
        <v>4456</v>
      </c>
      <c r="N791" s="1645"/>
      <c r="O791" s="1645" t="s">
        <v>3645</v>
      </c>
      <c r="P791" s="1649"/>
      <c r="Q791" s="1645"/>
      <c r="R791" s="1647" t="s">
        <v>3699</v>
      </c>
      <c r="S791" s="1644"/>
      <c r="T791" s="1644"/>
      <c r="U791" s="1644" t="s">
        <v>4867</v>
      </c>
      <c r="V791" s="1644"/>
      <c r="W791" s="1644">
        <v>0</v>
      </c>
      <c r="X791" s="1644"/>
      <c r="Y791" s="1647">
        <v>38728</v>
      </c>
      <c r="Z791" s="1647">
        <v>39093</v>
      </c>
      <c r="AA791" s="1650">
        <f t="shared" ca="1" si="43"/>
        <v>3.75</v>
      </c>
      <c r="AB791" s="2444" t="s">
        <v>3629</v>
      </c>
      <c r="AC791" s="2445"/>
      <c r="AD791" s="2438"/>
    </row>
    <row r="792" spans="1:30" ht="15.75" hidden="1" customHeight="1">
      <c r="A792" s="1644">
        <f t="shared" si="48"/>
        <v>167</v>
      </c>
      <c r="B792" s="1645" t="s">
        <v>4952</v>
      </c>
      <c r="C792" s="1645" t="s">
        <v>4863</v>
      </c>
      <c r="D792" s="1645" t="s">
        <v>4953</v>
      </c>
      <c r="E792" s="1646" t="s">
        <v>2798</v>
      </c>
      <c r="F792" s="1645">
        <f t="shared" si="49"/>
        <v>1983</v>
      </c>
      <c r="G792" s="1647">
        <v>30434</v>
      </c>
      <c r="H792" s="1644" t="s">
        <v>3642</v>
      </c>
      <c r="I792" s="1648" t="s">
        <v>3629</v>
      </c>
      <c r="J792" s="1645" t="s">
        <v>201</v>
      </c>
      <c r="K792" s="1645"/>
      <c r="L792" s="1645" t="s">
        <v>4954</v>
      </c>
      <c r="M792" s="1645">
        <v>0</v>
      </c>
      <c r="N792" s="1645"/>
      <c r="O792" s="1645">
        <v>0</v>
      </c>
      <c r="P792" s="1649"/>
      <c r="Q792" s="1645"/>
      <c r="R792" s="1644" t="s">
        <v>3683</v>
      </c>
      <c r="S792" s="1644"/>
      <c r="T792" s="1644"/>
      <c r="U792" s="1644"/>
      <c r="V792" s="1644"/>
      <c r="W792" s="1644">
        <v>0</v>
      </c>
      <c r="X792" s="1644"/>
      <c r="Y792" s="1647">
        <v>41282</v>
      </c>
      <c r="Z792" s="1647">
        <v>41647</v>
      </c>
      <c r="AA792" s="1650">
        <f t="shared" ca="1" si="43"/>
        <v>13.5</v>
      </c>
      <c r="AB792" s="2444" t="s">
        <v>3629</v>
      </c>
      <c r="AC792" s="2445"/>
      <c r="AD792" s="2438"/>
    </row>
    <row r="793" spans="1:30" ht="15.75" hidden="1" customHeight="1">
      <c r="A793" s="1644">
        <f t="shared" si="48"/>
        <v>167</v>
      </c>
      <c r="B793" s="1645" t="s">
        <v>4955</v>
      </c>
      <c r="C793" s="1645" t="s">
        <v>4863</v>
      </c>
      <c r="D793" s="1645" t="s">
        <v>4390</v>
      </c>
      <c r="E793" s="1646" t="s">
        <v>2798</v>
      </c>
      <c r="F793" s="1645">
        <f t="shared" si="49"/>
        <v>1984</v>
      </c>
      <c r="G793" s="1647">
        <v>30734</v>
      </c>
      <c r="H793" s="1644" t="s">
        <v>3642</v>
      </c>
      <c r="I793" s="1648" t="s">
        <v>3629</v>
      </c>
      <c r="J793" s="1645" t="s">
        <v>201</v>
      </c>
      <c r="K793" s="1645">
        <v>0</v>
      </c>
      <c r="L793" s="1645" t="s">
        <v>3367</v>
      </c>
      <c r="M793" s="1645">
        <v>0</v>
      </c>
      <c r="N793" s="1645"/>
      <c r="O793" s="1645" t="s">
        <v>3645</v>
      </c>
      <c r="P793" s="1649"/>
      <c r="Q793" s="1645"/>
      <c r="R793" s="1644" t="s">
        <v>3683</v>
      </c>
      <c r="S793" s="1644"/>
      <c r="T793" s="1644"/>
      <c r="U793" s="1644"/>
      <c r="V793" s="1644"/>
      <c r="W793" s="1650" t="s">
        <v>3653</v>
      </c>
      <c r="X793" s="1644"/>
      <c r="Y793" s="1647">
        <v>40303</v>
      </c>
      <c r="Z793" s="1647">
        <v>40668</v>
      </c>
      <c r="AA793" s="1650">
        <f t="shared" ca="1" si="43"/>
        <v>14.333333333333334</v>
      </c>
      <c r="AB793" s="2444" t="s">
        <v>3629</v>
      </c>
      <c r="AC793" s="2445"/>
      <c r="AD793" s="2438"/>
    </row>
    <row r="794" spans="1:30" ht="15.75" hidden="1" customHeight="1">
      <c r="A794" s="1644">
        <f t="shared" si="48"/>
        <v>167</v>
      </c>
      <c r="B794" s="1645" t="s">
        <v>4956</v>
      </c>
      <c r="C794" s="1645" t="s">
        <v>4863</v>
      </c>
      <c r="D794" s="1645" t="s">
        <v>4390</v>
      </c>
      <c r="E794" s="1644" t="s">
        <v>2798</v>
      </c>
      <c r="F794" s="1645">
        <f t="shared" si="49"/>
        <v>1982</v>
      </c>
      <c r="G794" s="1647">
        <v>30195</v>
      </c>
      <c r="H794" s="1644" t="s">
        <v>3642</v>
      </c>
      <c r="I794" s="1648" t="s">
        <v>3629</v>
      </c>
      <c r="J794" s="1645" t="s">
        <v>37</v>
      </c>
      <c r="K794" s="1645">
        <v>0</v>
      </c>
      <c r="L794" s="1645" t="s">
        <v>3268</v>
      </c>
      <c r="M794" s="1645" t="s">
        <v>4957</v>
      </c>
      <c r="N794" s="1645"/>
      <c r="O794" s="1645" t="s">
        <v>3645</v>
      </c>
      <c r="P794" s="1649"/>
      <c r="Q794" s="1645"/>
      <c r="R794" s="1644" t="s">
        <v>3683</v>
      </c>
      <c r="S794" s="1644"/>
      <c r="T794" s="1644"/>
      <c r="U794" s="1644"/>
      <c r="V794" s="1644"/>
      <c r="W794" s="1650" t="s">
        <v>3653</v>
      </c>
      <c r="X794" s="1644"/>
      <c r="Y794" s="1647"/>
      <c r="Z794" s="1647"/>
      <c r="AA794" s="1650">
        <f t="shared" ca="1" si="43"/>
        <v>12.833333333333334</v>
      </c>
      <c r="AB794" s="2444" t="s">
        <v>3629</v>
      </c>
      <c r="AC794" s="2445"/>
      <c r="AD794" s="2438"/>
    </row>
    <row r="795" spans="1:30" ht="15.75" hidden="1" customHeight="1">
      <c r="A795" s="1644">
        <f t="shared" si="48"/>
        <v>167</v>
      </c>
      <c r="B795" s="1645" t="s">
        <v>4958</v>
      </c>
      <c r="C795" s="1645" t="s">
        <v>4863</v>
      </c>
      <c r="D795" s="1645" t="s">
        <v>4390</v>
      </c>
      <c r="E795" s="1644" t="s">
        <v>2798</v>
      </c>
      <c r="F795" s="1645">
        <f t="shared" si="49"/>
        <v>1977</v>
      </c>
      <c r="G795" s="1647">
        <v>28374</v>
      </c>
      <c r="H795" s="1644" t="s">
        <v>3642</v>
      </c>
      <c r="I795" s="1648" t="s">
        <v>3629</v>
      </c>
      <c r="J795" s="1645" t="s">
        <v>201</v>
      </c>
      <c r="K795" s="1645">
        <v>0</v>
      </c>
      <c r="L795" s="1645" t="s">
        <v>3794</v>
      </c>
      <c r="M795" s="1645">
        <v>0</v>
      </c>
      <c r="N795" s="1645"/>
      <c r="O795" s="1645" t="s">
        <v>3645</v>
      </c>
      <c r="P795" s="1649"/>
      <c r="Q795" s="1645"/>
      <c r="R795" s="1644" t="s">
        <v>3683</v>
      </c>
      <c r="S795" s="1644" t="s">
        <v>4068</v>
      </c>
      <c r="T795" s="1644"/>
      <c r="U795" s="1644"/>
      <c r="V795" s="1644"/>
      <c r="W795" s="1650" t="s">
        <v>3653</v>
      </c>
      <c r="X795" s="1644"/>
      <c r="Y795" s="1647">
        <v>38510</v>
      </c>
      <c r="Z795" s="1647">
        <v>38875</v>
      </c>
      <c r="AA795" s="1650">
        <f t="shared" ca="1" si="43"/>
        <v>7.916666666666667</v>
      </c>
      <c r="AB795" s="2444" t="s">
        <v>3629</v>
      </c>
      <c r="AC795" s="2445"/>
      <c r="AD795" s="2438"/>
    </row>
    <row r="796" spans="1:30" ht="15.75" hidden="1" customHeight="1">
      <c r="A796" s="1644">
        <f t="shared" si="48"/>
        <v>167</v>
      </c>
      <c r="B796" s="1645" t="s">
        <v>4959</v>
      </c>
      <c r="C796" s="1645" t="s">
        <v>4863</v>
      </c>
      <c r="D796" s="1645"/>
      <c r="E796" s="1646" t="s">
        <v>2798</v>
      </c>
      <c r="F796" s="1645">
        <f t="shared" si="49"/>
        <v>1995</v>
      </c>
      <c r="G796" s="1647">
        <v>34913</v>
      </c>
      <c r="H796" s="1644" t="s">
        <v>4719</v>
      </c>
      <c r="I796" s="1648" t="s">
        <v>3629</v>
      </c>
      <c r="J796" s="1645" t="s">
        <v>201</v>
      </c>
      <c r="K796" s="1645"/>
      <c r="L796" s="1645" t="s">
        <v>4638</v>
      </c>
      <c r="M796" s="1645">
        <v>0</v>
      </c>
      <c r="N796" s="1645"/>
      <c r="O796" s="1645">
        <v>0</v>
      </c>
      <c r="P796" s="1649"/>
      <c r="Q796" s="1645"/>
      <c r="R796" s="1647" t="s">
        <v>4960</v>
      </c>
      <c r="S796" s="1644"/>
      <c r="T796" s="1644"/>
      <c r="U796" s="1644"/>
      <c r="V796" s="1644"/>
      <c r="W796" s="1644"/>
      <c r="X796" s="1644"/>
      <c r="Y796" s="1644"/>
      <c r="Z796" s="1644"/>
      <c r="AA796" s="1650">
        <f t="shared" ca="1" si="43"/>
        <v>25.75</v>
      </c>
      <c r="AB796" s="2444" t="s">
        <v>3629</v>
      </c>
      <c r="AC796" s="2445"/>
      <c r="AD796" s="2438"/>
    </row>
    <row r="797" spans="1:30" ht="15.75" hidden="1" customHeight="1">
      <c r="A797" s="1644">
        <f t="shared" si="48"/>
        <v>167</v>
      </c>
      <c r="B797" s="1645" t="s">
        <v>4961</v>
      </c>
      <c r="C797" s="1645" t="s">
        <v>4863</v>
      </c>
      <c r="D797" s="1645"/>
      <c r="E797" s="1646" t="s">
        <v>2797</v>
      </c>
      <c r="F797" s="1645">
        <f t="shared" si="49"/>
        <v>1996</v>
      </c>
      <c r="G797" s="1647">
        <v>35173</v>
      </c>
      <c r="H797" s="1646" t="s">
        <v>4719</v>
      </c>
      <c r="I797" s="1648" t="s">
        <v>4962</v>
      </c>
      <c r="J797" s="1645" t="s">
        <v>201</v>
      </c>
      <c r="K797" s="1645"/>
      <c r="L797" s="1651"/>
      <c r="M797" s="1645"/>
      <c r="N797" s="1645"/>
      <c r="O797" s="1645"/>
      <c r="P797" s="1649"/>
      <c r="Q797" s="1645"/>
      <c r="R797" s="1644"/>
      <c r="S797" s="1644"/>
      <c r="T797" s="1644"/>
      <c r="U797" s="1644"/>
      <c r="V797" s="1644"/>
      <c r="W797" s="1644"/>
      <c r="X797" s="1644"/>
      <c r="Y797" s="1647">
        <v>0</v>
      </c>
      <c r="Z797" s="1647">
        <v>0</v>
      </c>
      <c r="AA797" s="1654"/>
      <c r="AB797" s="2444" t="s">
        <v>3629</v>
      </c>
      <c r="AC797" s="2445"/>
      <c r="AD797" s="2438"/>
    </row>
    <row r="798" spans="1:30" ht="15.75" hidden="1" customHeight="1">
      <c r="A798" s="1644">
        <f t="shared" si="48"/>
        <v>167</v>
      </c>
      <c r="B798" s="1645" t="s">
        <v>4963</v>
      </c>
      <c r="C798" s="1645" t="s">
        <v>4863</v>
      </c>
      <c r="D798" s="1645"/>
      <c r="E798" s="1646" t="s">
        <v>2797</v>
      </c>
      <c r="F798" s="1645">
        <f t="shared" si="49"/>
        <v>1995</v>
      </c>
      <c r="G798" s="1647">
        <v>34934</v>
      </c>
      <c r="H798" s="1646" t="s">
        <v>4719</v>
      </c>
      <c r="I798" s="1648" t="s">
        <v>3629</v>
      </c>
      <c r="J798" s="1645" t="s">
        <v>37</v>
      </c>
      <c r="K798" s="1645"/>
      <c r="L798" s="1645" t="s">
        <v>4964</v>
      </c>
      <c r="M798" s="1645" t="s">
        <v>4964</v>
      </c>
      <c r="N798" s="1645"/>
      <c r="O798" s="1645"/>
      <c r="P798" s="1649"/>
      <c r="Q798" s="1645"/>
      <c r="R798" s="1644"/>
      <c r="S798" s="1644"/>
      <c r="T798" s="1644"/>
      <c r="U798" s="1644"/>
      <c r="V798" s="1644"/>
      <c r="W798" s="1644"/>
      <c r="X798" s="1644"/>
      <c r="Y798" s="1647">
        <v>42880</v>
      </c>
      <c r="Z798" s="1647">
        <v>43245</v>
      </c>
      <c r="AA798" s="1654"/>
      <c r="AB798" s="2444" t="s">
        <v>3629</v>
      </c>
      <c r="AC798" s="2445"/>
      <c r="AD798" s="2438"/>
    </row>
    <row r="799" spans="1:30" ht="15.75" hidden="1" customHeight="1">
      <c r="A799" s="1644">
        <f t="shared" si="48"/>
        <v>167</v>
      </c>
      <c r="B799" s="1645" t="s">
        <v>4965</v>
      </c>
      <c r="C799" s="1645" t="s">
        <v>4863</v>
      </c>
      <c r="D799" s="1645"/>
      <c r="E799" s="1646" t="s">
        <v>2798</v>
      </c>
      <c r="F799" s="1645">
        <f t="shared" si="49"/>
        <v>1985</v>
      </c>
      <c r="G799" s="1647">
        <v>31409</v>
      </c>
      <c r="H799" s="1646" t="s">
        <v>4719</v>
      </c>
      <c r="I799" s="1648" t="s">
        <v>3629</v>
      </c>
      <c r="J799" s="1645" t="s">
        <v>38</v>
      </c>
      <c r="K799" s="1645"/>
      <c r="L799" s="1651"/>
      <c r="M799" s="1645"/>
      <c r="N799" s="1645"/>
      <c r="O799" s="1645" t="s">
        <v>4966</v>
      </c>
      <c r="P799" s="1649"/>
      <c r="Q799" s="1645"/>
      <c r="R799" s="1644"/>
      <c r="S799" s="1644"/>
      <c r="T799" s="1644"/>
      <c r="U799" s="1644"/>
      <c r="V799" s="1644"/>
      <c r="W799" s="1644"/>
      <c r="X799" s="1644"/>
      <c r="Y799" s="1644"/>
      <c r="Z799" s="1644"/>
      <c r="AA799" s="1654"/>
      <c r="AB799" s="2444" t="s">
        <v>3629</v>
      </c>
      <c r="AC799" s="2445"/>
      <c r="AD799" s="2438"/>
    </row>
    <row r="800" spans="1:30" ht="15.75" hidden="1" customHeight="1">
      <c r="A800" s="1644">
        <f t="shared" si="48"/>
        <v>167</v>
      </c>
      <c r="B800" s="1645" t="s">
        <v>4967</v>
      </c>
      <c r="C800" s="1645" t="s">
        <v>4863</v>
      </c>
      <c r="D800" s="1645"/>
      <c r="E800" s="1646" t="s">
        <v>2798</v>
      </c>
      <c r="F800" s="1645">
        <f t="shared" si="49"/>
        <v>1995</v>
      </c>
      <c r="G800" s="1647">
        <v>34913</v>
      </c>
      <c r="H800" s="1644" t="s">
        <v>4719</v>
      </c>
      <c r="I800" s="1648" t="s">
        <v>3629</v>
      </c>
      <c r="J800" s="1645" t="s">
        <v>201</v>
      </c>
      <c r="K800" s="1645"/>
      <c r="L800" s="1645" t="s">
        <v>4638</v>
      </c>
      <c r="M800" s="1645">
        <v>0</v>
      </c>
      <c r="N800" s="1645"/>
      <c r="O800" s="1645">
        <v>0</v>
      </c>
      <c r="P800" s="1649"/>
      <c r="Q800" s="1645"/>
      <c r="R800" s="1644"/>
      <c r="S800" s="1644"/>
      <c r="T800" s="1644"/>
      <c r="U800" s="1644"/>
      <c r="V800" s="1644"/>
      <c r="W800" s="1644"/>
      <c r="X800" s="1644"/>
      <c r="Y800" s="1644"/>
      <c r="Z800" s="1644"/>
      <c r="AA800" s="1650">
        <f ca="1">IF(E800="nữ",660-DATEDIF(G800,TODAY(),"m"),720-DATEDIF(G800,TODAY(),"m"))/12</f>
        <v>25.75</v>
      </c>
      <c r="AB800" s="2444" t="s">
        <v>3629</v>
      </c>
      <c r="AC800" s="2445"/>
      <c r="AD800" s="2438"/>
    </row>
    <row r="801" spans="1:30" ht="15.75" hidden="1" customHeight="1">
      <c r="A801" s="1644">
        <f t="shared" si="48"/>
        <v>167</v>
      </c>
      <c r="B801" s="1645" t="s">
        <v>4968</v>
      </c>
      <c r="C801" s="1645" t="s">
        <v>4863</v>
      </c>
      <c r="D801" s="1645"/>
      <c r="E801" s="1646" t="s">
        <v>2798</v>
      </c>
      <c r="F801" s="1645">
        <f t="shared" si="49"/>
        <v>1998</v>
      </c>
      <c r="G801" s="1647">
        <v>36031</v>
      </c>
      <c r="H801" s="1646" t="s">
        <v>4719</v>
      </c>
      <c r="I801" s="1648" t="s">
        <v>3629</v>
      </c>
      <c r="J801" s="1645" t="s">
        <v>201</v>
      </c>
      <c r="K801" s="1645"/>
      <c r="L801" s="1651"/>
      <c r="M801" s="1645"/>
      <c r="N801" s="1645"/>
      <c r="O801" s="1645"/>
      <c r="P801" s="1649"/>
      <c r="Q801" s="1645"/>
      <c r="R801" s="1644"/>
      <c r="S801" s="1644"/>
      <c r="T801" s="1644"/>
      <c r="U801" s="1644"/>
      <c r="V801" s="1644"/>
      <c r="W801" s="1644"/>
      <c r="X801" s="1644"/>
      <c r="Y801" s="1644"/>
      <c r="Z801" s="1644"/>
      <c r="AA801" s="1654"/>
      <c r="AB801" s="2444" t="s">
        <v>3629</v>
      </c>
      <c r="AC801" s="2445"/>
      <c r="AD801" s="2438"/>
    </row>
    <row r="802" spans="1:30" ht="15.75" hidden="1" customHeight="1">
      <c r="A802" s="1644">
        <f t="shared" si="48"/>
        <v>167</v>
      </c>
      <c r="B802" s="1645" t="s">
        <v>4969</v>
      </c>
      <c r="C802" s="1645" t="s">
        <v>4970</v>
      </c>
      <c r="D802" s="1648" t="s">
        <v>546</v>
      </c>
      <c r="E802" s="1644" t="s">
        <v>2798</v>
      </c>
      <c r="F802" s="1645">
        <f t="shared" si="49"/>
        <v>1977</v>
      </c>
      <c r="G802" s="1647">
        <v>28243</v>
      </c>
      <c r="H802" s="1644" t="s">
        <v>3636</v>
      </c>
      <c r="I802" s="1648" t="s">
        <v>3629</v>
      </c>
      <c r="J802" s="1645" t="s">
        <v>38</v>
      </c>
      <c r="K802" s="1645">
        <v>0</v>
      </c>
      <c r="L802" s="1645" t="s">
        <v>4089</v>
      </c>
      <c r="M802" s="1645" t="s">
        <v>4366</v>
      </c>
      <c r="N802" s="1645"/>
      <c r="O802" s="1645" t="s">
        <v>2747</v>
      </c>
      <c r="P802" s="1649"/>
      <c r="Q802" s="1645" t="s">
        <v>3693</v>
      </c>
      <c r="R802" s="1647" t="s">
        <v>3699</v>
      </c>
      <c r="S802" s="1644"/>
      <c r="T802" s="1644" t="s">
        <v>936</v>
      </c>
      <c r="U802" s="1644" t="s">
        <v>3711</v>
      </c>
      <c r="V802" s="1644"/>
      <c r="W802" s="1644">
        <v>0</v>
      </c>
      <c r="X802" s="1644"/>
      <c r="Y802" s="1647">
        <v>40374</v>
      </c>
      <c r="Z802" s="1647">
        <v>40739</v>
      </c>
      <c r="AA802" s="1650">
        <f t="shared" ref="AA802:AA810" ca="1" si="50">IF(E802="nữ",660-DATEDIF(G802,TODAY(),"m"),720-DATEDIF(G802,TODAY(),"m"))/12</f>
        <v>7.5</v>
      </c>
      <c r="AB802" s="2444" t="s">
        <v>3629</v>
      </c>
      <c r="AC802" s="2445"/>
      <c r="AD802" s="2438"/>
    </row>
    <row r="803" spans="1:30" ht="15.75" hidden="1" customHeight="1">
      <c r="A803" s="1644">
        <f t="shared" si="48"/>
        <v>167</v>
      </c>
      <c r="B803" s="1645" t="s">
        <v>4971</v>
      </c>
      <c r="C803" s="1645" t="s">
        <v>4970</v>
      </c>
      <c r="D803" s="1645" t="s">
        <v>550</v>
      </c>
      <c r="E803" s="1644" t="s">
        <v>2798</v>
      </c>
      <c r="F803" s="1645">
        <f t="shared" si="49"/>
        <v>1984</v>
      </c>
      <c r="G803" s="1647">
        <v>30841</v>
      </c>
      <c r="H803" s="1644" t="s">
        <v>3636</v>
      </c>
      <c r="I803" s="1648" t="s">
        <v>3629</v>
      </c>
      <c r="J803" s="1645" t="s">
        <v>38</v>
      </c>
      <c r="K803" s="1645">
        <v>0</v>
      </c>
      <c r="L803" s="1645" t="s">
        <v>2682</v>
      </c>
      <c r="M803" s="1645" t="s">
        <v>3655</v>
      </c>
      <c r="N803" s="1645"/>
      <c r="O803" s="1645" t="s">
        <v>2682</v>
      </c>
      <c r="P803" s="1649"/>
      <c r="Q803" s="1645" t="s">
        <v>3693</v>
      </c>
      <c r="R803" s="1647" t="s">
        <v>3683</v>
      </c>
      <c r="S803" s="1644" t="s">
        <v>3696</v>
      </c>
      <c r="T803" s="1644" t="s">
        <v>936</v>
      </c>
      <c r="U803" s="1644" t="s">
        <v>3631</v>
      </c>
      <c r="V803" s="1644"/>
      <c r="W803" s="1644" t="s">
        <v>936</v>
      </c>
      <c r="X803" s="1644"/>
      <c r="Y803" s="1647">
        <v>38701</v>
      </c>
      <c r="Z803" s="1647">
        <v>39066</v>
      </c>
      <c r="AA803" s="1650">
        <f t="shared" ca="1" si="50"/>
        <v>14.666666666666666</v>
      </c>
      <c r="AB803" s="2444" t="s">
        <v>3629</v>
      </c>
      <c r="AC803" s="2445"/>
      <c r="AD803" s="2438"/>
    </row>
    <row r="804" spans="1:30" ht="15.75" hidden="1" customHeight="1">
      <c r="A804" s="1644">
        <f t="shared" si="48"/>
        <v>167</v>
      </c>
      <c r="B804" s="1645" t="s">
        <v>4972</v>
      </c>
      <c r="C804" s="1645" t="s">
        <v>4970</v>
      </c>
      <c r="D804" s="1645" t="s">
        <v>4973</v>
      </c>
      <c r="E804" s="1644" t="s">
        <v>2798</v>
      </c>
      <c r="F804" s="1645">
        <f t="shared" si="49"/>
        <v>1985</v>
      </c>
      <c r="G804" s="1647">
        <v>31134</v>
      </c>
      <c r="H804" s="1644" t="s">
        <v>4974</v>
      </c>
      <c r="I804" s="1648" t="s">
        <v>3629</v>
      </c>
      <c r="J804" s="1645" t="s">
        <v>37</v>
      </c>
      <c r="K804" s="1645">
        <v>0</v>
      </c>
      <c r="L804" s="1645" t="s">
        <v>4672</v>
      </c>
      <c r="M804" s="1645" t="s">
        <v>4672</v>
      </c>
      <c r="N804" s="1645"/>
      <c r="O804" s="1645" t="s">
        <v>3645</v>
      </c>
      <c r="P804" s="1649"/>
      <c r="Q804" s="1645"/>
      <c r="R804" s="1647" t="s">
        <v>3699</v>
      </c>
      <c r="S804" s="1644" t="s">
        <v>206</v>
      </c>
      <c r="T804" s="1644"/>
      <c r="U804" s="1644" t="s">
        <v>4975</v>
      </c>
      <c r="V804" s="1644"/>
      <c r="W804" s="1644" t="s">
        <v>3687</v>
      </c>
      <c r="X804" s="1644" t="s">
        <v>3633</v>
      </c>
      <c r="Y804" s="1647">
        <v>40001</v>
      </c>
      <c r="Z804" s="1647">
        <v>40366</v>
      </c>
      <c r="AA804" s="1650">
        <f t="shared" ca="1" si="50"/>
        <v>15.416666666666666</v>
      </c>
      <c r="AB804" s="2444" t="s">
        <v>3629</v>
      </c>
      <c r="AC804" s="2445"/>
      <c r="AD804" s="2438"/>
    </row>
    <row r="805" spans="1:30" ht="15.75" hidden="1" customHeight="1">
      <c r="A805" s="1644">
        <f t="shared" si="48"/>
        <v>167</v>
      </c>
      <c r="B805" s="1645" t="s">
        <v>4976</v>
      </c>
      <c r="C805" s="1645" t="s">
        <v>4970</v>
      </c>
      <c r="D805" s="1645" t="s">
        <v>4977</v>
      </c>
      <c r="E805" s="1646" t="s">
        <v>2798</v>
      </c>
      <c r="F805" s="1645">
        <v>1974</v>
      </c>
      <c r="G805" s="1647">
        <v>27035</v>
      </c>
      <c r="H805" s="1644" t="s">
        <v>4974</v>
      </c>
      <c r="I805" s="1648" t="s">
        <v>3629</v>
      </c>
      <c r="J805" s="1645" t="s">
        <v>37</v>
      </c>
      <c r="K805" s="1645">
        <v>0</v>
      </c>
      <c r="L805" s="1645" t="s">
        <v>4226</v>
      </c>
      <c r="M805" s="1645" t="s">
        <v>506</v>
      </c>
      <c r="N805" s="1645"/>
      <c r="O805" s="1645" t="s">
        <v>3645</v>
      </c>
      <c r="P805" s="1649"/>
      <c r="Q805" s="1645"/>
      <c r="R805" s="1647" t="s">
        <v>3699</v>
      </c>
      <c r="S805" s="1644" t="s">
        <v>206</v>
      </c>
      <c r="T805" s="1644"/>
      <c r="U805" s="1644" t="s">
        <v>4975</v>
      </c>
      <c r="V805" s="1644"/>
      <c r="W805" s="1650" t="s">
        <v>3822</v>
      </c>
      <c r="X805" s="1644"/>
      <c r="Y805" s="1647">
        <v>36558</v>
      </c>
      <c r="Z805" s="1647">
        <v>36924</v>
      </c>
      <c r="AA805" s="1650">
        <f t="shared" ca="1" si="50"/>
        <v>4.25</v>
      </c>
      <c r="AB805" s="2444" t="s">
        <v>3629</v>
      </c>
      <c r="AC805" s="2445"/>
      <c r="AD805" s="2438"/>
    </row>
    <row r="806" spans="1:30" ht="15.75" hidden="1" customHeight="1">
      <c r="A806" s="1644">
        <f t="shared" si="48"/>
        <v>167</v>
      </c>
      <c r="B806" s="1645" t="s">
        <v>4978</v>
      </c>
      <c r="C806" s="1645" t="s">
        <v>4970</v>
      </c>
      <c r="D806" s="1645" t="s">
        <v>4977</v>
      </c>
      <c r="E806" s="1644" t="s">
        <v>2798</v>
      </c>
      <c r="F806" s="1645">
        <f t="shared" ref="F806:F835" si="51">YEAR(G806)</f>
        <v>1990</v>
      </c>
      <c r="G806" s="1647">
        <v>32993</v>
      </c>
      <c r="H806" s="1644" t="s">
        <v>4974</v>
      </c>
      <c r="I806" s="1648" t="s">
        <v>3629</v>
      </c>
      <c r="J806" s="1645" t="s">
        <v>37</v>
      </c>
      <c r="K806" s="1645">
        <v>0</v>
      </c>
      <c r="L806" s="1645" t="s">
        <v>3367</v>
      </c>
      <c r="M806" s="1645" t="s">
        <v>4226</v>
      </c>
      <c r="N806" s="1645"/>
      <c r="O806" s="1645" t="s">
        <v>3645</v>
      </c>
      <c r="P806" s="1649"/>
      <c r="Q806" s="1645"/>
      <c r="R806" s="1647" t="s">
        <v>3683</v>
      </c>
      <c r="S806" s="1644"/>
      <c r="T806" s="1644"/>
      <c r="U806" s="1644" t="s">
        <v>4975</v>
      </c>
      <c r="V806" s="1644"/>
      <c r="W806" s="1650" t="s">
        <v>3646</v>
      </c>
      <c r="X806" s="1644"/>
      <c r="Y806" s="1647">
        <v>41608</v>
      </c>
      <c r="Z806" s="1647">
        <v>41973</v>
      </c>
      <c r="AA806" s="1650">
        <f t="shared" ca="1" si="50"/>
        <v>20.5</v>
      </c>
      <c r="AB806" s="2444" t="s">
        <v>3629</v>
      </c>
      <c r="AC806" s="2445"/>
      <c r="AD806" s="2438"/>
    </row>
    <row r="807" spans="1:30" ht="15.75" hidden="1" customHeight="1">
      <c r="A807" s="1644">
        <f t="shared" si="48"/>
        <v>167</v>
      </c>
      <c r="B807" s="1645" t="s">
        <v>4979</v>
      </c>
      <c r="C807" s="1645" t="s">
        <v>4970</v>
      </c>
      <c r="D807" s="1645" t="s">
        <v>4977</v>
      </c>
      <c r="E807" s="1646" t="s">
        <v>2798</v>
      </c>
      <c r="F807" s="1645">
        <f t="shared" si="51"/>
        <v>1992</v>
      </c>
      <c r="G807" s="1647">
        <v>33610</v>
      </c>
      <c r="H807" s="1644" t="s">
        <v>4974</v>
      </c>
      <c r="I807" s="1648" t="s">
        <v>3629</v>
      </c>
      <c r="J807" s="1645" t="s">
        <v>37</v>
      </c>
      <c r="K807" s="1645">
        <v>0</v>
      </c>
      <c r="L807" s="1645" t="s">
        <v>4980</v>
      </c>
      <c r="M807" s="1645" t="s">
        <v>4925</v>
      </c>
      <c r="N807" s="1645"/>
      <c r="O807" s="1645">
        <v>0</v>
      </c>
      <c r="P807" s="1649"/>
      <c r="Q807" s="1645"/>
      <c r="R807" s="1644"/>
      <c r="S807" s="1644" t="s">
        <v>3743</v>
      </c>
      <c r="T807" s="1644"/>
      <c r="U807" s="1644" t="s">
        <v>4975</v>
      </c>
      <c r="V807" s="1644"/>
      <c r="W807" s="1644">
        <v>0</v>
      </c>
      <c r="X807" s="1644"/>
      <c r="Y807" s="1647">
        <v>41061</v>
      </c>
      <c r="Z807" s="1647">
        <v>41426</v>
      </c>
      <c r="AA807" s="1650">
        <f t="shared" ca="1" si="50"/>
        <v>22.25</v>
      </c>
      <c r="AB807" s="2444" t="s">
        <v>3629</v>
      </c>
      <c r="AC807" s="2445"/>
      <c r="AD807" s="2438"/>
    </row>
    <row r="808" spans="1:30" ht="15.75" hidden="1" customHeight="1">
      <c r="A808" s="1644">
        <f t="shared" si="48"/>
        <v>167</v>
      </c>
      <c r="B808" s="1645" t="s">
        <v>4981</v>
      </c>
      <c r="C808" s="1645" t="s">
        <v>4970</v>
      </c>
      <c r="D808" s="1645" t="s">
        <v>4977</v>
      </c>
      <c r="E808" s="1644" t="s">
        <v>2798</v>
      </c>
      <c r="F808" s="1645">
        <f t="shared" si="51"/>
        <v>1989</v>
      </c>
      <c r="G808" s="1647">
        <v>32692</v>
      </c>
      <c r="H808" s="1644" t="s">
        <v>4974</v>
      </c>
      <c r="I808" s="1648" t="s">
        <v>3629</v>
      </c>
      <c r="J808" s="1645" t="s">
        <v>37</v>
      </c>
      <c r="K808" s="1645">
        <v>0</v>
      </c>
      <c r="L808" s="1645" t="s">
        <v>4672</v>
      </c>
      <c r="M808" s="1645" t="s">
        <v>4672</v>
      </c>
      <c r="N808" s="1645"/>
      <c r="O808" s="1645" t="s">
        <v>3645</v>
      </c>
      <c r="P808" s="1649"/>
      <c r="Q808" s="1645"/>
      <c r="R808" s="1647" t="s">
        <v>3699</v>
      </c>
      <c r="S808" s="1644"/>
      <c r="T808" s="1644"/>
      <c r="U808" s="1644" t="s">
        <v>4975</v>
      </c>
      <c r="V808" s="1644"/>
      <c r="W808" s="1650" t="s">
        <v>3822</v>
      </c>
      <c r="X808" s="1644"/>
      <c r="Y808" s="1647">
        <v>40667</v>
      </c>
      <c r="Z808" s="1647">
        <v>41033</v>
      </c>
      <c r="AA808" s="1650">
        <f t="shared" ca="1" si="50"/>
        <v>19.75</v>
      </c>
      <c r="AB808" s="2444" t="s">
        <v>3629</v>
      </c>
      <c r="AC808" s="2445"/>
      <c r="AD808" s="2438"/>
    </row>
    <row r="809" spans="1:30" ht="15.75" hidden="1" customHeight="1">
      <c r="A809" s="1644">
        <f t="shared" si="48"/>
        <v>167</v>
      </c>
      <c r="B809" s="1645" t="s">
        <v>4982</v>
      </c>
      <c r="C809" s="1645" t="s">
        <v>4970</v>
      </c>
      <c r="D809" s="1645" t="s">
        <v>4977</v>
      </c>
      <c r="E809" s="1646" t="s">
        <v>2798</v>
      </c>
      <c r="F809" s="1645">
        <f t="shared" si="51"/>
        <v>1977</v>
      </c>
      <c r="G809" s="1647">
        <v>28372</v>
      </c>
      <c r="H809" s="1644" t="s">
        <v>4974</v>
      </c>
      <c r="I809" s="1648" t="s">
        <v>3629</v>
      </c>
      <c r="J809" s="1645" t="s">
        <v>201</v>
      </c>
      <c r="K809" s="1645">
        <v>0</v>
      </c>
      <c r="L809" s="1645" t="s">
        <v>4672</v>
      </c>
      <c r="M809" s="1645">
        <v>0</v>
      </c>
      <c r="N809" s="1645"/>
      <c r="O809" s="1645" t="s">
        <v>3645</v>
      </c>
      <c r="P809" s="1649"/>
      <c r="Q809" s="1645"/>
      <c r="R809" s="1647" t="s">
        <v>3699</v>
      </c>
      <c r="S809" s="1644"/>
      <c r="T809" s="1644"/>
      <c r="U809" s="1644" t="s">
        <v>4975</v>
      </c>
      <c r="V809" s="1644"/>
      <c r="W809" s="1650" t="s">
        <v>3653</v>
      </c>
      <c r="X809" s="1644"/>
      <c r="Y809" s="1647">
        <v>36722</v>
      </c>
      <c r="Z809" s="1647">
        <v>37087</v>
      </c>
      <c r="AA809" s="1650">
        <f t="shared" ca="1" si="50"/>
        <v>7.916666666666667</v>
      </c>
      <c r="AB809" s="2444" t="s">
        <v>3629</v>
      </c>
      <c r="AC809" s="2445"/>
      <c r="AD809" s="2438"/>
    </row>
    <row r="810" spans="1:30" ht="15.75" hidden="1" customHeight="1">
      <c r="A810" s="1644">
        <f t="shared" si="48"/>
        <v>167</v>
      </c>
      <c r="B810" s="1645" t="s">
        <v>4983</v>
      </c>
      <c r="C810" s="1645" t="s">
        <v>4970</v>
      </c>
      <c r="D810" s="1645" t="s">
        <v>4977</v>
      </c>
      <c r="E810" s="1644" t="s">
        <v>2798</v>
      </c>
      <c r="F810" s="1645">
        <f t="shared" si="51"/>
        <v>1982</v>
      </c>
      <c r="G810" s="1647">
        <v>30250</v>
      </c>
      <c r="H810" s="1644" t="s">
        <v>4984</v>
      </c>
      <c r="I810" s="1648" t="s">
        <v>3629</v>
      </c>
      <c r="J810" s="1645" t="s">
        <v>37</v>
      </c>
      <c r="K810" s="1645"/>
      <c r="L810" s="1645" t="s">
        <v>4638</v>
      </c>
      <c r="M810" s="1645" t="s">
        <v>3741</v>
      </c>
      <c r="N810" s="1645"/>
      <c r="O810" s="1645">
        <v>0</v>
      </c>
      <c r="P810" s="1649"/>
      <c r="Q810" s="1645"/>
      <c r="R810" s="1647" t="s">
        <v>3667</v>
      </c>
      <c r="S810" s="1644" t="s">
        <v>3743</v>
      </c>
      <c r="T810" s="1644"/>
      <c r="U810" s="1644"/>
      <c r="V810" s="1644"/>
      <c r="W810" s="1650" t="s">
        <v>3822</v>
      </c>
      <c r="X810" s="1644"/>
      <c r="Y810" s="1647">
        <v>39785</v>
      </c>
      <c r="Z810" s="1647">
        <v>40150</v>
      </c>
      <c r="AA810" s="1650">
        <f t="shared" ca="1" si="50"/>
        <v>13</v>
      </c>
      <c r="AB810" s="2444" t="s">
        <v>3629</v>
      </c>
      <c r="AC810" s="2445"/>
      <c r="AD810" s="2438"/>
    </row>
    <row r="811" spans="1:30" ht="15.75" hidden="1" customHeight="1">
      <c r="A811" s="1644">
        <f t="shared" si="48"/>
        <v>167</v>
      </c>
      <c r="B811" s="1645" t="s">
        <v>4985</v>
      </c>
      <c r="C811" s="1645" t="s">
        <v>4970</v>
      </c>
      <c r="D811" s="1645" t="s">
        <v>4977</v>
      </c>
      <c r="E811" s="1646" t="s">
        <v>2798</v>
      </c>
      <c r="F811" s="1645">
        <f t="shared" si="51"/>
        <v>1999</v>
      </c>
      <c r="G811" s="1647">
        <v>36240</v>
      </c>
      <c r="H811" s="1646" t="s">
        <v>4986</v>
      </c>
      <c r="I811" s="1648" t="s">
        <v>4987</v>
      </c>
      <c r="J811" s="1645" t="s">
        <v>201</v>
      </c>
      <c r="K811" s="1645"/>
      <c r="L811" s="1651"/>
      <c r="M811" s="1645"/>
      <c r="N811" s="1645"/>
      <c r="O811" s="1645"/>
      <c r="P811" s="1649"/>
      <c r="Q811" s="1645"/>
      <c r="R811" s="1644"/>
      <c r="S811" s="1644"/>
      <c r="T811" s="1644"/>
      <c r="U811" s="1644"/>
      <c r="V811" s="1644"/>
      <c r="W811" s="1644"/>
      <c r="X811" s="1644"/>
      <c r="Y811" s="1644"/>
      <c r="Z811" s="1644"/>
      <c r="AA811" s="1654"/>
      <c r="AB811" s="2444" t="s">
        <v>3629</v>
      </c>
      <c r="AC811" s="2445"/>
      <c r="AD811" s="2438"/>
    </row>
    <row r="812" spans="1:30" ht="15.75" hidden="1" customHeight="1">
      <c r="A812" s="1644">
        <f t="shared" si="48"/>
        <v>167</v>
      </c>
      <c r="B812" s="1645" t="s">
        <v>4988</v>
      </c>
      <c r="C812" s="1645" t="s">
        <v>4970</v>
      </c>
      <c r="D812" s="1645" t="s">
        <v>4977</v>
      </c>
      <c r="E812" s="1646" t="s">
        <v>2798</v>
      </c>
      <c r="F812" s="1645">
        <f t="shared" si="51"/>
        <v>1988</v>
      </c>
      <c r="G812" s="1647">
        <v>32162</v>
      </c>
      <c r="H812" s="1644" t="s">
        <v>4974</v>
      </c>
      <c r="I812" s="1648" t="s">
        <v>3629</v>
      </c>
      <c r="J812" s="1645" t="s">
        <v>201</v>
      </c>
      <c r="K812" s="1645">
        <v>0</v>
      </c>
      <c r="L812" s="1645" t="s">
        <v>4672</v>
      </c>
      <c r="M812" s="1645">
        <v>0</v>
      </c>
      <c r="N812" s="1645"/>
      <c r="O812" s="1645">
        <v>0</v>
      </c>
      <c r="P812" s="1649"/>
      <c r="Q812" s="1645"/>
      <c r="R812" s="1647" t="s">
        <v>3699</v>
      </c>
      <c r="S812" s="1644"/>
      <c r="T812" s="1644"/>
      <c r="U812" s="1644" t="s">
        <v>4975</v>
      </c>
      <c r="V812" s="1644"/>
      <c r="W812" s="1650" t="s">
        <v>3822</v>
      </c>
      <c r="X812" s="1644"/>
      <c r="Y812" s="1647">
        <v>40369</v>
      </c>
      <c r="Z812" s="1647">
        <v>40734</v>
      </c>
      <c r="AA812" s="1650">
        <f t="shared" ref="AA812:AA815" ca="1" si="52">IF(E812="nữ",660-DATEDIF(G812,TODAY(),"m"),720-DATEDIF(G812,TODAY(),"m"))/12</f>
        <v>18.25</v>
      </c>
      <c r="AB812" s="2444" t="s">
        <v>3629</v>
      </c>
      <c r="AC812" s="2445"/>
      <c r="AD812" s="2438"/>
    </row>
    <row r="813" spans="1:30" ht="15.75" hidden="1" customHeight="1">
      <c r="A813" s="1644">
        <f t="shared" si="48"/>
        <v>167</v>
      </c>
      <c r="B813" s="1645" t="s">
        <v>4989</v>
      </c>
      <c r="C813" s="1645" t="s">
        <v>4970</v>
      </c>
      <c r="D813" s="1645" t="s">
        <v>4977</v>
      </c>
      <c r="E813" s="1644" t="s">
        <v>2798</v>
      </c>
      <c r="F813" s="1645">
        <f t="shared" si="51"/>
        <v>1991</v>
      </c>
      <c r="G813" s="1647">
        <v>33366</v>
      </c>
      <c r="H813" s="1644" t="s">
        <v>4974</v>
      </c>
      <c r="I813" s="1648" t="s">
        <v>3629</v>
      </c>
      <c r="J813" s="1645" t="s">
        <v>201</v>
      </c>
      <c r="K813" s="1645"/>
      <c r="L813" s="1645" t="s">
        <v>4980</v>
      </c>
      <c r="M813" s="1645">
        <v>0</v>
      </c>
      <c r="N813" s="1645"/>
      <c r="O813" s="1645">
        <v>0</v>
      </c>
      <c r="P813" s="1649"/>
      <c r="Q813" s="1645"/>
      <c r="R813" s="1644" t="s">
        <v>3699</v>
      </c>
      <c r="S813" s="1644" t="s">
        <v>3743</v>
      </c>
      <c r="T813" s="1644"/>
      <c r="U813" s="1644" t="s">
        <v>4975</v>
      </c>
      <c r="V813" s="1644"/>
      <c r="W813" s="1644">
        <v>0</v>
      </c>
      <c r="X813" s="1644"/>
      <c r="Y813" s="1647">
        <v>41780</v>
      </c>
      <c r="Z813" s="1647">
        <v>42145</v>
      </c>
      <c r="AA813" s="1650">
        <f t="shared" ca="1" si="52"/>
        <v>21.583333333333332</v>
      </c>
      <c r="AB813" s="2444" t="s">
        <v>3629</v>
      </c>
      <c r="AC813" s="2445"/>
      <c r="AD813" s="2438"/>
    </row>
    <row r="814" spans="1:30" ht="15.75" hidden="1" customHeight="1">
      <c r="A814" s="1644">
        <f t="shared" si="48"/>
        <v>167</v>
      </c>
      <c r="B814" s="1645" t="s">
        <v>4990</v>
      </c>
      <c r="C814" s="1645" t="s">
        <v>4970</v>
      </c>
      <c r="D814" s="1645" t="s">
        <v>4977</v>
      </c>
      <c r="E814" s="1646" t="s">
        <v>2798</v>
      </c>
      <c r="F814" s="1645">
        <f t="shared" si="51"/>
        <v>1991</v>
      </c>
      <c r="G814" s="1647">
        <v>33426</v>
      </c>
      <c r="H814" s="1644" t="s">
        <v>4974</v>
      </c>
      <c r="I814" s="1648" t="s">
        <v>3629</v>
      </c>
      <c r="J814" s="1645" t="s">
        <v>37</v>
      </c>
      <c r="K814" s="1645"/>
      <c r="L814" s="1645" t="s">
        <v>4980</v>
      </c>
      <c r="M814" s="1645" t="s">
        <v>4991</v>
      </c>
      <c r="N814" s="1645"/>
      <c r="O814" s="1645">
        <v>0</v>
      </c>
      <c r="P814" s="1649"/>
      <c r="Q814" s="1645"/>
      <c r="R814" s="1644"/>
      <c r="S814" s="1644" t="s">
        <v>3743</v>
      </c>
      <c r="T814" s="1644"/>
      <c r="U814" s="1644" t="s">
        <v>4975</v>
      </c>
      <c r="V814" s="1644"/>
      <c r="W814" s="1650" t="s">
        <v>3822</v>
      </c>
      <c r="X814" s="1644"/>
      <c r="Y814" s="1647">
        <v>41456</v>
      </c>
      <c r="Z814" s="1647">
        <v>41821</v>
      </c>
      <c r="AA814" s="1650">
        <f t="shared" ca="1" si="52"/>
        <v>21.75</v>
      </c>
      <c r="AB814" s="2444" t="s">
        <v>3629</v>
      </c>
      <c r="AC814" s="2445"/>
      <c r="AD814" s="2438"/>
    </row>
    <row r="815" spans="1:30" ht="15.75" hidden="1" customHeight="1">
      <c r="A815" s="1644">
        <f t="shared" si="48"/>
        <v>167</v>
      </c>
      <c r="B815" s="1645" t="s">
        <v>4992</v>
      </c>
      <c r="C815" s="1645" t="s">
        <v>4970</v>
      </c>
      <c r="D815" s="1645" t="s">
        <v>4977</v>
      </c>
      <c r="E815" s="1644" t="s">
        <v>2798</v>
      </c>
      <c r="F815" s="1645">
        <f t="shared" si="51"/>
        <v>1996</v>
      </c>
      <c r="G815" s="1647">
        <v>35131</v>
      </c>
      <c r="H815" s="1644" t="s">
        <v>4984</v>
      </c>
      <c r="I815" s="1648" t="s">
        <v>3629</v>
      </c>
      <c r="J815" s="1645" t="s">
        <v>201</v>
      </c>
      <c r="K815" s="1645"/>
      <c r="L815" s="1645" t="s">
        <v>4226</v>
      </c>
      <c r="M815" s="1645">
        <v>0</v>
      </c>
      <c r="N815" s="1645"/>
      <c r="O815" s="1645">
        <v>0</v>
      </c>
      <c r="P815" s="1649"/>
      <c r="Q815" s="1645"/>
      <c r="R815" s="1647" t="s">
        <v>3667</v>
      </c>
      <c r="S815" s="1644"/>
      <c r="T815" s="1644"/>
      <c r="U815" s="1644"/>
      <c r="V815" s="1644"/>
      <c r="W815" s="1650" t="s">
        <v>3822</v>
      </c>
      <c r="X815" s="1644"/>
      <c r="Y815" s="1647">
        <v>43185</v>
      </c>
      <c r="Z815" s="1647">
        <v>43550</v>
      </c>
      <c r="AA815" s="1650">
        <f t="shared" ca="1" si="52"/>
        <v>26.416666666666668</v>
      </c>
      <c r="AB815" s="2444" t="s">
        <v>3629</v>
      </c>
      <c r="AC815" s="2445"/>
      <c r="AD815" s="2438"/>
    </row>
    <row r="816" spans="1:30" ht="15.75" hidden="1" customHeight="1">
      <c r="A816" s="1644">
        <f t="shared" si="48"/>
        <v>167</v>
      </c>
      <c r="B816" s="1645" t="s">
        <v>4993</v>
      </c>
      <c r="C816" s="1645" t="s">
        <v>4970</v>
      </c>
      <c r="D816" s="1645" t="s">
        <v>4977</v>
      </c>
      <c r="E816" s="1646" t="s">
        <v>2798</v>
      </c>
      <c r="F816" s="1645">
        <f t="shared" si="51"/>
        <v>1997</v>
      </c>
      <c r="G816" s="1647">
        <v>35592</v>
      </c>
      <c r="H816" s="1646" t="s">
        <v>4984</v>
      </c>
      <c r="I816" s="1648" t="s">
        <v>3629</v>
      </c>
      <c r="J816" s="1645" t="s">
        <v>201</v>
      </c>
      <c r="K816" s="1645"/>
      <c r="L816" s="1651"/>
      <c r="M816" s="1645"/>
      <c r="N816" s="1645"/>
      <c r="O816" s="1645"/>
      <c r="P816" s="1649"/>
      <c r="Q816" s="1645"/>
      <c r="R816" s="1644"/>
      <c r="S816" s="1644"/>
      <c r="T816" s="1644"/>
      <c r="U816" s="1644"/>
      <c r="V816" s="1644"/>
      <c r="W816" s="1644"/>
      <c r="X816" s="1644"/>
      <c r="Y816" s="1644"/>
      <c r="Z816" s="1644"/>
      <c r="AA816" s="1654"/>
      <c r="AB816" s="2444" t="s">
        <v>3629</v>
      </c>
      <c r="AC816" s="2445"/>
      <c r="AD816" s="2438"/>
    </row>
    <row r="817" spans="1:30" ht="15.75" hidden="1" customHeight="1">
      <c r="A817" s="1644">
        <f t="shared" si="48"/>
        <v>167</v>
      </c>
      <c r="B817" s="1645" t="s">
        <v>4994</v>
      </c>
      <c r="C817" s="1645" t="s">
        <v>4970</v>
      </c>
      <c r="D817" s="1645" t="s">
        <v>4977</v>
      </c>
      <c r="E817" s="1644" t="s">
        <v>2798</v>
      </c>
      <c r="F817" s="1645">
        <f t="shared" si="51"/>
        <v>1995</v>
      </c>
      <c r="G817" s="1647">
        <v>34757</v>
      </c>
      <c r="H817" s="1644" t="s">
        <v>4984</v>
      </c>
      <c r="I817" s="1648" t="s">
        <v>3629</v>
      </c>
      <c r="J817" s="1645" t="s">
        <v>37</v>
      </c>
      <c r="K817" s="1645"/>
      <c r="L817" s="1645" t="s">
        <v>4226</v>
      </c>
      <c r="M817" s="1645" t="s">
        <v>4226</v>
      </c>
      <c r="N817" s="1645"/>
      <c r="O817" s="1645">
        <v>0</v>
      </c>
      <c r="P817" s="1649"/>
      <c r="Q817" s="1645"/>
      <c r="R817" s="1647" t="s">
        <v>3667</v>
      </c>
      <c r="S817" s="1644"/>
      <c r="T817" s="1644"/>
      <c r="U817" s="1644"/>
      <c r="V817" s="1644"/>
      <c r="W817" s="1650" t="s">
        <v>3822</v>
      </c>
      <c r="X817" s="1644"/>
      <c r="Y817" s="1644"/>
      <c r="Z817" s="1644"/>
      <c r="AA817" s="1650">
        <f t="shared" ref="AA817:AA835" ca="1" si="53">IF(E817="nữ",660-DATEDIF(G817,TODAY(),"m"),720-DATEDIF(G817,TODAY(),"m"))/12</f>
        <v>25.333333333333332</v>
      </c>
      <c r="AB817" s="2444" t="s">
        <v>3629</v>
      </c>
      <c r="AC817" s="2445"/>
      <c r="AD817" s="2438"/>
    </row>
    <row r="818" spans="1:30" ht="15.75" hidden="1" customHeight="1">
      <c r="A818" s="1644">
        <f t="shared" si="48"/>
        <v>167</v>
      </c>
      <c r="B818" s="1645" t="s">
        <v>4995</v>
      </c>
      <c r="C818" s="1645" t="s">
        <v>4970</v>
      </c>
      <c r="D818" s="1645" t="s">
        <v>4977</v>
      </c>
      <c r="E818" s="1644" t="s">
        <v>2798</v>
      </c>
      <c r="F818" s="1645">
        <f t="shared" si="51"/>
        <v>1977</v>
      </c>
      <c r="G818" s="1647">
        <v>28389</v>
      </c>
      <c r="H818" s="1644" t="s">
        <v>4974</v>
      </c>
      <c r="I818" s="1648" t="s">
        <v>3629</v>
      </c>
      <c r="J818" s="1645" t="s">
        <v>37</v>
      </c>
      <c r="K818" s="1645">
        <v>0</v>
      </c>
      <c r="L818" s="1645" t="s">
        <v>4672</v>
      </c>
      <c r="M818" s="1645" t="s">
        <v>4672</v>
      </c>
      <c r="N818" s="1645"/>
      <c r="O818" s="1645" t="s">
        <v>3645</v>
      </c>
      <c r="P818" s="1649"/>
      <c r="Q818" s="1645"/>
      <c r="R818" s="1647" t="s">
        <v>3699</v>
      </c>
      <c r="S818" s="1644"/>
      <c r="T818" s="1644"/>
      <c r="U818" s="1644" t="s">
        <v>4975</v>
      </c>
      <c r="V818" s="1644"/>
      <c r="W818" s="1650" t="s">
        <v>3822</v>
      </c>
      <c r="X818" s="1644"/>
      <c r="Y818" s="1647">
        <v>39227</v>
      </c>
      <c r="Z818" s="1647">
        <v>39593</v>
      </c>
      <c r="AA818" s="1650">
        <f t="shared" ca="1" si="53"/>
        <v>7.916666666666667</v>
      </c>
      <c r="AB818" s="2444" t="s">
        <v>3629</v>
      </c>
      <c r="AC818" s="2445"/>
      <c r="AD818" s="2438"/>
    </row>
    <row r="819" spans="1:30" ht="31.5" hidden="1" customHeight="1">
      <c r="A819" s="1644">
        <f t="shared" si="48"/>
        <v>167</v>
      </c>
      <c r="B819" s="1645" t="s">
        <v>4996</v>
      </c>
      <c r="C819" s="1645" t="s">
        <v>4970</v>
      </c>
      <c r="D819" s="1645" t="s">
        <v>4977</v>
      </c>
      <c r="E819" s="1644" t="s">
        <v>2798</v>
      </c>
      <c r="F819" s="1645">
        <f t="shared" si="51"/>
        <v>1989</v>
      </c>
      <c r="G819" s="1647">
        <v>32528</v>
      </c>
      <c r="H819" s="1644" t="s">
        <v>4974</v>
      </c>
      <c r="I819" s="1648" t="s">
        <v>3629</v>
      </c>
      <c r="J819" s="1645" t="s">
        <v>201</v>
      </c>
      <c r="K819" s="1645">
        <v>0</v>
      </c>
      <c r="L819" s="1645" t="s">
        <v>4672</v>
      </c>
      <c r="M819" s="1645">
        <v>0</v>
      </c>
      <c r="N819" s="1645"/>
      <c r="O819" s="1645" t="s">
        <v>3645</v>
      </c>
      <c r="P819" s="1649"/>
      <c r="Q819" s="1645"/>
      <c r="R819" s="1647" t="s">
        <v>3699</v>
      </c>
      <c r="S819" s="1644"/>
      <c r="T819" s="1644"/>
      <c r="U819" s="1644" t="s">
        <v>4975</v>
      </c>
      <c r="V819" s="1644"/>
      <c r="W819" s="1644" t="s">
        <v>936</v>
      </c>
      <c r="X819" s="1644"/>
      <c r="Y819" s="1647">
        <v>40667</v>
      </c>
      <c r="Z819" s="1647">
        <v>41033</v>
      </c>
      <c r="AA819" s="1650">
        <f t="shared" ca="1" si="53"/>
        <v>19.25</v>
      </c>
      <c r="AB819" s="2444" t="s">
        <v>3629</v>
      </c>
      <c r="AC819" s="2445"/>
      <c r="AD819" s="2438"/>
    </row>
    <row r="820" spans="1:30" ht="15.75" hidden="1" customHeight="1">
      <c r="A820" s="1644">
        <f t="shared" si="48"/>
        <v>167</v>
      </c>
      <c r="B820" s="1645" t="s">
        <v>4997</v>
      </c>
      <c r="C820" s="1645" t="s">
        <v>4970</v>
      </c>
      <c r="D820" s="1645" t="s">
        <v>4998</v>
      </c>
      <c r="E820" s="1644" t="s">
        <v>2798</v>
      </c>
      <c r="F820" s="1645">
        <f t="shared" si="51"/>
        <v>1989</v>
      </c>
      <c r="G820" s="1647">
        <v>32608</v>
      </c>
      <c r="H820" s="1644" t="s">
        <v>4974</v>
      </c>
      <c r="I820" s="1648" t="s">
        <v>3629</v>
      </c>
      <c r="J820" s="1645" t="s">
        <v>37</v>
      </c>
      <c r="K820" s="1645">
        <v>0</v>
      </c>
      <c r="L820" s="1645" t="s">
        <v>4980</v>
      </c>
      <c r="M820" s="1645">
        <v>0</v>
      </c>
      <c r="N820" s="1645"/>
      <c r="O820" s="1645">
        <v>0</v>
      </c>
      <c r="P820" s="1649"/>
      <c r="Q820" s="1645"/>
      <c r="R820" s="1644"/>
      <c r="S820" s="1644" t="s">
        <v>3743</v>
      </c>
      <c r="T820" s="1644"/>
      <c r="U820" s="1644" t="s">
        <v>4975</v>
      </c>
      <c r="V820" s="1644"/>
      <c r="W820" s="1650" t="s">
        <v>3822</v>
      </c>
      <c r="X820" s="1644"/>
      <c r="Y820" s="1647"/>
      <c r="Z820" s="1647"/>
      <c r="AA820" s="1650">
        <f t="shared" ca="1" si="53"/>
        <v>19.5</v>
      </c>
      <c r="AB820" s="2444" t="s">
        <v>3629</v>
      </c>
      <c r="AC820" s="2445"/>
      <c r="AD820" s="2438"/>
    </row>
    <row r="821" spans="1:30" ht="15.75" hidden="1" customHeight="1">
      <c r="A821" s="1644">
        <f t="shared" si="48"/>
        <v>167</v>
      </c>
      <c r="B821" s="1645" t="s">
        <v>4999</v>
      </c>
      <c r="C821" s="1645" t="s">
        <v>4970</v>
      </c>
      <c r="D821" s="1645" t="s">
        <v>4998</v>
      </c>
      <c r="E821" s="1646" t="s">
        <v>2798</v>
      </c>
      <c r="F821" s="1645">
        <f t="shared" si="51"/>
        <v>1990</v>
      </c>
      <c r="G821" s="1647">
        <v>33221</v>
      </c>
      <c r="H821" s="1644" t="s">
        <v>4984</v>
      </c>
      <c r="I821" s="1648" t="s">
        <v>3629</v>
      </c>
      <c r="J821" s="1645" t="s">
        <v>201</v>
      </c>
      <c r="K821" s="1645">
        <v>0</v>
      </c>
      <c r="L821" s="1645" t="s">
        <v>3364</v>
      </c>
      <c r="M821" s="1645">
        <v>0</v>
      </c>
      <c r="N821" s="1645"/>
      <c r="O821" s="1645" t="s">
        <v>3645</v>
      </c>
      <c r="P821" s="1649"/>
      <c r="Q821" s="1645"/>
      <c r="R821" s="1647" t="s">
        <v>3667</v>
      </c>
      <c r="S821" s="1644"/>
      <c r="T821" s="1644"/>
      <c r="U821" s="1644"/>
      <c r="V821" s="1644"/>
      <c r="W821" s="1650" t="s">
        <v>3646</v>
      </c>
      <c r="X821" s="1644"/>
      <c r="Y821" s="1647">
        <v>43983</v>
      </c>
      <c r="Z821" s="1647">
        <v>0</v>
      </c>
      <c r="AA821" s="1650">
        <f t="shared" ca="1" si="53"/>
        <v>21.166666666666668</v>
      </c>
      <c r="AB821" s="2444" t="s">
        <v>3629</v>
      </c>
      <c r="AC821" s="2445"/>
      <c r="AD821" s="2438"/>
    </row>
    <row r="822" spans="1:30" ht="15.75" hidden="1" customHeight="1">
      <c r="A822" s="1644">
        <f t="shared" si="48"/>
        <v>167</v>
      </c>
      <c r="B822" s="1645" t="s">
        <v>5000</v>
      </c>
      <c r="C822" s="1645" t="s">
        <v>4970</v>
      </c>
      <c r="D822" s="1645" t="s">
        <v>4998</v>
      </c>
      <c r="E822" s="1644" t="s">
        <v>2798</v>
      </c>
      <c r="F822" s="1645">
        <f t="shared" si="51"/>
        <v>1982</v>
      </c>
      <c r="G822" s="1647">
        <v>30301</v>
      </c>
      <c r="H822" s="1644" t="s">
        <v>4984</v>
      </c>
      <c r="I822" s="1648" t="s">
        <v>3629</v>
      </c>
      <c r="J822" s="1645" t="s">
        <v>37</v>
      </c>
      <c r="K822" s="1645"/>
      <c r="L822" s="1651"/>
      <c r="M822" s="1645" t="s">
        <v>5001</v>
      </c>
      <c r="N822" s="1645"/>
      <c r="O822" s="1645">
        <v>0</v>
      </c>
      <c r="P822" s="1649"/>
      <c r="Q822" s="1645"/>
      <c r="R822" s="1644"/>
      <c r="S822" s="1644"/>
      <c r="T822" s="1644"/>
      <c r="U822" s="1644"/>
      <c r="V822" s="1644"/>
      <c r="W822" s="1644"/>
      <c r="X822" s="1644"/>
      <c r="Y822" s="1644"/>
      <c r="Z822" s="1644"/>
      <c r="AA822" s="1650">
        <f t="shared" ca="1" si="53"/>
        <v>13.166666666666666</v>
      </c>
      <c r="AB822" s="2444" t="s">
        <v>3629</v>
      </c>
      <c r="AC822" s="2445"/>
      <c r="AD822" s="2438"/>
    </row>
    <row r="823" spans="1:30" ht="15.75" hidden="1" customHeight="1">
      <c r="A823" s="1644">
        <f t="shared" si="48"/>
        <v>167</v>
      </c>
      <c r="B823" s="1645" t="s">
        <v>5002</v>
      </c>
      <c r="C823" s="1645" t="s">
        <v>4970</v>
      </c>
      <c r="D823" s="1645" t="s">
        <v>4998</v>
      </c>
      <c r="E823" s="1646" t="s">
        <v>2798</v>
      </c>
      <c r="F823" s="1645">
        <f t="shared" si="51"/>
        <v>1982</v>
      </c>
      <c r="G823" s="1647">
        <v>30256</v>
      </c>
      <c r="H823" s="1644" t="s">
        <v>4974</v>
      </c>
      <c r="I823" s="1648" t="s">
        <v>3629</v>
      </c>
      <c r="J823" s="1645" t="s">
        <v>201</v>
      </c>
      <c r="K823" s="1645">
        <v>0</v>
      </c>
      <c r="L823" s="1645" t="s">
        <v>4980</v>
      </c>
      <c r="M823" s="1645">
        <v>0</v>
      </c>
      <c r="N823" s="1645"/>
      <c r="O823" s="1645">
        <v>0</v>
      </c>
      <c r="P823" s="1649"/>
      <c r="Q823" s="1645"/>
      <c r="R823" s="1644"/>
      <c r="S823" s="1644" t="s">
        <v>3743</v>
      </c>
      <c r="T823" s="1644"/>
      <c r="U823" s="1644" t="s">
        <v>4975</v>
      </c>
      <c r="V823" s="1644"/>
      <c r="W823" s="1644">
        <v>0</v>
      </c>
      <c r="X823" s="1644"/>
      <c r="Y823" s="1647">
        <v>40919</v>
      </c>
      <c r="Z823" s="1647">
        <v>41285</v>
      </c>
      <c r="AA823" s="1650">
        <f t="shared" ca="1" si="53"/>
        <v>13</v>
      </c>
      <c r="AB823" s="2444" t="s">
        <v>3629</v>
      </c>
      <c r="AC823" s="2445"/>
      <c r="AD823" s="2438"/>
    </row>
    <row r="824" spans="1:30" ht="15.75" hidden="1" customHeight="1">
      <c r="A824" s="1644">
        <f t="shared" si="48"/>
        <v>167</v>
      </c>
      <c r="B824" s="1645" t="s">
        <v>5003</v>
      </c>
      <c r="C824" s="1645" t="s">
        <v>4970</v>
      </c>
      <c r="D824" s="1645" t="s">
        <v>4998</v>
      </c>
      <c r="E824" s="1646" t="s">
        <v>4429</v>
      </c>
      <c r="F824" s="1645">
        <f t="shared" si="51"/>
        <v>1987</v>
      </c>
      <c r="G824" s="1647">
        <v>31967</v>
      </c>
      <c r="H824" s="1644" t="s">
        <v>4984</v>
      </c>
      <c r="I824" s="1648" t="s">
        <v>3629</v>
      </c>
      <c r="J824" s="1645" t="s">
        <v>37</v>
      </c>
      <c r="K824" s="1645"/>
      <c r="L824" s="1651"/>
      <c r="M824" s="1645" t="s">
        <v>3741</v>
      </c>
      <c r="N824" s="1645"/>
      <c r="O824" s="1645">
        <v>0</v>
      </c>
      <c r="P824" s="1649"/>
      <c r="Q824" s="1645"/>
      <c r="R824" s="1647" t="s">
        <v>3882</v>
      </c>
      <c r="S824" s="1644"/>
      <c r="T824" s="1644"/>
      <c r="U824" s="1644"/>
      <c r="V824" s="1644"/>
      <c r="W824" s="1644"/>
      <c r="X824" s="1644"/>
      <c r="Y824" s="1647">
        <v>42138</v>
      </c>
      <c r="Z824" s="1647">
        <v>42504</v>
      </c>
      <c r="AA824" s="1654">
        <f t="shared" ca="1" si="53"/>
        <v>17.75</v>
      </c>
      <c r="AB824" s="2444" t="s">
        <v>3629</v>
      </c>
      <c r="AC824" s="2445"/>
      <c r="AD824" s="2438"/>
    </row>
    <row r="825" spans="1:30" ht="15.75" hidden="1" customHeight="1">
      <c r="A825" s="1644">
        <f t="shared" si="48"/>
        <v>167</v>
      </c>
      <c r="B825" s="1645" t="s">
        <v>5004</v>
      </c>
      <c r="C825" s="1645" t="s">
        <v>4970</v>
      </c>
      <c r="D825" s="1645" t="s">
        <v>5005</v>
      </c>
      <c r="E825" s="1644" t="s">
        <v>2798</v>
      </c>
      <c r="F825" s="1645">
        <f t="shared" si="51"/>
        <v>1993</v>
      </c>
      <c r="G825" s="1647">
        <v>34139</v>
      </c>
      <c r="H825" s="1644" t="s">
        <v>4984</v>
      </c>
      <c r="I825" s="1648" t="s">
        <v>3629</v>
      </c>
      <c r="J825" s="1645" t="s">
        <v>37</v>
      </c>
      <c r="K825" s="1645"/>
      <c r="L825" s="1651"/>
      <c r="M825" s="1645" t="s">
        <v>2824</v>
      </c>
      <c r="N825" s="1645"/>
      <c r="O825" s="1645">
        <v>0</v>
      </c>
      <c r="P825" s="1649"/>
      <c r="Q825" s="1645"/>
      <c r="R825" s="1647" t="s">
        <v>3667</v>
      </c>
      <c r="S825" s="1644" t="s">
        <v>3743</v>
      </c>
      <c r="T825" s="1644"/>
      <c r="U825" s="1644"/>
      <c r="V825" s="1644"/>
      <c r="W825" s="1644"/>
      <c r="X825" s="1644"/>
      <c r="Y825" s="1647">
        <v>42078</v>
      </c>
      <c r="Z825" s="1647">
        <v>42444</v>
      </c>
      <c r="AA825" s="1650">
        <f t="shared" ca="1" si="53"/>
        <v>23.666666666666668</v>
      </c>
      <c r="AB825" s="2444" t="s">
        <v>3629</v>
      </c>
      <c r="AC825" s="2445"/>
      <c r="AD825" s="2438"/>
    </row>
    <row r="826" spans="1:30" ht="15.75" hidden="1" customHeight="1">
      <c r="A826" s="1644">
        <f t="shared" si="48"/>
        <v>167</v>
      </c>
      <c r="B826" s="1645" t="s">
        <v>5006</v>
      </c>
      <c r="C826" s="1645" t="s">
        <v>4970</v>
      </c>
      <c r="D826" s="1645" t="s">
        <v>4998</v>
      </c>
      <c r="E826" s="1646" t="s">
        <v>2798</v>
      </c>
      <c r="F826" s="1645">
        <f t="shared" si="51"/>
        <v>1989</v>
      </c>
      <c r="G826" s="1647">
        <v>32521</v>
      </c>
      <c r="H826" s="1644" t="s">
        <v>4974</v>
      </c>
      <c r="I826" s="1648" t="s">
        <v>3629</v>
      </c>
      <c r="J826" s="1645" t="s">
        <v>37</v>
      </c>
      <c r="K826" s="1645">
        <v>0</v>
      </c>
      <c r="L826" s="1645" t="s">
        <v>4672</v>
      </c>
      <c r="M826" s="1645" t="s">
        <v>4226</v>
      </c>
      <c r="N826" s="1645"/>
      <c r="O826" s="1645" t="s">
        <v>3645</v>
      </c>
      <c r="P826" s="1649"/>
      <c r="Q826" s="1645"/>
      <c r="R826" s="1644" t="s">
        <v>3699</v>
      </c>
      <c r="S826" s="1644"/>
      <c r="T826" s="1644"/>
      <c r="U826" s="1644" t="s">
        <v>4975</v>
      </c>
      <c r="V826" s="1644"/>
      <c r="W826" s="1650" t="s">
        <v>3646</v>
      </c>
      <c r="X826" s="1644"/>
      <c r="Y826" s="1647">
        <v>40369</v>
      </c>
      <c r="Z826" s="1647">
        <v>40734</v>
      </c>
      <c r="AA826" s="1650">
        <f t="shared" ca="1" si="53"/>
        <v>19.25</v>
      </c>
      <c r="AB826" s="2444" t="s">
        <v>3629</v>
      </c>
      <c r="AC826" s="2445"/>
      <c r="AD826" s="2438"/>
    </row>
    <row r="827" spans="1:30" ht="31.5" hidden="1" customHeight="1">
      <c r="A827" s="1644">
        <f t="shared" si="48"/>
        <v>167</v>
      </c>
      <c r="B827" s="1645" t="s">
        <v>5007</v>
      </c>
      <c r="C827" s="1645" t="s">
        <v>4970</v>
      </c>
      <c r="D827" s="1645" t="s">
        <v>4998</v>
      </c>
      <c r="E827" s="1646" t="s">
        <v>2798</v>
      </c>
      <c r="F827" s="1645">
        <f t="shared" si="51"/>
        <v>1995</v>
      </c>
      <c r="G827" s="1647">
        <v>34793</v>
      </c>
      <c r="H827" s="1644" t="s">
        <v>4984</v>
      </c>
      <c r="I827" s="1648" t="s">
        <v>3629</v>
      </c>
      <c r="J827" s="1645" t="s">
        <v>201</v>
      </c>
      <c r="K827" s="1645"/>
      <c r="L827" s="1651"/>
      <c r="M827" s="1645">
        <v>0</v>
      </c>
      <c r="N827" s="1645"/>
      <c r="O827" s="1645">
        <v>0</v>
      </c>
      <c r="P827" s="1649"/>
      <c r="Q827" s="1645"/>
      <c r="R827" s="1644"/>
      <c r="S827" s="1644"/>
      <c r="T827" s="1644"/>
      <c r="U827" s="1644"/>
      <c r="V827" s="1644"/>
      <c r="W827" s="1644"/>
      <c r="X827" s="1644"/>
      <c r="Y827" s="1644"/>
      <c r="Z827" s="1644"/>
      <c r="AA827" s="1650">
        <f t="shared" ca="1" si="53"/>
        <v>25.5</v>
      </c>
      <c r="AB827" s="2444" t="s">
        <v>3629</v>
      </c>
      <c r="AC827" s="2445"/>
      <c r="AD827" s="2438"/>
    </row>
    <row r="828" spans="1:30" ht="15.75" hidden="1" customHeight="1">
      <c r="A828" s="1644">
        <f t="shared" si="48"/>
        <v>167</v>
      </c>
      <c r="B828" s="1658" t="s">
        <v>5008</v>
      </c>
      <c r="C828" s="1645" t="s">
        <v>4970</v>
      </c>
      <c r="D828" s="1658" t="s">
        <v>4998</v>
      </c>
      <c r="E828" s="1662" t="s">
        <v>2798</v>
      </c>
      <c r="F828" s="1658">
        <f t="shared" si="51"/>
        <v>1986</v>
      </c>
      <c r="G828" s="1660">
        <v>31634</v>
      </c>
      <c r="H828" s="1644" t="s">
        <v>4984</v>
      </c>
      <c r="I828" s="1661" t="s">
        <v>3629</v>
      </c>
      <c r="J828" s="1658" t="s">
        <v>37</v>
      </c>
      <c r="K828" s="1658"/>
      <c r="L828" s="1651"/>
      <c r="M828" s="1645" t="s">
        <v>3777</v>
      </c>
      <c r="N828" s="1645"/>
      <c r="O828" s="1645">
        <v>0</v>
      </c>
      <c r="P828" s="1649"/>
      <c r="Q828" s="1645"/>
      <c r="R828" s="1647" t="s">
        <v>4028</v>
      </c>
      <c r="S828" s="1662"/>
      <c r="T828" s="1662"/>
      <c r="U828" s="1662"/>
      <c r="V828" s="1662"/>
      <c r="W828" s="1662"/>
      <c r="X828" s="1662"/>
      <c r="Y828" s="1647">
        <v>39613</v>
      </c>
      <c r="Z828" s="1647">
        <v>39978</v>
      </c>
      <c r="AA828" s="1664">
        <f t="shared" ca="1" si="53"/>
        <v>16.833333333333332</v>
      </c>
      <c r="AB828" s="2444" t="s">
        <v>3629</v>
      </c>
      <c r="AC828" s="2445"/>
      <c r="AD828" s="2438"/>
    </row>
    <row r="829" spans="1:30" ht="15.75" hidden="1" customHeight="1">
      <c r="A829" s="1644">
        <f t="shared" si="48"/>
        <v>167</v>
      </c>
      <c r="B829" s="1645" t="s">
        <v>5009</v>
      </c>
      <c r="C829" s="1645" t="s">
        <v>4970</v>
      </c>
      <c r="D829" s="1645" t="s">
        <v>4998</v>
      </c>
      <c r="E829" s="1644" t="s">
        <v>2798</v>
      </c>
      <c r="F829" s="1645">
        <f t="shared" si="51"/>
        <v>1992</v>
      </c>
      <c r="G829" s="1647">
        <v>33644</v>
      </c>
      <c r="H829" s="1644" t="s">
        <v>4974</v>
      </c>
      <c r="I829" s="1648" t="s">
        <v>3629</v>
      </c>
      <c r="J829" s="1645" t="s">
        <v>201</v>
      </c>
      <c r="K829" s="1645"/>
      <c r="L829" s="1645" t="s">
        <v>4638</v>
      </c>
      <c r="M829" s="1645">
        <v>0</v>
      </c>
      <c r="N829" s="1645"/>
      <c r="O829" s="1645">
        <v>0</v>
      </c>
      <c r="P829" s="1649"/>
      <c r="Q829" s="1645"/>
      <c r="R829" s="1644"/>
      <c r="S829" s="1644"/>
      <c r="T829" s="1644"/>
      <c r="U829" s="1644" t="s">
        <v>4975</v>
      </c>
      <c r="V829" s="1644"/>
      <c r="W829" s="1650" t="s">
        <v>3822</v>
      </c>
      <c r="X829" s="1644"/>
      <c r="Y829" s="1647">
        <v>41780</v>
      </c>
      <c r="Z829" s="1647">
        <v>42145</v>
      </c>
      <c r="AA829" s="1650">
        <f t="shared" ca="1" si="53"/>
        <v>22.333333333333332</v>
      </c>
      <c r="AB829" s="2444" t="s">
        <v>3629</v>
      </c>
      <c r="AC829" s="2445"/>
      <c r="AD829" s="2438"/>
    </row>
    <row r="830" spans="1:30" ht="15.75" hidden="1" customHeight="1">
      <c r="A830" s="1644">
        <f t="shared" si="48"/>
        <v>167</v>
      </c>
      <c r="B830" s="1645" t="s">
        <v>5010</v>
      </c>
      <c r="C830" s="1645" t="s">
        <v>4970</v>
      </c>
      <c r="D830" s="1645" t="s">
        <v>4998</v>
      </c>
      <c r="E830" s="1644" t="s">
        <v>2798</v>
      </c>
      <c r="F830" s="1645">
        <f t="shared" si="51"/>
        <v>1974</v>
      </c>
      <c r="G830" s="1647">
        <v>27113</v>
      </c>
      <c r="H830" s="1644" t="s">
        <v>4974</v>
      </c>
      <c r="I830" s="1648" t="s">
        <v>3629</v>
      </c>
      <c r="J830" s="1645" t="s">
        <v>201</v>
      </c>
      <c r="K830" s="1645"/>
      <c r="L830" s="1651"/>
      <c r="M830" s="1645">
        <v>0</v>
      </c>
      <c r="N830" s="1645"/>
      <c r="O830" s="1645">
        <v>0</v>
      </c>
      <c r="P830" s="1649"/>
      <c r="Q830" s="1645"/>
      <c r="R830" s="1644"/>
      <c r="S830" s="1644" t="s">
        <v>3743</v>
      </c>
      <c r="T830" s="1644"/>
      <c r="U830" s="1644" t="s">
        <v>4975</v>
      </c>
      <c r="V830" s="1644"/>
      <c r="W830" s="1650" t="s">
        <v>3822</v>
      </c>
      <c r="X830" s="1644"/>
      <c r="Y830" s="1647">
        <v>35455</v>
      </c>
      <c r="Z830" s="1647">
        <v>35820</v>
      </c>
      <c r="AA830" s="1650">
        <f t="shared" ca="1" si="53"/>
        <v>4.416666666666667</v>
      </c>
      <c r="AB830" s="2444" t="s">
        <v>3629</v>
      </c>
      <c r="AC830" s="2445"/>
      <c r="AD830" s="2438"/>
    </row>
    <row r="831" spans="1:30" ht="15.75" hidden="1" customHeight="1">
      <c r="A831" s="1644">
        <f t="shared" si="48"/>
        <v>167</v>
      </c>
      <c r="B831" s="1645" t="s">
        <v>5011</v>
      </c>
      <c r="C831" s="1645" t="s">
        <v>4970</v>
      </c>
      <c r="D831" s="1645" t="s">
        <v>4998</v>
      </c>
      <c r="E831" s="1646" t="s">
        <v>2798</v>
      </c>
      <c r="F831" s="1645">
        <f t="shared" si="51"/>
        <v>1993</v>
      </c>
      <c r="G831" s="1647">
        <v>34082</v>
      </c>
      <c r="H831" s="1644" t="s">
        <v>4974</v>
      </c>
      <c r="I831" s="1648" t="s">
        <v>3629</v>
      </c>
      <c r="J831" s="1645" t="s">
        <v>201</v>
      </c>
      <c r="K831" s="1645"/>
      <c r="L831" s="1645" t="s">
        <v>4226</v>
      </c>
      <c r="M831" s="1645">
        <v>0</v>
      </c>
      <c r="N831" s="1645"/>
      <c r="O831" s="1645">
        <v>0</v>
      </c>
      <c r="P831" s="1649"/>
      <c r="Q831" s="1645"/>
      <c r="R831" s="1644" t="s">
        <v>3710</v>
      </c>
      <c r="S831" s="1644" t="s">
        <v>3743</v>
      </c>
      <c r="T831" s="1644"/>
      <c r="U831" s="1644" t="s">
        <v>4975</v>
      </c>
      <c r="V831" s="1644"/>
      <c r="W831" s="1644">
        <v>0</v>
      </c>
      <c r="X831" s="1644"/>
      <c r="Y831" s="1647">
        <v>42181</v>
      </c>
      <c r="Z831" s="1647">
        <v>42547</v>
      </c>
      <c r="AA831" s="1650">
        <f t="shared" ca="1" si="53"/>
        <v>23.5</v>
      </c>
      <c r="AB831" s="2444" t="s">
        <v>3629</v>
      </c>
      <c r="AC831" s="2445"/>
      <c r="AD831" s="2438"/>
    </row>
    <row r="832" spans="1:30" ht="15.75" hidden="1" customHeight="1">
      <c r="A832" s="1644">
        <f t="shared" si="48"/>
        <v>167</v>
      </c>
      <c r="B832" s="1645" t="s">
        <v>5012</v>
      </c>
      <c r="C832" s="1645" t="s">
        <v>4970</v>
      </c>
      <c r="D832" s="1645" t="s">
        <v>5005</v>
      </c>
      <c r="E832" s="1644" t="s">
        <v>2797</v>
      </c>
      <c r="F832" s="1645">
        <f t="shared" si="51"/>
        <v>1990</v>
      </c>
      <c r="G832" s="1647">
        <v>33020</v>
      </c>
      <c r="H832" s="1644" t="s">
        <v>4984</v>
      </c>
      <c r="I832" s="1648" t="s">
        <v>3629</v>
      </c>
      <c r="J832" s="1645" t="s">
        <v>37</v>
      </c>
      <c r="K832" s="1645">
        <v>0</v>
      </c>
      <c r="L832" s="1645" t="s">
        <v>3704</v>
      </c>
      <c r="M832" s="1645" t="s">
        <v>4055</v>
      </c>
      <c r="N832" s="1645"/>
      <c r="O832" s="1645" t="s">
        <v>3645</v>
      </c>
      <c r="P832" s="1649"/>
      <c r="Q832" s="1645"/>
      <c r="R832" s="1647" t="s">
        <v>3667</v>
      </c>
      <c r="S832" s="1644" t="s">
        <v>3743</v>
      </c>
      <c r="T832" s="1644"/>
      <c r="U832" s="1644"/>
      <c r="V832" s="1644"/>
      <c r="W832" s="1650" t="s">
        <v>3646</v>
      </c>
      <c r="X832" s="1644"/>
      <c r="Y832" s="1647"/>
      <c r="Z832" s="1647"/>
      <c r="AA832" s="1650">
        <f t="shared" ca="1" si="53"/>
        <v>25.583333333333332</v>
      </c>
      <c r="AB832" s="2444" t="s">
        <v>3629</v>
      </c>
      <c r="AC832" s="2445"/>
      <c r="AD832" s="2438"/>
    </row>
    <row r="833" spans="1:30" ht="15.75" hidden="1" customHeight="1">
      <c r="A833" s="1644">
        <f t="shared" si="48"/>
        <v>167</v>
      </c>
      <c r="B833" s="1645" t="s">
        <v>5013</v>
      </c>
      <c r="C833" s="1645" t="s">
        <v>4970</v>
      </c>
      <c r="D833" s="1645" t="s">
        <v>5005</v>
      </c>
      <c r="E833" s="1646" t="s">
        <v>2798</v>
      </c>
      <c r="F833" s="1645">
        <f t="shared" si="51"/>
        <v>1981</v>
      </c>
      <c r="G833" s="1647">
        <v>29733</v>
      </c>
      <c r="H833" s="1644" t="s">
        <v>5014</v>
      </c>
      <c r="I833" s="1648" t="s">
        <v>3629</v>
      </c>
      <c r="J833" s="1645" t="s">
        <v>201</v>
      </c>
      <c r="K833" s="1645"/>
      <c r="L833" s="1645" t="s">
        <v>4020</v>
      </c>
      <c r="M833" s="1645">
        <v>0</v>
      </c>
      <c r="N833" s="1645"/>
      <c r="O833" s="1645">
        <v>0</v>
      </c>
      <c r="P833" s="1649"/>
      <c r="Q833" s="1645"/>
      <c r="R833" s="1644" t="s">
        <v>3710</v>
      </c>
      <c r="S833" s="1644" t="s">
        <v>3743</v>
      </c>
      <c r="T833" s="1644"/>
      <c r="U833" s="1644"/>
      <c r="V833" s="1644"/>
      <c r="W833" s="1644">
        <v>0</v>
      </c>
      <c r="X833" s="1644"/>
      <c r="Y833" s="1647">
        <v>40149</v>
      </c>
      <c r="Z833" s="1647">
        <v>40514</v>
      </c>
      <c r="AA833" s="1650">
        <f t="shared" ca="1" si="53"/>
        <v>11.583333333333334</v>
      </c>
      <c r="AB833" s="2444" t="s">
        <v>3629</v>
      </c>
      <c r="AC833" s="2445"/>
      <c r="AD833" s="2438"/>
    </row>
    <row r="834" spans="1:30" ht="15.75" hidden="1" customHeight="1">
      <c r="A834" s="1644">
        <f t="shared" si="48"/>
        <v>167</v>
      </c>
      <c r="B834" s="1645" t="s">
        <v>5015</v>
      </c>
      <c r="C834" s="1645" t="s">
        <v>4970</v>
      </c>
      <c r="D834" s="1648" t="s">
        <v>4927</v>
      </c>
      <c r="E834" s="1644" t="s">
        <v>2797</v>
      </c>
      <c r="F834" s="1645">
        <f t="shared" si="51"/>
        <v>1973</v>
      </c>
      <c r="G834" s="1647">
        <v>26816</v>
      </c>
      <c r="H834" s="1644" t="s">
        <v>3628</v>
      </c>
      <c r="I834" s="1648" t="s">
        <v>3629</v>
      </c>
      <c r="J834" s="1645" t="s">
        <v>38</v>
      </c>
      <c r="K834" s="1645">
        <v>0</v>
      </c>
      <c r="L834" s="1645" t="s">
        <v>249</v>
      </c>
      <c r="M834" s="1645" t="s">
        <v>3841</v>
      </c>
      <c r="N834" s="1645"/>
      <c r="O834" s="1645" t="s">
        <v>3367</v>
      </c>
      <c r="P834" s="1649"/>
      <c r="Q834" s="1645" t="s">
        <v>3693</v>
      </c>
      <c r="R834" s="1647" t="s">
        <v>3789</v>
      </c>
      <c r="S834" s="1644" t="s">
        <v>3962</v>
      </c>
      <c r="T834" s="1644"/>
      <c r="U834" s="1644" t="s">
        <v>3697</v>
      </c>
      <c r="V834" s="1644" t="s">
        <v>936</v>
      </c>
      <c r="W834" s="1650" t="s">
        <v>3653</v>
      </c>
      <c r="X834" s="1644" t="s">
        <v>3633</v>
      </c>
      <c r="Y834" s="1647">
        <v>38054</v>
      </c>
      <c r="Z834" s="1647">
        <v>38419</v>
      </c>
      <c r="AA834" s="1650">
        <f t="shared" ca="1" si="53"/>
        <v>8.5833333333333339</v>
      </c>
      <c r="AB834" s="2444" t="s">
        <v>3629</v>
      </c>
      <c r="AC834" s="2445"/>
      <c r="AD834" s="2438"/>
    </row>
    <row r="835" spans="1:30" ht="15.75" hidden="1" customHeight="1">
      <c r="A835" s="1644">
        <f t="shared" si="48"/>
        <v>167</v>
      </c>
      <c r="B835" s="1645" t="s">
        <v>5016</v>
      </c>
      <c r="C835" s="1645" t="s">
        <v>4970</v>
      </c>
      <c r="D835" s="1645" t="s">
        <v>5017</v>
      </c>
      <c r="E835" s="1646" t="s">
        <v>2797</v>
      </c>
      <c r="F835" s="1645">
        <f t="shared" si="51"/>
        <v>1979</v>
      </c>
      <c r="G835" s="1647">
        <v>29110</v>
      </c>
      <c r="H835" s="1644" t="s">
        <v>5018</v>
      </c>
      <c r="I835" s="1648" t="s">
        <v>5019</v>
      </c>
      <c r="J835" s="1645" t="s">
        <v>37</v>
      </c>
      <c r="K835" s="1645"/>
      <c r="L835" s="1645" t="s">
        <v>2824</v>
      </c>
      <c r="M835" s="1645" t="s">
        <v>2824</v>
      </c>
      <c r="N835" s="1645"/>
      <c r="O835" s="1645">
        <v>0</v>
      </c>
      <c r="P835" s="1649"/>
      <c r="Q835" s="1645"/>
      <c r="R835" s="1644"/>
      <c r="S835" s="1644"/>
      <c r="T835" s="1644"/>
      <c r="U835" s="1644"/>
      <c r="V835" s="1644"/>
      <c r="W835" s="1644"/>
      <c r="X835" s="1644"/>
      <c r="Y835" s="1647">
        <v>39116</v>
      </c>
      <c r="Z835" s="1647">
        <v>39481</v>
      </c>
      <c r="AA835" s="1650">
        <f t="shared" ca="1" si="53"/>
        <v>14.916666666666666</v>
      </c>
      <c r="AB835" s="2444" t="s">
        <v>3629</v>
      </c>
      <c r="AC835" s="2445"/>
      <c r="AD835" s="2438"/>
    </row>
    <row r="836" spans="1:30" ht="15.75" hidden="1" customHeight="1">
      <c r="A836" s="1644">
        <f t="shared" si="48"/>
        <v>167</v>
      </c>
      <c r="B836" s="1645" t="s">
        <v>5020</v>
      </c>
      <c r="C836" s="1645" t="s">
        <v>4970</v>
      </c>
      <c r="D836" s="1645" t="s">
        <v>5017</v>
      </c>
      <c r="E836" s="1646" t="s">
        <v>2798</v>
      </c>
      <c r="F836" s="1645">
        <f>+YEAR(G836)</f>
        <v>1985</v>
      </c>
      <c r="G836" s="1647">
        <v>31306</v>
      </c>
      <c r="H836" s="1646" t="s">
        <v>5021</v>
      </c>
      <c r="I836" s="1648" t="s">
        <v>3629</v>
      </c>
      <c r="J836" s="1645" t="s">
        <v>37</v>
      </c>
      <c r="K836" s="1645"/>
      <c r="L836" s="1645" t="s">
        <v>4798</v>
      </c>
      <c r="M836" s="1645"/>
      <c r="N836" s="1645"/>
      <c r="O836" s="1645"/>
      <c r="P836" s="1649"/>
      <c r="Q836" s="1645"/>
      <c r="R836" s="1647" t="s">
        <v>3656</v>
      </c>
      <c r="S836" s="1644" t="s">
        <v>4068</v>
      </c>
      <c r="T836" s="1644"/>
      <c r="U836" s="1644"/>
      <c r="V836" s="1644"/>
      <c r="W836" s="1644"/>
      <c r="X836" s="1644"/>
      <c r="Y836" s="1644"/>
      <c r="Z836" s="1644"/>
      <c r="AA836" s="1654"/>
      <c r="AB836" s="2444" t="s">
        <v>3629</v>
      </c>
      <c r="AC836" s="2445"/>
      <c r="AD836" s="2438"/>
    </row>
    <row r="837" spans="1:30" ht="15.75" hidden="1" customHeight="1">
      <c r="A837" s="1644">
        <f t="shared" si="48"/>
        <v>167</v>
      </c>
      <c r="B837" s="1645" t="s">
        <v>5022</v>
      </c>
      <c r="C837" s="1645" t="s">
        <v>4970</v>
      </c>
      <c r="D837" s="1645" t="s">
        <v>5017</v>
      </c>
      <c r="E837" s="1644" t="s">
        <v>2798</v>
      </c>
      <c r="F837" s="1645">
        <f t="shared" ref="F837:F863" si="54">YEAR(G837)</f>
        <v>1976</v>
      </c>
      <c r="G837" s="1647">
        <v>27937</v>
      </c>
      <c r="H837" s="1644" t="s">
        <v>5014</v>
      </c>
      <c r="I837" s="1648" t="s">
        <v>3629</v>
      </c>
      <c r="J837" s="1645" t="s">
        <v>37</v>
      </c>
      <c r="K837" s="1645">
        <v>0</v>
      </c>
      <c r="L837" s="1645" t="s">
        <v>1733</v>
      </c>
      <c r="M837" s="1645" t="s">
        <v>1743</v>
      </c>
      <c r="N837" s="1645"/>
      <c r="O837" s="1645" t="s">
        <v>3645</v>
      </c>
      <c r="P837" s="1649"/>
      <c r="Q837" s="1645"/>
      <c r="R837" s="1647" t="s">
        <v>3683</v>
      </c>
      <c r="S837" s="1644"/>
      <c r="T837" s="1644" t="s">
        <v>936</v>
      </c>
      <c r="U837" s="1644"/>
      <c r="V837" s="1644"/>
      <c r="W837" s="1650" t="s">
        <v>3822</v>
      </c>
      <c r="X837" s="1644"/>
      <c r="Y837" s="1647">
        <v>37162</v>
      </c>
      <c r="Z837" s="1647">
        <v>37527</v>
      </c>
      <c r="AA837" s="1650">
        <f t="shared" ref="AA837:AA846" ca="1" si="55">IF(E837="nữ",660-DATEDIF(G837,TODAY(),"m"),720-DATEDIF(G837,TODAY(),"m"))/12</f>
        <v>6.666666666666667</v>
      </c>
      <c r="AB837" s="2444" t="s">
        <v>3629</v>
      </c>
      <c r="AC837" s="2445"/>
      <c r="AD837" s="2438"/>
    </row>
    <row r="838" spans="1:30" ht="15.75" hidden="1" customHeight="1">
      <c r="A838" s="1644">
        <f t="shared" si="48"/>
        <v>167</v>
      </c>
      <c r="B838" s="1645" t="s">
        <v>5023</v>
      </c>
      <c r="C838" s="1645" t="s">
        <v>4970</v>
      </c>
      <c r="D838" s="1645" t="s">
        <v>5017</v>
      </c>
      <c r="E838" s="1646" t="s">
        <v>5024</v>
      </c>
      <c r="F838" s="1645">
        <f t="shared" si="54"/>
        <v>1997</v>
      </c>
      <c r="G838" s="1647">
        <v>35488</v>
      </c>
      <c r="H838" s="1646" t="s">
        <v>5021</v>
      </c>
      <c r="I838" s="1648" t="s">
        <v>3629</v>
      </c>
      <c r="J838" s="1645" t="s">
        <v>201</v>
      </c>
      <c r="K838" s="1645"/>
      <c r="L838" s="1645" t="s">
        <v>4803</v>
      </c>
      <c r="M838" s="1645">
        <v>0</v>
      </c>
      <c r="N838" s="1645"/>
      <c r="O838" s="1645">
        <v>0</v>
      </c>
      <c r="P838" s="1649"/>
      <c r="Q838" s="1645"/>
      <c r="R838" s="1644"/>
      <c r="S838" s="1644"/>
      <c r="T838" s="1644"/>
      <c r="U838" s="1644"/>
      <c r="V838" s="1644"/>
      <c r="W838" s="1644"/>
      <c r="X838" s="1644"/>
      <c r="Y838" s="1647">
        <v>43462</v>
      </c>
      <c r="Z838" s="1647">
        <v>43827</v>
      </c>
      <c r="AA838" s="1654">
        <f t="shared" ca="1" si="55"/>
        <v>32.333333333333336</v>
      </c>
      <c r="AB838" s="2444" t="s">
        <v>3629</v>
      </c>
      <c r="AC838" s="2445"/>
      <c r="AD838" s="2438"/>
    </row>
    <row r="839" spans="1:30" ht="15.75" hidden="1" customHeight="1">
      <c r="A839" s="1644">
        <f t="shared" si="48"/>
        <v>167</v>
      </c>
      <c r="B839" s="1645" t="s">
        <v>5025</v>
      </c>
      <c r="C839" s="1645" t="s">
        <v>4970</v>
      </c>
      <c r="D839" s="1645" t="s">
        <v>5017</v>
      </c>
      <c r="E839" s="1646" t="s">
        <v>2797</v>
      </c>
      <c r="F839" s="1645">
        <f t="shared" si="54"/>
        <v>1988</v>
      </c>
      <c r="G839" s="1647">
        <v>32460</v>
      </c>
      <c r="H839" s="1644" t="s">
        <v>5021</v>
      </c>
      <c r="I839" s="1648" t="s">
        <v>3629</v>
      </c>
      <c r="J839" s="1645" t="s">
        <v>37</v>
      </c>
      <c r="K839" s="1645">
        <v>0</v>
      </c>
      <c r="L839" s="1645" t="s">
        <v>4803</v>
      </c>
      <c r="M839" s="1645" t="s">
        <v>4169</v>
      </c>
      <c r="N839" s="1645"/>
      <c r="O839" s="1645">
        <v>0</v>
      </c>
      <c r="P839" s="1649"/>
      <c r="Q839" s="1645"/>
      <c r="R839" s="1647" t="s">
        <v>5026</v>
      </c>
      <c r="S839" s="1644" t="s">
        <v>3962</v>
      </c>
      <c r="T839" s="1644"/>
      <c r="U839" s="1644"/>
      <c r="V839" s="1644"/>
      <c r="W839" s="1650" t="s">
        <v>3646</v>
      </c>
      <c r="X839" s="1644"/>
      <c r="Y839" s="1647">
        <v>42919</v>
      </c>
      <c r="Z839" s="1647">
        <v>43284</v>
      </c>
      <c r="AA839" s="1650">
        <f t="shared" ca="1" si="55"/>
        <v>24.083333333333332</v>
      </c>
      <c r="AB839" s="2444" t="s">
        <v>3629</v>
      </c>
      <c r="AC839" s="2445"/>
      <c r="AD839" s="2438"/>
    </row>
    <row r="840" spans="1:30" ht="15.75" hidden="1" customHeight="1">
      <c r="A840" s="1644">
        <f t="shared" si="48"/>
        <v>167</v>
      </c>
      <c r="B840" s="1645" t="s">
        <v>5027</v>
      </c>
      <c r="C840" s="1645" t="s">
        <v>4970</v>
      </c>
      <c r="D840" s="1645" t="s">
        <v>5017</v>
      </c>
      <c r="E840" s="1644" t="s">
        <v>2798</v>
      </c>
      <c r="F840" s="1645">
        <f t="shared" si="54"/>
        <v>1991</v>
      </c>
      <c r="G840" s="1647">
        <v>33349</v>
      </c>
      <c r="H840" s="1644" t="s">
        <v>5014</v>
      </c>
      <c r="I840" s="1648" t="s">
        <v>3629</v>
      </c>
      <c r="J840" s="1645" t="s">
        <v>37</v>
      </c>
      <c r="K840" s="1645">
        <v>0</v>
      </c>
      <c r="L840" s="1645" t="s">
        <v>4010</v>
      </c>
      <c r="M840" s="1645" t="s">
        <v>4010</v>
      </c>
      <c r="N840" s="1645"/>
      <c r="O840" s="1645" t="s">
        <v>3645</v>
      </c>
      <c r="P840" s="1649"/>
      <c r="Q840" s="1645"/>
      <c r="R840" s="1647" t="s">
        <v>3710</v>
      </c>
      <c r="S840" s="1644"/>
      <c r="T840" s="1644"/>
      <c r="U840" s="1644"/>
      <c r="V840" s="1644"/>
      <c r="W840" s="1650" t="s">
        <v>3822</v>
      </c>
      <c r="X840" s="1644"/>
      <c r="Y840" s="1647">
        <v>40494</v>
      </c>
      <c r="Z840" s="1647">
        <v>40859</v>
      </c>
      <c r="AA840" s="1650">
        <f t="shared" ca="1" si="55"/>
        <v>21.5</v>
      </c>
      <c r="AB840" s="2444" t="s">
        <v>3629</v>
      </c>
      <c r="AC840" s="2445"/>
      <c r="AD840" s="2438"/>
    </row>
    <row r="841" spans="1:30" ht="15.75" hidden="1" customHeight="1">
      <c r="A841" s="1644">
        <f t="shared" si="48"/>
        <v>167</v>
      </c>
      <c r="B841" s="1645" t="s">
        <v>5028</v>
      </c>
      <c r="C841" s="1645" t="s">
        <v>4970</v>
      </c>
      <c r="D841" s="1645" t="s">
        <v>5017</v>
      </c>
      <c r="E841" s="1646" t="s">
        <v>2798</v>
      </c>
      <c r="F841" s="1645">
        <f t="shared" si="54"/>
        <v>1973</v>
      </c>
      <c r="G841" s="1647">
        <v>26816</v>
      </c>
      <c r="H841" s="1644" t="s">
        <v>5014</v>
      </c>
      <c r="I841" s="1648" t="s">
        <v>3629</v>
      </c>
      <c r="J841" s="1645" t="s">
        <v>37</v>
      </c>
      <c r="K841" s="1645">
        <v>0</v>
      </c>
      <c r="L841" s="1645" t="s">
        <v>1701</v>
      </c>
      <c r="M841" s="1645" t="s">
        <v>5029</v>
      </c>
      <c r="N841" s="1645"/>
      <c r="O841" s="1645" t="s">
        <v>3645</v>
      </c>
      <c r="P841" s="1649"/>
      <c r="Q841" s="1645"/>
      <c r="R841" s="1644" t="s">
        <v>3699</v>
      </c>
      <c r="S841" s="1644" t="s">
        <v>3743</v>
      </c>
      <c r="T841" s="1644"/>
      <c r="U841" s="1644"/>
      <c r="V841" s="1644"/>
      <c r="W841" s="1650" t="s">
        <v>3653</v>
      </c>
      <c r="X841" s="1644"/>
      <c r="Y841" s="1647">
        <v>37267</v>
      </c>
      <c r="Z841" s="1647">
        <v>37632</v>
      </c>
      <c r="AA841" s="1650">
        <f t="shared" ca="1" si="55"/>
        <v>3.5833333333333335</v>
      </c>
      <c r="AB841" s="2444" t="s">
        <v>3629</v>
      </c>
      <c r="AC841" s="2445"/>
      <c r="AD841" s="2438"/>
    </row>
    <row r="842" spans="1:30" ht="15.75" hidden="1" customHeight="1">
      <c r="A842" s="1644">
        <f t="shared" si="48"/>
        <v>167</v>
      </c>
      <c r="B842" s="1645" t="s">
        <v>5030</v>
      </c>
      <c r="C842" s="1645" t="s">
        <v>4970</v>
      </c>
      <c r="D842" s="1645" t="s">
        <v>5017</v>
      </c>
      <c r="E842" s="1646" t="s">
        <v>2798</v>
      </c>
      <c r="F842" s="1645">
        <f t="shared" si="54"/>
        <v>1982</v>
      </c>
      <c r="G842" s="1647">
        <v>30019</v>
      </c>
      <c r="H842" s="1644" t="s">
        <v>5021</v>
      </c>
      <c r="I842" s="1648" t="s">
        <v>3629</v>
      </c>
      <c r="J842" s="1645" t="s">
        <v>37</v>
      </c>
      <c r="K842" s="1645"/>
      <c r="L842" s="1645" t="s">
        <v>3794</v>
      </c>
      <c r="M842" s="1645" t="s">
        <v>3794</v>
      </c>
      <c r="N842" s="1645"/>
      <c r="O842" s="1645">
        <v>0</v>
      </c>
      <c r="P842" s="1649"/>
      <c r="Q842" s="1645"/>
      <c r="R842" s="1647" t="s">
        <v>3667</v>
      </c>
      <c r="S842" s="1644" t="s">
        <v>3795</v>
      </c>
      <c r="T842" s="1644" t="s">
        <v>936</v>
      </c>
      <c r="U842" s="1644"/>
      <c r="V842" s="1644"/>
      <c r="W842" s="1644">
        <v>0</v>
      </c>
      <c r="X842" s="1644"/>
      <c r="Y842" s="1647"/>
      <c r="Z842" s="1647"/>
      <c r="AA842" s="1650">
        <f t="shared" ca="1" si="55"/>
        <v>12.416666666666666</v>
      </c>
      <c r="AB842" s="2444" t="s">
        <v>3629</v>
      </c>
      <c r="AC842" s="2445"/>
      <c r="AD842" s="2438"/>
    </row>
    <row r="843" spans="1:30" ht="15.75" hidden="1" customHeight="1">
      <c r="A843" s="1644">
        <f t="shared" si="48"/>
        <v>167</v>
      </c>
      <c r="B843" s="1645" t="s">
        <v>5031</v>
      </c>
      <c r="C843" s="1645" t="s">
        <v>4970</v>
      </c>
      <c r="D843" s="1645" t="s">
        <v>5032</v>
      </c>
      <c r="E843" s="1644" t="s">
        <v>2798</v>
      </c>
      <c r="F843" s="1645">
        <f t="shared" si="54"/>
        <v>1982</v>
      </c>
      <c r="G843" s="1647">
        <v>29999</v>
      </c>
      <c r="H843" s="1644" t="s">
        <v>5021</v>
      </c>
      <c r="I843" s="1648" t="s">
        <v>3629</v>
      </c>
      <c r="J843" s="1645" t="s">
        <v>201</v>
      </c>
      <c r="K843" s="1645"/>
      <c r="L843" s="1651"/>
      <c r="M843" s="1645">
        <v>0</v>
      </c>
      <c r="N843" s="1645"/>
      <c r="O843" s="1645">
        <v>0</v>
      </c>
      <c r="P843" s="1649"/>
      <c r="Q843" s="1645"/>
      <c r="R843" s="1644" t="s">
        <v>3699</v>
      </c>
      <c r="S843" s="1644" t="s">
        <v>3743</v>
      </c>
      <c r="T843" s="1644"/>
      <c r="U843" s="1644"/>
      <c r="V843" s="1644"/>
      <c r="W843" s="1644">
        <v>0</v>
      </c>
      <c r="X843" s="1644"/>
      <c r="Y843" s="1647">
        <v>39967</v>
      </c>
      <c r="Z843" s="1647">
        <v>40332</v>
      </c>
      <c r="AA843" s="1650">
        <f t="shared" ca="1" si="55"/>
        <v>12.333333333333334</v>
      </c>
      <c r="AB843" s="2444" t="s">
        <v>3629</v>
      </c>
      <c r="AC843" s="2445"/>
      <c r="AD843" s="2438"/>
    </row>
    <row r="844" spans="1:30" ht="15.75" hidden="1" customHeight="1">
      <c r="A844" s="1644">
        <f t="shared" si="48"/>
        <v>167</v>
      </c>
      <c r="B844" s="1645" t="s">
        <v>5033</v>
      </c>
      <c r="C844" s="1645" t="s">
        <v>4970</v>
      </c>
      <c r="D844" s="1645" t="s">
        <v>5032</v>
      </c>
      <c r="E844" s="1644" t="s">
        <v>2798</v>
      </c>
      <c r="F844" s="1645">
        <f t="shared" si="54"/>
        <v>1989</v>
      </c>
      <c r="G844" s="1647">
        <v>32818</v>
      </c>
      <c r="H844" s="1644" t="s">
        <v>5021</v>
      </c>
      <c r="I844" s="1648" t="s">
        <v>3629</v>
      </c>
      <c r="J844" s="1645" t="s">
        <v>37</v>
      </c>
      <c r="K844" s="1645">
        <v>0</v>
      </c>
      <c r="L844" s="1645" t="s">
        <v>4638</v>
      </c>
      <c r="M844" s="1645" t="s">
        <v>3777</v>
      </c>
      <c r="N844" s="1645"/>
      <c r="O844" s="1645">
        <v>0</v>
      </c>
      <c r="P844" s="1649"/>
      <c r="Q844" s="1645"/>
      <c r="R844" s="1647" t="s">
        <v>5034</v>
      </c>
      <c r="S844" s="1644" t="s">
        <v>3743</v>
      </c>
      <c r="T844" s="1644"/>
      <c r="U844" s="1644"/>
      <c r="V844" s="1644"/>
      <c r="W844" s="1644">
        <v>0</v>
      </c>
      <c r="X844" s="1644"/>
      <c r="Y844" s="1647">
        <v>41345</v>
      </c>
      <c r="Z844" s="1647">
        <v>41710</v>
      </c>
      <c r="AA844" s="1650">
        <f t="shared" ca="1" si="55"/>
        <v>20.083333333333332</v>
      </c>
      <c r="AB844" s="2444" t="s">
        <v>3629</v>
      </c>
      <c r="AC844" s="2445"/>
      <c r="AD844" s="2438"/>
    </row>
    <row r="845" spans="1:30" ht="15.75" hidden="1" customHeight="1">
      <c r="A845" s="1644">
        <f t="shared" si="48"/>
        <v>167</v>
      </c>
      <c r="B845" s="1645" t="s">
        <v>5035</v>
      </c>
      <c r="C845" s="1645" t="s">
        <v>4970</v>
      </c>
      <c r="D845" s="1645" t="s">
        <v>5032</v>
      </c>
      <c r="E845" s="1644" t="s">
        <v>2797</v>
      </c>
      <c r="F845" s="1645">
        <f t="shared" si="54"/>
        <v>1976</v>
      </c>
      <c r="G845" s="1647">
        <v>27966</v>
      </c>
      <c r="H845" s="1644" t="s">
        <v>5014</v>
      </c>
      <c r="I845" s="1648" t="s">
        <v>3629</v>
      </c>
      <c r="J845" s="1645" t="s">
        <v>201</v>
      </c>
      <c r="K845" s="1645">
        <v>0</v>
      </c>
      <c r="L845" s="1645" t="s">
        <v>1747</v>
      </c>
      <c r="M845" s="1645">
        <v>0</v>
      </c>
      <c r="N845" s="1645"/>
      <c r="O845" s="1645" t="s">
        <v>3645</v>
      </c>
      <c r="P845" s="1649"/>
      <c r="Q845" s="1645"/>
      <c r="R845" s="1644"/>
      <c r="S845" s="1644"/>
      <c r="T845" s="1644"/>
      <c r="U845" s="1644"/>
      <c r="V845" s="1644"/>
      <c r="W845" s="1650" t="s">
        <v>3646</v>
      </c>
      <c r="X845" s="1644"/>
      <c r="Y845" s="1647">
        <v>41684</v>
      </c>
      <c r="Z845" s="1647">
        <v>42049</v>
      </c>
      <c r="AA845" s="1650">
        <f t="shared" ca="1" si="55"/>
        <v>11.75</v>
      </c>
      <c r="AB845" s="2444" t="s">
        <v>3629</v>
      </c>
      <c r="AC845" s="2445"/>
      <c r="AD845" s="2438"/>
    </row>
    <row r="846" spans="1:30" ht="15.75" hidden="1" customHeight="1">
      <c r="A846" s="1644">
        <f t="shared" si="48"/>
        <v>167</v>
      </c>
      <c r="B846" s="1645" t="s">
        <v>5036</v>
      </c>
      <c r="C846" s="1645" t="s">
        <v>4970</v>
      </c>
      <c r="D846" s="1645" t="s">
        <v>5032</v>
      </c>
      <c r="E846" s="1644" t="s">
        <v>2798</v>
      </c>
      <c r="F846" s="1645">
        <f t="shared" si="54"/>
        <v>1990</v>
      </c>
      <c r="G846" s="1647">
        <v>33134</v>
      </c>
      <c r="H846" s="1644" t="s">
        <v>5021</v>
      </c>
      <c r="I846" s="1648" t="s">
        <v>3629</v>
      </c>
      <c r="J846" s="1645" t="s">
        <v>37</v>
      </c>
      <c r="K846" s="1645"/>
      <c r="L846" s="1651"/>
      <c r="M846" s="1645" t="s">
        <v>3268</v>
      </c>
      <c r="N846" s="1645"/>
      <c r="O846" s="1645">
        <v>0</v>
      </c>
      <c r="P846" s="1649"/>
      <c r="Q846" s="1645"/>
      <c r="R846" s="1647" t="s">
        <v>3667</v>
      </c>
      <c r="S846" s="1644" t="s">
        <v>3743</v>
      </c>
      <c r="T846" s="1644"/>
      <c r="U846" s="1644"/>
      <c r="V846" s="1644"/>
      <c r="W846" s="1644">
        <v>0</v>
      </c>
      <c r="X846" s="1644"/>
      <c r="Y846" s="1647"/>
      <c r="Z846" s="1647"/>
      <c r="AA846" s="1650">
        <f t="shared" ca="1" si="55"/>
        <v>20.916666666666668</v>
      </c>
      <c r="AB846" s="2444" t="s">
        <v>3629</v>
      </c>
      <c r="AC846" s="2445"/>
      <c r="AD846" s="2438"/>
    </row>
    <row r="847" spans="1:30" ht="15.75" hidden="1" customHeight="1">
      <c r="A847" s="1644">
        <f t="shared" si="48"/>
        <v>167</v>
      </c>
      <c r="B847" s="1645" t="s">
        <v>5037</v>
      </c>
      <c r="C847" s="1645" t="s">
        <v>4970</v>
      </c>
      <c r="D847" s="1645" t="s">
        <v>5032</v>
      </c>
      <c r="E847" s="1646" t="s">
        <v>2798</v>
      </c>
      <c r="F847" s="1645">
        <f t="shared" si="54"/>
        <v>1980</v>
      </c>
      <c r="G847" s="1647">
        <v>29226</v>
      </c>
      <c r="H847" s="1646" t="s">
        <v>5018</v>
      </c>
      <c r="I847" s="1648" t="s">
        <v>5019</v>
      </c>
      <c r="J847" s="1645" t="s">
        <v>37</v>
      </c>
      <c r="K847" s="1645"/>
      <c r="L847" s="1651"/>
      <c r="M847" s="1645" t="s">
        <v>4957</v>
      </c>
      <c r="N847" s="1645"/>
      <c r="O847" s="1645"/>
      <c r="P847" s="1649"/>
      <c r="Q847" s="1645"/>
      <c r="R847" s="1644"/>
      <c r="S847" s="1644"/>
      <c r="T847" s="1644"/>
      <c r="U847" s="1644"/>
      <c r="V847" s="1644"/>
      <c r="W847" s="1644"/>
      <c r="X847" s="1644"/>
      <c r="Y847" s="1647">
        <v>0</v>
      </c>
      <c r="Z847" s="1647">
        <v>0</v>
      </c>
      <c r="AA847" s="1654"/>
      <c r="AB847" s="2444" t="s">
        <v>3629</v>
      </c>
      <c r="AC847" s="2445"/>
      <c r="AD847" s="2438"/>
    </row>
    <row r="848" spans="1:30" ht="15.75" hidden="1" customHeight="1">
      <c r="A848" s="1644">
        <f t="shared" si="48"/>
        <v>167</v>
      </c>
      <c r="B848" s="1645" t="s">
        <v>5038</v>
      </c>
      <c r="C848" s="1645" t="s">
        <v>4970</v>
      </c>
      <c r="D848" s="1645" t="s">
        <v>5032</v>
      </c>
      <c r="E848" s="1644" t="s">
        <v>2798</v>
      </c>
      <c r="F848" s="1645">
        <f t="shared" si="54"/>
        <v>1977</v>
      </c>
      <c r="G848" s="1647">
        <v>28476</v>
      </c>
      <c r="H848" s="1644" t="s">
        <v>5014</v>
      </c>
      <c r="I848" s="1648" t="s">
        <v>3629</v>
      </c>
      <c r="J848" s="1645" t="s">
        <v>201</v>
      </c>
      <c r="K848" s="1645">
        <v>0</v>
      </c>
      <c r="L848" s="1645" t="s">
        <v>3741</v>
      </c>
      <c r="M848" s="1645">
        <v>0</v>
      </c>
      <c r="N848" s="1645"/>
      <c r="O848" s="1645">
        <v>0</v>
      </c>
      <c r="P848" s="1649"/>
      <c r="Q848" s="1645"/>
      <c r="R848" s="1644"/>
      <c r="S848" s="1644" t="s">
        <v>3743</v>
      </c>
      <c r="T848" s="1644" t="s">
        <v>936</v>
      </c>
      <c r="U848" s="1644"/>
      <c r="V848" s="1644"/>
      <c r="W848" s="1650" t="s">
        <v>3822</v>
      </c>
      <c r="X848" s="1644"/>
      <c r="Y848" s="1647">
        <v>39382</v>
      </c>
      <c r="Z848" s="1647">
        <v>39748</v>
      </c>
      <c r="AA848" s="1650">
        <f t="shared" ref="AA848:AA849" ca="1" si="56">IF(E848="nữ",660-DATEDIF(G848,TODAY(),"m"),720-DATEDIF(G848,TODAY(),"m"))/12</f>
        <v>8.1666666666666661</v>
      </c>
      <c r="AB848" s="2444" t="s">
        <v>3629</v>
      </c>
      <c r="AC848" s="2445"/>
      <c r="AD848" s="2438"/>
    </row>
    <row r="849" spans="1:30" ht="15.75" hidden="1" customHeight="1">
      <c r="A849" s="1644">
        <f t="shared" si="48"/>
        <v>167</v>
      </c>
      <c r="B849" s="1645" t="s">
        <v>5039</v>
      </c>
      <c r="C849" s="1645" t="s">
        <v>4970</v>
      </c>
      <c r="D849" s="1645" t="s">
        <v>5032</v>
      </c>
      <c r="E849" s="1646" t="s">
        <v>2798</v>
      </c>
      <c r="F849" s="1645">
        <f t="shared" si="54"/>
        <v>1969</v>
      </c>
      <c r="G849" s="1647">
        <v>25240</v>
      </c>
      <c r="H849" s="1644" t="s">
        <v>5040</v>
      </c>
      <c r="I849" s="1648" t="s">
        <v>3629</v>
      </c>
      <c r="J849" s="1645" t="s">
        <v>201</v>
      </c>
      <c r="K849" s="1645">
        <v>0</v>
      </c>
      <c r="L849" s="1645" t="s">
        <v>3961</v>
      </c>
      <c r="M849" s="1645">
        <v>0</v>
      </c>
      <c r="N849" s="1645"/>
      <c r="O849" s="1645" t="s">
        <v>3645</v>
      </c>
      <c r="P849" s="1649"/>
      <c r="Q849" s="1645"/>
      <c r="R849" s="1647" t="s">
        <v>5041</v>
      </c>
      <c r="S849" s="1644"/>
      <c r="T849" s="1644"/>
      <c r="U849" s="1644"/>
      <c r="V849" s="1644"/>
      <c r="W849" s="1650" t="s">
        <v>3653</v>
      </c>
      <c r="X849" s="1644"/>
      <c r="Y849" s="1647">
        <v>36984</v>
      </c>
      <c r="Z849" s="1647">
        <v>37349</v>
      </c>
      <c r="AA849" s="1650">
        <f t="shared" ca="1" si="56"/>
        <v>-0.66666666666666663</v>
      </c>
      <c r="AB849" s="2444" t="s">
        <v>3629</v>
      </c>
      <c r="AC849" s="2445"/>
      <c r="AD849" s="2438"/>
    </row>
    <row r="850" spans="1:30" ht="15.75" hidden="1" customHeight="1">
      <c r="A850" s="1644">
        <f t="shared" si="48"/>
        <v>167</v>
      </c>
      <c r="B850" s="1645" t="s">
        <v>5042</v>
      </c>
      <c r="C850" s="1645" t="s">
        <v>4970</v>
      </c>
      <c r="D850" s="1645" t="s">
        <v>5032</v>
      </c>
      <c r="E850" s="1646" t="s">
        <v>2798</v>
      </c>
      <c r="F850" s="1645">
        <f t="shared" si="54"/>
        <v>1998</v>
      </c>
      <c r="G850" s="1647">
        <v>35832</v>
      </c>
      <c r="H850" s="1646" t="s">
        <v>5018</v>
      </c>
      <c r="I850" s="1648" t="s">
        <v>5019</v>
      </c>
      <c r="J850" s="1645" t="s">
        <v>201</v>
      </c>
      <c r="K850" s="1645"/>
      <c r="L850" s="1651"/>
      <c r="M850" s="1645"/>
      <c r="N850" s="1645"/>
      <c r="O850" s="1645"/>
      <c r="P850" s="1649"/>
      <c r="Q850" s="1645"/>
      <c r="R850" s="1644"/>
      <c r="S850" s="1644"/>
      <c r="T850" s="1644"/>
      <c r="U850" s="1644"/>
      <c r="V850" s="1644"/>
      <c r="W850" s="1644"/>
      <c r="X850" s="1644"/>
      <c r="Y850" s="1644"/>
      <c r="Z850" s="1644"/>
      <c r="AA850" s="1654"/>
      <c r="AB850" s="2444" t="s">
        <v>3629</v>
      </c>
      <c r="AC850" s="2445"/>
      <c r="AD850" s="2438"/>
    </row>
    <row r="851" spans="1:30" ht="15.75" hidden="1" customHeight="1">
      <c r="A851" s="1644">
        <f t="shared" si="48"/>
        <v>167</v>
      </c>
      <c r="B851" s="1645" t="s">
        <v>5043</v>
      </c>
      <c r="C851" s="1645" t="s">
        <v>4970</v>
      </c>
      <c r="D851" s="1645" t="s">
        <v>5032</v>
      </c>
      <c r="E851" s="1644" t="s">
        <v>2798</v>
      </c>
      <c r="F851" s="1645">
        <f t="shared" si="54"/>
        <v>1990</v>
      </c>
      <c r="G851" s="1647">
        <v>33092</v>
      </c>
      <c r="H851" s="1644" t="s">
        <v>5014</v>
      </c>
      <c r="I851" s="1648" t="s">
        <v>3629</v>
      </c>
      <c r="J851" s="1645" t="s">
        <v>201</v>
      </c>
      <c r="K851" s="1645">
        <v>0</v>
      </c>
      <c r="L851" s="1645" t="s">
        <v>5044</v>
      </c>
      <c r="M851" s="1645">
        <v>0</v>
      </c>
      <c r="N851" s="1645"/>
      <c r="O851" s="1645">
        <v>0</v>
      </c>
      <c r="P851" s="1649"/>
      <c r="Q851" s="1645"/>
      <c r="R851" s="1647" t="s">
        <v>3667</v>
      </c>
      <c r="S851" s="1644"/>
      <c r="T851" s="1644"/>
      <c r="U851" s="1644"/>
      <c r="V851" s="1644"/>
      <c r="W851" s="1644">
        <v>0</v>
      </c>
      <c r="X851" s="1644"/>
      <c r="Y851" s="1647"/>
      <c r="Z851" s="1647"/>
      <c r="AA851" s="1650">
        <f t="shared" ref="AA851:AA853" ca="1" si="57">IF(E851="nữ",660-DATEDIF(G851,TODAY(),"m"),720-DATEDIF(G851,TODAY(),"m"))/12</f>
        <v>20.833333333333332</v>
      </c>
      <c r="AB851" s="2444" t="s">
        <v>3629</v>
      </c>
      <c r="AC851" s="2445"/>
      <c r="AD851" s="2438"/>
    </row>
    <row r="852" spans="1:30" ht="15.75" hidden="1" customHeight="1">
      <c r="A852" s="1644">
        <f t="shared" si="48"/>
        <v>167</v>
      </c>
      <c r="B852" s="1645" t="s">
        <v>5045</v>
      </c>
      <c r="C852" s="1645" t="s">
        <v>4970</v>
      </c>
      <c r="D852" s="1645" t="s">
        <v>5032</v>
      </c>
      <c r="E852" s="1646" t="s">
        <v>2798</v>
      </c>
      <c r="F852" s="1645">
        <f t="shared" si="54"/>
        <v>1978</v>
      </c>
      <c r="G852" s="1647">
        <v>28565</v>
      </c>
      <c r="H852" s="1644" t="s">
        <v>5014</v>
      </c>
      <c r="I852" s="1648" t="s">
        <v>3629</v>
      </c>
      <c r="J852" s="1645" t="s">
        <v>37</v>
      </c>
      <c r="K852" s="1645">
        <v>0</v>
      </c>
      <c r="L852" s="1645" t="s">
        <v>5046</v>
      </c>
      <c r="M852" s="1645" t="s">
        <v>2829</v>
      </c>
      <c r="N852" s="1645"/>
      <c r="O852" s="1645">
        <v>0</v>
      </c>
      <c r="P852" s="1649"/>
      <c r="Q852" s="1645"/>
      <c r="R852" s="1644"/>
      <c r="S852" s="1644"/>
      <c r="T852" s="1644"/>
      <c r="U852" s="1644"/>
      <c r="V852" s="1644"/>
      <c r="W852" s="1644" t="s">
        <v>3687</v>
      </c>
      <c r="X852" s="1644"/>
      <c r="Y852" s="1647">
        <v>40175</v>
      </c>
      <c r="Z852" s="1647">
        <v>40540</v>
      </c>
      <c r="AA852" s="1650">
        <f t="shared" ca="1" si="57"/>
        <v>8.4166666666666661</v>
      </c>
      <c r="AB852" s="2444" t="s">
        <v>3629</v>
      </c>
      <c r="AC852" s="2445"/>
      <c r="AD852" s="2438"/>
    </row>
    <row r="853" spans="1:30" ht="15.75" hidden="1" customHeight="1">
      <c r="A853" s="1644">
        <f t="shared" si="48"/>
        <v>167</v>
      </c>
      <c r="B853" s="1645" t="s">
        <v>5047</v>
      </c>
      <c r="C853" s="1645" t="s">
        <v>4970</v>
      </c>
      <c r="D853" s="1645" t="s">
        <v>5032</v>
      </c>
      <c r="E853" s="1646" t="s">
        <v>2798</v>
      </c>
      <c r="F853" s="1645">
        <f t="shared" si="54"/>
        <v>1997</v>
      </c>
      <c r="G853" s="1647">
        <v>35662</v>
      </c>
      <c r="H853" s="1646" t="s">
        <v>5021</v>
      </c>
      <c r="I853" s="1648" t="s">
        <v>3629</v>
      </c>
      <c r="J853" s="1645" t="s">
        <v>201</v>
      </c>
      <c r="K853" s="1645"/>
      <c r="L853" s="1651"/>
      <c r="M853" s="1645"/>
      <c r="N853" s="1645"/>
      <c r="O853" s="1645"/>
      <c r="P853" s="1649"/>
      <c r="Q853" s="1645"/>
      <c r="R853" s="1644"/>
      <c r="S853" s="1644"/>
      <c r="T853" s="1644"/>
      <c r="U853" s="1644"/>
      <c r="V853" s="1644"/>
      <c r="W853" s="1644"/>
      <c r="X853" s="1644"/>
      <c r="Y853" s="1647">
        <v>42851</v>
      </c>
      <c r="Z853" s="1647">
        <v>43216</v>
      </c>
      <c r="AA853" s="1654">
        <f t="shared" ca="1" si="57"/>
        <v>27.833333333333332</v>
      </c>
      <c r="AB853" s="2444" t="s">
        <v>3629</v>
      </c>
      <c r="AC853" s="2445"/>
      <c r="AD853" s="2438"/>
    </row>
    <row r="854" spans="1:30" ht="15.75" hidden="1" customHeight="1">
      <c r="A854" s="1644">
        <f t="shared" si="48"/>
        <v>167</v>
      </c>
      <c r="B854" s="1645" t="s">
        <v>5048</v>
      </c>
      <c r="C854" s="1645" t="s">
        <v>4970</v>
      </c>
      <c r="D854" s="1645" t="s">
        <v>5032</v>
      </c>
      <c r="E854" s="1646" t="s">
        <v>2798</v>
      </c>
      <c r="F854" s="1645">
        <f t="shared" si="54"/>
        <v>1999</v>
      </c>
      <c r="G854" s="1647">
        <v>36297</v>
      </c>
      <c r="H854" s="1646" t="s">
        <v>5018</v>
      </c>
      <c r="I854" s="1648" t="s">
        <v>5019</v>
      </c>
      <c r="J854" s="1645" t="s">
        <v>201</v>
      </c>
      <c r="K854" s="1645"/>
      <c r="L854" s="1651"/>
      <c r="M854" s="1645"/>
      <c r="N854" s="1645"/>
      <c r="O854" s="1645"/>
      <c r="P854" s="1649"/>
      <c r="Q854" s="1645"/>
      <c r="R854" s="1644"/>
      <c r="S854" s="1644"/>
      <c r="T854" s="1644"/>
      <c r="U854" s="1644"/>
      <c r="V854" s="1644"/>
      <c r="W854" s="1644"/>
      <c r="X854" s="1644"/>
      <c r="Y854" s="1647">
        <v>0</v>
      </c>
      <c r="Z854" s="1647">
        <v>0</v>
      </c>
      <c r="AA854" s="1654"/>
      <c r="AB854" s="2444" t="s">
        <v>3629</v>
      </c>
      <c r="AC854" s="2445"/>
      <c r="AD854" s="2438"/>
    </row>
    <row r="855" spans="1:30" ht="15.75" hidden="1" customHeight="1">
      <c r="A855" s="1644">
        <f t="shared" si="48"/>
        <v>167</v>
      </c>
      <c r="B855" s="1645" t="s">
        <v>5049</v>
      </c>
      <c r="C855" s="1645" t="s">
        <v>4970</v>
      </c>
      <c r="D855" s="1645" t="s">
        <v>5032</v>
      </c>
      <c r="E855" s="1646" t="s">
        <v>2798</v>
      </c>
      <c r="F855" s="1645">
        <f t="shared" si="54"/>
        <v>1979</v>
      </c>
      <c r="G855" s="1647">
        <v>29211</v>
      </c>
      <c r="H855" s="1644" t="s">
        <v>5014</v>
      </c>
      <c r="I855" s="1648" t="s">
        <v>3629</v>
      </c>
      <c r="J855" s="1645" t="s">
        <v>37</v>
      </c>
      <c r="K855" s="1645">
        <v>0</v>
      </c>
      <c r="L855" s="1645" t="s">
        <v>5046</v>
      </c>
      <c r="M855" s="1645" t="s">
        <v>4925</v>
      </c>
      <c r="N855" s="1645"/>
      <c r="O855" s="1645">
        <v>0</v>
      </c>
      <c r="P855" s="1649"/>
      <c r="Q855" s="1645"/>
      <c r="R855" s="1647" t="s">
        <v>3699</v>
      </c>
      <c r="S855" s="1644"/>
      <c r="T855" s="1644"/>
      <c r="U855" s="1644"/>
      <c r="V855" s="1644"/>
      <c r="W855" s="1644">
        <v>0</v>
      </c>
      <c r="X855" s="1644"/>
      <c r="Y855" s="1647">
        <v>41555</v>
      </c>
      <c r="Z855" s="1647">
        <v>41920</v>
      </c>
      <c r="AA855" s="1650">
        <f t="shared" ref="AA855:AA876" ca="1" si="58">IF(E855="nữ",660-DATEDIF(G855,TODAY(),"m"),720-DATEDIF(G855,TODAY(),"m"))/12</f>
        <v>10.166666666666666</v>
      </c>
      <c r="AB855" s="2444" t="s">
        <v>3629</v>
      </c>
      <c r="AC855" s="2445"/>
      <c r="AD855" s="2438"/>
    </row>
    <row r="856" spans="1:30" ht="15.75" hidden="1" customHeight="1">
      <c r="A856" s="1644">
        <f t="shared" si="48"/>
        <v>167</v>
      </c>
      <c r="B856" s="1658" t="s">
        <v>5050</v>
      </c>
      <c r="C856" s="1645" t="s">
        <v>4970</v>
      </c>
      <c r="D856" s="1645" t="s">
        <v>5032</v>
      </c>
      <c r="E856" s="1662" t="s">
        <v>2797</v>
      </c>
      <c r="F856" s="1658">
        <f t="shared" si="54"/>
        <v>1983</v>
      </c>
      <c r="G856" s="1660">
        <v>30505</v>
      </c>
      <c r="H856" s="1662" t="s">
        <v>5021</v>
      </c>
      <c r="I856" s="1661" t="s">
        <v>3629</v>
      </c>
      <c r="J856" s="1658" t="s">
        <v>37</v>
      </c>
      <c r="K856" s="1658">
        <v>0</v>
      </c>
      <c r="L856" s="1658" t="s">
        <v>4055</v>
      </c>
      <c r="M856" s="1645" t="s">
        <v>4055</v>
      </c>
      <c r="N856" s="1645"/>
      <c r="O856" s="1645" t="s">
        <v>3645</v>
      </c>
      <c r="P856" s="1649"/>
      <c r="Q856" s="1645"/>
      <c r="R856" s="1662"/>
      <c r="S856" s="1662"/>
      <c r="T856" s="1662"/>
      <c r="U856" s="1662"/>
      <c r="V856" s="1662"/>
      <c r="W856" s="1650" t="s">
        <v>3653</v>
      </c>
      <c r="X856" s="1662"/>
      <c r="Y856" s="1647">
        <v>40687</v>
      </c>
      <c r="Z856" s="1647">
        <v>41053</v>
      </c>
      <c r="AA856" s="1664">
        <f t="shared" ca="1" si="58"/>
        <v>18.75</v>
      </c>
      <c r="AB856" s="2444" t="s">
        <v>3629</v>
      </c>
      <c r="AC856" s="2445"/>
      <c r="AD856" s="2438"/>
    </row>
    <row r="857" spans="1:30" ht="15.75" hidden="1" customHeight="1">
      <c r="A857" s="1644">
        <f t="shared" si="48"/>
        <v>167</v>
      </c>
      <c r="B857" s="1645" t="s">
        <v>5051</v>
      </c>
      <c r="C857" s="1645" t="s">
        <v>4970</v>
      </c>
      <c r="D857" s="1645" t="s">
        <v>5052</v>
      </c>
      <c r="E857" s="1646" t="s">
        <v>2798</v>
      </c>
      <c r="F857" s="1645">
        <f t="shared" si="54"/>
        <v>1985</v>
      </c>
      <c r="G857" s="1647">
        <v>31139</v>
      </c>
      <c r="H857" s="1644" t="s">
        <v>3642</v>
      </c>
      <c r="I857" s="1648" t="s">
        <v>3629</v>
      </c>
      <c r="J857" s="1645" t="s">
        <v>201</v>
      </c>
      <c r="K857" s="1645">
        <v>0</v>
      </c>
      <c r="L857" s="1645" t="s">
        <v>3741</v>
      </c>
      <c r="M857" s="1645">
        <v>0</v>
      </c>
      <c r="N857" s="1645"/>
      <c r="O857" s="1645" t="s">
        <v>3645</v>
      </c>
      <c r="P857" s="1649"/>
      <c r="Q857" s="1645"/>
      <c r="R857" s="1644"/>
      <c r="S857" s="1644"/>
      <c r="T857" s="1644"/>
      <c r="U857" s="1644"/>
      <c r="V857" s="1644" t="s">
        <v>3649</v>
      </c>
      <c r="W857" s="1650" t="s">
        <v>3822</v>
      </c>
      <c r="X857" s="1644"/>
      <c r="Y857" s="1647">
        <v>42866</v>
      </c>
      <c r="Z857" s="1647">
        <v>43231</v>
      </c>
      <c r="AA857" s="1650">
        <f t="shared" ca="1" si="58"/>
        <v>15.416666666666666</v>
      </c>
      <c r="AB857" s="2444" t="s">
        <v>3629</v>
      </c>
      <c r="AC857" s="2445"/>
      <c r="AD857" s="2438"/>
    </row>
    <row r="858" spans="1:30" ht="15.75" hidden="1" customHeight="1">
      <c r="A858" s="1644">
        <f t="shared" si="48"/>
        <v>167</v>
      </c>
      <c r="B858" s="1645" t="s">
        <v>5053</v>
      </c>
      <c r="C858" s="1645" t="s">
        <v>4970</v>
      </c>
      <c r="D858" s="1645" t="s">
        <v>5052</v>
      </c>
      <c r="E858" s="1646" t="s">
        <v>2797</v>
      </c>
      <c r="F858" s="1645">
        <f t="shared" si="54"/>
        <v>1966</v>
      </c>
      <c r="G858" s="1647">
        <v>24227</v>
      </c>
      <c r="H858" s="1644" t="s">
        <v>3685</v>
      </c>
      <c r="I858" s="1648" t="s">
        <v>3629</v>
      </c>
      <c r="J858" s="1645" t="s">
        <v>201</v>
      </c>
      <c r="K858" s="1645">
        <v>0</v>
      </c>
      <c r="L858" s="1645" t="s">
        <v>4057</v>
      </c>
      <c r="M858" s="1645">
        <v>0</v>
      </c>
      <c r="N858" s="1645"/>
      <c r="O858" s="1645" t="s">
        <v>3645</v>
      </c>
      <c r="P858" s="1649"/>
      <c r="Q858" s="1645"/>
      <c r="R858" s="1644" t="s">
        <v>3699</v>
      </c>
      <c r="S858" s="1644"/>
      <c r="T858" s="1644" t="s">
        <v>936</v>
      </c>
      <c r="U858" s="1644"/>
      <c r="V858" s="1644"/>
      <c r="W858" s="1644">
        <v>0</v>
      </c>
      <c r="X858" s="1644"/>
      <c r="Y858" s="1647"/>
      <c r="Z858" s="1647"/>
      <c r="AA858" s="1650">
        <f t="shared" ca="1" si="58"/>
        <v>1.5</v>
      </c>
      <c r="AB858" s="2444" t="s">
        <v>3629</v>
      </c>
      <c r="AC858" s="2445"/>
      <c r="AD858" s="2438"/>
    </row>
    <row r="859" spans="1:30" ht="15.75" hidden="1" customHeight="1">
      <c r="A859" s="1644">
        <f t="shared" si="48"/>
        <v>167</v>
      </c>
      <c r="B859" s="1645" t="s">
        <v>5054</v>
      </c>
      <c r="C859" s="1645" t="s">
        <v>4970</v>
      </c>
      <c r="D859" s="1645" t="s">
        <v>5052</v>
      </c>
      <c r="E859" s="1644" t="s">
        <v>2797</v>
      </c>
      <c r="F859" s="1645">
        <f t="shared" si="54"/>
        <v>1973</v>
      </c>
      <c r="G859" s="1647">
        <v>26803</v>
      </c>
      <c r="H859" s="1644" t="s">
        <v>3648</v>
      </c>
      <c r="I859" s="1648" t="s">
        <v>3629</v>
      </c>
      <c r="J859" s="1645" t="s">
        <v>201</v>
      </c>
      <c r="K859" s="1645"/>
      <c r="L859" s="1645" t="s">
        <v>3741</v>
      </c>
      <c r="M859" s="1645">
        <v>0</v>
      </c>
      <c r="N859" s="1645"/>
      <c r="O859" s="1645">
        <v>0</v>
      </c>
      <c r="P859" s="1649"/>
      <c r="Q859" s="1645"/>
      <c r="R859" s="1644"/>
      <c r="S859" s="1644" t="s">
        <v>3743</v>
      </c>
      <c r="T859" s="1644"/>
      <c r="U859" s="1644"/>
      <c r="V859" s="1644" t="s">
        <v>3649</v>
      </c>
      <c r="W859" s="1650" t="s">
        <v>3822</v>
      </c>
      <c r="X859" s="1644"/>
      <c r="Y859" s="1644"/>
      <c r="Z859" s="1647"/>
      <c r="AA859" s="1650">
        <f t="shared" ca="1" si="58"/>
        <v>8.5833333333333339</v>
      </c>
      <c r="AB859" s="2444" t="s">
        <v>3629</v>
      </c>
      <c r="AC859" s="2445"/>
      <c r="AD859" s="2438"/>
    </row>
    <row r="860" spans="1:30" ht="15.75" hidden="1" customHeight="1">
      <c r="A860" s="1644">
        <f t="shared" si="48"/>
        <v>167</v>
      </c>
      <c r="B860" s="1645" t="s">
        <v>5055</v>
      </c>
      <c r="C860" s="1645" t="s">
        <v>4970</v>
      </c>
      <c r="D860" s="1645" t="s">
        <v>5052</v>
      </c>
      <c r="E860" s="1646" t="s">
        <v>2798</v>
      </c>
      <c r="F860" s="1645">
        <f t="shared" si="54"/>
        <v>1992</v>
      </c>
      <c r="G860" s="1647">
        <v>33916</v>
      </c>
      <c r="H860" s="1644" t="s">
        <v>4062</v>
      </c>
      <c r="I860" s="1648" t="s">
        <v>3629</v>
      </c>
      <c r="J860" s="1645" t="s">
        <v>201</v>
      </c>
      <c r="K860" s="1645">
        <v>0</v>
      </c>
      <c r="L860" s="1645" t="s">
        <v>3676</v>
      </c>
      <c r="M860" s="1645">
        <v>0</v>
      </c>
      <c r="N860" s="1645"/>
      <c r="O860" s="1645">
        <v>0</v>
      </c>
      <c r="P860" s="1649"/>
      <c r="Q860" s="1645"/>
      <c r="R860" s="1647" t="s">
        <v>3667</v>
      </c>
      <c r="S860" s="1644" t="s">
        <v>3743</v>
      </c>
      <c r="T860" s="1644"/>
      <c r="U860" s="1644"/>
      <c r="V860" s="1644" t="s">
        <v>3649</v>
      </c>
      <c r="W860" s="1644">
        <v>0</v>
      </c>
      <c r="X860" s="1644"/>
      <c r="Y860" s="1647">
        <v>41794</v>
      </c>
      <c r="Z860" s="1647">
        <v>42159</v>
      </c>
      <c r="AA860" s="1650">
        <f t="shared" ca="1" si="58"/>
        <v>23.083333333333332</v>
      </c>
      <c r="AB860" s="2444" t="s">
        <v>3629</v>
      </c>
      <c r="AC860" s="2445"/>
      <c r="AD860" s="2438"/>
    </row>
    <row r="861" spans="1:30" ht="15.75" hidden="1" customHeight="1">
      <c r="A861" s="1644">
        <f t="shared" si="48"/>
        <v>167</v>
      </c>
      <c r="B861" s="1645" t="s">
        <v>5056</v>
      </c>
      <c r="C861" s="1645" t="s">
        <v>4970</v>
      </c>
      <c r="D861" s="1645" t="s">
        <v>5052</v>
      </c>
      <c r="E861" s="1644" t="s">
        <v>2798</v>
      </c>
      <c r="F861" s="1645">
        <f t="shared" si="54"/>
        <v>1991</v>
      </c>
      <c r="G861" s="1647">
        <v>33301</v>
      </c>
      <c r="H861" s="1644" t="s">
        <v>3642</v>
      </c>
      <c r="I861" s="1648" t="s">
        <v>3629</v>
      </c>
      <c r="J861" s="1645" t="s">
        <v>201</v>
      </c>
      <c r="K861" s="1645"/>
      <c r="L861" s="1645" t="s">
        <v>5057</v>
      </c>
      <c r="M861" s="1645">
        <v>0</v>
      </c>
      <c r="N861" s="1645"/>
      <c r="O861" s="1645">
        <v>0</v>
      </c>
      <c r="P861" s="1649"/>
      <c r="Q861" s="1645"/>
      <c r="R861" s="1647" t="s">
        <v>3667</v>
      </c>
      <c r="S861" s="1644"/>
      <c r="T861" s="1644"/>
      <c r="U861" s="1644"/>
      <c r="V861" s="1644"/>
      <c r="W861" s="1650" t="s">
        <v>3822</v>
      </c>
      <c r="X861" s="1644"/>
      <c r="Y861" s="1644"/>
      <c r="Z861" s="1647"/>
      <c r="AA861" s="1650">
        <f t="shared" ca="1" si="58"/>
        <v>21.416666666666668</v>
      </c>
      <c r="AB861" s="2444" t="s">
        <v>3629</v>
      </c>
      <c r="AC861" s="2445"/>
      <c r="AD861" s="2438"/>
    </row>
    <row r="862" spans="1:30" ht="15.75" hidden="1" customHeight="1">
      <c r="A862" s="1644">
        <f t="shared" si="48"/>
        <v>167</v>
      </c>
      <c r="B862" s="1645" t="s">
        <v>5058</v>
      </c>
      <c r="C862" s="1645" t="s">
        <v>4970</v>
      </c>
      <c r="D862" s="1645" t="s">
        <v>5052</v>
      </c>
      <c r="E862" s="1644" t="s">
        <v>2797</v>
      </c>
      <c r="F862" s="1645">
        <f t="shared" si="54"/>
        <v>1962</v>
      </c>
      <c r="G862" s="1647">
        <v>22997</v>
      </c>
      <c r="H862" s="1644" t="s">
        <v>3685</v>
      </c>
      <c r="I862" s="1648" t="s">
        <v>3629</v>
      </c>
      <c r="J862" s="1645" t="s">
        <v>4322</v>
      </c>
      <c r="K862" s="1645">
        <v>0</v>
      </c>
      <c r="L862" s="1651">
        <v>0</v>
      </c>
      <c r="M862" s="1645">
        <v>0</v>
      </c>
      <c r="N862" s="1645"/>
      <c r="O862" s="1645">
        <v>0</v>
      </c>
      <c r="P862" s="1649"/>
      <c r="Q862" s="1645"/>
      <c r="R862" s="1644" t="s">
        <v>3699</v>
      </c>
      <c r="S862" s="1644" t="s">
        <v>206</v>
      </c>
      <c r="T862" s="1644"/>
      <c r="U862" s="1644"/>
      <c r="V862" s="1644"/>
      <c r="W862" s="1644">
        <v>0</v>
      </c>
      <c r="X862" s="1644"/>
      <c r="Y862" s="1647">
        <v>34502</v>
      </c>
      <c r="Z862" s="1647">
        <v>34867</v>
      </c>
      <c r="AA862" s="1650">
        <f t="shared" ca="1" si="58"/>
        <v>-1.8333333333333333</v>
      </c>
      <c r="AB862" s="2444" t="s">
        <v>3629</v>
      </c>
      <c r="AC862" s="2445"/>
      <c r="AD862" s="2438"/>
    </row>
    <row r="863" spans="1:30" ht="15.75" hidden="1" customHeight="1">
      <c r="A863" s="1644">
        <f t="shared" si="48"/>
        <v>167</v>
      </c>
      <c r="B863" s="1645" t="s">
        <v>5059</v>
      </c>
      <c r="C863" s="1645" t="s">
        <v>5060</v>
      </c>
      <c r="D863" s="1645"/>
      <c r="E863" s="1644" t="s">
        <v>2797</v>
      </c>
      <c r="F863" s="1645">
        <f t="shared" si="54"/>
        <v>1966</v>
      </c>
      <c r="G863" s="1647">
        <v>24158</v>
      </c>
      <c r="H863" s="1644" t="s">
        <v>3642</v>
      </c>
      <c r="I863" s="1648" t="s">
        <v>3629</v>
      </c>
      <c r="J863" s="1645" t="s">
        <v>37</v>
      </c>
      <c r="K863" s="1645">
        <v>0</v>
      </c>
      <c r="L863" s="1645" t="s">
        <v>2824</v>
      </c>
      <c r="M863" s="1645" t="s">
        <v>4010</v>
      </c>
      <c r="N863" s="1645"/>
      <c r="O863" s="1645" t="s">
        <v>3645</v>
      </c>
      <c r="P863" s="1649"/>
      <c r="Q863" s="1645"/>
      <c r="R863" s="1644"/>
      <c r="S863" s="1644"/>
      <c r="T863" s="1644"/>
      <c r="U863" s="1644"/>
      <c r="V863" s="1644"/>
      <c r="W863" s="1644" t="s">
        <v>3687</v>
      </c>
      <c r="X863" s="1644" t="s">
        <v>3633</v>
      </c>
      <c r="Y863" s="1647">
        <v>32120</v>
      </c>
      <c r="Z863" s="1647">
        <v>32486</v>
      </c>
      <c r="AA863" s="1650">
        <f t="shared" ca="1" si="58"/>
        <v>1.3333333333333333</v>
      </c>
      <c r="AB863" s="2444" t="s">
        <v>3629</v>
      </c>
      <c r="AC863" s="2445"/>
      <c r="AD863" s="2438"/>
    </row>
    <row r="864" spans="1:30" ht="15.75" hidden="1" customHeight="1">
      <c r="A864" s="1644">
        <f t="shared" si="48"/>
        <v>167</v>
      </c>
      <c r="B864" s="1645" t="s">
        <v>5061</v>
      </c>
      <c r="C864" s="1645" t="s">
        <v>5062</v>
      </c>
      <c r="D864" s="1645"/>
      <c r="E864" s="1646" t="s">
        <v>2797</v>
      </c>
      <c r="F864" s="1645">
        <v>1979</v>
      </c>
      <c r="G864" s="1647">
        <v>28900</v>
      </c>
      <c r="H864" s="1644" t="s">
        <v>3642</v>
      </c>
      <c r="I864" s="1648" t="s">
        <v>3629</v>
      </c>
      <c r="J864" s="1645" t="s">
        <v>37</v>
      </c>
      <c r="K864" s="1645">
        <v>0</v>
      </c>
      <c r="L864" s="1645" t="s">
        <v>3809</v>
      </c>
      <c r="M864" s="1645" t="s">
        <v>4214</v>
      </c>
      <c r="N864" s="1645"/>
      <c r="O864" s="1645" t="s">
        <v>3645</v>
      </c>
      <c r="P864" s="1649"/>
      <c r="Q864" s="1645"/>
      <c r="R864" s="1644"/>
      <c r="S864" s="1644"/>
      <c r="T864" s="1644"/>
      <c r="U864" s="1644"/>
      <c r="V864" s="1644" t="s">
        <v>3980</v>
      </c>
      <c r="W864" s="1650" t="s">
        <v>3653</v>
      </c>
      <c r="X864" s="1644"/>
      <c r="Y864" s="1647">
        <v>39535</v>
      </c>
      <c r="Z864" s="1647">
        <v>39900</v>
      </c>
      <c r="AA864" s="1650">
        <f t="shared" ca="1" si="58"/>
        <v>14.333333333333334</v>
      </c>
      <c r="AB864" s="2444" t="s">
        <v>3629</v>
      </c>
      <c r="AC864" s="2445"/>
      <c r="AD864" s="2438"/>
    </row>
    <row r="865" spans="1:30" ht="15.75" hidden="1" customHeight="1">
      <c r="A865" s="1644">
        <f t="shared" si="48"/>
        <v>167</v>
      </c>
      <c r="B865" s="1645" t="s">
        <v>5063</v>
      </c>
      <c r="C865" s="1645" t="s">
        <v>5062</v>
      </c>
      <c r="D865" s="1645"/>
      <c r="E865" s="1644" t="s">
        <v>2797</v>
      </c>
      <c r="F865" s="1645">
        <f t="shared" ref="F865:F876" si="59">YEAR(G865)</f>
        <v>1978</v>
      </c>
      <c r="G865" s="1647">
        <v>28701</v>
      </c>
      <c r="H865" s="1644" t="s">
        <v>3642</v>
      </c>
      <c r="I865" s="1648" t="s">
        <v>3965</v>
      </c>
      <c r="J865" s="1645" t="s">
        <v>38</v>
      </c>
      <c r="K865" s="1645">
        <v>0</v>
      </c>
      <c r="L865" s="1645" t="s">
        <v>2824</v>
      </c>
      <c r="M865" s="1645" t="s">
        <v>4214</v>
      </c>
      <c r="N865" s="1645"/>
      <c r="O865" s="1645" t="s">
        <v>506</v>
      </c>
      <c r="P865" s="1649">
        <v>44136</v>
      </c>
      <c r="Q865" s="1645"/>
      <c r="R865" s="1644" t="s">
        <v>3993</v>
      </c>
      <c r="S865" s="1644"/>
      <c r="T865" s="1644" t="s">
        <v>936</v>
      </c>
      <c r="U865" s="1644"/>
      <c r="V865" s="1644" t="s">
        <v>3657</v>
      </c>
      <c r="W865" s="1650" t="s">
        <v>3653</v>
      </c>
      <c r="X865" s="1644" t="s">
        <v>5064</v>
      </c>
      <c r="Y865" s="1647">
        <v>43489</v>
      </c>
      <c r="Z865" s="1647">
        <v>43854</v>
      </c>
      <c r="AA865" s="1650">
        <f t="shared" ca="1" si="58"/>
        <v>13.75</v>
      </c>
      <c r="AB865" s="2444" t="s">
        <v>3629</v>
      </c>
      <c r="AC865" s="2445"/>
      <c r="AD865" s="2438"/>
    </row>
    <row r="866" spans="1:30" ht="15.75" hidden="1" customHeight="1">
      <c r="A866" s="1644">
        <f t="shared" si="48"/>
        <v>167</v>
      </c>
      <c r="B866" s="1645" t="s">
        <v>5065</v>
      </c>
      <c r="C866" s="1645" t="s">
        <v>5066</v>
      </c>
      <c r="D866" s="1645" t="s">
        <v>3286</v>
      </c>
      <c r="E866" s="1646" t="s">
        <v>2797</v>
      </c>
      <c r="F866" s="1645">
        <f t="shared" si="59"/>
        <v>1975</v>
      </c>
      <c r="G866" s="1647">
        <v>27500</v>
      </c>
      <c r="H866" s="1644" t="s">
        <v>3628</v>
      </c>
      <c r="I866" s="1648" t="s">
        <v>3629</v>
      </c>
      <c r="J866" s="1645" t="s">
        <v>38</v>
      </c>
      <c r="K866" s="1645">
        <v>0</v>
      </c>
      <c r="L866" s="1645" t="s">
        <v>3666</v>
      </c>
      <c r="M866" s="1645" t="s">
        <v>3666</v>
      </c>
      <c r="N866" s="1645"/>
      <c r="O866" s="1645" t="s">
        <v>3666</v>
      </c>
      <c r="P866" s="1649"/>
      <c r="Q866" s="1645" t="s">
        <v>3800</v>
      </c>
      <c r="R866" s="1644"/>
      <c r="S866" s="1644"/>
      <c r="T866" s="1644" t="s">
        <v>936</v>
      </c>
      <c r="U866" s="1644" t="s">
        <v>3697</v>
      </c>
      <c r="V866" s="1644"/>
      <c r="W866" s="1644" t="s">
        <v>3658</v>
      </c>
      <c r="X866" s="1644" t="s">
        <v>3759</v>
      </c>
      <c r="Y866" s="1647">
        <v>38057</v>
      </c>
      <c r="Z866" s="1647">
        <v>38422</v>
      </c>
      <c r="AA866" s="1650">
        <f t="shared" ca="1" si="58"/>
        <v>10.5</v>
      </c>
      <c r="AB866" s="2444" t="s">
        <v>3629</v>
      </c>
      <c r="AC866" s="2445"/>
      <c r="AD866" s="2438"/>
    </row>
    <row r="867" spans="1:30" ht="15.75" hidden="1" customHeight="1">
      <c r="A867" s="1644">
        <f t="shared" si="48"/>
        <v>167</v>
      </c>
      <c r="B867" s="1645" t="s">
        <v>5067</v>
      </c>
      <c r="C867" s="1645" t="s">
        <v>5066</v>
      </c>
      <c r="D867" s="1648" t="s">
        <v>546</v>
      </c>
      <c r="E867" s="1644" t="s">
        <v>2797</v>
      </c>
      <c r="F867" s="1645">
        <f t="shared" si="59"/>
        <v>1968</v>
      </c>
      <c r="G867" s="1647">
        <v>25170</v>
      </c>
      <c r="H867" s="1644" t="s">
        <v>3797</v>
      </c>
      <c r="I867" s="1648" t="s">
        <v>3629</v>
      </c>
      <c r="J867" s="1645" t="s">
        <v>38</v>
      </c>
      <c r="K867" s="1645" t="s">
        <v>3798</v>
      </c>
      <c r="L867" s="1645" t="s">
        <v>4089</v>
      </c>
      <c r="M867" s="1645" t="s">
        <v>4729</v>
      </c>
      <c r="N867" s="1645"/>
      <c r="O867" s="1645" t="s">
        <v>2869</v>
      </c>
      <c r="P867" s="1649"/>
      <c r="Q867" s="1645" t="s">
        <v>3800</v>
      </c>
      <c r="R867" s="1647" t="s">
        <v>5068</v>
      </c>
      <c r="S867" s="1644"/>
      <c r="T867" s="1644" t="s">
        <v>936</v>
      </c>
      <c r="U867" s="1644" t="s">
        <v>3802</v>
      </c>
      <c r="V867" s="1644"/>
      <c r="W867" s="1644" t="s">
        <v>5069</v>
      </c>
      <c r="X867" s="1644" t="s">
        <v>3759</v>
      </c>
      <c r="Y867" s="1647">
        <v>35325</v>
      </c>
      <c r="Z867" s="1647">
        <v>35690</v>
      </c>
      <c r="AA867" s="1650">
        <f t="shared" ca="1" si="58"/>
        <v>4.083333333333333</v>
      </c>
      <c r="AB867" s="2444" t="s">
        <v>3629</v>
      </c>
      <c r="AC867" s="2445"/>
      <c r="AD867" s="2438"/>
    </row>
    <row r="868" spans="1:30" ht="15.75" hidden="1" customHeight="1">
      <c r="A868" s="1644">
        <f t="shared" si="48"/>
        <v>167</v>
      </c>
      <c r="B868" s="1645" t="s">
        <v>5070</v>
      </c>
      <c r="C868" s="1645" t="s">
        <v>5066</v>
      </c>
      <c r="D868" s="1645" t="s">
        <v>550</v>
      </c>
      <c r="E868" s="1646" t="s">
        <v>2797</v>
      </c>
      <c r="F868" s="1645">
        <f t="shared" si="59"/>
        <v>1982</v>
      </c>
      <c r="G868" s="1647">
        <v>30017</v>
      </c>
      <c r="H868" s="1644" t="s">
        <v>3636</v>
      </c>
      <c r="I868" s="1648" t="s">
        <v>3629</v>
      </c>
      <c r="J868" s="1645" t="s">
        <v>38</v>
      </c>
      <c r="K868" s="1645">
        <v>0</v>
      </c>
      <c r="L868" s="1645" t="s">
        <v>2682</v>
      </c>
      <c r="M868" s="1645" t="s">
        <v>3950</v>
      </c>
      <c r="N868" s="1645"/>
      <c r="O868" s="1645" t="s">
        <v>2682</v>
      </c>
      <c r="P868" s="1649"/>
      <c r="Q868" s="1645" t="s">
        <v>3693</v>
      </c>
      <c r="R868" s="1647" t="s">
        <v>4084</v>
      </c>
      <c r="S868" s="1644" t="s">
        <v>3696</v>
      </c>
      <c r="T868" s="1644">
        <v>2018</v>
      </c>
      <c r="U868" s="1644" t="s">
        <v>3761</v>
      </c>
      <c r="V868" s="1644"/>
      <c r="W868" s="1644">
        <v>0</v>
      </c>
      <c r="X868" s="1644" t="s">
        <v>3633</v>
      </c>
      <c r="Y868" s="1647">
        <v>38386</v>
      </c>
      <c r="Z868" s="1647">
        <v>38751</v>
      </c>
      <c r="AA868" s="1650">
        <f t="shared" ca="1" si="58"/>
        <v>17.416666666666668</v>
      </c>
      <c r="AB868" s="2444" t="s">
        <v>3629</v>
      </c>
      <c r="AC868" s="2445"/>
      <c r="AD868" s="2438"/>
    </row>
    <row r="869" spans="1:30" ht="15.75" hidden="1" customHeight="1">
      <c r="A869" s="1644">
        <f t="shared" si="48"/>
        <v>167</v>
      </c>
      <c r="B869" s="1645" t="s">
        <v>5071</v>
      </c>
      <c r="C869" s="1645" t="s">
        <v>5066</v>
      </c>
      <c r="D869" s="1645" t="s">
        <v>550</v>
      </c>
      <c r="E869" s="1644" t="s">
        <v>2797</v>
      </c>
      <c r="F869" s="1645">
        <f t="shared" si="59"/>
        <v>1978</v>
      </c>
      <c r="G869" s="1647">
        <v>28674</v>
      </c>
      <c r="H869" s="1644" t="s">
        <v>3628</v>
      </c>
      <c r="I869" s="1648" t="s">
        <v>3629</v>
      </c>
      <c r="J869" s="1645" t="s">
        <v>38</v>
      </c>
      <c r="K869" s="1645">
        <v>0</v>
      </c>
      <c r="L869" s="1645" t="s">
        <v>2682</v>
      </c>
      <c r="M869" s="1645" t="s">
        <v>2682</v>
      </c>
      <c r="N869" s="1645"/>
      <c r="O869" s="1645" t="s">
        <v>2682</v>
      </c>
      <c r="P869" s="1649"/>
      <c r="Q869" s="1645" t="s">
        <v>3800</v>
      </c>
      <c r="R869" s="1647" t="s">
        <v>3702</v>
      </c>
      <c r="S869" s="1644"/>
      <c r="T869" s="1644" t="s">
        <v>936</v>
      </c>
      <c r="U869" s="1644" t="s">
        <v>3631</v>
      </c>
      <c r="V869" s="1644"/>
      <c r="W869" s="1644" t="s">
        <v>3939</v>
      </c>
      <c r="X869" s="1644" t="s">
        <v>3759</v>
      </c>
      <c r="Y869" s="1647">
        <v>35898</v>
      </c>
      <c r="Z869" s="1647">
        <v>36263</v>
      </c>
      <c r="AA869" s="1650">
        <f t="shared" ca="1" si="58"/>
        <v>13.75</v>
      </c>
      <c r="AB869" s="2444" t="s">
        <v>3629</v>
      </c>
      <c r="AC869" s="2445"/>
      <c r="AD869" s="2438"/>
    </row>
    <row r="870" spans="1:30" ht="15.75" hidden="1" customHeight="1">
      <c r="A870" s="1644">
        <f t="shared" si="48"/>
        <v>167</v>
      </c>
      <c r="B870" s="1645" t="s">
        <v>5072</v>
      </c>
      <c r="C870" s="1645" t="s">
        <v>5066</v>
      </c>
      <c r="D870" s="1645" t="s">
        <v>4594</v>
      </c>
      <c r="E870" s="1646" t="s">
        <v>2798</v>
      </c>
      <c r="F870" s="1645">
        <f t="shared" si="59"/>
        <v>1978</v>
      </c>
      <c r="G870" s="1647">
        <v>28782</v>
      </c>
      <c r="H870" s="1644" t="s">
        <v>3797</v>
      </c>
      <c r="I870" s="1648" t="s">
        <v>3629</v>
      </c>
      <c r="J870" s="1645" t="s">
        <v>38</v>
      </c>
      <c r="K870" s="1645" t="s">
        <v>3798</v>
      </c>
      <c r="L870" s="1645" t="s">
        <v>5073</v>
      </c>
      <c r="M870" s="1645" t="s">
        <v>5074</v>
      </c>
      <c r="N870" s="1645"/>
      <c r="O870" s="1645" t="s">
        <v>4031</v>
      </c>
      <c r="P870" s="1649"/>
      <c r="Q870" s="1645"/>
      <c r="R870" s="1647" t="s">
        <v>4051</v>
      </c>
      <c r="S870" s="1644"/>
      <c r="T870" s="1644" t="s">
        <v>936</v>
      </c>
      <c r="U870" s="1644" t="s">
        <v>3697</v>
      </c>
      <c r="V870" s="1644"/>
      <c r="W870" s="1644" t="s">
        <v>5075</v>
      </c>
      <c r="X870" s="1644" t="s">
        <v>3759</v>
      </c>
      <c r="Y870" s="1647">
        <v>39958</v>
      </c>
      <c r="Z870" s="1647">
        <v>40323</v>
      </c>
      <c r="AA870" s="1650">
        <f t="shared" ca="1" si="58"/>
        <v>9</v>
      </c>
      <c r="AB870" s="2444" t="s">
        <v>3629</v>
      </c>
      <c r="AC870" s="2445"/>
      <c r="AD870" s="2438"/>
    </row>
    <row r="871" spans="1:30" ht="15.75" hidden="1" customHeight="1">
      <c r="A871" s="1644">
        <f t="shared" si="48"/>
        <v>167</v>
      </c>
      <c r="B871" s="1645" t="s">
        <v>5076</v>
      </c>
      <c r="C871" s="1645" t="s">
        <v>5066</v>
      </c>
      <c r="D871" s="1648" t="s">
        <v>5077</v>
      </c>
      <c r="E871" s="1646" t="s">
        <v>2797</v>
      </c>
      <c r="F871" s="1645">
        <f t="shared" si="59"/>
        <v>1977</v>
      </c>
      <c r="G871" s="1647">
        <v>28151</v>
      </c>
      <c r="H871" s="1644" t="s">
        <v>3797</v>
      </c>
      <c r="I871" s="1648" t="s">
        <v>3629</v>
      </c>
      <c r="J871" s="1645" t="s">
        <v>38</v>
      </c>
      <c r="K871" s="1645" t="s">
        <v>2806</v>
      </c>
      <c r="L871" s="1645" t="s">
        <v>1733</v>
      </c>
      <c r="M871" s="1645" t="s">
        <v>1743</v>
      </c>
      <c r="N871" s="1645"/>
      <c r="O871" s="1645" t="s">
        <v>1743</v>
      </c>
      <c r="P871" s="1649"/>
      <c r="Q871" s="1645" t="s">
        <v>3800</v>
      </c>
      <c r="R871" s="1644"/>
      <c r="S871" s="1644"/>
      <c r="T871" s="1644"/>
      <c r="U871" s="1644" t="s">
        <v>3802</v>
      </c>
      <c r="V871" s="1644" t="s">
        <v>936</v>
      </c>
      <c r="W871" s="1650" t="s">
        <v>5078</v>
      </c>
      <c r="X871" s="1644" t="s">
        <v>3759</v>
      </c>
      <c r="Y871" s="1647">
        <v>37340</v>
      </c>
      <c r="Z871" s="1647">
        <v>37705</v>
      </c>
      <c r="AA871" s="1650">
        <f t="shared" ca="1" si="58"/>
        <v>12.25</v>
      </c>
      <c r="AB871" s="2444" t="s">
        <v>3629</v>
      </c>
      <c r="AC871" s="2445"/>
      <c r="AD871" s="2438"/>
    </row>
    <row r="872" spans="1:30" ht="15.75" hidden="1" customHeight="1">
      <c r="A872" s="1644">
        <f t="shared" si="48"/>
        <v>167</v>
      </c>
      <c r="B872" s="1645" t="s">
        <v>5079</v>
      </c>
      <c r="C872" s="1645" t="s">
        <v>5066</v>
      </c>
      <c r="D872" s="1645" t="s">
        <v>3792</v>
      </c>
      <c r="E872" s="1644" t="s">
        <v>2797</v>
      </c>
      <c r="F872" s="1645">
        <f t="shared" si="59"/>
        <v>1972</v>
      </c>
      <c r="G872" s="1647">
        <v>26605</v>
      </c>
      <c r="H872" s="1644" t="s">
        <v>3628</v>
      </c>
      <c r="I872" s="1648" t="s">
        <v>3629</v>
      </c>
      <c r="J872" s="1645" t="s">
        <v>38</v>
      </c>
      <c r="K872" s="1645">
        <v>0</v>
      </c>
      <c r="L872" s="1645" t="s">
        <v>3741</v>
      </c>
      <c r="M872" s="1645" t="s">
        <v>3741</v>
      </c>
      <c r="N872" s="1645"/>
      <c r="O872" s="1645" t="s">
        <v>3741</v>
      </c>
      <c r="P872" s="1649"/>
      <c r="Q872" s="1645" t="s">
        <v>3800</v>
      </c>
      <c r="R872" s="1644"/>
      <c r="S872" s="1644"/>
      <c r="T872" s="1644" t="s">
        <v>936</v>
      </c>
      <c r="U872" s="1644" t="s">
        <v>3697</v>
      </c>
      <c r="V872" s="1644"/>
      <c r="W872" s="1650" t="s">
        <v>5080</v>
      </c>
      <c r="X872" s="1644" t="s">
        <v>3759</v>
      </c>
      <c r="Y872" s="1647">
        <v>34552</v>
      </c>
      <c r="Z872" s="1647">
        <v>34917</v>
      </c>
      <c r="AA872" s="1650">
        <f t="shared" ca="1" si="58"/>
        <v>8</v>
      </c>
      <c r="AB872" s="2444" t="s">
        <v>3629</v>
      </c>
      <c r="AC872" s="2445"/>
      <c r="AD872" s="2438"/>
    </row>
    <row r="873" spans="1:30" ht="15.75" hidden="1" customHeight="1">
      <c r="A873" s="1644">
        <f t="shared" si="48"/>
        <v>167</v>
      </c>
      <c r="B873" s="1645" t="s">
        <v>5081</v>
      </c>
      <c r="C873" s="1645" t="s">
        <v>5066</v>
      </c>
      <c r="D873" s="1645"/>
      <c r="E873" s="1646" t="s">
        <v>2797</v>
      </c>
      <c r="F873" s="1645">
        <f t="shared" si="59"/>
        <v>1978</v>
      </c>
      <c r="G873" s="1647">
        <v>28552</v>
      </c>
      <c r="H873" s="1644" t="s">
        <v>3642</v>
      </c>
      <c r="I873" s="1648" t="s">
        <v>3629</v>
      </c>
      <c r="J873" s="1645" t="s">
        <v>37</v>
      </c>
      <c r="K873" s="1645">
        <v>0</v>
      </c>
      <c r="L873" s="1645" t="s">
        <v>3741</v>
      </c>
      <c r="M873" s="1645">
        <v>0</v>
      </c>
      <c r="N873" s="1645"/>
      <c r="O873" s="1645" t="s">
        <v>3645</v>
      </c>
      <c r="P873" s="1649"/>
      <c r="Q873" s="1645"/>
      <c r="R873" s="1644"/>
      <c r="S873" s="1644"/>
      <c r="T873" s="1644"/>
      <c r="U873" s="1644"/>
      <c r="V873" s="1644"/>
      <c r="W873" s="1650" t="s">
        <v>3653</v>
      </c>
      <c r="X873" s="1644" t="s">
        <v>3707</v>
      </c>
      <c r="Y873" s="1647">
        <v>40456</v>
      </c>
      <c r="Z873" s="1647">
        <v>38751</v>
      </c>
      <c r="AA873" s="1650">
        <f t="shared" ca="1" si="58"/>
        <v>13.416666666666666</v>
      </c>
      <c r="AB873" s="2444" t="s">
        <v>3629</v>
      </c>
      <c r="AC873" s="2445"/>
      <c r="AD873" s="2438"/>
    </row>
    <row r="874" spans="1:30" ht="15.75" hidden="1" customHeight="1">
      <c r="A874" s="1644">
        <f t="shared" si="48"/>
        <v>167</v>
      </c>
      <c r="B874" s="1645" t="s">
        <v>5082</v>
      </c>
      <c r="C874" s="1645" t="s">
        <v>5066</v>
      </c>
      <c r="D874" s="1645"/>
      <c r="E874" s="1644" t="s">
        <v>2797</v>
      </c>
      <c r="F874" s="1645">
        <f t="shared" si="59"/>
        <v>1982</v>
      </c>
      <c r="G874" s="1647">
        <v>30030</v>
      </c>
      <c r="H874" s="1644" t="s">
        <v>3642</v>
      </c>
      <c r="I874" s="1648" t="s">
        <v>3629</v>
      </c>
      <c r="J874" s="1645" t="s">
        <v>37</v>
      </c>
      <c r="K874" s="1645">
        <v>0</v>
      </c>
      <c r="L874" s="1645" t="s">
        <v>3268</v>
      </c>
      <c r="M874" s="1645" t="s">
        <v>4705</v>
      </c>
      <c r="N874" s="1645"/>
      <c r="O874" s="1645" t="s">
        <v>3268</v>
      </c>
      <c r="P874" s="1649"/>
      <c r="Q874" s="1645"/>
      <c r="R874" s="1644"/>
      <c r="S874" s="1644"/>
      <c r="T874" s="1644"/>
      <c r="U874" s="1644"/>
      <c r="V874" s="1644" t="s">
        <v>3980</v>
      </c>
      <c r="W874" s="1644" t="s">
        <v>3968</v>
      </c>
      <c r="X874" s="1644" t="s">
        <v>3633</v>
      </c>
      <c r="Y874" s="1647">
        <v>37800</v>
      </c>
      <c r="Z874" s="1647">
        <v>38166</v>
      </c>
      <c r="AA874" s="1650">
        <f t="shared" ca="1" si="58"/>
        <v>17.416666666666668</v>
      </c>
      <c r="AB874" s="2444" t="s">
        <v>3629</v>
      </c>
      <c r="AC874" s="2445"/>
      <c r="AD874" s="2438"/>
    </row>
    <row r="875" spans="1:30" ht="15.75" hidden="1" customHeight="1">
      <c r="A875" s="1644">
        <f t="shared" si="48"/>
        <v>167</v>
      </c>
      <c r="B875" s="1645" t="s">
        <v>5083</v>
      </c>
      <c r="C875" s="1645" t="s">
        <v>5066</v>
      </c>
      <c r="D875" s="1645"/>
      <c r="E875" s="1646" t="s">
        <v>2797</v>
      </c>
      <c r="F875" s="1645">
        <f t="shared" si="59"/>
        <v>1990</v>
      </c>
      <c r="G875" s="1647">
        <v>32921</v>
      </c>
      <c r="H875" s="1644" t="s">
        <v>3642</v>
      </c>
      <c r="I875" s="1648" t="s">
        <v>3629</v>
      </c>
      <c r="J875" s="1645" t="s">
        <v>37</v>
      </c>
      <c r="K875" s="1645">
        <v>0</v>
      </c>
      <c r="L875" s="1645" t="s">
        <v>4223</v>
      </c>
      <c r="M875" s="1645">
        <v>0</v>
      </c>
      <c r="N875" s="1645"/>
      <c r="O875" s="1645" t="s">
        <v>3645</v>
      </c>
      <c r="P875" s="1649"/>
      <c r="Q875" s="1645"/>
      <c r="R875" s="1644"/>
      <c r="S875" s="1644" t="s">
        <v>3743</v>
      </c>
      <c r="T875" s="1644"/>
      <c r="U875" s="1644"/>
      <c r="V875" s="1644" t="s">
        <v>3657</v>
      </c>
      <c r="W875" s="1650" t="s">
        <v>3653</v>
      </c>
      <c r="X875" s="1644" t="s">
        <v>3759</v>
      </c>
      <c r="Y875" s="1647">
        <v>42846</v>
      </c>
      <c r="Z875" s="1647">
        <v>43211</v>
      </c>
      <c r="AA875" s="1650">
        <f t="shared" ca="1" si="58"/>
        <v>25.333333333333332</v>
      </c>
      <c r="AB875" s="2444" t="s">
        <v>3629</v>
      </c>
      <c r="AC875" s="2445"/>
      <c r="AD875" s="2438"/>
    </row>
    <row r="876" spans="1:30" ht="15.75" hidden="1" customHeight="1">
      <c r="A876" s="1644">
        <f t="shared" si="48"/>
        <v>167</v>
      </c>
      <c r="B876" s="1645" t="s">
        <v>5084</v>
      </c>
      <c r="C876" s="1645" t="s">
        <v>5066</v>
      </c>
      <c r="D876" s="1645"/>
      <c r="E876" s="1646" t="s">
        <v>2798</v>
      </c>
      <c r="F876" s="1645">
        <f t="shared" si="59"/>
        <v>1994</v>
      </c>
      <c r="G876" s="1647">
        <v>34505</v>
      </c>
      <c r="H876" s="1644" t="s">
        <v>3642</v>
      </c>
      <c r="I876" s="1648" t="s">
        <v>3629</v>
      </c>
      <c r="J876" s="1645" t="s">
        <v>201</v>
      </c>
      <c r="K876" s="1645"/>
      <c r="L876" s="1645" t="s">
        <v>4180</v>
      </c>
      <c r="M876" s="1645">
        <v>0</v>
      </c>
      <c r="N876" s="1645"/>
      <c r="O876" s="1645">
        <v>0</v>
      </c>
      <c r="P876" s="1649"/>
      <c r="Q876" s="1645"/>
      <c r="R876" s="1647" t="s">
        <v>3667</v>
      </c>
      <c r="S876" s="1644" t="s">
        <v>3743</v>
      </c>
      <c r="T876" s="1644" t="s">
        <v>936</v>
      </c>
      <c r="U876" s="1644"/>
      <c r="V876" s="1644" t="s">
        <v>3657</v>
      </c>
      <c r="W876" s="1650" t="s">
        <v>3653</v>
      </c>
      <c r="X876" s="1644"/>
      <c r="Y876" s="1647"/>
      <c r="Z876" s="1647"/>
      <c r="AA876" s="1650">
        <f t="shared" ca="1" si="58"/>
        <v>24.666666666666668</v>
      </c>
      <c r="AB876" s="2444" t="s">
        <v>3629</v>
      </c>
      <c r="AC876" s="2445"/>
      <c r="AD876" s="2438"/>
    </row>
    <row r="877" spans="1:30" ht="15.75" hidden="1" customHeight="1">
      <c r="A877" s="1644">
        <f t="shared" si="48"/>
        <v>167</v>
      </c>
      <c r="B877" s="1658" t="s">
        <v>5085</v>
      </c>
      <c r="C877" s="1645" t="s">
        <v>5066</v>
      </c>
      <c r="D877" s="1658"/>
      <c r="E877" s="1659" t="s">
        <v>2798</v>
      </c>
      <c r="F877" s="1645">
        <f>+YEAR(G877)</f>
        <v>1995</v>
      </c>
      <c r="G877" s="1660">
        <v>34948</v>
      </c>
      <c r="H877" s="1659" t="s">
        <v>3642</v>
      </c>
      <c r="I877" s="1661" t="s">
        <v>3629</v>
      </c>
      <c r="J877" s="1658" t="s">
        <v>201</v>
      </c>
      <c r="K877" s="1658"/>
      <c r="L877" s="1651">
        <v>0</v>
      </c>
      <c r="M877" s="1645"/>
      <c r="N877" s="1645"/>
      <c r="O877" s="1645"/>
      <c r="P877" s="1649"/>
      <c r="Q877" s="1645"/>
      <c r="R877" s="1647" t="s">
        <v>3683</v>
      </c>
      <c r="S877" s="1662"/>
      <c r="T877" s="1662"/>
      <c r="U877" s="1662"/>
      <c r="V877" s="1662"/>
      <c r="W877" s="1662"/>
      <c r="X877" s="1662"/>
      <c r="Y877" s="1662"/>
      <c r="Z877" s="1662"/>
      <c r="AA877" s="1663"/>
      <c r="AB877" s="2444" t="s">
        <v>3629</v>
      </c>
      <c r="AC877" s="2445"/>
      <c r="AD877" s="2438"/>
    </row>
    <row r="878" spans="1:30" ht="15.75" hidden="1" customHeight="1">
      <c r="A878" s="1644">
        <f t="shared" si="48"/>
        <v>167</v>
      </c>
      <c r="B878" s="1645" t="s">
        <v>5086</v>
      </c>
      <c r="C878" s="1645" t="s">
        <v>5087</v>
      </c>
      <c r="D878" s="1648" t="s">
        <v>3984</v>
      </c>
      <c r="E878" s="1644" t="s">
        <v>2797</v>
      </c>
      <c r="F878" s="1645">
        <f t="shared" ref="F878:F950" si="60">YEAR(G878)</f>
        <v>1976</v>
      </c>
      <c r="G878" s="1647">
        <v>27842</v>
      </c>
      <c r="H878" s="1644" t="s">
        <v>3797</v>
      </c>
      <c r="I878" s="1648" t="s">
        <v>3629</v>
      </c>
      <c r="J878" s="1645" t="s">
        <v>38</v>
      </c>
      <c r="K878" s="1645" t="s">
        <v>3798</v>
      </c>
      <c r="L878" s="1645" t="s">
        <v>1701</v>
      </c>
      <c r="M878" s="1645" t="s">
        <v>1701</v>
      </c>
      <c r="N878" s="1645"/>
      <c r="O878" s="1645" t="s">
        <v>1701</v>
      </c>
      <c r="P878" s="1649"/>
      <c r="Q878" s="1645" t="s">
        <v>3693</v>
      </c>
      <c r="R878" s="1647" t="s">
        <v>4051</v>
      </c>
      <c r="S878" s="1647" t="s">
        <v>206</v>
      </c>
      <c r="T878" s="1644">
        <v>0</v>
      </c>
      <c r="U878" s="1644" t="s">
        <v>3802</v>
      </c>
      <c r="V878" s="1644"/>
      <c r="W878" s="1650" t="s">
        <v>3632</v>
      </c>
      <c r="X878" s="1644" t="s">
        <v>3759</v>
      </c>
      <c r="Y878" s="1647">
        <v>41263</v>
      </c>
      <c r="Z878" s="1647">
        <v>41628</v>
      </c>
      <c r="AA878" s="1650">
        <f t="shared" ref="AA878:AA888" ca="1" si="61">IF(E878="nữ",660-DATEDIF(G878,TODAY(),"m"),720-DATEDIF(G878,TODAY(),"m"))/12</f>
        <v>11.416666666666666</v>
      </c>
      <c r="AB878" s="2444" t="s">
        <v>3629</v>
      </c>
      <c r="AC878" s="2445"/>
      <c r="AD878" s="2438"/>
    </row>
    <row r="879" spans="1:30" ht="15.75" hidden="1" customHeight="1">
      <c r="A879" s="1644">
        <f t="shared" si="48"/>
        <v>167</v>
      </c>
      <c r="B879" s="1645" t="s">
        <v>5088</v>
      </c>
      <c r="C879" s="1645" t="s">
        <v>5087</v>
      </c>
      <c r="D879" s="1648" t="s">
        <v>3984</v>
      </c>
      <c r="E879" s="1644" t="s">
        <v>2798</v>
      </c>
      <c r="F879" s="1645">
        <f t="shared" si="60"/>
        <v>1985</v>
      </c>
      <c r="G879" s="1647">
        <v>31105</v>
      </c>
      <c r="H879" s="1644" t="s">
        <v>3636</v>
      </c>
      <c r="I879" s="1648" t="s">
        <v>3629</v>
      </c>
      <c r="J879" s="1645" t="s">
        <v>37</v>
      </c>
      <c r="K879" s="1645">
        <v>0</v>
      </c>
      <c r="L879" s="1645" t="s">
        <v>1701</v>
      </c>
      <c r="M879" s="1645" t="s">
        <v>5089</v>
      </c>
      <c r="N879" s="1645"/>
      <c r="O879" s="1645" t="s">
        <v>3645</v>
      </c>
      <c r="P879" s="1649"/>
      <c r="Q879" s="1645"/>
      <c r="R879" s="1647" t="s">
        <v>3758</v>
      </c>
      <c r="S879" s="1644"/>
      <c r="T879" s="1644" t="s">
        <v>936</v>
      </c>
      <c r="U879" s="1644"/>
      <c r="V879" s="1644"/>
      <c r="W879" s="1644">
        <v>0</v>
      </c>
      <c r="X879" s="1644"/>
      <c r="Y879" s="1647"/>
      <c r="Z879" s="1647"/>
      <c r="AA879" s="1650">
        <f t="shared" ca="1" si="61"/>
        <v>15.333333333333334</v>
      </c>
      <c r="AB879" s="2444" t="s">
        <v>3629</v>
      </c>
      <c r="AC879" s="2445"/>
      <c r="AD879" s="2438"/>
    </row>
    <row r="880" spans="1:30" ht="15.75" hidden="1" customHeight="1">
      <c r="A880" s="1644">
        <f t="shared" si="48"/>
        <v>167</v>
      </c>
      <c r="B880" s="1645" t="s">
        <v>5090</v>
      </c>
      <c r="C880" s="1645" t="s">
        <v>5087</v>
      </c>
      <c r="D880" s="1648" t="s">
        <v>3984</v>
      </c>
      <c r="E880" s="1646" t="s">
        <v>2797</v>
      </c>
      <c r="F880" s="1645">
        <f t="shared" si="60"/>
        <v>1983</v>
      </c>
      <c r="G880" s="1647">
        <v>30445</v>
      </c>
      <c r="H880" s="1644" t="s">
        <v>3636</v>
      </c>
      <c r="I880" s="1648" t="s">
        <v>3629</v>
      </c>
      <c r="J880" s="1645" t="s">
        <v>38</v>
      </c>
      <c r="K880" s="1645">
        <v>0</v>
      </c>
      <c r="L880" s="1645" t="s">
        <v>2748</v>
      </c>
      <c r="M880" s="1645" t="s">
        <v>5091</v>
      </c>
      <c r="N880" s="1645"/>
      <c r="O880" s="1645" t="s">
        <v>5092</v>
      </c>
      <c r="P880" s="1649"/>
      <c r="Q880" s="1645"/>
      <c r="R880" s="1647" t="s">
        <v>3999</v>
      </c>
      <c r="S880" s="1644" t="s">
        <v>3696</v>
      </c>
      <c r="T880" s="1644" t="s">
        <v>936</v>
      </c>
      <c r="U880" s="1644" t="s">
        <v>3631</v>
      </c>
      <c r="V880" s="1644"/>
      <c r="W880" s="1650" t="s">
        <v>3646</v>
      </c>
      <c r="X880" s="1644"/>
      <c r="Y880" s="1647">
        <v>41697</v>
      </c>
      <c r="Z880" s="1647">
        <v>42062</v>
      </c>
      <c r="AA880" s="1650">
        <f t="shared" ca="1" si="61"/>
        <v>18.583333333333332</v>
      </c>
      <c r="AB880" s="2444" t="s">
        <v>3629</v>
      </c>
      <c r="AC880" s="2445"/>
      <c r="AD880" s="2438"/>
    </row>
    <row r="881" spans="1:30" ht="15.75" hidden="1" customHeight="1">
      <c r="A881" s="1644">
        <f t="shared" si="48"/>
        <v>167</v>
      </c>
      <c r="B881" s="1645" t="s">
        <v>5093</v>
      </c>
      <c r="C881" s="1645" t="s">
        <v>5087</v>
      </c>
      <c r="D881" s="1648" t="s">
        <v>3984</v>
      </c>
      <c r="E881" s="1644" t="s">
        <v>2798</v>
      </c>
      <c r="F881" s="1645">
        <f t="shared" si="60"/>
        <v>1986</v>
      </c>
      <c r="G881" s="1647">
        <v>31652</v>
      </c>
      <c r="H881" s="1644" t="s">
        <v>3636</v>
      </c>
      <c r="I881" s="1648" t="s">
        <v>3629</v>
      </c>
      <c r="J881" s="1645" t="s">
        <v>38</v>
      </c>
      <c r="K881" s="1645">
        <v>0</v>
      </c>
      <c r="L881" s="1645" t="s">
        <v>1701</v>
      </c>
      <c r="M881" s="1645" t="s">
        <v>3978</v>
      </c>
      <c r="N881" s="1645"/>
      <c r="O881" s="1645" t="s">
        <v>3978</v>
      </c>
      <c r="P881" s="1649"/>
      <c r="Q881" s="1645" t="s">
        <v>3693</v>
      </c>
      <c r="R881" s="1647" t="s">
        <v>4517</v>
      </c>
      <c r="S881" s="1644"/>
      <c r="T881" s="1644" t="s">
        <v>936</v>
      </c>
      <c r="U881" s="1644" t="s">
        <v>3631</v>
      </c>
      <c r="V881" s="1644"/>
      <c r="W881" s="1644" t="s">
        <v>3679</v>
      </c>
      <c r="X881" s="1644"/>
      <c r="Y881" s="1647"/>
      <c r="Z881" s="1647"/>
      <c r="AA881" s="1650">
        <f t="shared" ca="1" si="61"/>
        <v>16.833333333333332</v>
      </c>
      <c r="AB881" s="2444" t="s">
        <v>3629</v>
      </c>
      <c r="AC881" s="2445"/>
      <c r="AD881" s="2438"/>
    </row>
    <row r="882" spans="1:30" ht="15.75" hidden="1" customHeight="1">
      <c r="A882" s="1644">
        <f t="shared" si="48"/>
        <v>167</v>
      </c>
      <c r="B882" s="1645" t="s">
        <v>5094</v>
      </c>
      <c r="C882" s="1645" t="s">
        <v>5087</v>
      </c>
      <c r="D882" s="1648" t="s">
        <v>3984</v>
      </c>
      <c r="E882" s="1646" t="s">
        <v>2798</v>
      </c>
      <c r="F882" s="1645">
        <f t="shared" si="60"/>
        <v>1974</v>
      </c>
      <c r="G882" s="1647">
        <v>27188</v>
      </c>
      <c r="H882" s="1644" t="s">
        <v>3642</v>
      </c>
      <c r="I882" s="1648" t="s">
        <v>3629</v>
      </c>
      <c r="J882" s="1645" t="s">
        <v>37</v>
      </c>
      <c r="K882" s="1645"/>
      <c r="L882" s="1651" t="s">
        <v>4824</v>
      </c>
      <c r="M882" s="1645" t="s">
        <v>4824</v>
      </c>
      <c r="N882" s="1645"/>
      <c r="O882" s="1645">
        <v>0</v>
      </c>
      <c r="P882" s="1649"/>
      <c r="Q882" s="1645"/>
      <c r="R882" s="1647" t="s">
        <v>3667</v>
      </c>
      <c r="S882" s="1644"/>
      <c r="T882" s="1644" t="s">
        <v>936</v>
      </c>
      <c r="U882" s="1644"/>
      <c r="V882" s="1644" t="s">
        <v>3649</v>
      </c>
      <c r="W882" s="1644" t="s">
        <v>3939</v>
      </c>
      <c r="X882" s="1644"/>
      <c r="Y882" s="1647">
        <v>41263</v>
      </c>
      <c r="Z882" s="1647">
        <v>41628</v>
      </c>
      <c r="AA882" s="1650">
        <f t="shared" ca="1" si="61"/>
        <v>4.666666666666667</v>
      </c>
      <c r="AB882" s="2444" t="s">
        <v>3629</v>
      </c>
      <c r="AC882" s="2445"/>
      <c r="AD882" s="2438"/>
    </row>
    <row r="883" spans="1:30" ht="15.75" hidden="1" customHeight="1">
      <c r="A883" s="1644">
        <f t="shared" si="48"/>
        <v>167</v>
      </c>
      <c r="B883" s="1645" t="s">
        <v>5095</v>
      </c>
      <c r="C883" s="1645" t="s">
        <v>5087</v>
      </c>
      <c r="D883" s="1648" t="s">
        <v>3984</v>
      </c>
      <c r="E883" s="1646" t="s">
        <v>2798</v>
      </c>
      <c r="F883" s="1645">
        <f t="shared" si="60"/>
        <v>1983</v>
      </c>
      <c r="G883" s="1647">
        <v>30579</v>
      </c>
      <c r="H883" s="1644" t="s">
        <v>3642</v>
      </c>
      <c r="I883" s="1648" t="s">
        <v>3629</v>
      </c>
      <c r="J883" s="1645" t="s">
        <v>37</v>
      </c>
      <c r="K883" s="1645">
        <v>0</v>
      </c>
      <c r="L883" s="1645" t="s">
        <v>5096</v>
      </c>
      <c r="M883" s="1645" t="s">
        <v>4523</v>
      </c>
      <c r="N883" s="1645"/>
      <c r="O883" s="1645" t="s">
        <v>3645</v>
      </c>
      <c r="P883" s="1649"/>
      <c r="Q883" s="1645"/>
      <c r="R883" s="1644"/>
      <c r="S883" s="1644"/>
      <c r="T883" s="1644"/>
      <c r="U883" s="1644"/>
      <c r="V883" s="1644"/>
      <c r="W883" s="1650" t="s">
        <v>3653</v>
      </c>
      <c r="X883" s="1644"/>
      <c r="Y883" s="1647">
        <v>39459</v>
      </c>
      <c r="Z883" s="1647">
        <v>39825</v>
      </c>
      <c r="AA883" s="1650">
        <f t="shared" ca="1" si="61"/>
        <v>13.916666666666666</v>
      </c>
      <c r="AB883" s="2444" t="s">
        <v>3629</v>
      </c>
      <c r="AC883" s="2445"/>
      <c r="AD883" s="2438"/>
    </row>
    <row r="884" spans="1:30" ht="15.75" hidden="1" customHeight="1">
      <c r="A884" s="1644">
        <f t="shared" si="48"/>
        <v>167</v>
      </c>
      <c r="B884" s="1645" t="s">
        <v>5097</v>
      </c>
      <c r="C884" s="1645" t="s">
        <v>5087</v>
      </c>
      <c r="D884" s="1648" t="s">
        <v>3984</v>
      </c>
      <c r="E884" s="1646" t="s">
        <v>2797</v>
      </c>
      <c r="F884" s="1645">
        <f t="shared" si="60"/>
        <v>1979</v>
      </c>
      <c r="G884" s="1647">
        <v>29108</v>
      </c>
      <c r="H884" s="1644" t="s">
        <v>3628</v>
      </c>
      <c r="I884" s="1648" t="s">
        <v>3629</v>
      </c>
      <c r="J884" s="1645" t="s">
        <v>38</v>
      </c>
      <c r="K884" s="1645">
        <v>0</v>
      </c>
      <c r="L884" s="1645" t="s">
        <v>1701</v>
      </c>
      <c r="M884" s="1645" t="s">
        <v>3013</v>
      </c>
      <c r="N884" s="1645"/>
      <c r="O884" s="1645" t="s">
        <v>1701</v>
      </c>
      <c r="P884" s="1649"/>
      <c r="Q884" s="1645" t="s">
        <v>3693</v>
      </c>
      <c r="R884" s="1647" t="s">
        <v>3882</v>
      </c>
      <c r="S884" s="1644"/>
      <c r="T884" s="1644">
        <v>2016</v>
      </c>
      <c r="U884" s="1644" t="s">
        <v>3631</v>
      </c>
      <c r="V884" s="1644"/>
      <c r="W884" s="1650" t="s">
        <v>3653</v>
      </c>
      <c r="X884" s="1644" t="s">
        <v>3633</v>
      </c>
      <c r="Y884" s="1647">
        <v>39143</v>
      </c>
      <c r="Z884" s="1647">
        <v>39509</v>
      </c>
      <c r="AA884" s="1650">
        <f t="shared" ca="1" si="61"/>
        <v>14.916666666666666</v>
      </c>
      <c r="AB884" s="2444" t="s">
        <v>3629</v>
      </c>
      <c r="AC884" s="2445"/>
      <c r="AD884" s="2438"/>
    </row>
    <row r="885" spans="1:30" ht="15.75" hidden="1" customHeight="1">
      <c r="A885" s="1644">
        <f t="shared" si="48"/>
        <v>167</v>
      </c>
      <c r="B885" s="1645" t="s">
        <v>5098</v>
      </c>
      <c r="C885" s="1645" t="s">
        <v>5087</v>
      </c>
      <c r="D885" s="1648" t="s">
        <v>3984</v>
      </c>
      <c r="E885" s="1644" t="s">
        <v>2797</v>
      </c>
      <c r="F885" s="1645">
        <f t="shared" si="60"/>
        <v>1987</v>
      </c>
      <c r="G885" s="1647">
        <v>31822</v>
      </c>
      <c r="H885" s="1644" t="s">
        <v>3636</v>
      </c>
      <c r="I885" s="1648" t="s">
        <v>3629</v>
      </c>
      <c r="J885" s="1645" t="s">
        <v>37</v>
      </c>
      <c r="K885" s="1645">
        <v>0</v>
      </c>
      <c r="L885" s="1645" t="s">
        <v>1701</v>
      </c>
      <c r="M885" s="1645" t="s">
        <v>3978</v>
      </c>
      <c r="N885" s="1645"/>
      <c r="O885" s="1645" t="s">
        <v>3645</v>
      </c>
      <c r="P885" s="1649"/>
      <c r="Q885" s="1645"/>
      <c r="R885" s="1647" t="s">
        <v>3699</v>
      </c>
      <c r="S885" s="1644"/>
      <c r="T885" s="1644" t="s">
        <v>936</v>
      </c>
      <c r="U885" s="1644"/>
      <c r="V885" s="1644"/>
      <c r="W885" s="1650" t="s">
        <v>3653</v>
      </c>
      <c r="X885" s="1644"/>
      <c r="Y885" s="1647"/>
      <c r="Z885" s="1647" t="s">
        <v>936</v>
      </c>
      <c r="AA885" s="1650">
        <f t="shared" ca="1" si="61"/>
        <v>22.333333333333332</v>
      </c>
      <c r="AB885" s="2444" t="s">
        <v>3629</v>
      </c>
      <c r="AC885" s="2445"/>
      <c r="AD885" s="2438"/>
    </row>
    <row r="886" spans="1:30" ht="15.75" hidden="1" customHeight="1">
      <c r="A886" s="1644">
        <f t="shared" si="48"/>
        <v>167</v>
      </c>
      <c r="B886" s="1645" t="s">
        <v>5099</v>
      </c>
      <c r="C886" s="1645" t="s">
        <v>5087</v>
      </c>
      <c r="D886" s="1648" t="s">
        <v>5100</v>
      </c>
      <c r="E886" s="1646" t="s">
        <v>2797</v>
      </c>
      <c r="F886" s="1645">
        <f t="shared" si="60"/>
        <v>1982</v>
      </c>
      <c r="G886" s="1647">
        <v>30133</v>
      </c>
      <c r="H886" s="1644" t="s">
        <v>3636</v>
      </c>
      <c r="I886" s="1648" t="s">
        <v>3629</v>
      </c>
      <c r="J886" s="1645" t="s">
        <v>38</v>
      </c>
      <c r="K886" s="1645">
        <v>0</v>
      </c>
      <c r="L886" s="1645" t="s">
        <v>4089</v>
      </c>
      <c r="M886" s="1645" t="s">
        <v>4364</v>
      </c>
      <c r="N886" s="1645"/>
      <c r="O886" s="1645" t="s">
        <v>1664</v>
      </c>
      <c r="P886" s="1649">
        <v>43678</v>
      </c>
      <c r="Q886" s="1645"/>
      <c r="R886" s="1647" t="s">
        <v>3710</v>
      </c>
      <c r="S886" s="1644"/>
      <c r="T886" s="1644" t="s">
        <v>936</v>
      </c>
      <c r="U886" s="1644" t="s">
        <v>3631</v>
      </c>
      <c r="V886" s="1644"/>
      <c r="W886" s="1650" t="s">
        <v>3646</v>
      </c>
      <c r="X886" s="1644"/>
      <c r="Y886" s="1647">
        <v>36435</v>
      </c>
      <c r="Z886" s="1647">
        <v>36801</v>
      </c>
      <c r="AA886" s="1650">
        <f t="shared" ca="1" si="61"/>
        <v>17.666666666666668</v>
      </c>
      <c r="AB886" s="2444" t="s">
        <v>3629</v>
      </c>
      <c r="AC886" s="2445"/>
      <c r="AD886" s="2438"/>
    </row>
    <row r="887" spans="1:30" ht="15.75" hidden="1" customHeight="1">
      <c r="A887" s="1644">
        <f t="shared" si="48"/>
        <v>167</v>
      </c>
      <c r="B887" s="1645" t="s">
        <v>5101</v>
      </c>
      <c r="C887" s="1645" t="s">
        <v>5087</v>
      </c>
      <c r="D887" s="1648" t="s">
        <v>5100</v>
      </c>
      <c r="E887" s="1644" t="s">
        <v>2797</v>
      </c>
      <c r="F887" s="1645">
        <f t="shared" si="60"/>
        <v>1984</v>
      </c>
      <c r="G887" s="1647">
        <v>30941</v>
      </c>
      <c r="H887" s="1644" t="s">
        <v>3636</v>
      </c>
      <c r="I887" s="1648" t="s">
        <v>3629</v>
      </c>
      <c r="J887" s="1645" t="s">
        <v>38</v>
      </c>
      <c r="K887" s="1645">
        <v>0</v>
      </c>
      <c r="L887" s="1645" t="s">
        <v>4089</v>
      </c>
      <c r="M887" s="1645" t="s">
        <v>4366</v>
      </c>
      <c r="N887" s="1645"/>
      <c r="O887" s="1645" t="s">
        <v>1664</v>
      </c>
      <c r="P887" s="1649"/>
      <c r="Q887" s="1645"/>
      <c r="R887" s="1644" t="s">
        <v>3710</v>
      </c>
      <c r="S887" s="1644"/>
      <c r="T887" s="1644" t="s">
        <v>936</v>
      </c>
      <c r="U887" s="1644" t="s">
        <v>3631</v>
      </c>
      <c r="V887" s="1644"/>
      <c r="W887" s="1650" t="s">
        <v>3646</v>
      </c>
      <c r="X887" s="1644" t="s">
        <v>3707</v>
      </c>
      <c r="Y887" s="1647">
        <v>42328</v>
      </c>
      <c r="Z887" s="1647">
        <v>42694</v>
      </c>
      <c r="AA887" s="1650">
        <f t="shared" ca="1" si="61"/>
        <v>19.916666666666668</v>
      </c>
      <c r="AB887" s="2444" t="s">
        <v>3629</v>
      </c>
      <c r="AC887" s="2445"/>
      <c r="AD887" s="2438"/>
    </row>
    <row r="888" spans="1:30" ht="15.75" hidden="1" customHeight="1">
      <c r="A888" s="1644">
        <f t="shared" si="48"/>
        <v>167</v>
      </c>
      <c r="B888" s="1645" t="s">
        <v>5102</v>
      </c>
      <c r="C888" s="1645" t="s">
        <v>5087</v>
      </c>
      <c r="D888" s="1648" t="s">
        <v>5100</v>
      </c>
      <c r="E888" s="1646" t="s">
        <v>2798</v>
      </c>
      <c r="F888" s="1645">
        <f t="shared" si="60"/>
        <v>1980</v>
      </c>
      <c r="G888" s="1647">
        <v>29510</v>
      </c>
      <c r="H888" s="1644" t="s">
        <v>3636</v>
      </c>
      <c r="I888" s="1648" t="s">
        <v>3629</v>
      </c>
      <c r="J888" s="1645" t="s">
        <v>38</v>
      </c>
      <c r="K888" s="1645">
        <v>0</v>
      </c>
      <c r="L888" s="1645" t="s">
        <v>4089</v>
      </c>
      <c r="M888" s="1645" t="s">
        <v>4364</v>
      </c>
      <c r="N888" s="1645"/>
      <c r="O888" s="1645" t="s">
        <v>5103</v>
      </c>
      <c r="P888" s="1649"/>
      <c r="Q888" s="1645" t="s">
        <v>3693</v>
      </c>
      <c r="R888" s="1647" t="s">
        <v>3904</v>
      </c>
      <c r="S888" s="1644"/>
      <c r="T888" s="1644" t="s">
        <v>936</v>
      </c>
      <c r="U888" s="1644"/>
      <c r="V888" s="1644"/>
      <c r="W888" s="1644" t="s">
        <v>3968</v>
      </c>
      <c r="X888" s="1644"/>
      <c r="Y888" s="1647"/>
      <c r="Z888" s="1647"/>
      <c r="AA888" s="1650">
        <f t="shared" ca="1" si="61"/>
        <v>11</v>
      </c>
      <c r="AB888" s="2444" t="s">
        <v>3629</v>
      </c>
      <c r="AC888" s="2445"/>
      <c r="AD888" s="2438"/>
    </row>
    <row r="889" spans="1:30" ht="15.75" hidden="1" customHeight="1">
      <c r="A889" s="1644">
        <f t="shared" si="48"/>
        <v>167</v>
      </c>
      <c r="B889" s="1645" t="s">
        <v>5104</v>
      </c>
      <c r="C889" s="1645" t="s">
        <v>5087</v>
      </c>
      <c r="D889" s="1645" t="s">
        <v>5100</v>
      </c>
      <c r="E889" s="1646" t="s">
        <v>2798</v>
      </c>
      <c r="F889" s="1645">
        <f t="shared" si="60"/>
        <v>1994</v>
      </c>
      <c r="G889" s="1647">
        <v>34350</v>
      </c>
      <c r="H889" s="1646" t="s">
        <v>3636</v>
      </c>
      <c r="I889" s="1648" t="s">
        <v>3629</v>
      </c>
      <c r="J889" s="1645" t="s">
        <v>5105</v>
      </c>
      <c r="K889" s="1645"/>
      <c r="L889" s="1651" t="s">
        <v>5106</v>
      </c>
      <c r="M889" s="1645"/>
      <c r="N889" s="1645"/>
      <c r="O889" s="1645"/>
      <c r="P889" s="1649"/>
      <c r="Q889" s="1645"/>
      <c r="R889" s="1644"/>
      <c r="S889" s="1644"/>
      <c r="T889" s="1644"/>
      <c r="U889" s="1644"/>
      <c r="V889" s="1644"/>
      <c r="W889" s="1644"/>
      <c r="X889" s="1644"/>
      <c r="Y889" s="1644"/>
      <c r="Z889" s="1647"/>
      <c r="AA889" s="1654"/>
      <c r="AB889" s="2444" t="s">
        <v>3629</v>
      </c>
      <c r="AC889" s="2445"/>
      <c r="AD889" s="2438"/>
    </row>
    <row r="890" spans="1:30" ht="15.75" hidden="1" customHeight="1">
      <c r="A890" s="1644">
        <f t="shared" si="48"/>
        <v>167</v>
      </c>
      <c r="B890" s="1645" t="s">
        <v>5107</v>
      </c>
      <c r="C890" s="1645" t="s">
        <v>5087</v>
      </c>
      <c r="D890" s="1648" t="s">
        <v>5100</v>
      </c>
      <c r="E890" s="1646" t="s">
        <v>2797</v>
      </c>
      <c r="F890" s="1645">
        <f t="shared" si="60"/>
        <v>1986</v>
      </c>
      <c r="G890" s="1647">
        <v>31688</v>
      </c>
      <c r="H890" s="1644" t="s">
        <v>3636</v>
      </c>
      <c r="I890" s="1648" t="s">
        <v>3629</v>
      </c>
      <c r="J890" s="1645" t="s">
        <v>37</v>
      </c>
      <c r="K890" s="1645">
        <v>0</v>
      </c>
      <c r="L890" s="1645" t="s">
        <v>4089</v>
      </c>
      <c r="M890" s="1645" t="s">
        <v>4366</v>
      </c>
      <c r="N890" s="1645"/>
      <c r="O890" s="1645" t="s">
        <v>3645</v>
      </c>
      <c r="P890" s="1649"/>
      <c r="Q890" s="1645" t="s">
        <v>3693</v>
      </c>
      <c r="R890" s="1647" t="s">
        <v>3699</v>
      </c>
      <c r="S890" s="1644"/>
      <c r="T890" s="1644" t="s">
        <v>936</v>
      </c>
      <c r="U890" s="1644"/>
      <c r="V890" s="1644"/>
      <c r="W890" s="1650" t="s">
        <v>3653</v>
      </c>
      <c r="X890" s="1644"/>
      <c r="Y890" s="1647">
        <v>39438</v>
      </c>
      <c r="Z890" s="1647">
        <v>39804</v>
      </c>
      <c r="AA890" s="1650">
        <f t="shared" ref="AA890:AA936" ca="1" si="62">IF(E890="nữ",660-DATEDIF(G890,TODAY(),"m"),720-DATEDIF(G890,TODAY(),"m"))/12</f>
        <v>22</v>
      </c>
      <c r="AB890" s="2444" t="s">
        <v>3629</v>
      </c>
      <c r="AC890" s="2445"/>
      <c r="AD890" s="2438"/>
    </row>
    <row r="891" spans="1:30" ht="15.75" hidden="1" customHeight="1">
      <c r="A891" s="1644">
        <f t="shared" si="48"/>
        <v>167</v>
      </c>
      <c r="B891" s="1645" t="s">
        <v>5108</v>
      </c>
      <c r="C891" s="1645" t="s">
        <v>5087</v>
      </c>
      <c r="D891" s="1648" t="s">
        <v>5109</v>
      </c>
      <c r="E891" s="1644" t="s">
        <v>2798</v>
      </c>
      <c r="F891" s="1645">
        <f t="shared" si="60"/>
        <v>1979</v>
      </c>
      <c r="G891" s="1647">
        <v>29044</v>
      </c>
      <c r="H891" s="1644" t="s">
        <v>3636</v>
      </c>
      <c r="I891" s="1648" t="s">
        <v>3629</v>
      </c>
      <c r="J891" s="1645" t="s">
        <v>38</v>
      </c>
      <c r="K891" s="1645">
        <v>0</v>
      </c>
      <c r="L891" s="1645" t="s">
        <v>5109</v>
      </c>
      <c r="M891" s="1645" t="s">
        <v>5110</v>
      </c>
      <c r="N891" s="1645"/>
      <c r="O891" s="1645" t="s">
        <v>5111</v>
      </c>
      <c r="P891" s="1649">
        <v>44753</v>
      </c>
      <c r="Q891" s="1645"/>
      <c r="R891" s="1647" t="s">
        <v>3683</v>
      </c>
      <c r="S891" s="1644"/>
      <c r="T891" s="1644">
        <v>0</v>
      </c>
      <c r="U891" s="1644"/>
      <c r="V891" s="1644"/>
      <c r="W891" s="1644" t="s">
        <v>5112</v>
      </c>
      <c r="X891" s="1644"/>
      <c r="Y891" s="1647">
        <v>38665</v>
      </c>
      <c r="Z891" s="1647">
        <v>39030</v>
      </c>
      <c r="AA891" s="1650">
        <f t="shared" ca="1" si="62"/>
        <v>9.75</v>
      </c>
      <c r="AB891" s="2444" t="s">
        <v>3629</v>
      </c>
      <c r="AC891" s="2445"/>
      <c r="AD891" s="2438"/>
    </row>
    <row r="892" spans="1:30" ht="15.75" hidden="1" customHeight="1">
      <c r="A892" s="1644">
        <f t="shared" si="48"/>
        <v>167</v>
      </c>
      <c r="B892" s="1645" t="s">
        <v>5113</v>
      </c>
      <c r="C892" s="1645" t="s">
        <v>5087</v>
      </c>
      <c r="D892" s="1648" t="s">
        <v>5109</v>
      </c>
      <c r="E892" s="1646" t="s">
        <v>2798</v>
      </c>
      <c r="F892" s="1645">
        <f t="shared" si="60"/>
        <v>1983</v>
      </c>
      <c r="G892" s="1647">
        <v>30590</v>
      </c>
      <c r="H892" s="1644" t="s">
        <v>3636</v>
      </c>
      <c r="I892" s="1648" t="s">
        <v>3629</v>
      </c>
      <c r="J892" s="1645" t="s">
        <v>38</v>
      </c>
      <c r="K892" s="1645">
        <v>0</v>
      </c>
      <c r="L892" s="1645" t="s">
        <v>5109</v>
      </c>
      <c r="M892" s="1645" t="s">
        <v>5114</v>
      </c>
      <c r="N892" s="1645"/>
      <c r="O892" s="1645" t="s">
        <v>1664</v>
      </c>
      <c r="P892" s="1649">
        <v>43435</v>
      </c>
      <c r="Q892" s="1645"/>
      <c r="R892" s="1647" t="s">
        <v>3789</v>
      </c>
      <c r="S892" s="1647" t="s">
        <v>5115</v>
      </c>
      <c r="T892" s="1644" t="s">
        <v>936</v>
      </c>
      <c r="U892" s="1644" t="s">
        <v>3631</v>
      </c>
      <c r="V892" s="1644"/>
      <c r="W892" s="1644" t="s">
        <v>936</v>
      </c>
      <c r="X892" s="1644" t="s">
        <v>3707</v>
      </c>
      <c r="Y892" s="1647">
        <v>37420</v>
      </c>
      <c r="Z892" s="1647">
        <v>37785</v>
      </c>
      <c r="AA892" s="1650">
        <f t="shared" ca="1" si="62"/>
        <v>13.916666666666666</v>
      </c>
      <c r="AB892" s="2444" t="s">
        <v>3629</v>
      </c>
      <c r="AC892" s="2445"/>
      <c r="AD892" s="2438"/>
    </row>
    <row r="893" spans="1:30" ht="15.75" hidden="1" customHeight="1">
      <c r="A893" s="1644">
        <f t="shared" si="48"/>
        <v>167</v>
      </c>
      <c r="B893" s="1645" t="s">
        <v>5116</v>
      </c>
      <c r="C893" s="1645" t="s">
        <v>5087</v>
      </c>
      <c r="D893" s="1648" t="s">
        <v>5109</v>
      </c>
      <c r="E893" s="1646" t="s">
        <v>2797</v>
      </c>
      <c r="F893" s="1645">
        <f t="shared" si="60"/>
        <v>1983</v>
      </c>
      <c r="G893" s="1647">
        <v>30635</v>
      </c>
      <c r="H893" s="1644" t="s">
        <v>3636</v>
      </c>
      <c r="I893" s="1648" t="s">
        <v>3629</v>
      </c>
      <c r="J893" s="1645" t="s">
        <v>38</v>
      </c>
      <c r="K893" s="1645">
        <v>0</v>
      </c>
      <c r="L893" s="1645" t="s">
        <v>5109</v>
      </c>
      <c r="M893" s="1645" t="s">
        <v>5117</v>
      </c>
      <c r="N893" s="1645"/>
      <c r="O893" s="1645" t="s">
        <v>1664</v>
      </c>
      <c r="P893" s="1649">
        <v>43556</v>
      </c>
      <c r="Q893" s="1645"/>
      <c r="R893" s="1647" t="s">
        <v>3789</v>
      </c>
      <c r="S893" s="1644" t="s">
        <v>3962</v>
      </c>
      <c r="T893" s="1644" t="s">
        <v>936</v>
      </c>
      <c r="U893" s="1644" t="s">
        <v>3631</v>
      </c>
      <c r="V893" s="1644"/>
      <c r="W893" s="1650" t="s">
        <v>3646</v>
      </c>
      <c r="X893" s="1644" t="s">
        <v>3707</v>
      </c>
      <c r="Y893" s="1647">
        <v>41544</v>
      </c>
      <c r="Z893" s="1647">
        <v>41909</v>
      </c>
      <c r="AA893" s="1650">
        <f t="shared" ca="1" si="62"/>
        <v>19.083333333333332</v>
      </c>
      <c r="AB893" s="2444" t="s">
        <v>3629</v>
      </c>
      <c r="AC893" s="2445"/>
      <c r="AD893" s="2438"/>
    </row>
    <row r="894" spans="1:30" ht="15.75" hidden="1" customHeight="1">
      <c r="A894" s="1644">
        <f t="shared" si="48"/>
        <v>167</v>
      </c>
      <c r="B894" s="1645" t="s">
        <v>5118</v>
      </c>
      <c r="C894" s="1645" t="s">
        <v>5087</v>
      </c>
      <c r="D894" s="1648" t="s">
        <v>5109</v>
      </c>
      <c r="E894" s="1644" t="s">
        <v>2798</v>
      </c>
      <c r="F894" s="1645">
        <f t="shared" si="60"/>
        <v>1988</v>
      </c>
      <c r="G894" s="1647">
        <v>32250</v>
      </c>
      <c r="H894" s="1644" t="s">
        <v>3636</v>
      </c>
      <c r="I894" s="1648" t="s">
        <v>3629</v>
      </c>
      <c r="J894" s="1645" t="s">
        <v>37</v>
      </c>
      <c r="K894" s="1645">
        <v>0</v>
      </c>
      <c r="L894" s="1645" t="s">
        <v>5109</v>
      </c>
      <c r="M894" s="1645" t="s">
        <v>5114</v>
      </c>
      <c r="N894" s="1645"/>
      <c r="O894" s="1645" t="s">
        <v>3645</v>
      </c>
      <c r="P894" s="1649"/>
      <c r="Q894" s="1645"/>
      <c r="R894" s="1647" t="s">
        <v>3842</v>
      </c>
      <c r="S894" s="1644"/>
      <c r="T894" s="1644" t="s">
        <v>936</v>
      </c>
      <c r="U894" s="1644"/>
      <c r="V894" s="1644"/>
      <c r="W894" s="1650" t="s">
        <v>3646</v>
      </c>
      <c r="X894" s="1644"/>
      <c r="Y894" s="1647">
        <v>41263</v>
      </c>
      <c r="Z894" s="1647">
        <v>41628</v>
      </c>
      <c r="AA894" s="1650">
        <f t="shared" ca="1" si="62"/>
        <v>18.5</v>
      </c>
      <c r="AB894" s="2444" t="s">
        <v>3629</v>
      </c>
      <c r="AC894" s="2445"/>
      <c r="AD894" s="2438"/>
    </row>
    <row r="895" spans="1:30" ht="15.75" hidden="1" customHeight="1">
      <c r="A895" s="1644">
        <f t="shared" si="48"/>
        <v>167</v>
      </c>
      <c r="B895" s="1645" t="s">
        <v>5119</v>
      </c>
      <c r="C895" s="1645" t="s">
        <v>5087</v>
      </c>
      <c r="D895" s="1648" t="s">
        <v>5109</v>
      </c>
      <c r="E895" s="1644" t="s">
        <v>2798</v>
      </c>
      <c r="F895" s="1645">
        <f t="shared" si="60"/>
        <v>1985</v>
      </c>
      <c r="G895" s="1647">
        <v>31264</v>
      </c>
      <c r="H895" s="1644" t="s">
        <v>3636</v>
      </c>
      <c r="I895" s="1648" t="s">
        <v>3629</v>
      </c>
      <c r="J895" s="1645" t="s">
        <v>37</v>
      </c>
      <c r="K895" s="1645">
        <v>0</v>
      </c>
      <c r="L895" s="1645" t="s">
        <v>3741</v>
      </c>
      <c r="M895" s="1645" t="s">
        <v>5120</v>
      </c>
      <c r="N895" s="1645"/>
      <c r="O895" s="1645" t="s">
        <v>3645</v>
      </c>
      <c r="P895" s="1649"/>
      <c r="Q895" s="1645"/>
      <c r="R895" s="1647" t="s">
        <v>3683</v>
      </c>
      <c r="S895" s="1644"/>
      <c r="T895" s="1644"/>
      <c r="U895" s="1644"/>
      <c r="V895" s="1644"/>
      <c r="W895" s="1644"/>
      <c r="X895" s="1644"/>
      <c r="Y895" s="1644"/>
      <c r="Z895" s="1647"/>
      <c r="AA895" s="1650">
        <f t="shared" ca="1" si="62"/>
        <v>15.833333333333334</v>
      </c>
      <c r="AB895" s="2444" t="s">
        <v>3629</v>
      </c>
      <c r="AC895" s="2445"/>
      <c r="AD895" s="2438"/>
    </row>
    <row r="896" spans="1:30" ht="15.75" hidden="1" customHeight="1">
      <c r="A896" s="1644">
        <f t="shared" si="48"/>
        <v>167</v>
      </c>
      <c r="B896" s="1645" t="s">
        <v>5121</v>
      </c>
      <c r="C896" s="1645" t="s">
        <v>5122</v>
      </c>
      <c r="D896" s="1645" t="s">
        <v>4087</v>
      </c>
      <c r="E896" s="1644" t="s">
        <v>2797</v>
      </c>
      <c r="F896" s="1645">
        <f t="shared" si="60"/>
        <v>1989</v>
      </c>
      <c r="G896" s="1647">
        <v>32607</v>
      </c>
      <c r="H896" s="1644" t="s">
        <v>3636</v>
      </c>
      <c r="I896" s="1648" t="s">
        <v>3629</v>
      </c>
      <c r="J896" s="1645" t="s">
        <v>38</v>
      </c>
      <c r="K896" s="1645">
        <v>0</v>
      </c>
      <c r="L896" s="1645" t="s">
        <v>3946</v>
      </c>
      <c r="M896" s="1645" t="s">
        <v>5123</v>
      </c>
      <c r="N896" s="1645"/>
      <c r="O896" s="1645" t="s">
        <v>5124</v>
      </c>
      <c r="P896" s="1649">
        <v>44608</v>
      </c>
      <c r="Q896" s="1645"/>
      <c r="R896" s="1647" t="s">
        <v>3914</v>
      </c>
      <c r="S896" s="1644"/>
      <c r="T896" s="1644" t="s">
        <v>936</v>
      </c>
      <c r="U896" s="1644"/>
      <c r="V896" s="1644"/>
      <c r="W896" s="1644">
        <v>0</v>
      </c>
      <c r="X896" s="1644"/>
      <c r="Y896" s="1647"/>
      <c r="Z896" s="1647"/>
      <c r="AA896" s="1650">
        <f t="shared" ca="1" si="62"/>
        <v>24.5</v>
      </c>
      <c r="AB896" s="2444" t="s">
        <v>3629</v>
      </c>
      <c r="AC896" s="2445"/>
      <c r="AD896" s="2438"/>
    </row>
    <row r="897" spans="1:30" ht="15.75" hidden="1" customHeight="1">
      <c r="A897" s="1644">
        <f t="shared" si="48"/>
        <v>167</v>
      </c>
      <c r="B897" s="1645" t="s">
        <v>5125</v>
      </c>
      <c r="C897" s="1645" t="s">
        <v>5122</v>
      </c>
      <c r="D897" s="1645" t="s">
        <v>4087</v>
      </c>
      <c r="E897" s="1646" t="s">
        <v>2798</v>
      </c>
      <c r="F897" s="1645">
        <f t="shared" si="60"/>
        <v>1971</v>
      </c>
      <c r="G897" s="1647">
        <v>25959</v>
      </c>
      <c r="H897" s="1644" t="s">
        <v>3642</v>
      </c>
      <c r="I897" s="1648" t="s">
        <v>3629</v>
      </c>
      <c r="J897" s="1645" t="s">
        <v>201</v>
      </c>
      <c r="K897" s="1645">
        <v>0</v>
      </c>
      <c r="L897" s="1645" t="s">
        <v>3996</v>
      </c>
      <c r="M897" s="1645">
        <v>0</v>
      </c>
      <c r="N897" s="1645"/>
      <c r="O897" s="1645" t="s">
        <v>3645</v>
      </c>
      <c r="P897" s="1649"/>
      <c r="Q897" s="1645"/>
      <c r="R897" s="1647" t="s">
        <v>4028</v>
      </c>
      <c r="S897" s="1644"/>
      <c r="T897" s="1644" t="s">
        <v>936</v>
      </c>
      <c r="U897" s="1644"/>
      <c r="V897" s="1644"/>
      <c r="W897" s="1650" t="s">
        <v>3653</v>
      </c>
      <c r="X897" s="1644"/>
      <c r="Y897" s="1647"/>
      <c r="Z897" s="1647"/>
      <c r="AA897" s="1650">
        <f t="shared" ca="1" si="62"/>
        <v>1.25</v>
      </c>
      <c r="AB897" s="2444" t="s">
        <v>3629</v>
      </c>
      <c r="AC897" s="2445"/>
      <c r="AD897" s="2438"/>
    </row>
    <row r="898" spans="1:30" ht="15.75" hidden="1" customHeight="1">
      <c r="A898" s="1644">
        <f t="shared" si="48"/>
        <v>167</v>
      </c>
      <c r="B898" s="1645" t="s">
        <v>5126</v>
      </c>
      <c r="C898" s="1645" t="s">
        <v>5122</v>
      </c>
      <c r="D898" s="1645" t="s">
        <v>4087</v>
      </c>
      <c r="E898" s="1644" t="s">
        <v>2797</v>
      </c>
      <c r="F898" s="1645">
        <f t="shared" si="60"/>
        <v>1963</v>
      </c>
      <c r="G898" s="1647">
        <v>23238</v>
      </c>
      <c r="H898" s="1644" t="s">
        <v>3636</v>
      </c>
      <c r="I898" s="1648" t="s">
        <v>3629</v>
      </c>
      <c r="J898" s="1645" t="s">
        <v>37</v>
      </c>
      <c r="K898" s="1645">
        <v>0</v>
      </c>
      <c r="L898" s="1645" t="s">
        <v>1733</v>
      </c>
      <c r="M898" s="1645" t="s">
        <v>5127</v>
      </c>
      <c r="N898" s="1645"/>
      <c r="O898" s="1645" t="s">
        <v>3645</v>
      </c>
      <c r="P898" s="1649"/>
      <c r="Q898" s="1645" t="s">
        <v>3693</v>
      </c>
      <c r="R898" s="1647" t="s">
        <v>3699</v>
      </c>
      <c r="S898" s="1644"/>
      <c r="T898" s="1644" t="s">
        <v>936</v>
      </c>
      <c r="U898" s="1644" t="s">
        <v>3711</v>
      </c>
      <c r="V898" s="1644"/>
      <c r="W898" s="1644">
        <v>0</v>
      </c>
      <c r="X898" s="1644"/>
      <c r="Y898" s="1647">
        <v>36763</v>
      </c>
      <c r="Z898" s="1647">
        <v>37128</v>
      </c>
      <c r="AA898" s="1650">
        <f t="shared" ca="1" si="62"/>
        <v>-1.1666666666666667</v>
      </c>
      <c r="AB898" s="2444" t="s">
        <v>3629</v>
      </c>
      <c r="AC898" s="2445"/>
      <c r="AD898" s="2438"/>
    </row>
    <row r="899" spans="1:30" ht="15.75" hidden="1" customHeight="1">
      <c r="A899" s="1644">
        <f t="shared" si="48"/>
        <v>167</v>
      </c>
      <c r="B899" s="1645" t="s">
        <v>5128</v>
      </c>
      <c r="C899" s="1645" t="s">
        <v>5122</v>
      </c>
      <c r="D899" s="1645" t="s">
        <v>4087</v>
      </c>
      <c r="E899" s="1644" t="s">
        <v>2797</v>
      </c>
      <c r="F899" s="1645">
        <f t="shared" si="60"/>
        <v>1979</v>
      </c>
      <c r="G899" s="1647">
        <v>29041</v>
      </c>
      <c r="H899" s="1644" t="s">
        <v>3628</v>
      </c>
      <c r="I899" s="1648" t="s">
        <v>3629</v>
      </c>
      <c r="J899" s="1645" t="s">
        <v>38</v>
      </c>
      <c r="K899" s="1645">
        <v>0</v>
      </c>
      <c r="L899" s="1645" t="s">
        <v>1733</v>
      </c>
      <c r="M899" s="1645" t="s">
        <v>1743</v>
      </c>
      <c r="N899" s="1645"/>
      <c r="O899" s="1645" t="s">
        <v>1743</v>
      </c>
      <c r="P899" s="1649"/>
      <c r="Q899" s="1645" t="s">
        <v>3693</v>
      </c>
      <c r="R899" s="1647" t="s">
        <v>5129</v>
      </c>
      <c r="S899" s="1644"/>
      <c r="T899" s="1644" t="s">
        <v>936</v>
      </c>
      <c r="U899" s="1644" t="s">
        <v>3631</v>
      </c>
      <c r="V899" s="1644"/>
      <c r="W899" s="1650" t="s">
        <v>3653</v>
      </c>
      <c r="X899" s="1644" t="s">
        <v>3633</v>
      </c>
      <c r="Y899" s="1647">
        <v>37057</v>
      </c>
      <c r="Z899" s="1647">
        <v>37422</v>
      </c>
      <c r="AA899" s="1650">
        <f t="shared" ca="1" si="62"/>
        <v>14.75</v>
      </c>
      <c r="AB899" s="2444" t="s">
        <v>3629</v>
      </c>
      <c r="AC899" s="2445"/>
      <c r="AD899" s="2438"/>
    </row>
    <row r="900" spans="1:30" ht="15.75" hidden="1" customHeight="1">
      <c r="A900" s="1644">
        <f t="shared" si="48"/>
        <v>167</v>
      </c>
      <c r="B900" s="1645" t="s">
        <v>5130</v>
      </c>
      <c r="C900" s="1645" t="s">
        <v>5122</v>
      </c>
      <c r="D900" s="1645" t="s">
        <v>4087</v>
      </c>
      <c r="E900" s="1646" t="s">
        <v>2797</v>
      </c>
      <c r="F900" s="1645">
        <f t="shared" si="60"/>
        <v>1985</v>
      </c>
      <c r="G900" s="1647">
        <v>31081</v>
      </c>
      <c r="H900" s="1644" t="s">
        <v>3636</v>
      </c>
      <c r="I900" s="1648" t="s">
        <v>3629</v>
      </c>
      <c r="J900" s="1645" t="s">
        <v>37</v>
      </c>
      <c r="K900" s="1645">
        <v>0</v>
      </c>
      <c r="L900" s="1645" t="s">
        <v>1733</v>
      </c>
      <c r="M900" s="1645" t="s">
        <v>5131</v>
      </c>
      <c r="N900" s="1645"/>
      <c r="O900" s="1645" t="s">
        <v>3645</v>
      </c>
      <c r="P900" s="1649"/>
      <c r="Q900" s="1645"/>
      <c r="R900" s="1647" t="s">
        <v>3727</v>
      </c>
      <c r="S900" s="1644" t="s">
        <v>3743</v>
      </c>
      <c r="T900" s="1644" t="s">
        <v>936</v>
      </c>
      <c r="U900" s="1644" t="s">
        <v>3711</v>
      </c>
      <c r="V900" s="1644"/>
      <c r="W900" s="1644">
        <v>0</v>
      </c>
      <c r="X900" s="1644"/>
      <c r="Y900" s="1647"/>
      <c r="Z900" s="1647" t="s">
        <v>936</v>
      </c>
      <c r="AA900" s="1650">
        <f t="shared" ca="1" si="62"/>
        <v>20.333333333333332</v>
      </c>
      <c r="AB900" s="2444" t="s">
        <v>3629</v>
      </c>
      <c r="AC900" s="2445"/>
      <c r="AD900" s="2438"/>
    </row>
    <row r="901" spans="1:30" ht="15.75" hidden="1" customHeight="1">
      <c r="A901" s="1644">
        <f t="shared" si="48"/>
        <v>167</v>
      </c>
      <c r="B901" s="1645" t="s">
        <v>5132</v>
      </c>
      <c r="C901" s="1645" t="s">
        <v>5122</v>
      </c>
      <c r="D901" s="1645" t="s">
        <v>4087</v>
      </c>
      <c r="E901" s="1644" t="s">
        <v>2797</v>
      </c>
      <c r="F901" s="1645">
        <f t="shared" si="60"/>
        <v>1979</v>
      </c>
      <c r="G901" s="1647">
        <v>28951</v>
      </c>
      <c r="H901" s="1644" t="s">
        <v>3636</v>
      </c>
      <c r="I901" s="1648" t="s">
        <v>3629</v>
      </c>
      <c r="J901" s="1645" t="s">
        <v>37</v>
      </c>
      <c r="K901" s="1645">
        <v>0</v>
      </c>
      <c r="L901" s="1645" t="s">
        <v>3946</v>
      </c>
      <c r="M901" s="1645" t="s">
        <v>5133</v>
      </c>
      <c r="N901" s="1645"/>
      <c r="O901" s="1645" t="s">
        <v>3645</v>
      </c>
      <c r="P901" s="1649"/>
      <c r="Q901" s="1645"/>
      <c r="R901" s="1647" t="s">
        <v>3683</v>
      </c>
      <c r="S901" s="1644"/>
      <c r="T901" s="1644">
        <v>0</v>
      </c>
      <c r="U901" s="1644"/>
      <c r="V901" s="1644"/>
      <c r="W901" s="1644">
        <v>0</v>
      </c>
      <c r="X901" s="1644"/>
      <c r="Y901" s="1647"/>
      <c r="Z901" s="1647"/>
      <c r="AA901" s="1650">
        <f t="shared" ca="1" si="62"/>
        <v>14.5</v>
      </c>
      <c r="AB901" s="2444" t="s">
        <v>3629</v>
      </c>
      <c r="AC901" s="2445"/>
      <c r="AD901" s="2438"/>
    </row>
    <row r="902" spans="1:30" ht="15.75" hidden="1" customHeight="1">
      <c r="A902" s="1644">
        <f t="shared" si="48"/>
        <v>167</v>
      </c>
      <c r="B902" s="1645" t="s">
        <v>5134</v>
      </c>
      <c r="C902" s="1645" t="s">
        <v>5122</v>
      </c>
      <c r="D902" s="1645" t="s">
        <v>4087</v>
      </c>
      <c r="E902" s="1646" t="s">
        <v>2797</v>
      </c>
      <c r="F902" s="1645">
        <f t="shared" si="60"/>
        <v>1990</v>
      </c>
      <c r="G902" s="1647">
        <v>33234</v>
      </c>
      <c r="H902" s="1644" t="s">
        <v>3636</v>
      </c>
      <c r="I902" s="1648" t="s">
        <v>3629</v>
      </c>
      <c r="J902" s="1645" t="s">
        <v>201</v>
      </c>
      <c r="K902" s="1645">
        <v>0</v>
      </c>
      <c r="L902" s="1645" t="s">
        <v>4396</v>
      </c>
      <c r="M902" s="1645">
        <v>0</v>
      </c>
      <c r="N902" s="1645"/>
      <c r="O902" s="1645">
        <v>0</v>
      </c>
      <c r="P902" s="1649"/>
      <c r="Q902" s="1645"/>
      <c r="R902" s="1644" t="s">
        <v>3710</v>
      </c>
      <c r="S902" s="1644" t="s">
        <v>3743</v>
      </c>
      <c r="T902" s="1644">
        <v>2018</v>
      </c>
      <c r="U902" s="1644"/>
      <c r="V902" s="1644"/>
      <c r="W902" s="1650" t="s">
        <v>3822</v>
      </c>
      <c r="X902" s="1644"/>
      <c r="Y902" s="1647">
        <v>43613</v>
      </c>
      <c r="Z902" s="1647">
        <v>43979</v>
      </c>
      <c r="AA902" s="1650">
        <f t="shared" ca="1" si="62"/>
        <v>26.166666666666668</v>
      </c>
      <c r="AB902" s="2444" t="s">
        <v>3629</v>
      </c>
      <c r="AC902" s="2445"/>
      <c r="AD902" s="2438"/>
    </row>
    <row r="903" spans="1:30" ht="15.75" hidden="1" customHeight="1">
      <c r="A903" s="1644">
        <f t="shared" si="48"/>
        <v>167</v>
      </c>
      <c r="B903" s="1645" t="s">
        <v>5135</v>
      </c>
      <c r="C903" s="1645" t="s">
        <v>5122</v>
      </c>
      <c r="D903" s="1645" t="s">
        <v>5136</v>
      </c>
      <c r="E903" s="1646" t="s">
        <v>2797</v>
      </c>
      <c r="F903" s="1645">
        <f t="shared" si="60"/>
        <v>1993</v>
      </c>
      <c r="G903" s="1647">
        <v>34312</v>
      </c>
      <c r="H903" s="1646" t="s">
        <v>3636</v>
      </c>
      <c r="I903" s="1648" t="s">
        <v>3629</v>
      </c>
      <c r="J903" s="1645" t="s">
        <v>37</v>
      </c>
      <c r="K903" s="1645"/>
      <c r="L903" s="1645" t="s">
        <v>5137</v>
      </c>
      <c r="M903" s="1645" t="s">
        <v>5137</v>
      </c>
      <c r="N903" s="1645"/>
      <c r="O903" s="1645"/>
      <c r="P903" s="1649"/>
      <c r="Q903" s="1645"/>
      <c r="R903" s="1644"/>
      <c r="S903" s="1644"/>
      <c r="T903" s="1644"/>
      <c r="U903" s="1644"/>
      <c r="V903" s="1644"/>
      <c r="W903" s="1644"/>
      <c r="X903" s="1644"/>
      <c r="Y903" s="1644"/>
      <c r="Z903" s="1647"/>
      <c r="AA903" s="1654">
        <f t="shared" ca="1" si="62"/>
        <v>29.166666666666668</v>
      </c>
      <c r="AB903" s="2444" t="s">
        <v>3629</v>
      </c>
      <c r="AC903" s="2445"/>
      <c r="AD903" s="2438"/>
    </row>
    <row r="904" spans="1:30" ht="15.75" hidden="1" customHeight="1">
      <c r="A904" s="1644">
        <f t="shared" si="48"/>
        <v>167</v>
      </c>
      <c r="B904" s="1645" t="s">
        <v>5138</v>
      </c>
      <c r="C904" s="1645" t="s">
        <v>5122</v>
      </c>
      <c r="D904" s="1645" t="s">
        <v>5137</v>
      </c>
      <c r="E904" s="1646" t="s">
        <v>2797</v>
      </c>
      <c r="F904" s="1645">
        <f t="shared" si="60"/>
        <v>1986</v>
      </c>
      <c r="G904" s="1647">
        <v>31756</v>
      </c>
      <c r="H904" s="1644" t="s">
        <v>3636</v>
      </c>
      <c r="I904" s="1648" t="s">
        <v>3629</v>
      </c>
      <c r="J904" s="1645" t="s">
        <v>37</v>
      </c>
      <c r="K904" s="1645">
        <v>0</v>
      </c>
      <c r="L904" s="1645" t="s">
        <v>5139</v>
      </c>
      <c r="M904" s="1645" t="s">
        <v>3946</v>
      </c>
      <c r="N904" s="1645"/>
      <c r="O904" s="1645" t="s">
        <v>3645</v>
      </c>
      <c r="P904" s="1649"/>
      <c r="Q904" s="1645"/>
      <c r="R904" s="1647" t="s">
        <v>3706</v>
      </c>
      <c r="S904" s="1644" t="s">
        <v>3743</v>
      </c>
      <c r="T904" s="1644">
        <v>2018</v>
      </c>
      <c r="U904" s="1644" t="s">
        <v>3711</v>
      </c>
      <c r="V904" s="1644"/>
      <c r="W904" s="1644">
        <v>0</v>
      </c>
      <c r="X904" s="1644"/>
      <c r="Y904" s="1647">
        <v>42328</v>
      </c>
      <c r="Z904" s="1647">
        <v>42694</v>
      </c>
      <c r="AA904" s="1650">
        <f t="shared" ca="1" si="62"/>
        <v>22.166666666666668</v>
      </c>
      <c r="AB904" s="2444" t="s">
        <v>3629</v>
      </c>
      <c r="AC904" s="2445"/>
      <c r="AD904" s="2438"/>
    </row>
    <row r="905" spans="1:30" ht="15.75" hidden="1" customHeight="1">
      <c r="A905" s="1644">
        <f t="shared" si="48"/>
        <v>167</v>
      </c>
      <c r="B905" s="1645" t="s">
        <v>5140</v>
      </c>
      <c r="C905" s="1645" t="s">
        <v>5122</v>
      </c>
      <c r="D905" s="1645" t="s">
        <v>5136</v>
      </c>
      <c r="E905" s="1646" t="s">
        <v>2797</v>
      </c>
      <c r="F905" s="1645">
        <f t="shared" si="60"/>
        <v>1995</v>
      </c>
      <c r="G905" s="1647">
        <v>34747</v>
      </c>
      <c r="H905" s="1646" t="s">
        <v>3636</v>
      </c>
      <c r="I905" s="1648" t="s">
        <v>3629</v>
      </c>
      <c r="J905" s="1645" t="s">
        <v>201</v>
      </c>
      <c r="K905" s="1645"/>
      <c r="L905" s="1645" t="s">
        <v>5137</v>
      </c>
      <c r="M905" s="1645"/>
      <c r="N905" s="1645"/>
      <c r="O905" s="1645"/>
      <c r="P905" s="1649"/>
      <c r="Q905" s="1645"/>
      <c r="R905" s="1644"/>
      <c r="S905" s="1644"/>
      <c r="T905" s="1644"/>
      <c r="U905" s="1644"/>
      <c r="V905" s="1644"/>
      <c r="W905" s="1644"/>
      <c r="X905" s="1644"/>
      <c r="Y905" s="1644"/>
      <c r="Z905" s="1647"/>
      <c r="AA905" s="1654">
        <f t="shared" ca="1" si="62"/>
        <v>30.333333333333332</v>
      </c>
      <c r="AB905" s="2444" t="s">
        <v>3629</v>
      </c>
      <c r="AC905" s="2445"/>
      <c r="AD905" s="2438"/>
    </row>
    <row r="906" spans="1:30" ht="15.75" hidden="1" customHeight="1">
      <c r="A906" s="1644">
        <f t="shared" si="48"/>
        <v>167</v>
      </c>
      <c r="B906" s="1645" t="s">
        <v>5141</v>
      </c>
      <c r="C906" s="1645" t="s">
        <v>5122</v>
      </c>
      <c r="D906" s="1645" t="s">
        <v>5137</v>
      </c>
      <c r="E906" s="1644" t="s">
        <v>2797</v>
      </c>
      <c r="F906" s="1645">
        <f t="shared" si="60"/>
        <v>1978</v>
      </c>
      <c r="G906" s="1647">
        <v>28520</v>
      </c>
      <c r="H906" s="1644" t="s">
        <v>3636</v>
      </c>
      <c r="I906" s="1648" t="s">
        <v>3629</v>
      </c>
      <c r="J906" s="1645" t="s">
        <v>37</v>
      </c>
      <c r="K906" s="1645">
        <v>0</v>
      </c>
      <c r="L906" s="1645" t="s">
        <v>3946</v>
      </c>
      <c r="M906" s="1645" t="s">
        <v>5133</v>
      </c>
      <c r="N906" s="1645"/>
      <c r="O906" s="1645" t="s">
        <v>3645</v>
      </c>
      <c r="P906" s="1649"/>
      <c r="Q906" s="1645"/>
      <c r="R906" s="1647" t="s">
        <v>3699</v>
      </c>
      <c r="S906" s="1644"/>
      <c r="T906" s="1644" t="s">
        <v>936</v>
      </c>
      <c r="U906" s="1644" t="s">
        <v>3711</v>
      </c>
      <c r="V906" s="1644"/>
      <c r="W906" s="1644" t="s">
        <v>3939</v>
      </c>
      <c r="X906" s="1644"/>
      <c r="Y906" s="1647">
        <v>41263</v>
      </c>
      <c r="Z906" s="1647">
        <v>41628</v>
      </c>
      <c r="AA906" s="1650">
        <f t="shared" ca="1" si="62"/>
        <v>13.25</v>
      </c>
      <c r="AB906" s="2444" t="s">
        <v>3629</v>
      </c>
      <c r="AC906" s="2445"/>
      <c r="AD906" s="2438"/>
    </row>
    <row r="907" spans="1:30" ht="15.75" hidden="1" customHeight="1">
      <c r="A907" s="1644">
        <f t="shared" si="48"/>
        <v>167</v>
      </c>
      <c r="B907" s="1645" t="s">
        <v>5142</v>
      </c>
      <c r="C907" s="1645" t="s">
        <v>5122</v>
      </c>
      <c r="D907" s="1645" t="s">
        <v>5136</v>
      </c>
      <c r="E907" s="1646" t="s">
        <v>2797</v>
      </c>
      <c r="F907" s="1645">
        <f t="shared" si="60"/>
        <v>1995</v>
      </c>
      <c r="G907" s="1647">
        <v>34900</v>
      </c>
      <c r="H907" s="1646" t="s">
        <v>3636</v>
      </c>
      <c r="I907" s="1648" t="s">
        <v>3629</v>
      </c>
      <c r="J907" s="1645" t="s">
        <v>201</v>
      </c>
      <c r="K907" s="1645"/>
      <c r="L907" s="1651" t="s">
        <v>5143</v>
      </c>
      <c r="M907" s="1645"/>
      <c r="N907" s="1645"/>
      <c r="O907" s="1645"/>
      <c r="P907" s="1649"/>
      <c r="Q907" s="1645"/>
      <c r="R907" s="1644"/>
      <c r="S907" s="1644"/>
      <c r="T907" s="1644"/>
      <c r="U907" s="1644"/>
      <c r="V907" s="1644"/>
      <c r="W907" s="1644"/>
      <c r="X907" s="1644"/>
      <c r="Y907" s="1644"/>
      <c r="Z907" s="1647"/>
      <c r="AA907" s="1654">
        <f t="shared" ca="1" si="62"/>
        <v>30.75</v>
      </c>
      <c r="AB907" s="2444" t="s">
        <v>3629</v>
      </c>
      <c r="AC907" s="2445"/>
      <c r="AD907" s="2438"/>
    </row>
    <row r="908" spans="1:30" ht="15.75" hidden="1" customHeight="1">
      <c r="A908" s="1644">
        <f t="shared" si="48"/>
        <v>167</v>
      </c>
      <c r="B908" s="1645" t="s">
        <v>5144</v>
      </c>
      <c r="C908" s="1645" t="s">
        <v>5122</v>
      </c>
      <c r="D908" s="1645" t="s">
        <v>5136</v>
      </c>
      <c r="E908" s="1644" t="s">
        <v>2797</v>
      </c>
      <c r="F908" s="1645">
        <f t="shared" si="60"/>
        <v>1980</v>
      </c>
      <c r="G908" s="1647">
        <v>29317</v>
      </c>
      <c r="H908" s="1644" t="s">
        <v>3628</v>
      </c>
      <c r="I908" s="1648" t="s">
        <v>3629</v>
      </c>
      <c r="J908" s="1645" t="s">
        <v>38</v>
      </c>
      <c r="K908" s="1645">
        <v>0</v>
      </c>
      <c r="L908" s="1645" t="s">
        <v>1733</v>
      </c>
      <c r="M908" s="1645" t="s">
        <v>1743</v>
      </c>
      <c r="N908" s="1645"/>
      <c r="O908" s="1645" t="s">
        <v>1743</v>
      </c>
      <c r="P908" s="1649"/>
      <c r="Q908" s="1645" t="s">
        <v>3693</v>
      </c>
      <c r="R908" s="1647" t="s">
        <v>5145</v>
      </c>
      <c r="S908" s="1644"/>
      <c r="T908" s="1644" t="s">
        <v>936</v>
      </c>
      <c r="U908" s="1644" t="s">
        <v>3631</v>
      </c>
      <c r="V908" s="1644"/>
      <c r="W908" s="1644" t="s">
        <v>936</v>
      </c>
      <c r="X908" s="1644" t="s">
        <v>3633</v>
      </c>
      <c r="Y908" s="1647">
        <v>37420</v>
      </c>
      <c r="Z908" s="1647">
        <v>37785</v>
      </c>
      <c r="AA908" s="1650">
        <f t="shared" ca="1" si="62"/>
        <v>15.5</v>
      </c>
      <c r="AB908" s="2444" t="s">
        <v>3629</v>
      </c>
      <c r="AC908" s="2445"/>
      <c r="AD908" s="2438"/>
    </row>
    <row r="909" spans="1:30" ht="15.75" hidden="1" customHeight="1">
      <c r="A909" s="1644">
        <f t="shared" si="48"/>
        <v>167</v>
      </c>
      <c r="B909" s="1645" t="s">
        <v>5146</v>
      </c>
      <c r="C909" s="1645" t="s">
        <v>5122</v>
      </c>
      <c r="D909" s="1645" t="s">
        <v>5147</v>
      </c>
      <c r="E909" s="1644" t="s">
        <v>2797</v>
      </c>
      <c r="F909" s="1645">
        <f t="shared" si="60"/>
        <v>1980</v>
      </c>
      <c r="G909" s="1647">
        <v>29572</v>
      </c>
      <c r="H909" s="1644" t="s">
        <v>3636</v>
      </c>
      <c r="I909" s="1648" t="s">
        <v>3629</v>
      </c>
      <c r="J909" s="1645" t="s">
        <v>38</v>
      </c>
      <c r="K909" s="1645">
        <v>0</v>
      </c>
      <c r="L909" s="1645" t="s">
        <v>3946</v>
      </c>
      <c r="M909" s="1645" t="s">
        <v>5133</v>
      </c>
      <c r="N909" s="1645"/>
      <c r="O909" s="1645" t="s">
        <v>3645</v>
      </c>
      <c r="P909" s="1649"/>
      <c r="Q909" s="1645"/>
      <c r="R909" s="1647" t="s">
        <v>3999</v>
      </c>
      <c r="S909" s="1644"/>
      <c r="T909" s="1644">
        <v>0</v>
      </c>
      <c r="U909" s="1644" t="s">
        <v>3711</v>
      </c>
      <c r="V909" s="1644"/>
      <c r="W909" s="1644">
        <v>0</v>
      </c>
      <c r="X909" s="1644" t="s">
        <v>3707</v>
      </c>
      <c r="Y909" s="1647">
        <v>39438</v>
      </c>
      <c r="Z909" s="1647">
        <v>39804</v>
      </c>
      <c r="AA909" s="1650">
        <f t="shared" ca="1" si="62"/>
        <v>16.166666666666668</v>
      </c>
      <c r="AB909" s="2444" t="s">
        <v>3629</v>
      </c>
      <c r="AC909" s="2445"/>
      <c r="AD909" s="2438"/>
    </row>
    <row r="910" spans="1:30" ht="15.75" hidden="1" customHeight="1">
      <c r="A910" s="1644">
        <f t="shared" si="48"/>
        <v>167</v>
      </c>
      <c r="B910" s="1645" t="s">
        <v>5148</v>
      </c>
      <c r="C910" s="1645" t="s">
        <v>5122</v>
      </c>
      <c r="D910" s="1645" t="s">
        <v>5147</v>
      </c>
      <c r="E910" s="1646" t="s">
        <v>2797</v>
      </c>
      <c r="F910" s="1645">
        <f t="shared" si="60"/>
        <v>1981</v>
      </c>
      <c r="G910" s="1647">
        <v>29946</v>
      </c>
      <c r="H910" s="1644" t="s">
        <v>3628</v>
      </c>
      <c r="I910" s="1648" t="s">
        <v>3629</v>
      </c>
      <c r="J910" s="1645" t="s">
        <v>38</v>
      </c>
      <c r="K910" s="1645">
        <v>0</v>
      </c>
      <c r="L910" s="1645" t="s">
        <v>3946</v>
      </c>
      <c r="M910" s="1645" t="s">
        <v>5133</v>
      </c>
      <c r="N910" s="1645"/>
      <c r="O910" s="1645" t="s">
        <v>1733</v>
      </c>
      <c r="P910" s="1649"/>
      <c r="Q910" s="1645"/>
      <c r="R910" s="1647" t="s">
        <v>3710</v>
      </c>
      <c r="S910" s="1644"/>
      <c r="T910" s="1644">
        <v>0</v>
      </c>
      <c r="U910" s="1644" t="s">
        <v>3631</v>
      </c>
      <c r="V910" s="1644"/>
      <c r="W910" s="1644">
        <v>0</v>
      </c>
      <c r="X910" s="1644" t="s">
        <v>3981</v>
      </c>
      <c r="Y910" s="1647">
        <v>42720</v>
      </c>
      <c r="Z910" s="1647">
        <v>43085</v>
      </c>
      <c r="AA910" s="1650">
        <f t="shared" ca="1" si="62"/>
        <v>17.166666666666668</v>
      </c>
      <c r="AB910" s="2444" t="s">
        <v>3629</v>
      </c>
      <c r="AC910" s="2445"/>
      <c r="AD910" s="2438"/>
    </row>
    <row r="911" spans="1:30" ht="15.75" hidden="1" customHeight="1">
      <c r="A911" s="1644">
        <f t="shared" si="48"/>
        <v>167</v>
      </c>
      <c r="B911" s="1645" t="s">
        <v>5149</v>
      </c>
      <c r="C911" s="1645" t="s">
        <v>5122</v>
      </c>
      <c r="D911" s="1645" t="s">
        <v>5147</v>
      </c>
      <c r="E911" s="1646" t="s">
        <v>2797</v>
      </c>
      <c r="F911" s="1645">
        <f t="shared" si="60"/>
        <v>1978</v>
      </c>
      <c r="G911" s="1647">
        <v>28722</v>
      </c>
      <c r="H911" s="1644" t="s">
        <v>3636</v>
      </c>
      <c r="I911" s="1648" t="s">
        <v>3629</v>
      </c>
      <c r="J911" s="1645" t="s">
        <v>38</v>
      </c>
      <c r="K911" s="1645">
        <v>0</v>
      </c>
      <c r="L911" s="1645" t="s">
        <v>3946</v>
      </c>
      <c r="M911" s="1645" t="s">
        <v>5133</v>
      </c>
      <c r="N911" s="1645"/>
      <c r="O911" s="1645" t="s">
        <v>3794</v>
      </c>
      <c r="P911" s="1649"/>
      <c r="Q911" s="1645"/>
      <c r="R911" s="1647" t="s">
        <v>3702</v>
      </c>
      <c r="S911" s="1644" t="s">
        <v>4801</v>
      </c>
      <c r="T911" s="1644" t="s">
        <v>936</v>
      </c>
      <c r="U911" s="1644" t="s">
        <v>3711</v>
      </c>
      <c r="V911" s="1644"/>
      <c r="W911" s="1644">
        <v>0</v>
      </c>
      <c r="X911" s="1644" t="s">
        <v>3707</v>
      </c>
      <c r="Y911" s="1647">
        <v>39143</v>
      </c>
      <c r="Z911" s="1647">
        <v>39509</v>
      </c>
      <c r="AA911" s="1650">
        <f t="shared" ca="1" si="62"/>
        <v>13.833333333333334</v>
      </c>
      <c r="AB911" s="2444" t="s">
        <v>3629</v>
      </c>
      <c r="AC911" s="2445"/>
      <c r="AD911" s="2438"/>
    </row>
    <row r="912" spans="1:30" ht="15.75" hidden="1" customHeight="1">
      <c r="A912" s="1644">
        <f t="shared" si="48"/>
        <v>167</v>
      </c>
      <c r="B912" s="1645" t="s">
        <v>5150</v>
      </c>
      <c r="C912" s="1645" t="s">
        <v>5122</v>
      </c>
      <c r="D912" s="1645" t="s">
        <v>5147</v>
      </c>
      <c r="E912" s="1644" t="s">
        <v>2798</v>
      </c>
      <c r="F912" s="1645">
        <f t="shared" si="60"/>
        <v>1980</v>
      </c>
      <c r="G912" s="1647">
        <v>29287</v>
      </c>
      <c r="H912" s="1644" t="s">
        <v>3636</v>
      </c>
      <c r="I912" s="1648" t="s">
        <v>3629</v>
      </c>
      <c r="J912" s="1645" t="s">
        <v>37</v>
      </c>
      <c r="K912" s="1645">
        <v>0</v>
      </c>
      <c r="L912" s="1645" t="s">
        <v>3954</v>
      </c>
      <c r="M912" s="1645" t="s">
        <v>5133</v>
      </c>
      <c r="N912" s="1645"/>
      <c r="O912" s="1645" t="s">
        <v>3645</v>
      </c>
      <c r="P912" s="1649"/>
      <c r="Q912" s="1645"/>
      <c r="R912" s="1644" t="s">
        <v>3699</v>
      </c>
      <c r="S912" s="1644"/>
      <c r="T912" s="1644" t="s">
        <v>936</v>
      </c>
      <c r="U912" s="1644"/>
      <c r="V912" s="1644"/>
      <c r="W912" s="1644" t="s">
        <v>3679</v>
      </c>
      <c r="X912" s="1644"/>
      <c r="Y912" s="1647"/>
      <c r="Z912" s="1647" t="s">
        <v>936</v>
      </c>
      <c r="AA912" s="1650">
        <f t="shared" ca="1" si="62"/>
        <v>10.416666666666666</v>
      </c>
      <c r="AB912" s="2444" t="s">
        <v>3629</v>
      </c>
      <c r="AC912" s="2445"/>
      <c r="AD912" s="2438"/>
    </row>
    <row r="913" spans="1:30" ht="15.75" hidden="1" customHeight="1">
      <c r="A913" s="1644">
        <f t="shared" si="48"/>
        <v>167</v>
      </c>
      <c r="B913" s="1645" t="s">
        <v>5151</v>
      </c>
      <c r="C913" s="1645" t="s">
        <v>5122</v>
      </c>
      <c r="D913" s="1645" t="s">
        <v>5147</v>
      </c>
      <c r="E913" s="1646" t="s">
        <v>2798</v>
      </c>
      <c r="F913" s="1645">
        <f t="shared" si="60"/>
        <v>1981</v>
      </c>
      <c r="G913" s="1647">
        <v>29662</v>
      </c>
      <c r="H913" s="1644" t="s">
        <v>3636</v>
      </c>
      <c r="I913" s="1648" t="s">
        <v>3629</v>
      </c>
      <c r="J913" s="1645" t="s">
        <v>37</v>
      </c>
      <c r="K913" s="1645">
        <v>0</v>
      </c>
      <c r="L913" s="1645" t="s">
        <v>4021</v>
      </c>
      <c r="M913" s="1645" t="s">
        <v>5133</v>
      </c>
      <c r="N913" s="1645"/>
      <c r="O913" s="1645" t="s">
        <v>3645</v>
      </c>
      <c r="P913" s="1649"/>
      <c r="Q913" s="1645"/>
      <c r="R913" s="1647" t="s">
        <v>3683</v>
      </c>
      <c r="S913" s="1644"/>
      <c r="T913" s="1644">
        <v>0</v>
      </c>
      <c r="U913" s="1644" t="s">
        <v>3631</v>
      </c>
      <c r="V913" s="1644"/>
      <c r="W913" s="1644">
        <v>0</v>
      </c>
      <c r="X913" s="1644"/>
      <c r="Y913" s="1647">
        <v>41565</v>
      </c>
      <c r="Z913" s="1647">
        <v>41930</v>
      </c>
      <c r="AA913" s="1650">
        <f t="shared" ca="1" si="62"/>
        <v>11.416666666666666</v>
      </c>
      <c r="AB913" s="2444" t="s">
        <v>3629</v>
      </c>
      <c r="AC913" s="2445"/>
      <c r="AD913" s="2438"/>
    </row>
    <row r="914" spans="1:30" ht="15.75" hidden="1" customHeight="1">
      <c r="A914" s="1644">
        <f t="shared" si="48"/>
        <v>167</v>
      </c>
      <c r="B914" s="1645" t="s">
        <v>5152</v>
      </c>
      <c r="C914" s="1645" t="s">
        <v>5122</v>
      </c>
      <c r="D914" s="1645" t="s">
        <v>5147</v>
      </c>
      <c r="E914" s="1646" t="s">
        <v>2798</v>
      </c>
      <c r="F914" s="1645">
        <f t="shared" si="60"/>
        <v>1979</v>
      </c>
      <c r="G914" s="1647">
        <v>28990</v>
      </c>
      <c r="H914" s="1644" t="s">
        <v>3797</v>
      </c>
      <c r="I914" s="1648" t="s">
        <v>3629</v>
      </c>
      <c r="J914" s="1645" t="s">
        <v>38</v>
      </c>
      <c r="K914" s="1645" t="s">
        <v>3798</v>
      </c>
      <c r="L914" s="1645" t="s">
        <v>3946</v>
      </c>
      <c r="M914" s="1645" t="s">
        <v>3956</v>
      </c>
      <c r="N914" s="1645"/>
      <c r="O914" s="1645" t="s">
        <v>5153</v>
      </c>
      <c r="P914" s="1649"/>
      <c r="Q914" s="1645"/>
      <c r="R914" s="1644" t="s">
        <v>4517</v>
      </c>
      <c r="S914" s="1644"/>
      <c r="T914" s="1644" t="s">
        <v>936</v>
      </c>
      <c r="U914" s="1644" t="s">
        <v>3802</v>
      </c>
      <c r="V914" s="1644"/>
      <c r="W914" s="1644">
        <v>0</v>
      </c>
      <c r="X914" s="1644" t="s">
        <v>4481</v>
      </c>
      <c r="Y914" s="1647">
        <v>41263</v>
      </c>
      <c r="Z914" s="1647">
        <v>41628</v>
      </c>
      <c r="AA914" s="1650">
        <f t="shared" ca="1" si="62"/>
        <v>9.5833333333333339</v>
      </c>
      <c r="AB914" s="2444" t="s">
        <v>3629</v>
      </c>
      <c r="AC914" s="2445"/>
      <c r="AD914" s="2438"/>
    </row>
    <row r="915" spans="1:30" ht="15.75" hidden="1" customHeight="1">
      <c r="A915" s="1644">
        <f t="shared" si="48"/>
        <v>167</v>
      </c>
      <c r="B915" s="1645" t="s">
        <v>5154</v>
      </c>
      <c r="C915" s="1645" t="s">
        <v>5122</v>
      </c>
      <c r="D915" s="1645" t="s">
        <v>5147</v>
      </c>
      <c r="E915" s="1646" t="s">
        <v>2797</v>
      </c>
      <c r="F915" s="1645">
        <f t="shared" si="60"/>
        <v>1988</v>
      </c>
      <c r="G915" s="1647">
        <v>32276</v>
      </c>
      <c r="H915" s="1644" t="s">
        <v>3636</v>
      </c>
      <c r="I915" s="1648" t="s">
        <v>3629</v>
      </c>
      <c r="J915" s="1645" t="s">
        <v>38</v>
      </c>
      <c r="K915" s="1645">
        <v>0</v>
      </c>
      <c r="L915" s="1645" t="s">
        <v>3946</v>
      </c>
      <c r="M915" s="1645" t="s">
        <v>5155</v>
      </c>
      <c r="N915" s="1645"/>
      <c r="O915" s="1645" t="s">
        <v>3645</v>
      </c>
      <c r="P915" s="1649"/>
      <c r="Q915" s="1645"/>
      <c r="R915" s="1647" t="s">
        <v>3639</v>
      </c>
      <c r="S915" s="1644"/>
      <c r="T915" s="1644" t="s">
        <v>936</v>
      </c>
      <c r="U915" s="1644"/>
      <c r="V915" s="1644"/>
      <c r="W915" s="1644" t="s">
        <v>3968</v>
      </c>
      <c r="X915" s="1644"/>
      <c r="Y915" s="1647"/>
      <c r="Z915" s="1647"/>
      <c r="AA915" s="1650">
        <f t="shared" ca="1" si="62"/>
        <v>23.583333333333332</v>
      </c>
      <c r="AB915" s="2444" t="s">
        <v>3629</v>
      </c>
      <c r="AC915" s="2445"/>
      <c r="AD915" s="2438"/>
    </row>
    <row r="916" spans="1:30" ht="15.75" hidden="1" customHeight="1">
      <c r="A916" s="1644">
        <f t="shared" si="48"/>
        <v>167</v>
      </c>
      <c r="B916" s="1645" t="s">
        <v>5156</v>
      </c>
      <c r="C916" s="1645" t="s">
        <v>5122</v>
      </c>
      <c r="D916" s="1645" t="s">
        <v>4285</v>
      </c>
      <c r="E916" s="1644" t="s">
        <v>2797</v>
      </c>
      <c r="F916" s="1645">
        <f t="shared" si="60"/>
        <v>1986</v>
      </c>
      <c r="G916" s="1647">
        <v>31603</v>
      </c>
      <c r="H916" s="1644" t="s">
        <v>3636</v>
      </c>
      <c r="I916" s="1648" t="s">
        <v>3629</v>
      </c>
      <c r="J916" s="1645" t="s">
        <v>38</v>
      </c>
      <c r="K916" s="1645">
        <v>0</v>
      </c>
      <c r="L916" s="1645" t="s">
        <v>3946</v>
      </c>
      <c r="M916" s="1645" t="s">
        <v>5157</v>
      </c>
      <c r="N916" s="1645"/>
      <c r="O916" s="1645" t="s">
        <v>5158</v>
      </c>
      <c r="P916" s="1649"/>
      <c r="Q916" s="1645"/>
      <c r="R916" s="1647" t="s">
        <v>3639</v>
      </c>
      <c r="S916" s="1644"/>
      <c r="T916" s="1644">
        <v>0</v>
      </c>
      <c r="U916" s="1644" t="s">
        <v>3711</v>
      </c>
      <c r="V916" s="1644"/>
      <c r="W916" s="1644">
        <v>0</v>
      </c>
      <c r="X916" s="1644" t="s">
        <v>3707</v>
      </c>
      <c r="Y916" s="1647">
        <v>39828</v>
      </c>
      <c r="Z916" s="1647">
        <v>40193</v>
      </c>
      <c r="AA916" s="1650">
        <f t="shared" ca="1" si="62"/>
        <v>21.75</v>
      </c>
      <c r="AB916" s="2444" t="s">
        <v>3629</v>
      </c>
      <c r="AC916" s="2445"/>
      <c r="AD916" s="2438"/>
    </row>
    <row r="917" spans="1:30" ht="15.75" hidden="1" customHeight="1">
      <c r="A917" s="1644">
        <f t="shared" si="48"/>
        <v>167</v>
      </c>
      <c r="B917" s="1645" t="s">
        <v>5159</v>
      </c>
      <c r="C917" s="1645" t="s">
        <v>5122</v>
      </c>
      <c r="D917" s="1645" t="s">
        <v>4285</v>
      </c>
      <c r="E917" s="1644" t="s">
        <v>2797</v>
      </c>
      <c r="F917" s="1645">
        <f t="shared" si="60"/>
        <v>1980</v>
      </c>
      <c r="G917" s="1647">
        <v>29377</v>
      </c>
      <c r="H917" s="1644" t="s">
        <v>3636</v>
      </c>
      <c r="I917" s="1648" t="s">
        <v>3629</v>
      </c>
      <c r="J917" s="1645" t="s">
        <v>37</v>
      </c>
      <c r="K917" s="1645">
        <v>0</v>
      </c>
      <c r="L917" s="1645" t="s">
        <v>3946</v>
      </c>
      <c r="M917" s="1645" t="s">
        <v>5133</v>
      </c>
      <c r="N917" s="1645"/>
      <c r="O917" s="1645" t="s">
        <v>3645</v>
      </c>
      <c r="P917" s="1649"/>
      <c r="Q917" s="1645"/>
      <c r="R917" s="1644"/>
      <c r="S917" s="1644"/>
      <c r="T917" s="1644" t="s">
        <v>936</v>
      </c>
      <c r="U917" s="1644"/>
      <c r="V917" s="1644"/>
      <c r="W917" s="1644" t="s">
        <v>3679</v>
      </c>
      <c r="X917" s="1644"/>
      <c r="Y917" s="1647"/>
      <c r="Z917" s="1647"/>
      <c r="AA917" s="1650">
        <f t="shared" ca="1" si="62"/>
        <v>15.666666666666666</v>
      </c>
      <c r="AB917" s="2444" t="s">
        <v>3629</v>
      </c>
      <c r="AC917" s="2445"/>
      <c r="AD917" s="2438"/>
    </row>
    <row r="918" spans="1:30" ht="15.75" hidden="1" customHeight="1">
      <c r="A918" s="1644">
        <f t="shared" si="48"/>
        <v>167</v>
      </c>
      <c r="B918" s="1645" t="s">
        <v>5160</v>
      </c>
      <c r="C918" s="1645" t="s">
        <v>5122</v>
      </c>
      <c r="D918" s="1645" t="s">
        <v>5161</v>
      </c>
      <c r="E918" s="1644" t="s">
        <v>2797</v>
      </c>
      <c r="F918" s="1645">
        <f t="shared" si="60"/>
        <v>1973</v>
      </c>
      <c r="G918" s="1647">
        <v>26970</v>
      </c>
      <c r="H918" s="1644" t="s">
        <v>3628</v>
      </c>
      <c r="I918" s="1648" t="s">
        <v>3629</v>
      </c>
      <c r="J918" s="1645" t="s">
        <v>38</v>
      </c>
      <c r="K918" s="1645">
        <v>0</v>
      </c>
      <c r="L918" s="1645" t="s">
        <v>4082</v>
      </c>
      <c r="M918" s="1645" t="s">
        <v>3794</v>
      </c>
      <c r="N918" s="1645"/>
      <c r="O918" s="1645" t="s">
        <v>3996</v>
      </c>
      <c r="P918" s="1649"/>
      <c r="Q918" s="1645" t="s">
        <v>3693</v>
      </c>
      <c r="R918" s="1644" t="s">
        <v>3904</v>
      </c>
      <c r="S918" s="1644" t="s">
        <v>3795</v>
      </c>
      <c r="T918" s="1644" t="s">
        <v>936</v>
      </c>
      <c r="U918" s="1644" t="s">
        <v>3631</v>
      </c>
      <c r="V918" s="1644"/>
      <c r="W918" s="1650" t="s">
        <v>3646</v>
      </c>
      <c r="X918" s="1644"/>
      <c r="Y918" s="1647">
        <v>38300</v>
      </c>
      <c r="Z918" s="1647">
        <v>38665</v>
      </c>
      <c r="AA918" s="1650">
        <f t="shared" ca="1" si="62"/>
        <v>9</v>
      </c>
      <c r="AB918" s="2444" t="s">
        <v>3629</v>
      </c>
      <c r="AC918" s="2445"/>
      <c r="AD918" s="2438"/>
    </row>
    <row r="919" spans="1:30" ht="15.75" hidden="1" customHeight="1">
      <c r="A919" s="1644">
        <f t="shared" si="48"/>
        <v>167</v>
      </c>
      <c r="B919" s="1645" t="s">
        <v>5162</v>
      </c>
      <c r="C919" s="1645" t="s">
        <v>5122</v>
      </c>
      <c r="D919" s="1645" t="s">
        <v>5161</v>
      </c>
      <c r="E919" s="1644" t="s">
        <v>2798</v>
      </c>
      <c r="F919" s="1645">
        <f t="shared" si="60"/>
        <v>1976</v>
      </c>
      <c r="G919" s="1647">
        <v>27840</v>
      </c>
      <c r="H919" s="1644" t="s">
        <v>3642</v>
      </c>
      <c r="I919" s="1648" t="s">
        <v>3629</v>
      </c>
      <c r="J919" s="1645" t="s">
        <v>37</v>
      </c>
      <c r="K919" s="1645">
        <v>0</v>
      </c>
      <c r="L919" s="1645" t="s">
        <v>3741</v>
      </c>
      <c r="M919" s="1645" t="s">
        <v>506</v>
      </c>
      <c r="N919" s="1645"/>
      <c r="O919" s="1645" t="s">
        <v>3645</v>
      </c>
      <c r="P919" s="1649"/>
      <c r="Q919" s="1645"/>
      <c r="R919" s="1644"/>
      <c r="S919" s="1644"/>
      <c r="T919" s="1644"/>
      <c r="U919" s="1644"/>
      <c r="V919" s="1644" t="s">
        <v>3980</v>
      </c>
      <c r="W919" s="1650" t="s">
        <v>3653</v>
      </c>
      <c r="X919" s="1644"/>
      <c r="Y919" s="1647">
        <v>41697</v>
      </c>
      <c r="Z919" s="1647">
        <v>42062</v>
      </c>
      <c r="AA919" s="1650">
        <f t="shared" ca="1" si="62"/>
        <v>6.416666666666667</v>
      </c>
      <c r="AB919" s="2444" t="s">
        <v>3629</v>
      </c>
      <c r="AC919" s="2445"/>
      <c r="AD919" s="2438"/>
    </row>
    <row r="920" spans="1:30" ht="15.75" hidden="1" customHeight="1">
      <c r="A920" s="1644">
        <f t="shared" si="48"/>
        <v>167</v>
      </c>
      <c r="B920" s="1645" t="s">
        <v>5163</v>
      </c>
      <c r="C920" s="1645" t="s">
        <v>5122</v>
      </c>
      <c r="D920" s="1645" t="s">
        <v>5161</v>
      </c>
      <c r="E920" s="1644" t="s">
        <v>2797</v>
      </c>
      <c r="F920" s="1645">
        <f t="shared" si="60"/>
        <v>1971</v>
      </c>
      <c r="G920" s="1647">
        <v>26226</v>
      </c>
      <c r="H920" s="1644" t="s">
        <v>3628</v>
      </c>
      <c r="I920" s="1648" t="s">
        <v>3629</v>
      </c>
      <c r="J920" s="1645" t="s">
        <v>38</v>
      </c>
      <c r="K920" s="1645">
        <v>0</v>
      </c>
      <c r="L920" s="1645" t="s">
        <v>3794</v>
      </c>
      <c r="M920" s="1645" t="s">
        <v>5164</v>
      </c>
      <c r="N920" s="1645"/>
      <c r="O920" s="1645" t="s">
        <v>5165</v>
      </c>
      <c r="P920" s="1649"/>
      <c r="Q920" s="1645" t="s">
        <v>3693</v>
      </c>
      <c r="R920" s="1647" t="s">
        <v>3702</v>
      </c>
      <c r="S920" s="1644" t="s">
        <v>3795</v>
      </c>
      <c r="T920" s="1644" t="s">
        <v>936</v>
      </c>
      <c r="U920" s="1644" t="s">
        <v>3697</v>
      </c>
      <c r="V920" s="1644"/>
      <c r="W920" s="1650" t="s">
        <v>3653</v>
      </c>
      <c r="X920" s="1644" t="s">
        <v>3633</v>
      </c>
      <c r="Y920" s="1647">
        <v>36435</v>
      </c>
      <c r="Z920" s="1647">
        <v>36801</v>
      </c>
      <c r="AA920" s="1650">
        <f t="shared" ca="1" si="62"/>
        <v>7</v>
      </c>
      <c r="AB920" s="2444" t="s">
        <v>3629</v>
      </c>
      <c r="AC920" s="2445"/>
      <c r="AD920" s="2438"/>
    </row>
    <row r="921" spans="1:30" ht="15.75" hidden="1" customHeight="1">
      <c r="A921" s="1644">
        <f t="shared" si="48"/>
        <v>167</v>
      </c>
      <c r="B921" s="1645" t="s">
        <v>5166</v>
      </c>
      <c r="C921" s="1645" t="s">
        <v>5122</v>
      </c>
      <c r="D921" s="1645" t="s">
        <v>5161</v>
      </c>
      <c r="E921" s="1646" t="s">
        <v>2797</v>
      </c>
      <c r="F921" s="1645">
        <f t="shared" si="60"/>
        <v>1971</v>
      </c>
      <c r="G921" s="1647">
        <v>26089</v>
      </c>
      <c r="H921" s="1644" t="s">
        <v>3628</v>
      </c>
      <c r="I921" s="1648" t="s">
        <v>3629</v>
      </c>
      <c r="J921" s="1645" t="s">
        <v>37</v>
      </c>
      <c r="K921" s="1645">
        <v>0</v>
      </c>
      <c r="L921" s="1645" t="s">
        <v>2824</v>
      </c>
      <c r="M921" s="1645" t="s">
        <v>5167</v>
      </c>
      <c r="N921" s="1645"/>
      <c r="O921" s="1645" t="s">
        <v>3645</v>
      </c>
      <c r="P921" s="1649"/>
      <c r="Q921" s="1645" t="s">
        <v>3693</v>
      </c>
      <c r="R921" s="1647" t="s">
        <v>3898</v>
      </c>
      <c r="S921" s="1644" t="s">
        <v>3795</v>
      </c>
      <c r="T921" s="1644" t="s">
        <v>936</v>
      </c>
      <c r="U921" s="1644" t="s">
        <v>3631</v>
      </c>
      <c r="V921" s="1644"/>
      <c r="W921" s="1650" t="s">
        <v>3653</v>
      </c>
      <c r="X921" s="1644"/>
      <c r="Y921" s="1647">
        <v>37623</v>
      </c>
      <c r="Z921" s="1647">
        <v>37988</v>
      </c>
      <c r="AA921" s="1650">
        <f t="shared" ca="1" si="62"/>
        <v>6.666666666666667</v>
      </c>
      <c r="AB921" s="2444" t="s">
        <v>3629</v>
      </c>
      <c r="AC921" s="2445"/>
      <c r="AD921" s="2438"/>
    </row>
    <row r="922" spans="1:30" ht="15.75" hidden="1" customHeight="1">
      <c r="A922" s="1644">
        <f t="shared" si="48"/>
        <v>167</v>
      </c>
      <c r="B922" s="1645" t="s">
        <v>5168</v>
      </c>
      <c r="C922" s="1645" t="s">
        <v>5122</v>
      </c>
      <c r="D922" s="1645" t="s">
        <v>5161</v>
      </c>
      <c r="E922" s="1644" t="s">
        <v>2798</v>
      </c>
      <c r="F922" s="1645">
        <f t="shared" si="60"/>
        <v>1987</v>
      </c>
      <c r="G922" s="1647">
        <v>31833</v>
      </c>
      <c r="H922" s="1644" t="s">
        <v>3636</v>
      </c>
      <c r="I922" s="1648" t="s">
        <v>3629</v>
      </c>
      <c r="J922" s="1645" t="s">
        <v>37</v>
      </c>
      <c r="K922" s="1645">
        <v>0</v>
      </c>
      <c r="L922" s="1645" t="s">
        <v>3794</v>
      </c>
      <c r="M922" s="1645" t="s">
        <v>4124</v>
      </c>
      <c r="N922" s="1645"/>
      <c r="O922" s="1645" t="s">
        <v>3645</v>
      </c>
      <c r="P922" s="1649"/>
      <c r="Q922" s="1645" t="s">
        <v>3693</v>
      </c>
      <c r="R922" s="1644" t="s">
        <v>3904</v>
      </c>
      <c r="S922" s="1644" t="s">
        <v>3795</v>
      </c>
      <c r="T922" s="1644">
        <v>0</v>
      </c>
      <c r="U922" s="1644" t="s">
        <v>3711</v>
      </c>
      <c r="V922" s="1644"/>
      <c r="W922" s="1644">
        <v>0</v>
      </c>
      <c r="X922" s="1644"/>
      <c r="Y922" s="1647">
        <v>39476</v>
      </c>
      <c r="Z922" s="1647">
        <v>39842</v>
      </c>
      <c r="AA922" s="1650">
        <f t="shared" ca="1" si="62"/>
        <v>17.333333333333332</v>
      </c>
      <c r="AB922" s="2444" t="s">
        <v>3629</v>
      </c>
      <c r="AC922" s="2445"/>
      <c r="AD922" s="2438"/>
    </row>
    <row r="923" spans="1:30" ht="15.75" hidden="1" customHeight="1">
      <c r="A923" s="1644">
        <f t="shared" si="48"/>
        <v>167</v>
      </c>
      <c r="B923" s="1645" t="s">
        <v>5169</v>
      </c>
      <c r="C923" s="1645" t="s">
        <v>5122</v>
      </c>
      <c r="D923" s="1645" t="s">
        <v>5161</v>
      </c>
      <c r="E923" s="1646" t="s">
        <v>2798</v>
      </c>
      <c r="F923" s="1645">
        <f t="shared" si="60"/>
        <v>1988</v>
      </c>
      <c r="G923" s="1647">
        <v>32413</v>
      </c>
      <c r="H923" s="1644" t="s">
        <v>3636</v>
      </c>
      <c r="I923" s="1648" t="s">
        <v>3629</v>
      </c>
      <c r="J923" s="1645" t="s">
        <v>37</v>
      </c>
      <c r="K923" s="1645">
        <v>0</v>
      </c>
      <c r="L923" s="1645" t="s">
        <v>3794</v>
      </c>
      <c r="M923" s="1645" t="s">
        <v>4798</v>
      </c>
      <c r="N923" s="1645"/>
      <c r="O923" s="1645" t="s">
        <v>3645</v>
      </c>
      <c r="P923" s="1649"/>
      <c r="Q923" s="1645" t="s">
        <v>3693</v>
      </c>
      <c r="R923" s="1647" t="s">
        <v>3683</v>
      </c>
      <c r="S923" s="1644" t="s">
        <v>3795</v>
      </c>
      <c r="T923" s="1644" t="s">
        <v>936</v>
      </c>
      <c r="U923" s="1644" t="s">
        <v>3711</v>
      </c>
      <c r="V923" s="1644"/>
      <c r="W923" s="1650" t="s">
        <v>3646</v>
      </c>
      <c r="X923" s="1644"/>
      <c r="Y923" s="1647">
        <v>39595</v>
      </c>
      <c r="Z923" s="1647">
        <v>39960</v>
      </c>
      <c r="AA923" s="1650">
        <f t="shared" ca="1" si="62"/>
        <v>18.916666666666668</v>
      </c>
      <c r="AB923" s="2444" t="s">
        <v>3629</v>
      </c>
      <c r="AC923" s="2445"/>
      <c r="AD923" s="2438"/>
    </row>
    <row r="924" spans="1:30" ht="15.75" hidden="1" customHeight="1">
      <c r="A924" s="1644">
        <f t="shared" si="48"/>
        <v>167</v>
      </c>
      <c r="B924" s="1645" t="s">
        <v>5170</v>
      </c>
      <c r="C924" s="1645" t="s">
        <v>5122</v>
      </c>
      <c r="D924" s="1645" t="s">
        <v>5161</v>
      </c>
      <c r="E924" s="1644" t="s">
        <v>2797</v>
      </c>
      <c r="F924" s="1645">
        <f t="shared" si="60"/>
        <v>1978</v>
      </c>
      <c r="G924" s="1647">
        <v>28595</v>
      </c>
      <c r="H924" s="1644" t="s">
        <v>3636</v>
      </c>
      <c r="I924" s="1648" t="s">
        <v>3629</v>
      </c>
      <c r="J924" s="1645" t="s">
        <v>38</v>
      </c>
      <c r="K924" s="1645">
        <v>0</v>
      </c>
      <c r="L924" s="1645" t="s">
        <v>3794</v>
      </c>
      <c r="M924" s="1645" t="s">
        <v>3794</v>
      </c>
      <c r="N924" s="1645"/>
      <c r="O924" s="1645" t="s">
        <v>3794</v>
      </c>
      <c r="P924" s="1649"/>
      <c r="Q924" s="1645"/>
      <c r="R924" s="1647" t="s">
        <v>3730</v>
      </c>
      <c r="S924" s="1644" t="s">
        <v>4801</v>
      </c>
      <c r="T924" s="1644" t="s">
        <v>936</v>
      </c>
      <c r="U924" s="1644"/>
      <c r="V924" s="1644"/>
      <c r="W924" s="1644">
        <v>0</v>
      </c>
      <c r="X924" s="1644"/>
      <c r="Y924" s="1647"/>
      <c r="Z924" s="1647" t="s">
        <v>936</v>
      </c>
      <c r="AA924" s="1650">
        <f t="shared" ca="1" si="62"/>
        <v>13.5</v>
      </c>
      <c r="AB924" s="2444" t="s">
        <v>3629</v>
      </c>
      <c r="AC924" s="2445"/>
      <c r="AD924" s="2438"/>
    </row>
    <row r="925" spans="1:30" ht="15.75" hidden="1" customHeight="1">
      <c r="A925" s="1644">
        <f t="shared" si="48"/>
        <v>167</v>
      </c>
      <c r="B925" s="1645" t="s">
        <v>5171</v>
      </c>
      <c r="C925" s="1645" t="s">
        <v>5122</v>
      </c>
      <c r="D925" s="1645" t="s">
        <v>5172</v>
      </c>
      <c r="E925" s="1644" t="s">
        <v>2798</v>
      </c>
      <c r="F925" s="1645">
        <f t="shared" si="60"/>
        <v>1975</v>
      </c>
      <c r="G925" s="1647">
        <v>27742</v>
      </c>
      <c r="H925" s="1644" t="s">
        <v>3628</v>
      </c>
      <c r="I925" s="1648" t="s">
        <v>3629</v>
      </c>
      <c r="J925" s="1645" t="s">
        <v>37</v>
      </c>
      <c r="K925" s="1645">
        <v>0</v>
      </c>
      <c r="L925" s="1645" t="s">
        <v>2824</v>
      </c>
      <c r="M925" s="1645" t="s">
        <v>5167</v>
      </c>
      <c r="N925" s="1645"/>
      <c r="O925" s="1645" t="s">
        <v>3645</v>
      </c>
      <c r="P925" s="1649"/>
      <c r="Q925" s="1645" t="s">
        <v>3693</v>
      </c>
      <c r="R925" s="1647" t="s">
        <v>3683</v>
      </c>
      <c r="S925" s="1644" t="s">
        <v>3795</v>
      </c>
      <c r="T925" s="1644" t="s">
        <v>936</v>
      </c>
      <c r="U925" s="1644" t="s">
        <v>3631</v>
      </c>
      <c r="V925" s="1644"/>
      <c r="W925" s="1644">
        <v>0</v>
      </c>
      <c r="X925" s="1644"/>
      <c r="Y925" s="1647"/>
      <c r="Z925" s="1647"/>
      <c r="AA925" s="1650">
        <f t="shared" ca="1" si="62"/>
        <v>6.166666666666667</v>
      </c>
      <c r="AB925" s="2444" t="s">
        <v>3629</v>
      </c>
      <c r="AC925" s="2445"/>
      <c r="AD925" s="2438"/>
    </row>
    <row r="926" spans="1:30" ht="15.75" hidden="1" customHeight="1">
      <c r="A926" s="1644">
        <f t="shared" si="48"/>
        <v>167</v>
      </c>
      <c r="B926" s="1645" t="s">
        <v>5173</v>
      </c>
      <c r="C926" s="1645" t="s">
        <v>5122</v>
      </c>
      <c r="D926" s="1645" t="s">
        <v>5172</v>
      </c>
      <c r="E926" s="1646" t="s">
        <v>2797</v>
      </c>
      <c r="F926" s="1645">
        <f t="shared" si="60"/>
        <v>1987</v>
      </c>
      <c r="G926" s="1647">
        <v>31811</v>
      </c>
      <c r="H926" s="1644" t="s">
        <v>3636</v>
      </c>
      <c r="I926" s="1648" t="s">
        <v>3629</v>
      </c>
      <c r="J926" s="1645" t="s">
        <v>37</v>
      </c>
      <c r="K926" s="1645">
        <v>0</v>
      </c>
      <c r="L926" s="1645" t="s">
        <v>3794</v>
      </c>
      <c r="M926" s="1645" t="s">
        <v>3794</v>
      </c>
      <c r="N926" s="1645"/>
      <c r="O926" s="1645" t="s">
        <v>3645</v>
      </c>
      <c r="P926" s="1649"/>
      <c r="Q926" s="1645"/>
      <c r="R926" s="1644" t="s">
        <v>3710</v>
      </c>
      <c r="S926" s="1644" t="s">
        <v>3795</v>
      </c>
      <c r="T926" s="1644" t="s">
        <v>936</v>
      </c>
      <c r="U926" s="1644"/>
      <c r="V926" s="1644"/>
      <c r="W926" s="1644">
        <v>0</v>
      </c>
      <c r="X926" s="1644"/>
      <c r="Y926" s="1647"/>
      <c r="Z926" s="1647" t="s">
        <v>936</v>
      </c>
      <c r="AA926" s="1650">
        <f t="shared" ca="1" si="62"/>
        <v>22.333333333333332</v>
      </c>
      <c r="AB926" s="2444" t="s">
        <v>3629</v>
      </c>
      <c r="AC926" s="2445"/>
      <c r="AD926" s="2438"/>
    </row>
    <row r="927" spans="1:30" ht="15.75" hidden="1" customHeight="1">
      <c r="A927" s="1644">
        <f t="shared" si="48"/>
        <v>167</v>
      </c>
      <c r="B927" s="1645" t="s">
        <v>5174</v>
      </c>
      <c r="C927" s="1645" t="s">
        <v>5122</v>
      </c>
      <c r="D927" s="1645" t="s">
        <v>5172</v>
      </c>
      <c r="E927" s="1646" t="s">
        <v>2798</v>
      </c>
      <c r="F927" s="1645">
        <f t="shared" si="60"/>
        <v>1980</v>
      </c>
      <c r="G927" s="1647">
        <v>29241</v>
      </c>
      <c r="H927" s="1644" t="s">
        <v>3636</v>
      </c>
      <c r="I927" s="1648" t="s">
        <v>3629</v>
      </c>
      <c r="J927" s="1645" t="s">
        <v>37</v>
      </c>
      <c r="K927" s="1645">
        <v>0</v>
      </c>
      <c r="L927" s="1645" t="s">
        <v>3794</v>
      </c>
      <c r="M927" s="1645" t="s">
        <v>3794</v>
      </c>
      <c r="N927" s="1645"/>
      <c r="O927" s="1645" t="s">
        <v>3645</v>
      </c>
      <c r="P927" s="1649"/>
      <c r="Q927" s="1645" t="s">
        <v>3693</v>
      </c>
      <c r="R927" s="1647" t="s">
        <v>3710</v>
      </c>
      <c r="S927" s="1644" t="s">
        <v>3795</v>
      </c>
      <c r="T927" s="1644" t="s">
        <v>936</v>
      </c>
      <c r="U927" s="1644" t="s">
        <v>3711</v>
      </c>
      <c r="V927" s="1644"/>
      <c r="W927" s="1644" t="s">
        <v>936</v>
      </c>
      <c r="X927" s="1644"/>
      <c r="Y927" s="1647"/>
      <c r="Z927" s="1647"/>
      <c r="AA927" s="1650">
        <f t="shared" ca="1" si="62"/>
        <v>10.25</v>
      </c>
      <c r="AB927" s="2444" t="s">
        <v>3629</v>
      </c>
      <c r="AC927" s="2445"/>
      <c r="AD927" s="2438"/>
    </row>
    <row r="928" spans="1:30" ht="15.75" hidden="1" customHeight="1">
      <c r="A928" s="1644">
        <f t="shared" si="48"/>
        <v>167</v>
      </c>
      <c r="B928" s="1645" t="s">
        <v>5175</v>
      </c>
      <c r="C928" s="1645" t="s">
        <v>5122</v>
      </c>
      <c r="D928" s="1645" t="s">
        <v>5172</v>
      </c>
      <c r="E928" s="1644" t="s">
        <v>2797</v>
      </c>
      <c r="F928" s="1645">
        <f t="shared" si="60"/>
        <v>1969</v>
      </c>
      <c r="G928" s="1647">
        <v>25517</v>
      </c>
      <c r="H928" s="1644" t="s">
        <v>3628</v>
      </c>
      <c r="I928" s="1648" t="s">
        <v>3629</v>
      </c>
      <c r="J928" s="1645" t="s">
        <v>38</v>
      </c>
      <c r="K928" s="1645">
        <v>0</v>
      </c>
      <c r="L928" s="1645" t="s">
        <v>2824</v>
      </c>
      <c r="M928" s="1645" t="s">
        <v>3794</v>
      </c>
      <c r="N928" s="1645"/>
      <c r="O928" s="1645" t="s">
        <v>3794</v>
      </c>
      <c r="P928" s="1649"/>
      <c r="Q928" s="1645" t="s">
        <v>3693</v>
      </c>
      <c r="R928" s="1647" t="s">
        <v>3683</v>
      </c>
      <c r="S928" s="1644" t="s">
        <v>4801</v>
      </c>
      <c r="T928" s="1644" t="s">
        <v>936</v>
      </c>
      <c r="U928" s="1644" t="s">
        <v>3697</v>
      </c>
      <c r="V928" s="1644"/>
      <c r="W928" s="1644">
        <v>0</v>
      </c>
      <c r="X928" s="1644" t="s">
        <v>3633</v>
      </c>
      <c r="Y928" s="1647">
        <v>34846</v>
      </c>
      <c r="Z928" s="1647">
        <v>35212</v>
      </c>
      <c r="AA928" s="1650">
        <f t="shared" ca="1" si="62"/>
        <v>5.083333333333333</v>
      </c>
      <c r="AB928" s="2444" t="s">
        <v>3629</v>
      </c>
      <c r="AC928" s="2445"/>
      <c r="AD928" s="2438"/>
    </row>
    <row r="929" spans="1:30" ht="15.75" hidden="1" customHeight="1">
      <c r="A929" s="1644">
        <f t="shared" si="48"/>
        <v>167</v>
      </c>
      <c r="B929" s="1645" t="s">
        <v>5176</v>
      </c>
      <c r="C929" s="1645" t="s">
        <v>5122</v>
      </c>
      <c r="D929" s="1645" t="s">
        <v>5077</v>
      </c>
      <c r="E929" s="1644" t="s">
        <v>2797</v>
      </c>
      <c r="F929" s="1645">
        <f t="shared" si="60"/>
        <v>1986</v>
      </c>
      <c r="G929" s="1647">
        <v>31444</v>
      </c>
      <c r="H929" s="1644" t="s">
        <v>3636</v>
      </c>
      <c r="I929" s="1648" t="s">
        <v>3629</v>
      </c>
      <c r="J929" s="1645" t="s">
        <v>37</v>
      </c>
      <c r="K929" s="1645">
        <v>0</v>
      </c>
      <c r="L929" s="1645" t="s">
        <v>3946</v>
      </c>
      <c r="M929" s="1645" t="s">
        <v>5123</v>
      </c>
      <c r="N929" s="1645"/>
      <c r="O929" s="1645" t="s">
        <v>3645</v>
      </c>
      <c r="P929" s="1649"/>
      <c r="Q929" s="1645"/>
      <c r="R929" s="1647" t="s">
        <v>3683</v>
      </c>
      <c r="S929" s="1644"/>
      <c r="T929" s="1644" t="s">
        <v>936</v>
      </c>
      <c r="U929" s="1644" t="s">
        <v>3711</v>
      </c>
      <c r="V929" s="1644"/>
      <c r="W929" s="1650" t="s">
        <v>3822</v>
      </c>
      <c r="X929" s="1644"/>
      <c r="Y929" s="1647">
        <v>41263</v>
      </c>
      <c r="Z929" s="1647">
        <v>41628</v>
      </c>
      <c r="AA929" s="1650">
        <f t="shared" ca="1" si="62"/>
        <v>21.25</v>
      </c>
      <c r="AB929" s="2444" t="s">
        <v>3629</v>
      </c>
      <c r="AC929" s="2445"/>
      <c r="AD929" s="2438"/>
    </row>
    <row r="930" spans="1:30" ht="15.75" hidden="1" customHeight="1">
      <c r="A930" s="1644">
        <f t="shared" si="48"/>
        <v>167</v>
      </c>
      <c r="B930" s="1645" t="s">
        <v>5177</v>
      </c>
      <c r="C930" s="1645" t="s">
        <v>5122</v>
      </c>
      <c r="D930" s="1645" t="s">
        <v>5077</v>
      </c>
      <c r="E930" s="1644" t="s">
        <v>2798</v>
      </c>
      <c r="F930" s="1645">
        <f t="shared" si="60"/>
        <v>1980</v>
      </c>
      <c r="G930" s="1647">
        <v>29296</v>
      </c>
      <c r="H930" s="1644" t="s">
        <v>3642</v>
      </c>
      <c r="I930" s="1648" t="s">
        <v>3629</v>
      </c>
      <c r="J930" s="1645" t="s">
        <v>37</v>
      </c>
      <c r="K930" s="1645">
        <v>0</v>
      </c>
      <c r="L930" s="1645" t="s">
        <v>3268</v>
      </c>
      <c r="M930" s="1645" t="s">
        <v>4705</v>
      </c>
      <c r="N930" s="1645"/>
      <c r="O930" s="1645" t="s">
        <v>3645</v>
      </c>
      <c r="P930" s="1649"/>
      <c r="Q930" s="1645"/>
      <c r="R930" s="1644" t="s">
        <v>3683</v>
      </c>
      <c r="S930" s="1644"/>
      <c r="T930" s="1644" t="s">
        <v>936</v>
      </c>
      <c r="U930" s="1644"/>
      <c r="V930" s="1644"/>
      <c r="W930" s="1650" t="s">
        <v>3653</v>
      </c>
      <c r="X930" s="1644"/>
      <c r="Y930" s="1647">
        <v>36925</v>
      </c>
      <c r="Z930" s="1647">
        <v>37290</v>
      </c>
      <c r="AA930" s="1650">
        <f t="shared" ca="1" si="62"/>
        <v>10.416666666666666</v>
      </c>
      <c r="AB930" s="2444" t="s">
        <v>3629</v>
      </c>
      <c r="AC930" s="2445"/>
      <c r="AD930" s="2438"/>
    </row>
    <row r="931" spans="1:30" ht="15.75" hidden="1" customHeight="1">
      <c r="A931" s="1644">
        <f t="shared" si="48"/>
        <v>167</v>
      </c>
      <c r="B931" s="1645" t="s">
        <v>5178</v>
      </c>
      <c r="C931" s="1645" t="s">
        <v>5122</v>
      </c>
      <c r="D931" s="1645" t="s">
        <v>5077</v>
      </c>
      <c r="E931" s="1646" t="s">
        <v>2797</v>
      </c>
      <c r="F931" s="1645">
        <f t="shared" si="60"/>
        <v>1972</v>
      </c>
      <c r="G931" s="1647">
        <v>26613</v>
      </c>
      <c r="H931" s="1644" t="s">
        <v>3797</v>
      </c>
      <c r="I931" s="1648" t="s">
        <v>3629</v>
      </c>
      <c r="J931" s="1645" t="s">
        <v>38</v>
      </c>
      <c r="K931" s="1645" t="s">
        <v>3798</v>
      </c>
      <c r="L931" s="1645" t="s">
        <v>2824</v>
      </c>
      <c r="M931" s="1645" t="s">
        <v>3794</v>
      </c>
      <c r="N931" s="1645"/>
      <c r="O931" s="1645" t="s">
        <v>3794</v>
      </c>
      <c r="P931" s="1649"/>
      <c r="Q931" s="1645" t="s">
        <v>3693</v>
      </c>
      <c r="R931" s="1647" t="s">
        <v>3914</v>
      </c>
      <c r="S931" s="1644" t="s">
        <v>4801</v>
      </c>
      <c r="T931" s="1644" t="s">
        <v>936</v>
      </c>
      <c r="U931" s="1644" t="s">
        <v>4095</v>
      </c>
      <c r="V931" s="1644"/>
      <c r="W931" s="1644" t="s">
        <v>3687</v>
      </c>
      <c r="X931" s="1644" t="s">
        <v>3633</v>
      </c>
      <c r="Y931" s="1647">
        <v>38287</v>
      </c>
      <c r="Z931" s="1647">
        <v>38652</v>
      </c>
      <c r="AA931" s="1650">
        <f t="shared" ca="1" si="62"/>
        <v>8.0833333333333339</v>
      </c>
      <c r="AB931" s="2444" t="s">
        <v>3629</v>
      </c>
      <c r="AC931" s="2445"/>
      <c r="AD931" s="2438"/>
    </row>
    <row r="932" spans="1:30" ht="15.75" hidden="1" customHeight="1">
      <c r="A932" s="1644">
        <f t="shared" si="48"/>
        <v>167</v>
      </c>
      <c r="B932" s="1645" t="s">
        <v>5179</v>
      </c>
      <c r="C932" s="1645" t="s">
        <v>5122</v>
      </c>
      <c r="D932" s="1645" t="s">
        <v>5077</v>
      </c>
      <c r="E932" s="1644" t="s">
        <v>2797</v>
      </c>
      <c r="F932" s="1645">
        <f t="shared" si="60"/>
        <v>1989</v>
      </c>
      <c r="G932" s="1647">
        <v>32637</v>
      </c>
      <c r="H932" s="1644" t="s">
        <v>3636</v>
      </c>
      <c r="I932" s="1648" t="s">
        <v>3629</v>
      </c>
      <c r="J932" s="1645" t="s">
        <v>37</v>
      </c>
      <c r="K932" s="1645">
        <v>0</v>
      </c>
      <c r="L932" s="1645" t="s">
        <v>3946</v>
      </c>
      <c r="M932" s="1645" t="s">
        <v>5123</v>
      </c>
      <c r="N932" s="1645"/>
      <c r="O932" s="1645" t="s">
        <v>3645</v>
      </c>
      <c r="P932" s="1649"/>
      <c r="Q932" s="1645"/>
      <c r="R932" s="1644">
        <v>0</v>
      </c>
      <c r="S932" s="1644"/>
      <c r="T932" s="1644">
        <v>2018</v>
      </c>
      <c r="U932" s="1644"/>
      <c r="V932" s="1644"/>
      <c r="W932" s="1644">
        <v>0</v>
      </c>
      <c r="X932" s="1644"/>
      <c r="Y932" s="1647"/>
      <c r="Z932" s="1647"/>
      <c r="AA932" s="1650">
        <f t="shared" ca="1" si="62"/>
        <v>24.583333333333332</v>
      </c>
      <c r="AB932" s="2444" t="s">
        <v>3629</v>
      </c>
      <c r="AC932" s="2445"/>
      <c r="AD932" s="2438"/>
    </row>
    <row r="933" spans="1:30" ht="15.75" hidden="1" customHeight="1">
      <c r="A933" s="1644">
        <f t="shared" si="48"/>
        <v>167</v>
      </c>
      <c r="B933" s="1645" t="s">
        <v>5180</v>
      </c>
      <c r="C933" s="1645" t="s">
        <v>5122</v>
      </c>
      <c r="D933" s="1645" t="s">
        <v>5077</v>
      </c>
      <c r="E933" s="1646" t="s">
        <v>2797</v>
      </c>
      <c r="F933" s="1645">
        <f t="shared" si="60"/>
        <v>1985</v>
      </c>
      <c r="G933" s="1647">
        <v>31120</v>
      </c>
      <c r="H933" s="1644" t="s">
        <v>3636</v>
      </c>
      <c r="I933" s="1648" t="s">
        <v>3629</v>
      </c>
      <c r="J933" s="1645" t="s">
        <v>37</v>
      </c>
      <c r="K933" s="1645">
        <v>0</v>
      </c>
      <c r="L933" s="1645" t="s">
        <v>3946</v>
      </c>
      <c r="M933" s="1645" t="s">
        <v>5123</v>
      </c>
      <c r="N933" s="1645"/>
      <c r="O933" s="1645" t="s">
        <v>5181</v>
      </c>
      <c r="P933" s="1649"/>
      <c r="Q933" s="1645"/>
      <c r="R933" s="1647" t="s">
        <v>3952</v>
      </c>
      <c r="S933" s="1644"/>
      <c r="T933" s="1644" t="s">
        <v>936</v>
      </c>
      <c r="U933" s="1644" t="s">
        <v>3711</v>
      </c>
      <c r="V933" s="1644"/>
      <c r="W933" s="1650" t="s">
        <v>3653</v>
      </c>
      <c r="X933" s="1644" t="s">
        <v>3633</v>
      </c>
      <c r="Y933" s="1647">
        <v>39582</v>
      </c>
      <c r="Z933" s="1647">
        <v>39947</v>
      </c>
      <c r="AA933" s="1650">
        <f t="shared" ca="1" si="62"/>
        <v>20.416666666666668</v>
      </c>
      <c r="AB933" s="2444" t="s">
        <v>3629</v>
      </c>
      <c r="AC933" s="2445"/>
      <c r="AD933" s="2438"/>
    </row>
    <row r="934" spans="1:30" ht="15.75" hidden="1" customHeight="1">
      <c r="A934" s="1644">
        <f t="shared" si="48"/>
        <v>167</v>
      </c>
      <c r="B934" s="1645" t="s">
        <v>5182</v>
      </c>
      <c r="C934" s="1645" t="s">
        <v>5122</v>
      </c>
      <c r="D934" s="1645" t="s">
        <v>5077</v>
      </c>
      <c r="E934" s="1644" t="s">
        <v>2797</v>
      </c>
      <c r="F934" s="1645">
        <f t="shared" si="60"/>
        <v>1987</v>
      </c>
      <c r="G934" s="1647">
        <v>31800</v>
      </c>
      <c r="H934" s="1644" t="s">
        <v>3636</v>
      </c>
      <c r="I934" s="1648" t="s">
        <v>3629</v>
      </c>
      <c r="J934" s="1645" t="s">
        <v>38</v>
      </c>
      <c r="K934" s="1645">
        <v>0</v>
      </c>
      <c r="L934" s="1645" t="s">
        <v>3946</v>
      </c>
      <c r="M934" s="1645" t="s">
        <v>5157</v>
      </c>
      <c r="N934" s="1645"/>
      <c r="O934" s="1645" t="s">
        <v>2682</v>
      </c>
      <c r="P934" s="1649"/>
      <c r="Q934" s="1645"/>
      <c r="R934" s="1647" t="s">
        <v>3639</v>
      </c>
      <c r="S934" s="1644"/>
      <c r="T934" s="1644" t="s">
        <v>936</v>
      </c>
      <c r="U934" s="1644" t="s">
        <v>3711</v>
      </c>
      <c r="V934" s="1644"/>
      <c r="W934" s="1644">
        <v>0</v>
      </c>
      <c r="X934" s="1644"/>
      <c r="Y934" s="1647"/>
      <c r="Z934" s="1647"/>
      <c r="AA934" s="1650">
        <f t="shared" ca="1" si="62"/>
        <v>22.25</v>
      </c>
      <c r="AB934" s="2444" t="s">
        <v>3629</v>
      </c>
      <c r="AC934" s="2445"/>
      <c r="AD934" s="2438"/>
    </row>
    <row r="935" spans="1:30" ht="15.75" hidden="1" customHeight="1">
      <c r="A935" s="1644">
        <f t="shared" si="48"/>
        <v>167</v>
      </c>
      <c r="B935" s="1645" t="s">
        <v>5183</v>
      </c>
      <c r="C935" s="1645" t="s">
        <v>5122</v>
      </c>
      <c r="D935" s="1645" t="s">
        <v>5077</v>
      </c>
      <c r="E935" s="1644" t="s">
        <v>2797</v>
      </c>
      <c r="F935" s="1645">
        <f t="shared" si="60"/>
        <v>1990</v>
      </c>
      <c r="G935" s="1647">
        <v>33008</v>
      </c>
      <c r="H935" s="1644" t="s">
        <v>3636</v>
      </c>
      <c r="I935" s="1648" t="s">
        <v>3629</v>
      </c>
      <c r="J935" s="1645" t="s">
        <v>37</v>
      </c>
      <c r="K935" s="1645">
        <v>0</v>
      </c>
      <c r="L935" s="1645" t="s">
        <v>5181</v>
      </c>
      <c r="M935" s="1645">
        <v>0</v>
      </c>
      <c r="N935" s="1645"/>
      <c r="O935" s="1645" t="s">
        <v>3645</v>
      </c>
      <c r="P935" s="1649"/>
      <c r="Q935" s="1645"/>
      <c r="R935" s="1647" t="s">
        <v>3710</v>
      </c>
      <c r="S935" s="1644"/>
      <c r="T935" s="1644"/>
      <c r="U935" s="1644"/>
      <c r="V935" s="1644" t="s">
        <v>936</v>
      </c>
      <c r="W935" s="1650" t="s">
        <v>3646</v>
      </c>
      <c r="X935" s="1644"/>
      <c r="Y935" s="1647"/>
      <c r="Z935" s="1647" t="s">
        <v>936</v>
      </c>
      <c r="AA935" s="1650">
        <f t="shared" ca="1" si="62"/>
        <v>25.583333333333332</v>
      </c>
      <c r="AB935" s="2444" t="s">
        <v>3629</v>
      </c>
      <c r="AC935" s="2445"/>
      <c r="AD935" s="2438"/>
    </row>
    <row r="936" spans="1:30" ht="15.75" hidden="1" customHeight="1">
      <c r="A936" s="1644">
        <f t="shared" si="48"/>
        <v>167</v>
      </c>
      <c r="B936" s="1645" t="s">
        <v>5184</v>
      </c>
      <c r="C936" s="1645" t="s">
        <v>5122</v>
      </c>
      <c r="D936" s="1645" t="s">
        <v>5077</v>
      </c>
      <c r="E936" s="1646" t="s">
        <v>2797</v>
      </c>
      <c r="F936" s="1645">
        <f t="shared" si="60"/>
        <v>1986</v>
      </c>
      <c r="G936" s="1647">
        <v>31746</v>
      </c>
      <c r="H936" s="1644" t="s">
        <v>3636</v>
      </c>
      <c r="I936" s="1648" t="s">
        <v>3629</v>
      </c>
      <c r="J936" s="1645" t="s">
        <v>37</v>
      </c>
      <c r="K936" s="1645">
        <v>0</v>
      </c>
      <c r="L936" s="1645" t="s">
        <v>3946</v>
      </c>
      <c r="M936" s="1645" t="s">
        <v>5185</v>
      </c>
      <c r="N936" s="1645"/>
      <c r="O936" s="1645" t="s">
        <v>3645</v>
      </c>
      <c r="P936" s="1649"/>
      <c r="Q936" s="1645"/>
      <c r="R936" s="1647" t="s">
        <v>3683</v>
      </c>
      <c r="S936" s="1644"/>
      <c r="T936" s="1644"/>
      <c r="U936" s="1644" t="s">
        <v>3711</v>
      </c>
      <c r="V936" s="1644" t="s">
        <v>936</v>
      </c>
      <c r="W936" s="1650" t="s">
        <v>3822</v>
      </c>
      <c r="X936" s="1644"/>
      <c r="Y936" s="1647">
        <v>41263</v>
      </c>
      <c r="Z936" s="1647">
        <v>41628</v>
      </c>
      <c r="AA936" s="1650">
        <f t="shared" ca="1" si="62"/>
        <v>22.083333333333332</v>
      </c>
      <c r="AB936" s="2444" t="s">
        <v>3629</v>
      </c>
      <c r="AC936" s="2445"/>
      <c r="AD936" s="2438"/>
    </row>
    <row r="937" spans="1:30" ht="15.75" hidden="1" customHeight="1">
      <c r="A937" s="1644">
        <f t="shared" si="48"/>
        <v>167</v>
      </c>
      <c r="B937" s="1645" t="s">
        <v>5186</v>
      </c>
      <c r="C937" s="1645" t="s">
        <v>5122</v>
      </c>
      <c r="D937" s="1645"/>
      <c r="E937" s="1646" t="s">
        <v>2797</v>
      </c>
      <c r="F937" s="1645">
        <f t="shared" si="60"/>
        <v>1989</v>
      </c>
      <c r="G937" s="1647">
        <v>32650</v>
      </c>
      <c r="H937" s="1646" t="s">
        <v>3636</v>
      </c>
      <c r="I937" s="1648" t="s">
        <v>3629</v>
      </c>
      <c r="J937" s="1645" t="s">
        <v>5187</v>
      </c>
      <c r="K937" s="1645"/>
      <c r="L937" s="1645" t="s">
        <v>5188</v>
      </c>
      <c r="M937" s="1645"/>
      <c r="N937" s="1645"/>
      <c r="O937" s="1645"/>
      <c r="P937" s="1649"/>
      <c r="Q937" s="1645"/>
      <c r="R937" s="1644"/>
      <c r="S937" s="1644"/>
      <c r="T937" s="1644"/>
      <c r="U937" s="1644"/>
      <c r="V937" s="1644"/>
      <c r="W937" s="1644"/>
      <c r="X937" s="1644"/>
      <c r="Y937" s="1644"/>
      <c r="Z937" s="1644"/>
      <c r="AA937" s="1654"/>
      <c r="AB937" s="2444" t="s">
        <v>3629</v>
      </c>
      <c r="AC937" s="2445"/>
      <c r="AD937" s="2438"/>
    </row>
    <row r="938" spans="1:30" ht="15.75" hidden="1" customHeight="1">
      <c r="A938" s="1644">
        <f t="shared" si="48"/>
        <v>167</v>
      </c>
      <c r="B938" s="1645" t="s">
        <v>5189</v>
      </c>
      <c r="C938" s="1645" t="s">
        <v>5190</v>
      </c>
      <c r="D938" s="1645" t="s">
        <v>5161</v>
      </c>
      <c r="E938" s="1646" t="s">
        <v>2797</v>
      </c>
      <c r="F938" s="1645">
        <f t="shared" si="60"/>
        <v>1975</v>
      </c>
      <c r="G938" s="1647">
        <v>27718</v>
      </c>
      <c r="H938" s="1644" t="s">
        <v>3628</v>
      </c>
      <c r="I938" s="1648" t="s">
        <v>3629</v>
      </c>
      <c r="J938" s="1645" t="s">
        <v>38</v>
      </c>
      <c r="K938" s="1645">
        <v>0</v>
      </c>
      <c r="L938" s="1645" t="s">
        <v>2824</v>
      </c>
      <c r="M938" s="1645" t="s">
        <v>3874</v>
      </c>
      <c r="N938" s="1645"/>
      <c r="O938" s="1645" t="s">
        <v>5191</v>
      </c>
      <c r="P938" s="1649"/>
      <c r="Q938" s="1645" t="s">
        <v>3757</v>
      </c>
      <c r="R938" s="1647" t="s">
        <v>3952</v>
      </c>
      <c r="S938" s="1644" t="s">
        <v>5192</v>
      </c>
      <c r="T938" s="1644"/>
      <c r="U938" s="1644" t="s">
        <v>3697</v>
      </c>
      <c r="V938" s="1644" t="s">
        <v>936</v>
      </c>
      <c r="W938" s="1644" t="s">
        <v>936</v>
      </c>
      <c r="X938" s="1644" t="s">
        <v>3633</v>
      </c>
      <c r="Y938" s="1647">
        <v>39057</v>
      </c>
      <c r="Z938" s="1647">
        <v>39422</v>
      </c>
      <c r="AA938" s="1650">
        <f t="shared" ref="AA938:AA973" ca="1" si="63">IF(E938="nữ",660-DATEDIF(G938,TODAY(),"m"),720-DATEDIF(G938,TODAY(),"m"))/12</f>
        <v>11.083333333333334</v>
      </c>
      <c r="AB938" s="2444" t="s">
        <v>3629</v>
      </c>
      <c r="AC938" s="2445"/>
      <c r="AD938" s="2438"/>
    </row>
    <row r="939" spans="1:30" ht="15.75" hidden="1" customHeight="1">
      <c r="A939" s="1644">
        <f t="shared" si="48"/>
        <v>167</v>
      </c>
      <c r="B939" s="1645" t="s">
        <v>5193</v>
      </c>
      <c r="C939" s="1645" t="s">
        <v>5190</v>
      </c>
      <c r="D939" s="1645" t="s">
        <v>5194</v>
      </c>
      <c r="E939" s="1644" t="s">
        <v>2797</v>
      </c>
      <c r="F939" s="1645">
        <f t="shared" si="60"/>
        <v>1987</v>
      </c>
      <c r="G939" s="1647">
        <v>31958</v>
      </c>
      <c r="H939" s="1644" t="s">
        <v>3642</v>
      </c>
      <c r="I939" s="1648" t="s">
        <v>3629</v>
      </c>
      <c r="J939" s="1645" t="s">
        <v>201</v>
      </c>
      <c r="K939" s="1645">
        <v>0</v>
      </c>
      <c r="L939" s="1645" t="s">
        <v>3890</v>
      </c>
      <c r="M939" s="1645">
        <v>0</v>
      </c>
      <c r="N939" s="1645"/>
      <c r="O939" s="1645">
        <v>0</v>
      </c>
      <c r="P939" s="1649"/>
      <c r="Q939" s="1645"/>
      <c r="R939" s="1647" t="s">
        <v>3667</v>
      </c>
      <c r="S939" s="1644" t="s">
        <v>3743</v>
      </c>
      <c r="T939" s="1644"/>
      <c r="U939" s="1644"/>
      <c r="V939" s="1644" t="s">
        <v>3657</v>
      </c>
      <c r="W939" s="1650" t="s">
        <v>3653</v>
      </c>
      <c r="X939" s="1644"/>
      <c r="Y939" s="1647">
        <v>43775</v>
      </c>
      <c r="Z939" s="1647">
        <v>0</v>
      </c>
      <c r="AA939" s="1650">
        <f t="shared" ca="1" si="63"/>
        <v>22.666666666666668</v>
      </c>
      <c r="AB939" s="2444" t="s">
        <v>3629</v>
      </c>
      <c r="AC939" s="2445"/>
      <c r="AD939" s="2438"/>
    </row>
    <row r="940" spans="1:30" ht="15.75" hidden="1" customHeight="1">
      <c r="A940" s="1644">
        <f t="shared" si="48"/>
        <v>167</v>
      </c>
      <c r="B940" s="1645" t="s">
        <v>5195</v>
      </c>
      <c r="C940" s="1645" t="s">
        <v>5190</v>
      </c>
      <c r="D940" s="1645" t="s">
        <v>5194</v>
      </c>
      <c r="E940" s="1646" t="s">
        <v>2797</v>
      </c>
      <c r="F940" s="1645">
        <f t="shared" si="60"/>
        <v>1980</v>
      </c>
      <c r="G940" s="1647">
        <v>29261</v>
      </c>
      <c r="H940" s="1644" t="s">
        <v>3636</v>
      </c>
      <c r="I940" s="1648" t="s">
        <v>3629</v>
      </c>
      <c r="J940" s="1645" t="s">
        <v>38</v>
      </c>
      <c r="K940" s="1645">
        <v>0</v>
      </c>
      <c r="L940" s="1645" t="s">
        <v>1701</v>
      </c>
      <c r="M940" s="1645" t="s">
        <v>4777</v>
      </c>
      <c r="N940" s="1645"/>
      <c r="O940" s="1645" t="s">
        <v>1701</v>
      </c>
      <c r="P940" s="1649"/>
      <c r="Q940" s="1645" t="s">
        <v>3693</v>
      </c>
      <c r="R940" s="1647" t="s">
        <v>3702</v>
      </c>
      <c r="S940" s="1644" t="s">
        <v>3696</v>
      </c>
      <c r="T940" s="1644">
        <v>2018</v>
      </c>
      <c r="U940" s="1644" t="s">
        <v>3761</v>
      </c>
      <c r="V940" s="1644"/>
      <c r="W940" s="1650" t="s">
        <v>3646</v>
      </c>
      <c r="X940" s="1644" t="s">
        <v>3707</v>
      </c>
      <c r="Y940" s="1647">
        <v>37287</v>
      </c>
      <c r="Z940" s="1647">
        <v>37652</v>
      </c>
      <c r="AA940" s="1650">
        <f t="shared" ca="1" si="63"/>
        <v>15.333333333333334</v>
      </c>
      <c r="AB940" s="2444" t="s">
        <v>3629</v>
      </c>
      <c r="AC940" s="2446" t="e">
        <f t="shared" ref="AC940:AC942" si="64">+#REF!-#REF!</f>
        <v>#REF!</v>
      </c>
      <c r="AD940" s="2438"/>
    </row>
    <row r="941" spans="1:30" ht="15.75" hidden="1" customHeight="1">
      <c r="A941" s="1644">
        <f t="shared" si="48"/>
        <v>167</v>
      </c>
      <c r="B941" s="1645" t="s">
        <v>5196</v>
      </c>
      <c r="C941" s="1645" t="s">
        <v>5190</v>
      </c>
      <c r="D941" s="1645" t="s">
        <v>5194</v>
      </c>
      <c r="E941" s="1646" t="s">
        <v>2797</v>
      </c>
      <c r="F941" s="1645">
        <f t="shared" si="60"/>
        <v>1980</v>
      </c>
      <c r="G941" s="1647">
        <v>29582</v>
      </c>
      <c r="H941" s="1644" t="s">
        <v>3628</v>
      </c>
      <c r="I941" s="1648" t="s">
        <v>3629</v>
      </c>
      <c r="J941" s="1645" t="s">
        <v>38</v>
      </c>
      <c r="K941" s="1645">
        <v>0</v>
      </c>
      <c r="L941" s="1645" t="s">
        <v>3676</v>
      </c>
      <c r="M941" s="1645" t="s">
        <v>3676</v>
      </c>
      <c r="N941" s="1645"/>
      <c r="O941" s="1645" t="s">
        <v>3996</v>
      </c>
      <c r="P941" s="1649"/>
      <c r="Q941" s="1645"/>
      <c r="R941" s="1647" t="s">
        <v>2862</v>
      </c>
      <c r="S941" s="1644"/>
      <c r="T941" s="1644" t="s">
        <v>936</v>
      </c>
      <c r="U941" s="1644"/>
      <c r="V941" s="1644"/>
      <c r="W941" s="1650" t="s">
        <v>3653</v>
      </c>
      <c r="X941" s="1644" t="s">
        <v>3707</v>
      </c>
      <c r="Y941" s="1647">
        <v>41159</v>
      </c>
      <c r="Z941" s="1647">
        <v>41524</v>
      </c>
      <c r="AA941" s="1650">
        <f t="shared" ca="1" si="63"/>
        <v>16.166666666666668</v>
      </c>
      <c r="AB941" s="2444" t="s">
        <v>3629</v>
      </c>
      <c r="AC941" s="2446" t="e">
        <f t="shared" si="64"/>
        <v>#REF!</v>
      </c>
      <c r="AD941" s="2438"/>
    </row>
    <row r="942" spans="1:30" ht="15.75" hidden="1" customHeight="1">
      <c r="A942" s="1644">
        <f t="shared" si="48"/>
        <v>167</v>
      </c>
      <c r="B942" s="1645" t="s">
        <v>5197</v>
      </c>
      <c r="C942" s="1645" t="s">
        <v>5190</v>
      </c>
      <c r="D942" s="1645" t="s">
        <v>5194</v>
      </c>
      <c r="E942" s="1644" t="s">
        <v>2798</v>
      </c>
      <c r="F942" s="1645">
        <f t="shared" si="60"/>
        <v>1975</v>
      </c>
      <c r="G942" s="1647">
        <v>27646</v>
      </c>
      <c r="H942" s="1644" t="s">
        <v>3797</v>
      </c>
      <c r="I942" s="1648" t="s">
        <v>3629</v>
      </c>
      <c r="J942" s="1645" t="s">
        <v>38</v>
      </c>
      <c r="K942" s="1645" t="s">
        <v>3798</v>
      </c>
      <c r="L942" s="1645" t="s">
        <v>4089</v>
      </c>
      <c r="M942" s="1645" t="s">
        <v>4155</v>
      </c>
      <c r="N942" s="1645"/>
      <c r="O942" s="1645" t="s">
        <v>4155</v>
      </c>
      <c r="P942" s="1649"/>
      <c r="Q942" s="1645" t="s">
        <v>3800</v>
      </c>
      <c r="R942" s="1647" t="s">
        <v>4051</v>
      </c>
      <c r="S942" s="1644" t="s">
        <v>3696</v>
      </c>
      <c r="T942" s="1644"/>
      <c r="U942" s="1644" t="s">
        <v>3802</v>
      </c>
      <c r="V942" s="1644"/>
      <c r="W942" s="1644" t="s">
        <v>3687</v>
      </c>
      <c r="X942" s="1644" t="s">
        <v>5064</v>
      </c>
      <c r="Y942" s="1647">
        <v>38120</v>
      </c>
      <c r="Z942" s="1647">
        <v>38485</v>
      </c>
      <c r="AA942" s="1650">
        <f t="shared" ca="1" si="63"/>
        <v>5.916666666666667</v>
      </c>
      <c r="AB942" s="2444" t="s">
        <v>3629</v>
      </c>
      <c r="AC942" s="2446" t="e">
        <f t="shared" si="64"/>
        <v>#REF!</v>
      </c>
      <c r="AD942" s="2438"/>
    </row>
    <row r="943" spans="1:30" ht="15.75" hidden="1" customHeight="1">
      <c r="A943" s="1644">
        <f t="shared" si="48"/>
        <v>167</v>
      </c>
      <c r="B943" s="1645" t="s">
        <v>5198</v>
      </c>
      <c r="C943" s="1645" t="s">
        <v>5190</v>
      </c>
      <c r="D943" s="1645" t="s">
        <v>5194</v>
      </c>
      <c r="E943" s="1644" t="s">
        <v>2798</v>
      </c>
      <c r="F943" s="1645">
        <f t="shared" si="60"/>
        <v>1987</v>
      </c>
      <c r="G943" s="1647">
        <v>32099</v>
      </c>
      <c r="H943" s="1644" t="s">
        <v>3648</v>
      </c>
      <c r="I943" s="1648" t="s">
        <v>3629</v>
      </c>
      <c r="J943" s="1645" t="s">
        <v>37</v>
      </c>
      <c r="K943" s="1645"/>
      <c r="L943" s="1645" t="s">
        <v>3794</v>
      </c>
      <c r="M943" s="1645" t="s">
        <v>4798</v>
      </c>
      <c r="N943" s="1645"/>
      <c r="O943" s="1645">
        <v>0</v>
      </c>
      <c r="P943" s="1649"/>
      <c r="Q943" s="1645"/>
      <c r="R943" s="1647" t="s">
        <v>3667</v>
      </c>
      <c r="S943" s="1644" t="s">
        <v>3795</v>
      </c>
      <c r="T943" s="1644"/>
      <c r="U943" s="1644"/>
      <c r="V943" s="1644" t="s">
        <v>3649</v>
      </c>
      <c r="W943" s="1650" t="s">
        <v>3822</v>
      </c>
      <c r="X943" s="1644"/>
      <c r="Y943" s="1647"/>
      <c r="Z943" s="1647"/>
      <c r="AA943" s="1650">
        <f t="shared" ca="1" si="63"/>
        <v>18.083333333333332</v>
      </c>
      <c r="AB943" s="2444" t="s">
        <v>3629</v>
      </c>
      <c r="AC943" s="2445"/>
      <c r="AD943" s="2438"/>
    </row>
    <row r="944" spans="1:30" ht="15.75" hidden="1" customHeight="1">
      <c r="A944" s="1644">
        <f t="shared" si="48"/>
        <v>167</v>
      </c>
      <c r="B944" s="1645" t="s">
        <v>5199</v>
      </c>
      <c r="C944" s="1645" t="s">
        <v>5190</v>
      </c>
      <c r="D944" s="1645" t="s">
        <v>5194</v>
      </c>
      <c r="E944" s="1644" t="s">
        <v>2798</v>
      </c>
      <c r="F944" s="1645">
        <f t="shared" si="60"/>
        <v>1984</v>
      </c>
      <c r="G944" s="1647">
        <v>30761</v>
      </c>
      <c r="H944" s="1644" t="s">
        <v>3642</v>
      </c>
      <c r="I944" s="1648" t="s">
        <v>3629</v>
      </c>
      <c r="J944" s="1645" t="s">
        <v>201</v>
      </c>
      <c r="K944" s="1645">
        <v>0</v>
      </c>
      <c r="L944" s="1645" t="s">
        <v>1701</v>
      </c>
      <c r="M944" s="1645">
        <v>0</v>
      </c>
      <c r="N944" s="1645"/>
      <c r="O944" s="1645" t="s">
        <v>3645</v>
      </c>
      <c r="P944" s="1649"/>
      <c r="Q944" s="1645"/>
      <c r="R944" s="1644"/>
      <c r="S944" s="1644"/>
      <c r="T944" s="1644"/>
      <c r="U944" s="1644"/>
      <c r="V944" s="1644"/>
      <c r="W944" s="1650" t="s">
        <v>3646</v>
      </c>
      <c r="X944" s="1644"/>
      <c r="Y944" s="1647"/>
      <c r="Z944" s="1647"/>
      <c r="AA944" s="1650">
        <f t="shared" ca="1" si="63"/>
        <v>14.416666666666666</v>
      </c>
      <c r="AB944" s="2444" t="s">
        <v>3629</v>
      </c>
      <c r="AC944" s="2445"/>
      <c r="AD944" s="2438"/>
    </row>
    <row r="945" spans="1:30" ht="15.75" hidden="1" customHeight="1">
      <c r="A945" s="1644">
        <f t="shared" si="48"/>
        <v>167</v>
      </c>
      <c r="B945" s="1645" t="s">
        <v>5200</v>
      </c>
      <c r="C945" s="1645" t="s">
        <v>5190</v>
      </c>
      <c r="D945" s="1645" t="s">
        <v>5194</v>
      </c>
      <c r="E945" s="1646" t="s">
        <v>2798</v>
      </c>
      <c r="F945" s="1645">
        <f t="shared" si="60"/>
        <v>1985</v>
      </c>
      <c r="G945" s="1647">
        <v>31409</v>
      </c>
      <c r="H945" s="1644" t="s">
        <v>3642</v>
      </c>
      <c r="I945" s="1648" t="s">
        <v>3629</v>
      </c>
      <c r="J945" s="1645" t="s">
        <v>37</v>
      </c>
      <c r="K945" s="1645">
        <v>0</v>
      </c>
      <c r="L945" s="1645" t="s">
        <v>3741</v>
      </c>
      <c r="M945" s="1645">
        <v>0</v>
      </c>
      <c r="N945" s="1645"/>
      <c r="O945" s="1645" t="s">
        <v>3645</v>
      </c>
      <c r="P945" s="1649"/>
      <c r="Q945" s="1645"/>
      <c r="R945" s="1644" t="s">
        <v>5201</v>
      </c>
      <c r="S945" s="1647" t="s">
        <v>5202</v>
      </c>
      <c r="T945" s="1644" t="s">
        <v>936</v>
      </c>
      <c r="U945" s="1644"/>
      <c r="V945" s="1644"/>
      <c r="W945" s="1650" t="s">
        <v>3653</v>
      </c>
      <c r="X945" s="1644"/>
      <c r="Y945" s="1647">
        <v>42556</v>
      </c>
      <c r="Z945" s="1647">
        <v>42921</v>
      </c>
      <c r="AA945" s="1650">
        <f t="shared" ca="1" si="63"/>
        <v>16.166666666666668</v>
      </c>
      <c r="AB945" s="2444" t="s">
        <v>3629</v>
      </c>
      <c r="AC945" s="2445"/>
      <c r="AD945" s="2438"/>
    </row>
    <row r="946" spans="1:30" ht="15.75" hidden="1" customHeight="1">
      <c r="A946" s="1644">
        <f t="shared" si="48"/>
        <v>167</v>
      </c>
      <c r="B946" s="1645" t="s">
        <v>5203</v>
      </c>
      <c r="C946" s="1645" t="s">
        <v>5190</v>
      </c>
      <c r="D946" s="1645" t="s">
        <v>4501</v>
      </c>
      <c r="E946" s="1644" t="s">
        <v>2798</v>
      </c>
      <c r="F946" s="1645">
        <f t="shared" si="60"/>
        <v>1977</v>
      </c>
      <c r="G946" s="1647">
        <v>28442</v>
      </c>
      <c r="H946" s="1644" t="s">
        <v>3628</v>
      </c>
      <c r="I946" s="1648" t="s">
        <v>3629</v>
      </c>
      <c r="J946" s="1645" t="s">
        <v>38</v>
      </c>
      <c r="K946" s="1645">
        <v>0</v>
      </c>
      <c r="L946" s="1645" t="s">
        <v>4417</v>
      </c>
      <c r="M946" s="1645" t="s">
        <v>5204</v>
      </c>
      <c r="N946" s="1645"/>
      <c r="O946" s="1645" t="s">
        <v>5205</v>
      </c>
      <c r="P946" s="1649"/>
      <c r="Q946" s="1645" t="s">
        <v>3693</v>
      </c>
      <c r="R946" s="1647" t="s">
        <v>3702</v>
      </c>
      <c r="S946" s="1644"/>
      <c r="T946" s="1644">
        <v>2016</v>
      </c>
      <c r="U946" s="1644"/>
      <c r="V946" s="1644" t="s">
        <v>936</v>
      </c>
      <c r="W946" s="1644" t="s">
        <v>936</v>
      </c>
      <c r="X946" s="1644" t="s">
        <v>3633</v>
      </c>
      <c r="Y946" s="1647">
        <v>37075</v>
      </c>
      <c r="Z946" s="1647">
        <v>37440</v>
      </c>
      <c r="AA946" s="1650">
        <f t="shared" ca="1" si="63"/>
        <v>8.0833333333333339</v>
      </c>
      <c r="AB946" s="2444" t="s">
        <v>3629</v>
      </c>
      <c r="AC946" s="2445"/>
      <c r="AD946" s="2438"/>
    </row>
    <row r="947" spans="1:30" ht="15.75" hidden="1" customHeight="1">
      <c r="A947" s="1644">
        <f t="shared" si="48"/>
        <v>167</v>
      </c>
      <c r="B947" s="1645" t="s">
        <v>5206</v>
      </c>
      <c r="C947" s="1645" t="s">
        <v>5190</v>
      </c>
      <c r="D947" s="1645" t="s">
        <v>547</v>
      </c>
      <c r="E947" s="1644" t="s">
        <v>2797</v>
      </c>
      <c r="F947" s="1645">
        <f t="shared" si="60"/>
        <v>1977</v>
      </c>
      <c r="G947" s="1647">
        <v>28441</v>
      </c>
      <c r="H947" s="1644" t="s">
        <v>3628</v>
      </c>
      <c r="I947" s="1648" t="s">
        <v>3629</v>
      </c>
      <c r="J947" s="1645" t="s">
        <v>38</v>
      </c>
      <c r="K947" s="1645">
        <v>0</v>
      </c>
      <c r="L947" s="1645" t="s">
        <v>1701</v>
      </c>
      <c r="M947" s="1645" t="s">
        <v>3013</v>
      </c>
      <c r="N947" s="1645"/>
      <c r="O947" s="1645" t="s">
        <v>5207</v>
      </c>
      <c r="P947" s="1649"/>
      <c r="Q947" s="1645" t="s">
        <v>3693</v>
      </c>
      <c r="R947" s="1644" t="s">
        <v>2862</v>
      </c>
      <c r="S947" s="1644"/>
      <c r="T947" s="1644"/>
      <c r="U947" s="1644" t="s">
        <v>3697</v>
      </c>
      <c r="V947" s="1644"/>
      <c r="W947" s="1644" t="s">
        <v>936</v>
      </c>
      <c r="X947" s="1644" t="s">
        <v>3759</v>
      </c>
      <c r="Y947" s="1647">
        <v>38708</v>
      </c>
      <c r="Z947" s="1647">
        <v>39073</v>
      </c>
      <c r="AA947" s="1650">
        <f t="shared" ca="1" si="63"/>
        <v>13.083333333333334</v>
      </c>
      <c r="AB947" s="2444" t="e">
        <v>#REF!</v>
      </c>
      <c r="AC947" s="2446" t="e">
        <f>+#REF!-#REF!</f>
        <v>#REF!</v>
      </c>
      <c r="AD947" s="2438"/>
    </row>
    <row r="948" spans="1:30" ht="15.75" hidden="1" customHeight="1">
      <c r="A948" s="1644">
        <f t="shared" si="48"/>
        <v>167</v>
      </c>
      <c r="B948" s="1645" t="s">
        <v>5208</v>
      </c>
      <c r="C948" s="1645" t="s">
        <v>5190</v>
      </c>
      <c r="D948" s="1645" t="s">
        <v>5209</v>
      </c>
      <c r="E948" s="1644" t="s">
        <v>2797</v>
      </c>
      <c r="F948" s="1645">
        <f t="shared" si="60"/>
        <v>1981</v>
      </c>
      <c r="G948" s="1647">
        <v>29646</v>
      </c>
      <c r="H948" s="1644" t="s">
        <v>3648</v>
      </c>
      <c r="I948" s="1648" t="s">
        <v>3629</v>
      </c>
      <c r="J948" s="1645" t="s">
        <v>37</v>
      </c>
      <c r="K948" s="1645">
        <v>0</v>
      </c>
      <c r="L948" s="1645" t="s">
        <v>1766</v>
      </c>
      <c r="M948" s="1645">
        <v>0</v>
      </c>
      <c r="N948" s="1645"/>
      <c r="O948" s="1645" t="s">
        <v>3645</v>
      </c>
      <c r="P948" s="1649"/>
      <c r="Q948" s="1645"/>
      <c r="R948" s="1644"/>
      <c r="S948" s="1644" t="s">
        <v>4068</v>
      </c>
      <c r="T948" s="1644"/>
      <c r="U948" s="1644"/>
      <c r="V948" s="1644" t="s">
        <v>3649</v>
      </c>
      <c r="W948" s="1650" t="s">
        <v>3646</v>
      </c>
      <c r="X948" s="1644"/>
      <c r="Y948" s="1647"/>
      <c r="Z948" s="1647"/>
      <c r="AA948" s="1650">
        <f t="shared" ca="1" si="63"/>
        <v>16.333333333333332</v>
      </c>
      <c r="AB948" s="2444" t="s">
        <v>3629</v>
      </c>
      <c r="AC948" s="2445"/>
      <c r="AD948" s="2438"/>
    </row>
    <row r="949" spans="1:30" ht="15.75" hidden="1" customHeight="1">
      <c r="A949" s="1644">
        <f t="shared" si="48"/>
        <v>167</v>
      </c>
      <c r="B949" s="1645" t="s">
        <v>5210</v>
      </c>
      <c r="C949" s="1645" t="s">
        <v>5190</v>
      </c>
      <c r="D949" s="1645" t="s">
        <v>5209</v>
      </c>
      <c r="E949" s="1646" t="s">
        <v>2797</v>
      </c>
      <c r="F949" s="1645">
        <f t="shared" si="60"/>
        <v>1979</v>
      </c>
      <c r="G949" s="1647">
        <v>28960</v>
      </c>
      <c r="H949" s="1644" t="s">
        <v>3642</v>
      </c>
      <c r="I949" s="1648" t="s">
        <v>3629</v>
      </c>
      <c r="J949" s="1645" t="s">
        <v>37</v>
      </c>
      <c r="K949" s="1645">
        <v>0</v>
      </c>
      <c r="L949" s="1645" t="s">
        <v>1766</v>
      </c>
      <c r="M949" s="1645" t="s">
        <v>4049</v>
      </c>
      <c r="N949" s="1645"/>
      <c r="O949" s="1645" t="s">
        <v>3645</v>
      </c>
      <c r="P949" s="1649"/>
      <c r="Q949" s="1645"/>
      <c r="R949" s="1644"/>
      <c r="S949" s="1644" t="s">
        <v>3795</v>
      </c>
      <c r="T949" s="1644"/>
      <c r="U949" s="1644"/>
      <c r="V949" s="1644" t="s">
        <v>3649</v>
      </c>
      <c r="W949" s="1650" t="s">
        <v>3653</v>
      </c>
      <c r="X949" s="1644"/>
      <c r="Y949" s="1647"/>
      <c r="Z949" s="1647"/>
      <c r="AA949" s="1650">
        <f t="shared" ca="1" si="63"/>
        <v>14.5</v>
      </c>
      <c r="AB949" s="2444" t="s">
        <v>3629</v>
      </c>
      <c r="AC949" s="2445"/>
      <c r="AD949" s="2438"/>
    </row>
    <row r="950" spans="1:30" ht="15.75" hidden="1" customHeight="1">
      <c r="A950" s="1644">
        <f t="shared" si="48"/>
        <v>167</v>
      </c>
      <c r="B950" s="1645" t="s">
        <v>5211</v>
      </c>
      <c r="C950" s="1645" t="s">
        <v>5190</v>
      </c>
      <c r="D950" s="1645" t="s">
        <v>5209</v>
      </c>
      <c r="E950" s="1644" t="s">
        <v>2797</v>
      </c>
      <c r="F950" s="1645">
        <f t="shared" si="60"/>
        <v>1978</v>
      </c>
      <c r="G950" s="1647">
        <v>28798</v>
      </c>
      <c r="H950" s="1644" t="s">
        <v>3636</v>
      </c>
      <c r="I950" s="1648" t="s">
        <v>3629</v>
      </c>
      <c r="J950" s="1645" t="s">
        <v>37</v>
      </c>
      <c r="K950" s="1645">
        <v>0</v>
      </c>
      <c r="L950" s="1645" t="s">
        <v>1766</v>
      </c>
      <c r="M950" s="1645" t="s">
        <v>4049</v>
      </c>
      <c r="N950" s="1645"/>
      <c r="O950" s="1645" t="s">
        <v>3645</v>
      </c>
      <c r="P950" s="1649"/>
      <c r="Q950" s="1645" t="s">
        <v>3693</v>
      </c>
      <c r="R950" s="1647" t="s">
        <v>3993</v>
      </c>
      <c r="S950" s="1644" t="s">
        <v>3795</v>
      </c>
      <c r="T950" s="1644"/>
      <c r="U950" s="1644" t="s">
        <v>3697</v>
      </c>
      <c r="V950" s="1644"/>
      <c r="W950" s="1644" t="s">
        <v>3968</v>
      </c>
      <c r="X950" s="1644" t="s">
        <v>3633</v>
      </c>
      <c r="Y950" s="1647">
        <v>39466</v>
      </c>
      <c r="Z950" s="1647">
        <v>39832</v>
      </c>
      <c r="AA950" s="1650">
        <f t="shared" ca="1" si="63"/>
        <v>14.083333333333334</v>
      </c>
      <c r="AB950" s="2444" t="e">
        <v>#REF!</v>
      </c>
      <c r="AC950" s="2446" t="e">
        <f>+#REF!-#REF!</f>
        <v>#REF!</v>
      </c>
      <c r="AD950" s="2438"/>
    </row>
    <row r="951" spans="1:30" ht="15.75" hidden="1" customHeight="1">
      <c r="A951" s="1644">
        <f t="shared" si="48"/>
        <v>167</v>
      </c>
      <c r="B951" s="1645" t="s">
        <v>5212</v>
      </c>
      <c r="C951" s="1645" t="s">
        <v>5190</v>
      </c>
      <c r="D951" s="1645" t="s">
        <v>5209</v>
      </c>
      <c r="E951" s="1646" t="s">
        <v>2797</v>
      </c>
      <c r="F951" s="1645">
        <f>+YEAR(G951)</f>
        <v>1978</v>
      </c>
      <c r="G951" s="1647">
        <v>28545</v>
      </c>
      <c r="H951" s="1667" t="s">
        <v>3648</v>
      </c>
      <c r="I951" s="1648" t="s">
        <v>3629</v>
      </c>
      <c r="J951" s="1645" t="s">
        <v>201</v>
      </c>
      <c r="K951" s="1645"/>
      <c r="L951" s="1645" t="s">
        <v>3794</v>
      </c>
      <c r="M951" s="1645">
        <v>0</v>
      </c>
      <c r="N951" s="1645"/>
      <c r="O951" s="1645">
        <v>0</v>
      </c>
      <c r="P951" s="1649"/>
      <c r="Q951" s="1645"/>
      <c r="R951" s="1644"/>
      <c r="S951" s="1644" t="s">
        <v>4068</v>
      </c>
      <c r="T951" s="1644"/>
      <c r="U951" s="1644"/>
      <c r="V951" s="1644"/>
      <c r="W951" s="1644"/>
      <c r="X951" s="1644"/>
      <c r="Y951" s="1644"/>
      <c r="Z951" s="1644"/>
      <c r="AA951" s="1654">
        <f t="shared" ca="1" si="63"/>
        <v>13.333333333333334</v>
      </c>
      <c r="AB951" s="2444" t="e">
        <v>#REF!</v>
      </c>
      <c r="AC951" s="2445"/>
      <c r="AD951" s="2438"/>
    </row>
    <row r="952" spans="1:30" ht="15.75" hidden="1" customHeight="1">
      <c r="A952" s="1644">
        <f t="shared" si="48"/>
        <v>167</v>
      </c>
      <c r="B952" s="1645" t="s">
        <v>5213</v>
      </c>
      <c r="C952" s="1645" t="s">
        <v>5190</v>
      </c>
      <c r="D952" s="1645" t="s">
        <v>5209</v>
      </c>
      <c r="E952" s="1644" t="s">
        <v>2797</v>
      </c>
      <c r="F952" s="1645">
        <f t="shared" ref="F952:F1014" si="65">YEAR(G952)</f>
        <v>1978</v>
      </c>
      <c r="G952" s="1647">
        <v>28722</v>
      </c>
      <c r="H952" s="1644" t="s">
        <v>4139</v>
      </c>
      <c r="I952" s="1648" t="s">
        <v>3629</v>
      </c>
      <c r="J952" s="1645" t="s">
        <v>37</v>
      </c>
      <c r="K952" s="1645">
        <v>0</v>
      </c>
      <c r="L952" s="1645" t="s">
        <v>3794</v>
      </c>
      <c r="M952" s="1645" t="s">
        <v>4798</v>
      </c>
      <c r="N952" s="1645"/>
      <c r="O952" s="1645">
        <v>0</v>
      </c>
      <c r="P952" s="1649"/>
      <c r="Q952" s="1645"/>
      <c r="R952" s="1644"/>
      <c r="S952" s="1644" t="s">
        <v>3795</v>
      </c>
      <c r="T952" s="1644"/>
      <c r="U952" s="1644"/>
      <c r="V952" s="1644" t="s">
        <v>4141</v>
      </c>
      <c r="W952" s="1644">
        <v>0</v>
      </c>
      <c r="X952" s="1644" t="s">
        <v>3633</v>
      </c>
      <c r="Y952" s="1647">
        <v>37795</v>
      </c>
      <c r="Z952" s="1647">
        <v>38161</v>
      </c>
      <c r="AA952" s="1650">
        <f t="shared" ca="1" si="63"/>
        <v>13.833333333333334</v>
      </c>
      <c r="AB952" s="2444" t="s">
        <v>3629</v>
      </c>
      <c r="AC952" s="2446" t="e">
        <f t="shared" ref="AC952:AC953" si="66">+#REF!-#REF!</f>
        <v>#REF!</v>
      </c>
      <c r="AD952" s="2438"/>
    </row>
    <row r="953" spans="1:30" ht="15.75" hidden="1" customHeight="1">
      <c r="A953" s="1644">
        <f t="shared" si="48"/>
        <v>167</v>
      </c>
      <c r="B953" s="1645" t="s">
        <v>5214</v>
      </c>
      <c r="C953" s="1645" t="s">
        <v>5190</v>
      </c>
      <c r="D953" s="1645" t="s">
        <v>5209</v>
      </c>
      <c r="E953" s="1644" t="s">
        <v>2797</v>
      </c>
      <c r="F953" s="1645">
        <f t="shared" si="65"/>
        <v>1980</v>
      </c>
      <c r="G953" s="1647">
        <v>29314</v>
      </c>
      <c r="H953" s="1644" t="s">
        <v>3642</v>
      </c>
      <c r="I953" s="1648" t="s">
        <v>3629</v>
      </c>
      <c r="J953" s="1645" t="s">
        <v>37</v>
      </c>
      <c r="K953" s="1645">
        <v>0</v>
      </c>
      <c r="L953" s="1645" t="s">
        <v>1766</v>
      </c>
      <c r="M953" s="1645">
        <v>0</v>
      </c>
      <c r="N953" s="1645"/>
      <c r="O953" s="1645" t="s">
        <v>3645</v>
      </c>
      <c r="P953" s="1649"/>
      <c r="Q953" s="1645"/>
      <c r="R953" s="1644"/>
      <c r="S953" s="1644" t="s">
        <v>4068</v>
      </c>
      <c r="T953" s="1644"/>
      <c r="U953" s="1644"/>
      <c r="V953" s="1644" t="s">
        <v>3657</v>
      </c>
      <c r="W953" s="1650" t="s">
        <v>3653</v>
      </c>
      <c r="X953" s="1644"/>
      <c r="Y953" s="1647">
        <v>37984</v>
      </c>
      <c r="Z953" s="1647">
        <v>38350</v>
      </c>
      <c r="AA953" s="1650">
        <f t="shared" ca="1" si="63"/>
        <v>15.5</v>
      </c>
      <c r="AB953" s="2444" t="s">
        <v>3629</v>
      </c>
      <c r="AC953" s="2446" t="e">
        <f t="shared" si="66"/>
        <v>#REF!</v>
      </c>
      <c r="AD953" s="2438"/>
    </row>
    <row r="954" spans="1:30" ht="15.75" hidden="1" customHeight="1">
      <c r="A954" s="1644">
        <f t="shared" si="48"/>
        <v>167</v>
      </c>
      <c r="B954" s="1645" t="s">
        <v>5215</v>
      </c>
      <c r="C954" s="1645" t="s">
        <v>5190</v>
      </c>
      <c r="D954" s="1645" t="s">
        <v>5209</v>
      </c>
      <c r="E954" s="1646" t="s">
        <v>2797</v>
      </c>
      <c r="F954" s="1645">
        <f t="shared" si="65"/>
        <v>1987</v>
      </c>
      <c r="G954" s="1647">
        <v>31846</v>
      </c>
      <c r="H954" s="1644" t="s">
        <v>3642</v>
      </c>
      <c r="I954" s="1648" t="s">
        <v>3629</v>
      </c>
      <c r="J954" s="1645" t="s">
        <v>37</v>
      </c>
      <c r="K954" s="1645">
        <v>0</v>
      </c>
      <c r="L954" s="1645" t="s">
        <v>5216</v>
      </c>
      <c r="M954" s="1645" t="s">
        <v>4798</v>
      </c>
      <c r="N954" s="1645"/>
      <c r="O954" s="1645" t="s">
        <v>3645</v>
      </c>
      <c r="P954" s="1649"/>
      <c r="Q954" s="1645"/>
      <c r="R954" s="1644"/>
      <c r="S954" s="1644" t="s">
        <v>3795</v>
      </c>
      <c r="T954" s="1644" t="s">
        <v>936</v>
      </c>
      <c r="U954" s="1644"/>
      <c r="V954" s="1644" t="s">
        <v>3980</v>
      </c>
      <c r="W954" s="1650" t="s">
        <v>3653</v>
      </c>
      <c r="X954" s="1644"/>
      <c r="Y954" s="1647">
        <v>39829</v>
      </c>
      <c r="Z954" s="1647">
        <v>40194</v>
      </c>
      <c r="AA954" s="1650">
        <f t="shared" ca="1" si="63"/>
        <v>22.416666666666668</v>
      </c>
      <c r="AB954" s="2444" t="s">
        <v>3629</v>
      </c>
      <c r="AC954" s="2445"/>
      <c r="AD954" s="2438"/>
    </row>
    <row r="955" spans="1:30" ht="15.75" hidden="1" customHeight="1">
      <c r="A955" s="1644">
        <f t="shared" si="48"/>
        <v>167</v>
      </c>
      <c r="B955" s="1645" t="s">
        <v>5217</v>
      </c>
      <c r="C955" s="1645" t="s">
        <v>5190</v>
      </c>
      <c r="D955" s="1645" t="s">
        <v>5209</v>
      </c>
      <c r="E955" s="1644" t="s">
        <v>2797</v>
      </c>
      <c r="F955" s="1645">
        <f t="shared" si="65"/>
        <v>1980</v>
      </c>
      <c r="G955" s="1647">
        <v>29350</v>
      </c>
      <c r="H955" s="1644" t="s">
        <v>3651</v>
      </c>
      <c r="I955" s="1648" t="s">
        <v>3629</v>
      </c>
      <c r="J955" s="1645" t="s">
        <v>201</v>
      </c>
      <c r="K955" s="1645">
        <v>0</v>
      </c>
      <c r="L955" s="1645" t="s">
        <v>3794</v>
      </c>
      <c r="M955" s="1645">
        <v>0</v>
      </c>
      <c r="N955" s="1645"/>
      <c r="O955" s="1645" t="s">
        <v>3645</v>
      </c>
      <c r="P955" s="1649"/>
      <c r="Q955" s="1645"/>
      <c r="R955" s="1644"/>
      <c r="S955" s="1644" t="s">
        <v>4068</v>
      </c>
      <c r="T955" s="1644"/>
      <c r="U955" s="1644"/>
      <c r="V955" s="1644"/>
      <c r="W955" s="1650" t="s">
        <v>3653</v>
      </c>
      <c r="X955" s="1644" t="s">
        <v>3712</v>
      </c>
      <c r="Y955" s="1647"/>
      <c r="Z955" s="1647"/>
      <c r="AA955" s="1650">
        <f t="shared" ca="1" si="63"/>
        <v>15.583333333333334</v>
      </c>
      <c r="AB955" s="2444" t="s">
        <v>3629</v>
      </c>
      <c r="AC955" s="2445"/>
      <c r="AD955" s="2438"/>
    </row>
    <row r="956" spans="1:30" ht="15.75" hidden="1" customHeight="1">
      <c r="A956" s="1644">
        <f t="shared" si="48"/>
        <v>167</v>
      </c>
      <c r="B956" s="1645" t="s">
        <v>5218</v>
      </c>
      <c r="C956" s="1645" t="s">
        <v>5190</v>
      </c>
      <c r="D956" s="1645" t="s">
        <v>5219</v>
      </c>
      <c r="E956" s="1646" t="s">
        <v>2797</v>
      </c>
      <c r="F956" s="1645">
        <f t="shared" si="65"/>
        <v>1978</v>
      </c>
      <c r="G956" s="1647">
        <v>28711</v>
      </c>
      <c r="H956" s="1644" t="s">
        <v>3628</v>
      </c>
      <c r="I956" s="1648" t="s">
        <v>3629</v>
      </c>
      <c r="J956" s="1645" t="s">
        <v>38</v>
      </c>
      <c r="K956" s="1645">
        <v>0</v>
      </c>
      <c r="L956" s="1645" t="s">
        <v>3794</v>
      </c>
      <c r="M956" s="1645" t="s">
        <v>5220</v>
      </c>
      <c r="N956" s="1645"/>
      <c r="O956" s="1645" t="s">
        <v>4124</v>
      </c>
      <c r="P956" s="1649"/>
      <c r="Q956" s="1645" t="s">
        <v>3693</v>
      </c>
      <c r="R956" s="1647" t="s">
        <v>5221</v>
      </c>
      <c r="S956" s="1644" t="s">
        <v>4801</v>
      </c>
      <c r="T956" s="1644" t="s">
        <v>936</v>
      </c>
      <c r="U956" s="1644"/>
      <c r="V956" s="1644"/>
      <c r="W956" s="1650" t="s">
        <v>3653</v>
      </c>
      <c r="X956" s="1644" t="s">
        <v>3633</v>
      </c>
      <c r="Y956" s="1647">
        <v>38706</v>
      </c>
      <c r="Z956" s="1647">
        <v>39071</v>
      </c>
      <c r="AA956" s="1650">
        <f t="shared" ca="1" si="63"/>
        <v>13.833333333333334</v>
      </c>
      <c r="AB956" s="2444" t="e">
        <v>#REF!</v>
      </c>
      <c r="AC956" s="2446" t="e">
        <f>+#REF!-#REF!</f>
        <v>#REF!</v>
      </c>
      <c r="AD956" s="2438"/>
    </row>
    <row r="957" spans="1:30" ht="15.75" hidden="1" customHeight="1">
      <c r="A957" s="1644">
        <f t="shared" si="48"/>
        <v>167</v>
      </c>
      <c r="B957" s="1645" t="s">
        <v>5222</v>
      </c>
      <c r="C957" s="1645" t="s">
        <v>5190</v>
      </c>
      <c r="D957" s="1645" t="s">
        <v>5219</v>
      </c>
      <c r="E957" s="1646" t="s">
        <v>2797</v>
      </c>
      <c r="F957" s="1645">
        <f t="shared" si="65"/>
        <v>1986</v>
      </c>
      <c r="G957" s="1647">
        <v>31474</v>
      </c>
      <c r="H957" s="1644" t="s">
        <v>3636</v>
      </c>
      <c r="I957" s="1648" t="s">
        <v>3629</v>
      </c>
      <c r="J957" s="1645" t="s">
        <v>37</v>
      </c>
      <c r="K957" s="1645">
        <v>0</v>
      </c>
      <c r="L957" s="1645" t="s">
        <v>3794</v>
      </c>
      <c r="M957" s="1645" t="s">
        <v>3794</v>
      </c>
      <c r="N957" s="1645"/>
      <c r="O957" s="1645" t="s">
        <v>3645</v>
      </c>
      <c r="P957" s="1649"/>
      <c r="Q957" s="1645"/>
      <c r="R957" s="1647" t="s">
        <v>3699</v>
      </c>
      <c r="S957" s="1644" t="s">
        <v>3795</v>
      </c>
      <c r="T957" s="1644" t="s">
        <v>936</v>
      </c>
      <c r="U957" s="1644" t="s">
        <v>3711</v>
      </c>
      <c r="V957" s="1644"/>
      <c r="W957" s="1650" t="s">
        <v>3653</v>
      </c>
      <c r="X957" s="1644"/>
      <c r="Y957" s="1647">
        <v>43056</v>
      </c>
      <c r="Z957" s="1647">
        <v>43421</v>
      </c>
      <c r="AA957" s="1650">
        <f t="shared" ca="1" si="63"/>
        <v>21.416666666666668</v>
      </c>
      <c r="AB957" s="2444" t="s">
        <v>3629</v>
      </c>
      <c r="AC957" s="2445"/>
      <c r="AD957" s="2438"/>
    </row>
    <row r="958" spans="1:30" ht="15.75" hidden="1" customHeight="1">
      <c r="A958" s="1644">
        <f t="shared" si="48"/>
        <v>167</v>
      </c>
      <c r="B958" s="1645" t="s">
        <v>5223</v>
      </c>
      <c r="C958" s="1645" t="s">
        <v>5190</v>
      </c>
      <c r="D958" s="1645" t="s">
        <v>5219</v>
      </c>
      <c r="E958" s="1646" t="s">
        <v>2798</v>
      </c>
      <c r="F958" s="1645">
        <f t="shared" si="65"/>
        <v>1988</v>
      </c>
      <c r="G958" s="1647">
        <v>32417</v>
      </c>
      <c r="H958" s="1644" t="s">
        <v>3642</v>
      </c>
      <c r="I958" s="1648" t="s">
        <v>3629</v>
      </c>
      <c r="J958" s="1645" t="s">
        <v>37</v>
      </c>
      <c r="K958" s="1645">
        <v>0</v>
      </c>
      <c r="L958" s="1645" t="s">
        <v>1664</v>
      </c>
      <c r="M958" s="1645" t="s">
        <v>1664</v>
      </c>
      <c r="N958" s="1645"/>
      <c r="O958" s="1645" t="s">
        <v>3645</v>
      </c>
      <c r="P958" s="1649"/>
      <c r="Q958" s="1645"/>
      <c r="R958" s="1644"/>
      <c r="S958" s="1644"/>
      <c r="T958" s="1644" t="s">
        <v>936</v>
      </c>
      <c r="U958" s="1644"/>
      <c r="V958" s="1644" t="s">
        <v>3657</v>
      </c>
      <c r="W958" s="1644" t="s">
        <v>4053</v>
      </c>
      <c r="X958" s="1644"/>
      <c r="Y958" s="1647"/>
      <c r="Z958" s="1647"/>
      <c r="AA958" s="1650">
        <f t="shared" ca="1" si="63"/>
        <v>18.916666666666668</v>
      </c>
      <c r="AB958" s="2444" t="s">
        <v>3629</v>
      </c>
      <c r="AC958" s="2445"/>
      <c r="AD958" s="2438"/>
    </row>
    <row r="959" spans="1:30" ht="15.75" hidden="1" customHeight="1">
      <c r="A959" s="1644">
        <f t="shared" si="48"/>
        <v>167</v>
      </c>
      <c r="B959" s="1645" t="s">
        <v>5224</v>
      </c>
      <c r="C959" s="1645" t="s">
        <v>5190</v>
      </c>
      <c r="D959" s="1645" t="s">
        <v>5219</v>
      </c>
      <c r="E959" s="1644" t="s">
        <v>2797</v>
      </c>
      <c r="F959" s="1645">
        <f t="shared" si="65"/>
        <v>1980</v>
      </c>
      <c r="G959" s="1647">
        <v>29254</v>
      </c>
      <c r="H959" s="1644" t="s">
        <v>3636</v>
      </c>
      <c r="I959" s="1648" t="s">
        <v>3629</v>
      </c>
      <c r="J959" s="1645" t="s">
        <v>38</v>
      </c>
      <c r="K959" s="1645">
        <v>0</v>
      </c>
      <c r="L959" s="1645" t="s">
        <v>5109</v>
      </c>
      <c r="M959" s="1645" t="s">
        <v>5225</v>
      </c>
      <c r="N959" s="1645"/>
      <c r="O959" s="1645" t="s">
        <v>5225</v>
      </c>
      <c r="P959" s="1649"/>
      <c r="Q959" s="1645"/>
      <c r="R959" s="1647" t="s">
        <v>3702</v>
      </c>
      <c r="S959" s="1647" t="s">
        <v>5226</v>
      </c>
      <c r="T959" s="1644" t="s">
        <v>936</v>
      </c>
      <c r="U959" s="1644" t="s">
        <v>3711</v>
      </c>
      <c r="V959" s="1644"/>
      <c r="W959" s="1644">
        <v>0</v>
      </c>
      <c r="X959" s="1644" t="s">
        <v>3707</v>
      </c>
      <c r="Y959" s="1647">
        <v>40713</v>
      </c>
      <c r="Z959" s="1647">
        <v>41079</v>
      </c>
      <c r="AA959" s="1650">
        <f t="shared" ca="1" si="63"/>
        <v>15.333333333333334</v>
      </c>
      <c r="AB959" s="2444" t="s">
        <v>3629</v>
      </c>
      <c r="AC959" s="2445"/>
      <c r="AD959" s="2438"/>
    </row>
    <row r="960" spans="1:30" ht="15.75" hidden="1" customHeight="1">
      <c r="A960" s="1644">
        <f t="shared" si="48"/>
        <v>167</v>
      </c>
      <c r="B960" s="1645" t="s">
        <v>5227</v>
      </c>
      <c r="C960" s="1645" t="s">
        <v>5190</v>
      </c>
      <c r="D960" s="1645" t="s">
        <v>5219</v>
      </c>
      <c r="E960" s="1644" t="s">
        <v>2797</v>
      </c>
      <c r="F960" s="1645">
        <f t="shared" si="65"/>
        <v>1985</v>
      </c>
      <c r="G960" s="1647">
        <v>31233</v>
      </c>
      <c r="H960" s="1644" t="s">
        <v>3636</v>
      </c>
      <c r="I960" s="1648" t="s">
        <v>3629</v>
      </c>
      <c r="J960" s="1645" t="s">
        <v>37</v>
      </c>
      <c r="K960" s="1645">
        <v>0</v>
      </c>
      <c r="L960" s="1645" t="s">
        <v>3794</v>
      </c>
      <c r="M960" s="1645" t="s">
        <v>4124</v>
      </c>
      <c r="N960" s="1645"/>
      <c r="O960" s="1645" t="s">
        <v>3645</v>
      </c>
      <c r="P960" s="1649"/>
      <c r="Q960" s="1645"/>
      <c r="R960" s="1647" t="s">
        <v>3727</v>
      </c>
      <c r="S960" s="1644" t="s">
        <v>3795</v>
      </c>
      <c r="T960" s="1644" t="s">
        <v>936</v>
      </c>
      <c r="U960" s="1644" t="s">
        <v>3711</v>
      </c>
      <c r="V960" s="1644"/>
      <c r="W960" s="1650" t="s">
        <v>3646</v>
      </c>
      <c r="X960" s="1644"/>
      <c r="Y960" s="1647">
        <v>41778</v>
      </c>
      <c r="Z960" s="1647">
        <v>42143</v>
      </c>
      <c r="AA960" s="1650">
        <f t="shared" ca="1" si="63"/>
        <v>20.75</v>
      </c>
      <c r="AB960" s="2444" t="s">
        <v>3629</v>
      </c>
      <c r="AC960" s="2445"/>
      <c r="AD960" s="2438"/>
    </row>
    <row r="961" spans="1:30" ht="15.75" hidden="1" customHeight="1">
      <c r="A961" s="1644">
        <f t="shared" si="48"/>
        <v>167</v>
      </c>
      <c r="B961" s="1645" t="s">
        <v>5228</v>
      </c>
      <c r="C961" s="1645" t="s">
        <v>5190</v>
      </c>
      <c r="D961" s="1645" t="s">
        <v>5219</v>
      </c>
      <c r="E961" s="1646" t="s">
        <v>2797</v>
      </c>
      <c r="F961" s="1645">
        <f t="shared" si="65"/>
        <v>1974</v>
      </c>
      <c r="G961" s="1647">
        <v>27323</v>
      </c>
      <c r="H961" s="1644" t="s">
        <v>3628</v>
      </c>
      <c r="I961" s="1648" t="s">
        <v>3629</v>
      </c>
      <c r="J961" s="1645" t="s">
        <v>38</v>
      </c>
      <c r="K961" s="1645">
        <v>0</v>
      </c>
      <c r="L961" s="1645" t="s">
        <v>2824</v>
      </c>
      <c r="M961" s="1645" t="s">
        <v>5229</v>
      </c>
      <c r="N961" s="1645"/>
      <c r="O961" s="1645" t="s">
        <v>5229</v>
      </c>
      <c r="P961" s="1649"/>
      <c r="Q961" s="1645"/>
      <c r="R961" s="1647" t="s">
        <v>3702</v>
      </c>
      <c r="S961" s="1644"/>
      <c r="T961" s="1644" t="s">
        <v>936</v>
      </c>
      <c r="U961" s="1644" t="s">
        <v>3631</v>
      </c>
      <c r="V961" s="1644"/>
      <c r="W961" s="1650" t="s">
        <v>3632</v>
      </c>
      <c r="X961" s="1644" t="s">
        <v>3633</v>
      </c>
      <c r="Y961" s="1647">
        <v>41426</v>
      </c>
      <c r="Z961" s="1647">
        <v>41791</v>
      </c>
      <c r="AA961" s="1650">
        <f t="shared" ca="1" si="63"/>
        <v>10</v>
      </c>
      <c r="AB961" s="2444" t="e">
        <v>#REF!</v>
      </c>
      <c r="AC961" s="2446" t="e">
        <f>+#REF!-#REF!</f>
        <v>#REF!</v>
      </c>
      <c r="AD961" s="2438"/>
    </row>
    <row r="962" spans="1:30" ht="15.75" hidden="1" customHeight="1">
      <c r="A962" s="1644">
        <f t="shared" si="48"/>
        <v>167</v>
      </c>
      <c r="B962" s="1645" t="s">
        <v>5230</v>
      </c>
      <c r="C962" s="1645" t="s">
        <v>5190</v>
      </c>
      <c r="D962" s="1645" t="s">
        <v>5219</v>
      </c>
      <c r="E962" s="1644" t="s">
        <v>2797</v>
      </c>
      <c r="F962" s="1645">
        <f t="shared" si="65"/>
        <v>1975</v>
      </c>
      <c r="G962" s="1647">
        <v>27461</v>
      </c>
      <c r="H962" s="1644" t="s">
        <v>3642</v>
      </c>
      <c r="I962" s="1648" t="s">
        <v>3629</v>
      </c>
      <c r="J962" s="1645" t="s">
        <v>201</v>
      </c>
      <c r="K962" s="1645">
        <v>0</v>
      </c>
      <c r="L962" s="1645" t="s">
        <v>5231</v>
      </c>
      <c r="M962" s="1645">
        <v>0</v>
      </c>
      <c r="N962" s="1645"/>
      <c r="O962" s="1645" t="s">
        <v>3645</v>
      </c>
      <c r="P962" s="1649"/>
      <c r="Q962" s="1645"/>
      <c r="R962" s="1644"/>
      <c r="S962" s="1644"/>
      <c r="T962" s="1644"/>
      <c r="U962" s="1644"/>
      <c r="V962" s="1644"/>
      <c r="W962" s="1650" t="s">
        <v>3653</v>
      </c>
      <c r="X962" s="1644"/>
      <c r="Y962" s="1647">
        <v>41137</v>
      </c>
      <c r="Z962" s="1647">
        <v>41502</v>
      </c>
      <c r="AA962" s="1650">
        <f t="shared" ca="1" si="63"/>
        <v>10.416666666666666</v>
      </c>
      <c r="AB962" s="2444" t="e">
        <v>#REF!</v>
      </c>
      <c r="AC962" s="2445"/>
      <c r="AD962" s="2438"/>
    </row>
    <row r="963" spans="1:30" ht="15.75" hidden="1" customHeight="1">
      <c r="A963" s="1644">
        <f t="shared" si="48"/>
        <v>167</v>
      </c>
      <c r="B963" s="1645" t="s">
        <v>5232</v>
      </c>
      <c r="C963" s="1645" t="s">
        <v>5190</v>
      </c>
      <c r="D963" s="1645" t="s">
        <v>5219</v>
      </c>
      <c r="E963" s="1644" t="s">
        <v>2797</v>
      </c>
      <c r="F963" s="1645">
        <f t="shared" si="65"/>
        <v>1981</v>
      </c>
      <c r="G963" s="1647">
        <v>29924</v>
      </c>
      <c r="H963" s="1644" t="s">
        <v>3628</v>
      </c>
      <c r="I963" s="1648" t="s">
        <v>3629</v>
      </c>
      <c r="J963" s="1645" t="s">
        <v>38</v>
      </c>
      <c r="K963" s="1645">
        <v>0</v>
      </c>
      <c r="L963" s="1645" t="s">
        <v>3794</v>
      </c>
      <c r="M963" s="1645" t="s">
        <v>4124</v>
      </c>
      <c r="N963" s="1645"/>
      <c r="O963" s="1645" t="s">
        <v>5233</v>
      </c>
      <c r="P963" s="1649"/>
      <c r="Q963" s="1645" t="s">
        <v>3757</v>
      </c>
      <c r="R963" s="1647" t="s">
        <v>3758</v>
      </c>
      <c r="S963" s="1644" t="s">
        <v>4801</v>
      </c>
      <c r="T963" s="1644">
        <v>2016</v>
      </c>
      <c r="U963" s="1644" t="s">
        <v>3631</v>
      </c>
      <c r="V963" s="1644"/>
      <c r="W963" s="1650" t="s">
        <v>3653</v>
      </c>
      <c r="X963" s="1644" t="s">
        <v>3633</v>
      </c>
      <c r="Y963" s="1647">
        <v>39466</v>
      </c>
      <c r="Z963" s="1647">
        <v>39832</v>
      </c>
      <c r="AA963" s="1650">
        <f t="shared" ca="1" si="63"/>
        <v>17.166666666666668</v>
      </c>
      <c r="AB963" s="2444" t="e">
        <v>#REF!</v>
      </c>
      <c r="AC963" s="2446" t="e">
        <f>+#REF!-#REF!</f>
        <v>#REF!</v>
      </c>
      <c r="AD963" s="2438"/>
    </row>
    <row r="964" spans="1:30" ht="15.75" hidden="1" customHeight="1">
      <c r="A964" s="1644">
        <f t="shared" si="48"/>
        <v>167</v>
      </c>
      <c r="B964" s="1645" t="s">
        <v>5234</v>
      </c>
      <c r="C964" s="1645" t="s">
        <v>5190</v>
      </c>
      <c r="D964" s="1645" t="s">
        <v>5219</v>
      </c>
      <c r="E964" s="1646" t="s">
        <v>2797</v>
      </c>
      <c r="F964" s="1645">
        <f t="shared" si="65"/>
        <v>1987</v>
      </c>
      <c r="G964" s="1647">
        <v>32083</v>
      </c>
      <c r="H964" s="1644" t="s">
        <v>3636</v>
      </c>
      <c r="I964" s="1648" t="s">
        <v>3629</v>
      </c>
      <c r="J964" s="1645" t="s">
        <v>37</v>
      </c>
      <c r="K964" s="1645">
        <v>0</v>
      </c>
      <c r="L964" s="1645" t="s">
        <v>3794</v>
      </c>
      <c r="M964" s="1645" t="s">
        <v>3794</v>
      </c>
      <c r="N964" s="1645"/>
      <c r="O964" s="1645">
        <v>0</v>
      </c>
      <c r="P964" s="1649"/>
      <c r="Q964" s="1645"/>
      <c r="R964" s="1647" t="s">
        <v>3727</v>
      </c>
      <c r="S964" s="1644" t="s">
        <v>3795</v>
      </c>
      <c r="T964" s="1644">
        <v>0</v>
      </c>
      <c r="U964" s="1644"/>
      <c r="V964" s="1644"/>
      <c r="W964" s="1644">
        <v>0</v>
      </c>
      <c r="X964" s="1644"/>
      <c r="Y964" s="1647">
        <v>43711</v>
      </c>
      <c r="Z964" s="1647">
        <v>44077</v>
      </c>
      <c r="AA964" s="1650">
        <f t="shared" ca="1" si="63"/>
        <v>23</v>
      </c>
      <c r="AB964" s="2444" t="s">
        <v>3629</v>
      </c>
      <c r="AC964" s="2445"/>
      <c r="AD964" s="2438"/>
    </row>
    <row r="965" spans="1:30" ht="15.75" hidden="1" customHeight="1">
      <c r="A965" s="1644">
        <f t="shared" si="48"/>
        <v>167</v>
      </c>
      <c r="B965" s="1645" t="s">
        <v>5235</v>
      </c>
      <c r="C965" s="1645" t="s">
        <v>5190</v>
      </c>
      <c r="D965" s="1645" t="s">
        <v>5236</v>
      </c>
      <c r="E965" s="1646" t="s">
        <v>2798</v>
      </c>
      <c r="F965" s="1645">
        <f t="shared" si="65"/>
        <v>1989</v>
      </c>
      <c r="G965" s="1647">
        <v>32813</v>
      </c>
      <c r="H965" s="1644" t="s">
        <v>3642</v>
      </c>
      <c r="I965" s="1648" t="s">
        <v>3629</v>
      </c>
      <c r="J965" s="1645" t="s">
        <v>37</v>
      </c>
      <c r="K965" s="1645">
        <v>0</v>
      </c>
      <c r="L965" s="1645" t="s">
        <v>5237</v>
      </c>
      <c r="M965" s="1645" t="s">
        <v>3997</v>
      </c>
      <c r="N965" s="1645"/>
      <c r="O965" s="1645" t="s">
        <v>3645</v>
      </c>
      <c r="P965" s="1649"/>
      <c r="Q965" s="1645"/>
      <c r="R965" s="1647" t="s">
        <v>3898</v>
      </c>
      <c r="S965" s="1644" t="s">
        <v>3743</v>
      </c>
      <c r="T965" s="1644"/>
      <c r="U965" s="1644"/>
      <c r="V965" s="1644" t="s">
        <v>3649</v>
      </c>
      <c r="W965" s="1650" t="s">
        <v>3653</v>
      </c>
      <c r="X965" s="1644"/>
      <c r="Y965" s="1647">
        <v>42009</v>
      </c>
      <c r="Z965" s="1647">
        <v>42374</v>
      </c>
      <c r="AA965" s="1650">
        <f t="shared" ca="1" si="63"/>
        <v>20</v>
      </c>
      <c r="AB965" s="2444" t="s">
        <v>3629</v>
      </c>
      <c r="AC965" s="2445"/>
      <c r="AD965" s="2438"/>
    </row>
    <row r="966" spans="1:30" ht="15.75" hidden="1" customHeight="1">
      <c r="A966" s="1644">
        <f t="shared" si="48"/>
        <v>167</v>
      </c>
      <c r="B966" s="1645" t="s">
        <v>5238</v>
      </c>
      <c r="C966" s="1645" t="s">
        <v>5190</v>
      </c>
      <c r="D966" s="1645" t="s">
        <v>5236</v>
      </c>
      <c r="E966" s="1646" t="s">
        <v>2797</v>
      </c>
      <c r="F966" s="1645">
        <f t="shared" si="65"/>
        <v>1991</v>
      </c>
      <c r="G966" s="1647">
        <v>33539</v>
      </c>
      <c r="H966" s="1644" t="s">
        <v>3636</v>
      </c>
      <c r="I966" s="1648" t="s">
        <v>3629</v>
      </c>
      <c r="J966" s="1645" t="s">
        <v>37</v>
      </c>
      <c r="K966" s="1645">
        <v>0</v>
      </c>
      <c r="L966" s="1645" t="s">
        <v>3871</v>
      </c>
      <c r="M966" s="1645" t="s">
        <v>5239</v>
      </c>
      <c r="N966" s="1645"/>
      <c r="O966" s="1645">
        <v>0</v>
      </c>
      <c r="P966" s="1649"/>
      <c r="Q966" s="1645"/>
      <c r="R966" s="1647" t="s">
        <v>3727</v>
      </c>
      <c r="S966" s="1644" t="s">
        <v>3743</v>
      </c>
      <c r="T966" s="1644">
        <v>2018</v>
      </c>
      <c r="U966" s="1644"/>
      <c r="V966" s="1644"/>
      <c r="W966" s="1644">
        <v>0</v>
      </c>
      <c r="X966" s="1644"/>
      <c r="Y966" s="1647"/>
      <c r="Z966" s="1647"/>
      <c r="AA966" s="1650">
        <f t="shared" ca="1" si="63"/>
        <v>27</v>
      </c>
      <c r="AB966" s="2444" t="s">
        <v>3629</v>
      </c>
      <c r="AC966" s="2445"/>
      <c r="AD966" s="2438"/>
    </row>
    <row r="967" spans="1:30" ht="15.75" hidden="1" customHeight="1">
      <c r="A967" s="1644">
        <f t="shared" si="48"/>
        <v>167</v>
      </c>
      <c r="B967" s="1645" t="s">
        <v>5240</v>
      </c>
      <c r="C967" s="1645" t="s">
        <v>5190</v>
      </c>
      <c r="D967" s="1645" t="s">
        <v>5236</v>
      </c>
      <c r="E967" s="1646" t="s">
        <v>2797</v>
      </c>
      <c r="F967" s="1645">
        <f t="shared" si="65"/>
        <v>1978</v>
      </c>
      <c r="G967" s="1647">
        <v>28691</v>
      </c>
      <c r="H967" s="1644" t="s">
        <v>3648</v>
      </c>
      <c r="I967" s="1648" t="s">
        <v>3629</v>
      </c>
      <c r="J967" s="1645" t="s">
        <v>37</v>
      </c>
      <c r="K967" s="1645">
        <v>0</v>
      </c>
      <c r="L967" s="1645" t="s">
        <v>1733</v>
      </c>
      <c r="M967" s="1645" t="s">
        <v>4082</v>
      </c>
      <c r="N967" s="1645"/>
      <c r="O967" s="1645" t="s">
        <v>3645</v>
      </c>
      <c r="P967" s="1649"/>
      <c r="Q967" s="1645"/>
      <c r="R967" s="1644"/>
      <c r="S967" s="1644"/>
      <c r="T967" s="1644"/>
      <c r="U967" s="1644"/>
      <c r="V967" s="1644" t="s">
        <v>3649</v>
      </c>
      <c r="W967" s="1644" t="s">
        <v>936</v>
      </c>
      <c r="X967" s="1644"/>
      <c r="Y967" s="1647"/>
      <c r="Z967" s="1647"/>
      <c r="AA967" s="1650">
        <f t="shared" ca="1" si="63"/>
        <v>13.75</v>
      </c>
      <c r="AB967" s="2444" t="s">
        <v>3629</v>
      </c>
      <c r="AC967" s="2445"/>
      <c r="AD967" s="2438"/>
    </row>
    <row r="968" spans="1:30" ht="15.75" hidden="1" customHeight="1">
      <c r="A968" s="1644">
        <f t="shared" si="48"/>
        <v>167</v>
      </c>
      <c r="B968" s="1645" t="s">
        <v>5241</v>
      </c>
      <c r="C968" s="1645" t="s">
        <v>5190</v>
      </c>
      <c r="D968" s="1645" t="s">
        <v>5236</v>
      </c>
      <c r="E968" s="1644" t="s">
        <v>2797</v>
      </c>
      <c r="F968" s="1645">
        <f t="shared" si="65"/>
        <v>1978</v>
      </c>
      <c r="G968" s="1647">
        <v>28523</v>
      </c>
      <c r="H968" s="1644" t="s">
        <v>3636</v>
      </c>
      <c r="I968" s="1648" t="s">
        <v>3629</v>
      </c>
      <c r="J968" s="1645" t="s">
        <v>38</v>
      </c>
      <c r="K968" s="1645"/>
      <c r="L968" s="1645" t="s">
        <v>500</v>
      </c>
      <c r="M968" s="1645" t="s">
        <v>4948</v>
      </c>
      <c r="N968" s="1645"/>
      <c r="O968" s="1645" t="s">
        <v>4948</v>
      </c>
      <c r="P968" s="1649"/>
      <c r="Q968" s="1645" t="s">
        <v>3693</v>
      </c>
      <c r="R968" s="1644"/>
      <c r="S968" s="1644"/>
      <c r="T968" s="1644">
        <v>2018</v>
      </c>
      <c r="U968" s="1644" t="s">
        <v>3761</v>
      </c>
      <c r="V968" s="1644"/>
      <c r="W968" s="1644" t="s">
        <v>3968</v>
      </c>
      <c r="X968" s="1644"/>
      <c r="Y968" s="1647">
        <v>37666</v>
      </c>
      <c r="Z968" s="1647">
        <v>38031</v>
      </c>
      <c r="AA968" s="1650">
        <f t="shared" ca="1" si="63"/>
        <v>13.25</v>
      </c>
      <c r="AB968" s="2444" t="e">
        <v>#REF!</v>
      </c>
      <c r="AC968" s="2446" t="e">
        <f>+#REF!-#REF!</f>
        <v>#REF!</v>
      </c>
      <c r="AD968" s="2438"/>
    </row>
    <row r="969" spans="1:30" ht="15.75" hidden="1" customHeight="1">
      <c r="A969" s="1644">
        <f t="shared" si="48"/>
        <v>167</v>
      </c>
      <c r="B969" s="1645" t="s">
        <v>5242</v>
      </c>
      <c r="C969" s="1645" t="s">
        <v>5190</v>
      </c>
      <c r="D969" s="1645" t="s">
        <v>5236</v>
      </c>
      <c r="E969" s="1646" t="s">
        <v>2798</v>
      </c>
      <c r="F969" s="1645">
        <f t="shared" si="65"/>
        <v>1993</v>
      </c>
      <c r="G969" s="1647">
        <v>34240</v>
      </c>
      <c r="H969" s="1644" t="s">
        <v>3648</v>
      </c>
      <c r="I969" s="1648" t="s">
        <v>3629</v>
      </c>
      <c r="J969" s="1645" t="s">
        <v>37</v>
      </c>
      <c r="K969" s="1645">
        <v>0</v>
      </c>
      <c r="L969" s="1645" t="s">
        <v>4124</v>
      </c>
      <c r="M969" s="1645">
        <v>0</v>
      </c>
      <c r="N969" s="1645"/>
      <c r="O969" s="1645">
        <v>0</v>
      </c>
      <c r="P969" s="1649"/>
      <c r="Q969" s="1645"/>
      <c r="R969" s="1647" t="s">
        <v>3667</v>
      </c>
      <c r="S969" s="1644" t="s">
        <v>4125</v>
      </c>
      <c r="T969" s="1644"/>
      <c r="U969" s="1644"/>
      <c r="V969" s="1644" t="s">
        <v>3649</v>
      </c>
      <c r="W969" s="1644" t="s">
        <v>3939</v>
      </c>
      <c r="X969" s="1644"/>
      <c r="Y969" s="1647"/>
      <c r="Z969" s="1647"/>
      <c r="AA969" s="1650">
        <f t="shared" ca="1" si="63"/>
        <v>23.916666666666668</v>
      </c>
      <c r="AB969" s="2444" t="e">
        <v>#REF!</v>
      </c>
      <c r="AC969" s="2445"/>
      <c r="AD969" s="2438"/>
    </row>
    <row r="970" spans="1:30" ht="15.75" hidden="1" customHeight="1">
      <c r="A970" s="1644">
        <f t="shared" si="48"/>
        <v>167</v>
      </c>
      <c r="B970" s="1645" t="s">
        <v>5243</v>
      </c>
      <c r="C970" s="1645" t="s">
        <v>5190</v>
      </c>
      <c r="D970" s="1645" t="s">
        <v>5236</v>
      </c>
      <c r="E970" s="1644" t="s">
        <v>2798</v>
      </c>
      <c r="F970" s="1645">
        <f t="shared" si="65"/>
        <v>1982</v>
      </c>
      <c r="G970" s="1647">
        <v>30111</v>
      </c>
      <c r="H970" s="1644" t="s">
        <v>3636</v>
      </c>
      <c r="I970" s="1648" t="s">
        <v>3629</v>
      </c>
      <c r="J970" s="1645" t="s">
        <v>38</v>
      </c>
      <c r="K970" s="1645">
        <v>0</v>
      </c>
      <c r="L970" s="1645" t="s">
        <v>1701</v>
      </c>
      <c r="M970" s="1645" t="s">
        <v>4766</v>
      </c>
      <c r="N970" s="1645"/>
      <c r="O970" s="1645" t="s">
        <v>1701</v>
      </c>
      <c r="P970" s="1649"/>
      <c r="Q970" s="1645" t="s">
        <v>3757</v>
      </c>
      <c r="R970" s="1647" t="s">
        <v>4203</v>
      </c>
      <c r="S970" s="1644" t="s">
        <v>3696</v>
      </c>
      <c r="T970" s="1644" t="s">
        <v>936</v>
      </c>
      <c r="U970" s="1644" t="s">
        <v>3631</v>
      </c>
      <c r="V970" s="1644"/>
      <c r="W970" s="1644">
        <v>0</v>
      </c>
      <c r="X970" s="1644" t="s">
        <v>3633</v>
      </c>
      <c r="Y970" s="1647">
        <v>37107</v>
      </c>
      <c r="Z970" s="1647">
        <v>37472</v>
      </c>
      <c r="AA970" s="1650">
        <f t="shared" ca="1" si="63"/>
        <v>12.666666666666666</v>
      </c>
      <c r="AB970" s="2444" t="e">
        <v>#REF!</v>
      </c>
      <c r="AC970" s="2446" t="e">
        <f>+#REF!-#REF!</f>
        <v>#REF!</v>
      </c>
      <c r="AD970" s="2438"/>
    </row>
    <row r="971" spans="1:30" ht="15.75" hidden="1" customHeight="1">
      <c r="A971" s="1644">
        <f t="shared" si="48"/>
        <v>167</v>
      </c>
      <c r="B971" s="1645" t="s">
        <v>5244</v>
      </c>
      <c r="C971" s="1645" t="s">
        <v>5190</v>
      </c>
      <c r="D971" s="1645" t="s">
        <v>5236</v>
      </c>
      <c r="E971" s="1644" t="s">
        <v>2797</v>
      </c>
      <c r="F971" s="1645">
        <f t="shared" si="65"/>
        <v>1986</v>
      </c>
      <c r="G971" s="1647">
        <v>31625</v>
      </c>
      <c r="H971" s="1644" t="s">
        <v>3642</v>
      </c>
      <c r="I971" s="1648" t="s">
        <v>3629</v>
      </c>
      <c r="J971" s="1645" t="s">
        <v>37</v>
      </c>
      <c r="K971" s="1645">
        <v>0</v>
      </c>
      <c r="L971" s="1645" t="s">
        <v>3961</v>
      </c>
      <c r="M971" s="1645" t="s">
        <v>506</v>
      </c>
      <c r="N971" s="1655">
        <v>44529</v>
      </c>
      <c r="O971" s="1645" t="s">
        <v>3645</v>
      </c>
      <c r="P971" s="1649"/>
      <c r="Q971" s="1645"/>
      <c r="R971" s="1644"/>
      <c r="S971" s="1644" t="s">
        <v>3743</v>
      </c>
      <c r="T971" s="1644"/>
      <c r="U971" s="1644"/>
      <c r="V971" s="1644" t="s">
        <v>3649</v>
      </c>
      <c r="W971" s="1650" t="s">
        <v>3646</v>
      </c>
      <c r="X971" s="1644"/>
      <c r="Y971" s="1647">
        <v>39916</v>
      </c>
      <c r="Z971" s="1647">
        <v>40281</v>
      </c>
      <c r="AA971" s="1650">
        <f t="shared" ca="1" si="63"/>
        <v>21.75</v>
      </c>
      <c r="AB971" s="2444" t="s">
        <v>3629</v>
      </c>
      <c r="AC971" s="2445"/>
      <c r="AD971" s="2438"/>
    </row>
    <row r="972" spans="1:30" ht="15.75" hidden="1" customHeight="1">
      <c r="A972" s="1644">
        <f t="shared" si="48"/>
        <v>167</v>
      </c>
      <c r="B972" s="1645" t="s">
        <v>5245</v>
      </c>
      <c r="C972" s="1645" t="s">
        <v>5190</v>
      </c>
      <c r="D972" s="1645" t="s">
        <v>5236</v>
      </c>
      <c r="E972" s="1644" t="s">
        <v>2797</v>
      </c>
      <c r="F972" s="1645">
        <f t="shared" si="65"/>
        <v>1981</v>
      </c>
      <c r="G972" s="1647">
        <v>29668</v>
      </c>
      <c r="H972" s="1644" t="s">
        <v>3642</v>
      </c>
      <c r="I972" s="1648" t="s">
        <v>3629</v>
      </c>
      <c r="J972" s="1645" t="s">
        <v>201</v>
      </c>
      <c r="K972" s="1645"/>
      <c r="L972" s="1645" t="s">
        <v>1766</v>
      </c>
      <c r="M972" s="1645">
        <v>0</v>
      </c>
      <c r="N972" s="1645"/>
      <c r="O972" s="1645">
        <v>0</v>
      </c>
      <c r="P972" s="1649"/>
      <c r="Q972" s="1645"/>
      <c r="R972" s="1647" t="s">
        <v>3667</v>
      </c>
      <c r="S972" s="1644" t="s">
        <v>4068</v>
      </c>
      <c r="T972" s="1644"/>
      <c r="U972" s="1644"/>
      <c r="V972" s="1644" t="s">
        <v>3649</v>
      </c>
      <c r="W972" s="1650" t="s">
        <v>3653</v>
      </c>
      <c r="X972" s="1644"/>
      <c r="Y972" s="1647"/>
      <c r="Z972" s="1647"/>
      <c r="AA972" s="1650">
        <f t="shared" ca="1" si="63"/>
        <v>16.416666666666668</v>
      </c>
      <c r="AB972" s="2444" t="s">
        <v>3629</v>
      </c>
      <c r="AC972" s="2445"/>
      <c r="AD972" s="2438"/>
    </row>
    <row r="973" spans="1:30" ht="15.75" hidden="1" customHeight="1">
      <c r="A973" s="1644">
        <f t="shared" si="48"/>
        <v>167</v>
      </c>
      <c r="B973" s="1645" t="s">
        <v>5246</v>
      </c>
      <c r="C973" s="1645" t="s">
        <v>5190</v>
      </c>
      <c r="D973" s="1645" t="s">
        <v>5247</v>
      </c>
      <c r="E973" s="1646" t="s">
        <v>2798</v>
      </c>
      <c r="F973" s="1645">
        <f t="shared" si="65"/>
        <v>1995</v>
      </c>
      <c r="G973" s="1647">
        <v>34706</v>
      </c>
      <c r="H973" s="1644" t="s">
        <v>4636</v>
      </c>
      <c r="I973" s="1648" t="s">
        <v>3629</v>
      </c>
      <c r="J973" s="1645" t="s">
        <v>201</v>
      </c>
      <c r="K973" s="1645"/>
      <c r="L973" s="1645" t="s">
        <v>3367</v>
      </c>
      <c r="M973" s="1645">
        <v>0</v>
      </c>
      <c r="N973" s="1645"/>
      <c r="O973" s="1645">
        <v>0</v>
      </c>
      <c r="P973" s="1649"/>
      <c r="Q973" s="1645"/>
      <c r="R973" s="1647" t="s">
        <v>3656</v>
      </c>
      <c r="S973" s="1644" t="s">
        <v>3743</v>
      </c>
      <c r="T973" s="1644"/>
      <c r="U973" s="1644" t="s">
        <v>4634</v>
      </c>
      <c r="V973" s="1644"/>
      <c r="W973" s="1644">
        <v>0</v>
      </c>
      <c r="X973" s="1644"/>
      <c r="Y973" s="1647">
        <v>42296</v>
      </c>
      <c r="Z973" s="1647">
        <v>42662</v>
      </c>
      <c r="AA973" s="1650">
        <f t="shared" ca="1" si="63"/>
        <v>25.25</v>
      </c>
      <c r="AB973" s="2444" t="s">
        <v>3629</v>
      </c>
      <c r="AC973" s="2445"/>
      <c r="AD973" s="2438"/>
    </row>
    <row r="974" spans="1:30" ht="15.75" hidden="1" customHeight="1">
      <c r="A974" s="1644">
        <f t="shared" si="48"/>
        <v>167</v>
      </c>
      <c r="B974" s="1645" t="s">
        <v>5248</v>
      </c>
      <c r="C974" s="1645" t="s">
        <v>5190</v>
      </c>
      <c r="D974" s="1645" t="s">
        <v>5247</v>
      </c>
      <c r="E974" s="1646" t="s">
        <v>2798</v>
      </c>
      <c r="F974" s="1645">
        <f t="shared" si="65"/>
        <v>1996</v>
      </c>
      <c r="G974" s="1647">
        <v>35328</v>
      </c>
      <c r="H974" s="1646" t="s">
        <v>3642</v>
      </c>
      <c r="I974" s="1648" t="s">
        <v>3629</v>
      </c>
      <c r="J974" s="1645" t="s">
        <v>201</v>
      </c>
      <c r="K974" s="1645"/>
      <c r="L974" s="1651" t="s">
        <v>5249</v>
      </c>
      <c r="M974" s="1645"/>
      <c r="N974" s="1645"/>
      <c r="O974" s="1645"/>
      <c r="P974" s="1649"/>
      <c r="Q974" s="1645"/>
      <c r="R974" s="1644"/>
      <c r="S974" s="1644"/>
      <c r="T974" s="1644"/>
      <c r="U974" s="1644"/>
      <c r="V974" s="1644"/>
      <c r="W974" s="1644"/>
      <c r="X974" s="1644"/>
      <c r="Y974" s="1644"/>
      <c r="Z974" s="1647"/>
      <c r="AA974" s="1654"/>
      <c r="AB974" s="2444" t="s">
        <v>3629</v>
      </c>
      <c r="AC974" s="2445"/>
      <c r="AD974" s="2438"/>
    </row>
    <row r="975" spans="1:30" ht="15.75" hidden="1" customHeight="1">
      <c r="A975" s="1644">
        <f t="shared" si="48"/>
        <v>167</v>
      </c>
      <c r="B975" s="1645" t="s">
        <v>5250</v>
      </c>
      <c r="C975" s="1645" t="s">
        <v>5190</v>
      </c>
      <c r="D975" s="1645" t="s">
        <v>5247</v>
      </c>
      <c r="E975" s="1644" t="s">
        <v>2798</v>
      </c>
      <c r="F975" s="1645">
        <f t="shared" si="65"/>
        <v>1981</v>
      </c>
      <c r="G975" s="1647">
        <v>29886</v>
      </c>
      <c r="H975" s="1644" t="s">
        <v>3642</v>
      </c>
      <c r="I975" s="1648" t="s">
        <v>3629</v>
      </c>
      <c r="J975" s="1645" t="s">
        <v>37</v>
      </c>
      <c r="K975" s="1645">
        <v>0</v>
      </c>
      <c r="L975" s="1645" t="s">
        <v>3268</v>
      </c>
      <c r="M975" s="1645" t="s">
        <v>4705</v>
      </c>
      <c r="N975" s="1645"/>
      <c r="O975" s="1645" t="s">
        <v>3645</v>
      </c>
      <c r="P975" s="1649"/>
      <c r="Q975" s="1645"/>
      <c r="R975" s="1644"/>
      <c r="S975" s="1644"/>
      <c r="T975" s="1644"/>
      <c r="U975" s="1644"/>
      <c r="V975" s="1644" t="s">
        <v>3657</v>
      </c>
      <c r="W975" s="1650" t="s">
        <v>3653</v>
      </c>
      <c r="X975" s="1644" t="s">
        <v>3633</v>
      </c>
      <c r="Y975" s="1647">
        <v>42515</v>
      </c>
      <c r="Z975" s="1647">
        <v>42880</v>
      </c>
      <c r="AA975" s="1650">
        <f ca="1">IF(E975="nữ",660-DATEDIF(G975,TODAY(),"m"),720-DATEDIF(G975,TODAY(),"m"))/12</f>
        <v>12</v>
      </c>
      <c r="AB975" s="2444" t="s">
        <v>3629</v>
      </c>
      <c r="AC975" s="2445"/>
      <c r="AD975" s="2438"/>
    </row>
    <row r="976" spans="1:30" ht="15.75" hidden="1" customHeight="1">
      <c r="A976" s="1644">
        <f t="shared" si="48"/>
        <v>167</v>
      </c>
      <c r="B976" s="1645" t="s">
        <v>5251</v>
      </c>
      <c r="C976" s="1645" t="s">
        <v>5190</v>
      </c>
      <c r="D976" s="1645" t="s">
        <v>5247</v>
      </c>
      <c r="E976" s="1646" t="s">
        <v>2798</v>
      </c>
      <c r="F976" s="1645">
        <f t="shared" si="65"/>
        <v>1998</v>
      </c>
      <c r="G976" s="1647">
        <v>36152</v>
      </c>
      <c r="H976" s="1646" t="s">
        <v>3642</v>
      </c>
      <c r="I976" s="1648" t="s">
        <v>3629</v>
      </c>
      <c r="J976" s="1645" t="s">
        <v>201</v>
      </c>
      <c r="K976" s="1645"/>
      <c r="L976" s="1651" t="s">
        <v>4031</v>
      </c>
      <c r="M976" s="1645"/>
      <c r="N976" s="1645"/>
      <c r="O976" s="1645"/>
      <c r="P976" s="1649"/>
      <c r="Q976" s="1645"/>
      <c r="R976" s="1644"/>
      <c r="S976" s="1644"/>
      <c r="T976" s="1644"/>
      <c r="U976" s="1644"/>
      <c r="V976" s="1644"/>
      <c r="W976" s="1644"/>
      <c r="X976" s="1644"/>
      <c r="Y976" s="1644"/>
      <c r="Z976" s="1647"/>
      <c r="AA976" s="1654"/>
      <c r="AB976" s="2444" t="s">
        <v>3629</v>
      </c>
      <c r="AC976" s="2445"/>
      <c r="AD976" s="2438"/>
    </row>
    <row r="977" spans="1:30" ht="15.75" hidden="1" customHeight="1">
      <c r="A977" s="1644">
        <f t="shared" si="48"/>
        <v>167</v>
      </c>
      <c r="B977" s="1645" t="s">
        <v>5252</v>
      </c>
      <c r="C977" s="1645" t="s">
        <v>5253</v>
      </c>
      <c r="D977" s="1645" t="s">
        <v>3644</v>
      </c>
      <c r="E977" s="1646" t="s">
        <v>2798</v>
      </c>
      <c r="F977" s="1645">
        <f t="shared" si="65"/>
        <v>1985</v>
      </c>
      <c r="G977" s="1647">
        <v>31364</v>
      </c>
      <c r="H977" s="1644" t="s">
        <v>3636</v>
      </c>
      <c r="I977" s="1648" t="s">
        <v>3629</v>
      </c>
      <c r="J977" s="1645" t="s">
        <v>37</v>
      </c>
      <c r="K977" s="1645">
        <v>0</v>
      </c>
      <c r="L977" s="1645" t="s">
        <v>3673</v>
      </c>
      <c r="M977" s="1645" t="s">
        <v>3644</v>
      </c>
      <c r="N977" s="1645"/>
      <c r="O977" s="1645" t="s">
        <v>3645</v>
      </c>
      <c r="P977" s="1649"/>
      <c r="Q977" s="1645"/>
      <c r="R977" s="1647" t="s">
        <v>3683</v>
      </c>
      <c r="S977" s="1644" t="s">
        <v>3743</v>
      </c>
      <c r="T977" s="1644" t="s">
        <v>936</v>
      </c>
      <c r="U977" s="1644" t="s">
        <v>3711</v>
      </c>
      <c r="V977" s="1644"/>
      <c r="W977" s="1644" t="s">
        <v>3968</v>
      </c>
      <c r="X977" s="1644" t="s">
        <v>3707</v>
      </c>
      <c r="Y977" s="1647"/>
      <c r="Z977" s="1647" t="s">
        <v>936</v>
      </c>
      <c r="AA977" s="1650">
        <f t="shared" ref="AA977:AA1014" ca="1" si="67">IF(E977="nữ",660-DATEDIF(G977,TODAY(),"m"),720-DATEDIF(G977,TODAY(),"m"))/12</f>
        <v>16.083333333333332</v>
      </c>
      <c r="AB977" s="2444" t="s">
        <v>3629</v>
      </c>
      <c r="AC977" s="2445"/>
      <c r="AD977" s="2438"/>
    </row>
    <row r="978" spans="1:30" ht="15.75" hidden="1" customHeight="1">
      <c r="A978" s="1644">
        <f t="shared" si="48"/>
        <v>167</v>
      </c>
      <c r="B978" s="1645" t="s">
        <v>5254</v>
      </c>
      <c r="C978" s="1645" t="s">
        <v>5253</v>
      </c>
      <c r="D978" s="1645" t="s">
        <v>3644</v>
      </c>
      <c r="E978" s="1644" t="s">
        <v>2798</v>
      </c>
      <c r="F978" s="1645">
        <f t="shared" si="65"/>
        <v>1986</v>
      </c>
      <c r="G978" s="1647">
        <v>31490</v>
      </c>
      <c r="H978" s="1644" t="s">
        <v>3636</v>
      </c>
      <c r="I978" s="1648" t="s">
        <v>3629</v>
      </c>
      <c r="J978" s="1645" t="s">
        <v>38</v>
      </c>
      <c r="K978" s="1645">
        <v>0</v>
      </c>
      <c r="L978" s="1645" t="s">
        <v>4015</v>
      </c>
      <c r="M978" s="1645" t="s">
        <v>3644</v>
      </c>
      <c r="N978" s="1645"/>
      <c r="O978" s="1645" t="s">
        <v>1701</v>
      </c>
      <c r="P978" s="1649">
        <v>43221</v>
      </c>
      <c r="Q978" s="1645"/>
      <c r="R978" s="1647" t="s">
        <v>3699</v>
      </c>
      <c r="S978" s="1644"/>
      <c r="T978" s="1644" t="s">
        <v>936</v>
      </c>
      <c r="U978" s="1644" t="s">
        <v>3711</v>
      </c>
      <c r="V978" s="1644"/>
      <c r="W978" s="1644" t="s">
        <v>3687</v>
      </c>
      <c r="X978" s="1644"/>
      <c r="Y978" s="1647">
        <v>39693</v>
      </c>
      <c r="Z978" s="1647">
        <v>40058</v>
      </c>
      <c r="AA978" s="1650">
        <f t="shared" ca="1" si="67"/>
        <v>16.416666666666668</v>
      </c>
      <c r="AB978" s="2444" t="s">
        <v>3629</v>
      </c>
      <c r="AC978" s="2445"/>
      <c r="AD978" s="2438"/>
    </row>
    <row r="979" spans="1:30" ht="15.75" hidden="1" customHeight="1">
      <c r="A979" s="1644">
        <f t="shared" si="48"/>
        <v>167</v>
      </c>
      <c r="B979" s="1645" t="s">
        <v>5255</v>
      </c>
      <c r="C979" s="1645" t="s">
        <v>5253</v>
      </c>
      <c r="D979" s="1645" t="s">
        <v>3644</v>
      </c>
      <c r="E979" s="1644" t="s">
        <v>2797</v>
      </c>
      <c r="F979" s="1645">
        <f t="shared" si="65"/>
        <v>1982</v>
      </c>
      <c r="G979" s="1647">
        <v>29973</v>
      </c>
      <c r="H979" s="1644" t="s">
        <v>3636</v>
      </c>
      <c r="I979" s="1648" t="s">
        <v>3629</v>
      </c>
      <c r="J979" s="1645" t="s">
        <v>38</v>
      </c>
      <c r="K979" s="1645">
        <v>0</v>
      </c>
      <c r="L979" s="1645" t="s">
        <v>3643</v>
      </c>
      <c r="M979" s="1645" t="s">
        <v>3644</v>
      </c>
      <c r="N979" s="1645"/>
      <c r="O979" s="1645" t="s">
        <v>3644</v>
      </c>
      <c r="P979" s="1649"/>
      <c r="Q979" s="1645"/>
      <c r="R979" s="1647" t="s">
        <v>5256</v>
      </c>
      <c r="S979" s="1644"/>
      <c r="T979" s="1644" t="s">
        <v>936</v>
      </c>
      <c r="U979" s="1644" t="s">
        <v>3711</v>
      </c>
      <c r="V979" s="1644"/>
      <c r="W979" s="1650" t="s">
        <v>3653</v>
      </c>
      <c r="X979" s="1644" t="s">
        <v>3707</v>
      </c>
      <c r="Y979" s="1647">
        <v>41254</v>
      </c>
      <c r="Z979" s="1647">
        <v>41619</v>
      </c>
      <c r="AA979" s="1650">
        <f t="shared" ca="1" si="67"/>
        <v>17.25</v>
      </c>
      <c r="AB979" s="2444" t="s">
        <v>3629</v>
      </c>
      <c r="AC979" s="2445"/>
      <c r="AD979" s="2438"/>
    </row>
    <row r="980" spans="1:30" ht="15.75" hidden="1" customHeight="1">
      <c r="A980" s="1644">
        <f t="shared" si="48"/>
        <v>167</v>
      </c>
      <c r="B980" s="1645" t="s">
        <v>5257</v>
      </c>
      <c r="C980" s="1645" t="s">
        <v>5253</v>
      </c>
      <c r="D980" s="1645" t="s">
        <v>3644</v>
      </c>
      <c r="E980" s="1644" t="s">
        <v>2798</v>
      </c>
      <c r="F980" s="1645">
        <f t="shared" si="65"/>
        <v>1978</v>
      </c>
      <c r="G980" s="1647">
        <v>28787</v>
      </c>
      <c r="H980" s="1644" t="s">
        <v>3636</v>
      </c>
      <c r="I980" s="1648" t="s">
        <v>3629</v>
      </c>
      <c r="J980" s="1645" t="s">
        <v>37</v>
      </c>
      <c r="K980" s="1645">
        <v>0</v>
      </c>
      <c r="L980" s="1645" t="s">
        <v>5258</v>
      </c>
      <c r="M980" s="1645" t="s">
        <v>5259</v>
      </c>
      <c r="N980" s="1645"/>
      <c r="O980" s="1645" t="s">
        <v>3645</v>
      </c>
      <c r="P980" s="1649"/>
      <c r="Q980" s="1645"/>
      <c r="R980" s="1647" t="s">
        <v>3683</v>
      </c>
      <c r="S980" s="1644"/>
      <c r="T980" s="1644">
        <v>0</v>
      </c>
      <c r="U980" s="1644" t="s">
        <v>3711</v>
      </c>
      <c r="V980" s="1644"/>
      <c r="W980" s="1644">
        <v>0</v>
      </c>
      <c r="X980" s="1644"/>
      <c r="Y980" s="1647"/>
      <c r="Z980" s="1647"/>
      <c r="AA980" s="1650">
        <f t="shared" ca="1" si="67"/>
        <v>9</v>
      </c>
      <c r="AB980" s="2444" t="s">
        <v>3629</v>
      </c>
      <c r="AC980" s="2445"/>
      <c r="AD980" s="2438"/>
    </row>
    <row r="981" spans="1:30" ht="15.75" hidden="1" customHeight="1">
      <c r="A981" s="1644">
        <f t="shared" si="48"/>
        <v>167</v>
      </c>
      <c r="B981" s="1645" t="s">
        <v>5260</v>
      </c>
      <c r="C981" s="1645" t="s">
        <v>5253</v>
      </c>
      <c r="D981" s="1645" t="s">
        <v>3644</v>
      </c>
      <c r="E981" s="1646" t="s">
        <v>2798</v>
      </c>
      <c r="F981" s="1645">
        <f t="shared" si="65"/>
        <v>1977</v>
      </c>
      <c r="G981" s="1647">
        <v>28356</v>
      </c>
      <c r="H981" s="1644" t="s">
        <v>3628</v>
      </c>
      <c r="I981" s="1648" t="s">
        <v>3629</v>
      </c>
      <c r="J981" s="1645" t="s">
        <v>38</v>
      </c>
      <c r="K981" s="1645">
        <v>0</v>
      </c>
      <c r="L981" s="1645" t="s">
        <v>1701</v>
      </c>
      <c r="M981" s="1645" t="s">
        <v>1701</v>
      </c>
      <c r="N981" s="1645"/>
      <c r="O981" s="1645" t="s">
        <v>1701</v>
      </c>
      <c r="P981" s="1649"/>
      <c r="Q981" s="1645"/>
      <c r="R981" s="1647" t="s">
        <v>4051</v>
      </c>
      <c r="S981" s="1644"/>
      <c r="T981" s="1644" t="s">
        <v>936</v>
      </c>
      <c r="U981" s="1644" t="s">
        <v>3711</v>
      </c>
      <c r="V981" s="1644"/>
      <c r="W981" s="1644">
        <v>0</v>
      </c>
      <c r="X981" s="1644" t="s">
        <v>3759</v>
      </c>
      <c r="Y981" s="1647">
        <v>37440</v>
      </c>
      <c r="Z981" s="1647">
        <v>37805</v>
      </c>
      <c r="AA981" s="1650">
        <f t="shared" ca="1" si="67"/>
        <v>7.833333333333333</v>
      </c>
      <c r="AB981" s="2444" t="s">
        <v>3629</v>
      </c>
      <c r="AC981" s="2445"/>
      <c r="AD981" s="2438"/>
    </row>
    <row r="982" spans="1:30" ht="15.75" hidden="1" customHeight="1">
      <c r="A982" s="1644">
        <f t="shared" si="48"/>
        <v>167</v>
      </c>
      <c r="B982" s="1645" t="s">
        <v>5261</v>
      </c>
      <c r="C982" s="1645" t="s">
        <v>5253</v>
      </c>
      <c r="D982" s="1645" t="s">
        <v>3644</v>
      </c>
      <c r="E982" s="1644" t="s">
        <v>2798</v>
      </c>
      <c r="F982" s="1645">
        <f t="shared" si="65"/>
        <v>1981</v>
      </c>
      <c r="G982" s="1647">
        <v>29688</v>
      </c>
      <c r="H982" s="1644" t="s">
        <v>3636</v>
      </c>
      <c r="I982" s="1648" t="s">
        <v>3629</v>
      </c>
      <c r="J982" s="1645" t="s">
        <v>38</v>
      </c>
      <c r="K982" s="1645">
        <v>0</v>
      </c>
      <c r="L982" s="1645" t="s">
        <v>3643</v>
      </c>
      <c r="M982" s="1645" t="s">
        <v>5111</v>
      </c>
      <c r="N982" s="1645"/>
      <c r="O982" s="1645" t="s">
        <v>5111</v>
      </c>
      <c r="P982" s="1649">
        <v>44438</v>
      </c>
      <c r="Q982" s="1645"/>
      <c r="R982" s="1647" t="s">
        <v>5262</v>
      </c>
      <c r="S982" s="1644"/>
      <c r="T982" s="1644" t="s">
        <v>936</v>
      </c>
      <c r="U982" s="1644"/>
      <c r="V982" s="1644"/>
      <c r="W982" s="1644" t="s">
        <v>3679</v>
      </c>
      <c r="X982" s="1644"/>
      <c r="Y982" s="1647">
        <v>43644</v>
      </c>
      <c r="Z982" s="1647">
        <v>44010</v>
      </c>
      <c r="AA982" s="1650">
        <f t="shared" ca="1" si="67"/>
        <v>11.5</v>
      </c>
      <c r="AB982" s="2444" t="s">
        <v>3629</v>
      </c>
      <c r="AC982" s="2445"/>
      <c r="AD982" s="2438"/>
    </row>
    <row r="983" spans="1:30" ht="15.75" hidden="1" customHeight="1">
      <c r="A983" s="1644">
        <f t="shared" si="48"/>
        <v>167</v>
      </c>
      <c r="B983" s="1645" t="s">
        <v>5263</v>
      </c>
      <c r="C983" s="1645" t="s">
        <v>5253</v>
      </c>
      <c r="D983" s="1645" t="s">
        <v>3644</v>
      </c>
      <c r="E983" s="1646" t="s">
        <v>2798</v>
      </c>
      <c r="F983" s="1645">
        <f t="shared" si="65"/>
        <v>1985</v>
      </c>
      <c r="G983" s="1647">
        <v>31052</v>
      </c>
      <c r="H983" s="1644" t="s">
        <v>3636</v>
      </c>
      <c r="I983" s="1648" t="s">
        <v>3629</v>
      </c>
      <c r="J983" s="1645" t="s">
        <v>38</v>
      </c>
      <c r="K983" s="1645">
        <v>0</v>
      </c>
      <c r="L983" s="1645" t="s">
        <v>3673</v>
      </c>
      <c r="M983" s="1645" t="s">
        <v>3644</v>
      </c>
      <c r="N983" s="1645"/>
      <c r="O983" s="1645" t="s">
        <v>4158</v>
      </c>
      <c r="P983" s="1649"/>
      <c r="Q983" s="1645"/>
      <c r="R983" s="1647" t="s">
        <v>3699</v>
      </c>
      <c r="S983" s="1644"/>
      <c r="T983" s="1644" t="s">
        <v>936</v>
      </c>
      <c r="U983" s="1644" t="s">
        <v>3711</v>
      </c>
      <c r="V983" s="1644"/>
      <c r="W983" s="1644">
        <v>0</v>
      </c>
      <c r="X983" s="1644"/>
      <c r="Y983" s="1647">
        <v>40969</v>
      </c>
      <c r="Z983" s="1647">
        <v>41334</v>
      </c>
      <c r="AA983" s="1650">
        <f t="shared" ca="1" si="67"/>
        <v>15.25</v>
      </c>
      <c r="AB983" s="2444" t="s">
        <v>3629</v>
      </c>
      <c r="AC983" s="2445"/>
      <c r="AD983" s="2438"/>
    </row>
    <row r="984" spans="1:30" ht="15.75" hidden="1" customHeight="1">
      <c r="A984" s="1644">
        <f t="shared" si="48"/>
        <v>167</v>
      </c>
      <c r="B984" s="1645" t="s">
        <v>5264</v>
      </c>
      <c r="C984" s="1645" t="s">
        <v>5253</v>
      </c>
      <c r="D984" s="1645" t="s">
        <v>3644</v>
      </c>
      <c r="E984" s="1644" t="s">
        <v>2797</v>
      </c>
      <c r="F984" s="1645">
        <f t="shared" si="65"/>
        <v>1982</v>
      </c>
      <c r="G984" s="1647">
        <v>30294</v>
      </c>
      <c r="H984" s="1644" t="s">
        <v>3636</v>
      </c>
      <c r="I984" s="1648" t="s">
        <v>3629</v>
      </c>
      <c r="J984" s="1645" t="s">
        <v>37</v>
      </c>
      <c r="K984" s="1645">
        <v>0</v>
      </c>
      <c r="L984" s="1645" t="s">
        <v>5265</v>
      </c>
      <c r="M984" s="1645" t="s">
        <v>3644</v>
      </c>
      <c r="N984" s="1645"/>
      <c r="O984" s="1645" t="s">
        <v>3645</v>
      </c>
      <c r="P984" s="1649"/>
      <c r="Q984" s="1645"/>
      <c r="R984" s="1647" t="s">
        <v>3683</v>
      </c>
      <c r="S984" s="1644"/>
      <c r="T984" s="1644" t="s">
        <v>936</v>
      </c>
      <c r="U984" s="1644" t="s">
        <v>3711</v>
      </c>
      <c r="V984" s="1644"/>
      <c r="W984" s="1644">
        <v>0</v>
      </c>
      <c r="X984" s="1644"/>
      <c r="Y984" s="1647">
        <v>39456</v>
      </c>
      <c r="Z984" s="1647">
        <v>39822</v>
      </c>
      <c r="AA984" s="1650">
        <f t="shared" ca="1" si="67"/>
        <v>18.166666666666668</v>
      </c>
      <c r="AB984" s="2444" t="s">
        <v>3629</v>
      </c>
      <c r="AC984" s="2445"/>
      <c r="AD984" s="2438"/>
    </row>
    <row r="985" spans="1:30" ht="15.75" hidden="1" customHeight="1">
      <c r="A985" s="1644">
        <f t="shared" si="48"/>
        <v>167</v>
      </c>
      <c r="B985" s="1645" t="s">
        <v>5266</v>
      </c>
      <c r="C985" s="1645" t="s">
        <v>5253</v>
      </c>
      <c r="D985" s="1645" t="s">
        <v>3644</v>
      </c>
      <c r="E985" s="1644" t="s">
        <v>2798</v>
      </c>
      <c r="F985" s="1645">
        <f t="shared" si="65"/>
        <v>1982</v>
      </c>
      <c r="G985" s="1647">
        <v>30210</v>
      </c>
      <c r="H985" s="1644" t="s">
        <v>3628</v>
      </c>
      <c r="I985" s="1648" t="s">
        <v>3629</v>
      </c>
      <c r="J985" s="1645" t="s">
        <v>38</v>
      </c>
      <c r="K985" s="1645">
        <v>0</v>
      </c>
      <c r="L985" s="1645" t="s">
        <v>3673</v>
      </c>
      <c r="M985" s="1645" t="s">
        <v>5267</v>
      </c>
      <c r="N985" s="1645"/>
      <c r="O985" s="1645" t="s">
        <v>1701</v>
      </c>
      <c r="P985" s="1649"/>
      <c r="Q985" s="1645"/>
      <c r="R985" s="1647" t="s">
        <v>3683</v>
      </c>
      <c r="S985" s="1644"/>
      <c r="T985" s="1644" t="s">
        <v>936</v>
      </c>
      <c r="U985" s="1644" t="s">
        <v>3711</v>
      </c>
      <c r="V985" s="1644"/>
      <c r="W985" s="1644" t="s">
        <v>3687</v>
      </c>
      <c r="X985" s="1644"/>
      <c r="Y985" s="1647"/>
      <c r="Z985" s="1647"/>
      <c r="AA985" s="1650">
        <f t="shared" ca="1" si="67"/>
        <v>12.916666666666666</v>
      </c>
      <c r="AB985" s="2444" t="s">
        <v>3629</v>
      </c>
      <c r="AC985" s="2445"/>
      <c r="AD985" s="2438"/>
    </row>
    <row r="986" spans="1:30" ht="15.75" hidden="1" customHeight="1">
      <c r="A986" s="1644">
        <f t="shared" si="48"/>
        <v>167</v>
      </c>
      <c r="B986" s="1645" t="s">
        <v>5268</v>
      </c>
      <c r="C986" s="1645" t="s">
        <v>5253</v>
      </c>
      <c r="D986" s="1645" t="s">
        <v>3644</v>
      </c>
      <c r="E986" s="1646" t="s">
        <v>2798</v>
      </c>
      <c r="F986" s="1645">
        <f t="shared" si="65"/>
        <v>1986</v>
      </c>
      <c r="G986" s="1647">
        <v>31516</v>
      </c>
      <c r="H986" s="1644" t="s">
        <v>3636</v>
      </c>
      <c r="I986" s="1648" t="s">
        <v>3629</v>
      </c>
      <c r="J986" s="1645" t="s">
        <v>38</v>
      </c>
      <c r="K986" s="1645">
        <v>0</v>
      </c>
      <c r="L986" s="1645" t="s">
        <v>3673</v>
      </c>
      <c r="M986" s="1645" t="s">
        <v>3644</v>
      </c>
      <c r="N986" s="1645"/>
      <c r="O986" s="1645" t="s">
        <v>1701</v>
      </c>
      <c r="P986" s="1649"/>
      <c r="Q986" s="1645"/>
      <c r="R986" s="1647" t="s">
        <v>3710</v>
      </c>
      <c r="S986" s="1644"/>
      <c r="T986" s="1644" t="s">
        <v>936</v>
      </c>
      <c r="U986" s="1644"/>
      <c r="V986" s="1644"/>
      <c r="W986" s="1644">
        <v>0</v>
      </c>
      <c r="X986" s="1644" t="s">
        <v>3707</v>
      </c>
      <c r="Y986" s="1647">
        <v>39371</v>
      </c>
      <c r="Z986" s="1647">
        <v>39737</v>
      </c>
      <c r="AA986" s="1650">
        <f t="shared" ca="1" si="67"/>
        <v>16.5</v>
      </c>
      <c r="AB986" s="2444" t="s">
        <v>3629</v>
      </c>
      <c r="AC986" s="2445"/>
      <c r="AD986" s="2438"/>
    </row>
    <row r="987" spans="1:30" ht="15.75" hidden="1" customHeight="1">
      <c r="A987" s="1644">
        <f t="shared" si="48"/>
        <v>167</v>
      </c>
      <c r="B987" s="1645" t="s">
        <v>5269</v>
      </c>
      <c r="C987" s="1645" t="s">
        <v>5253</v>
      </c>
      <c r="D987" s="1645" t="s">
        <v>3644</v>
      </c>
      <c r="E987" s="1644" t="s">
        <v>2797</v>
      </c>
      <c r="F987" s="1645">
        <f t="shared" si="65"/>
        <v>1982</v>
      </c>
      <c r="G987" s="1647">
        <v>29961</v>
      </c>
      <c r="H987" s="1644" t="s">
        <v>3636</v>
      </c>
      <c r="I987" s="1648" t="s">
        <v>3629</v>
      </c>
      <c r="J987" s="1645" t="s">
        <v>37</v>
      </c>
      <c r="K987" s="1645">
        <v>0</v>
      </c>
      <c r="L987" s="1645" t="s">
        <v>1701</v>
      </c>
      <c r="M987" s="1645" t="s">
        <v>3013</v>
      </c>
      <c r="N987" s="1645"/>
      <c r="O987" s="1645" t="s">
        <v>4847</v>
      </c>
      <c r="P987" s="1649"/>
      <c r="Q987" s="1645"/>
      <c r="R987" s="1647" t="s">
        <v>3699</v>
      </c>
      <c r="S987" s="1644"/>
      <c r="T987" s="1644" t="s">
        <v>936</v>
      </c>
      <c r="U987" s="1644" t="s">
        <v>3711</v>
      </c>
      <c r="V987" s="1644"/>
      <c r="W987" s="1650" t="s">
        <v>3653</v>
      </c>
      <c r="X987" s="1644"/>
      <c r="Y987" s="1647">
        <v>42898</v>
      </c>
      <c r="Z987" s="1647">
        <v>43263</v>
      </c>
      <c r="AA987" s="1650">
        <f t="shared" ca="1" si="67"/>
        <v>17.25</v>
      </c>
      <c r="AB987" s="2444" t="s">
        <v>3629</v>
      </c>
      <c r="AC987" s="2445"/>
      <c r="AD987" s="2438"/>
    </row>
    <row r="988" spans="1:30" ht="15.75" hidden="1" customHeight="1">
      <c r="A988" s="1644">
        <f t="shared" si="48"/>
        <v>167</v>
      </c>
      <c r="B988" s="1645" t="s">
        <v>5270</v>
      </c>
      <c r="C988" s="1645" t="s">
        <v>5253</v>
      </c>
      <c r="D988" s="1645" t="s">
        <v>3635</v>
      </c>
      <c r="E988" s="1644" t="s">
        <v>2798</v>
      </c>
      <c r="F988" s="1645">
        <f t="shared" si="65"/>
        <v>1983</v>
      </c>
      <c r="G988" s="1647">
        <v>30513</v>
      </c>
      <c r="H988" s="1644" t="s">
        <v>3636</v>
      </c>
      <c r="I988" s="1648" t="s">
        <v>3629</v>
      </c>
      <c r="J988" s="1645" t="s">
        <v>37</v>
      </c>
      <c r="K988" s="1645">
        <v>0</v>
      </c>
      <c r="L988" s="1645" t="s">
        <v>5271</v>
      </c>
      <c r="M988" s="1645" t="s">
        <v>5272</v>
      </c>
      <c r="N988" s="1645"/>
      <c r="O988" s="1645" t="s">
        <v>3645</v>
      </c>
      <c r="P988" s="1649"/>
      <c r="Q988" s="1645"/>
      <c r="R988" s="1644" t="s">
        <v>3904</v>
      </c>
      <c r="S988" s="1644"/>
      <c r="T988" s="1644" t="s">
        <v>936</v>
      </c>
      <c r="U988" s="1644" t="s">
        <v>3711</v>
      </c>
      <c r="V988" s="1644"/>
      <c r="W988" s="1644">
        <v>0</v>
      </c>
      <c r="X988" s="1644"/>
      <c r="Y988" s="1647"/>
      <c r="Z988" s="1647"/>
      <c r="AA988" s="1650">
        <f t="shared" ca="1" si="67"/>
        <v>13.75</v>
      </c>
      <c r="AB988" s="2444" t="s">
        <v>3629</v>
      </c>
      <c r="AC988" s="2445"/>
      <c r="AD988" s="2438"/>
    </row>
    <row r="989" spans="1:30" ht="15.75" hidden="1" customHeight="1">
      <c r="A989" s="1644">
        <f t="shared" si="48"/>
        <v>167</v>
      </c>
      <c r="B989" s="1645" t="s">
        <v>5273</v>
      </c>
      <c r="C989" s="1645" t="s">
        <v>5253</v>
      </c>
      <c r="D989" s="1645" t="s">
        <v>3635</v>
      </c>
      <c r="E989" s="1646" t="s">
        <v>2797</v>
      </c>
      <c r="F989" s="1645">
        <f t="shared" si="65"/>
        <v>1979</v>
      </c>
      <c r="G989" s="1647">
        <v>29173</v>
      </c>
      <c r="H989" s="1644" t="s">
        <v>3636</v>
      </c>
      <c r="I989" s="1648" t="s">
        <v>3629</v>
      </c>
      <c r="J989" s="1645" t="s">
        <v>38</v>
      </c>
      <c r="K989" s="1645">
        <v>0</v>
      </c>
      <c r="L989" s="1645" t="s">
        <v>3637</v>
      </c>
      <c r="M989" s="1645" t="s">
        <v>5274</v>
      </c>
      <c r="N989" s="1645"/>
      <c r="O989" s="1645" t="s">
        <v>3638</v>
      </c>
      <c r="P989" s="1649"/>
      <c r="Q989" s="1645"/>
      <c r="R989" s="1647" t="s">
        <v>3639</v>
      </c>
      <c r="S989" s="1644"/>
      <c r="T989" s="1644">
        <v>0</v>
      </c>
      <c r="U989" s="1644" t="s">
        <v>3711</v>
      </c>
      <c r="V989" s="1644"/>
      <c r="W989" s="1644">
        <v>0</v>
      </c>
      <c r="X989" s="1644"/>
      <c r="Y989" s="1647">
        <v>37041</v>
      </c>
      <c r="Z989" s="1647">
        <v>37406</v>
      </c>
      <c r="AA989" s="1650">
        <f t="shared" ca="1" si="67"/>
        <v>15.083333333333334</v>
      </c>
      <c r="AB989" s="2444" t="s">
        <v>3629</v>
      </c>
      <c r="AC989" s="2445"/>
      <c r="AD989" s="2438"/>
    </row>
    <row r="990" spans="1:30" ht="15.75" hidden="1" customHeight="1">
      <c r="A990" s="1644">
        <f t="shared" si="48"/>
        <v>167</v>
      </c>
      <c r="B990" s="1645" t="s">
        <v>5275</v>
      </c>
      <c r="C990" s="1645" t="s">
        <v>5253</v>
      </c>
      <c r="D990" s="1645" t="s">
        <v>3635</v>
      </c>
      <c r="E990" s="1644" t="s">
        <v>2797</v>
      </c>
      <c r="F990" s="1645">
        <f t="shared" si="65"/>
        <v>1982</v>
      </c>
      <c r="G990" s="1647">
        <v>29971</v>
      </c>
      <c r="H990" s="1644" t="s">
        <v>3636</v>
      </c>
      <c r="I990" s="1648" t="s">
        <v>3629</v>
      </c>
      <c r="J990" s="1645" t="s">
        <v>38</v>
      </c>
      <c r="K990" s="1645">
        <v>0</v>
      </c>
      <c r="L990" s="1645" t="s">
        <v>3637</v>
      </c>
      <c r="M990" s="1645" t="s">
        <v>5274</v>
      </c>
      <c r="N990" s="1645"/>
      <c r="O990" s="1645" t="s">
        <v>5274</v>
      </c>
      <c r="P990" s="1653" t="s">
        <v>3718</v>
      </c>
      <c r="Q990" s="1645"/>
      <c r="R990" s="1647" t="s">
        <v>3702</v>
      </c>
      <c r="S990" s="1644"/>
      <c r="T990" s="1644" t="s">
        <v>936</v>
      </c>
      <c r="U990" s="1644" t="s">
        <v>3711</v>
      </c>
      <c r="V990" s="1644"/>
      <c r="W990" s="1644">
        <v>0</v>
      </c>
      <c r="X990" s="1644"/>
      <c r="Y990" s="1647">
        <v>38505</v>
      </c>
      <c r="Z990" s="1647">
        <v>38870</v>
      </c>
      <c r="AA990" s="1650">
        <f t="shared" ca="1" si="67"/>
        <v>17.25</v>
      </c>
      <c r="AB990" s="2444" t="s">
        <v>3629</v>
      </c>
      <c r="AC990" s="2445"/>
      <c r="AD990" s="2438"/>
    </row>
    <row r="991" spans="1:30" ht="15.75" hidden="1" customHeight="1">
      <c r="A991" s="1644">
        <f t="shared" si="48"/>
        <v>167</v>
      </c>
      <c r="B991" s="1645" t="s">
        <v>5276</v>
      </c>
      <c r="C991" s="1645" t="s">
        <v>5253</v>
      </c>
      <c r="D991" s="1645" t="s">
        <v>3814</v>
      </c>
      <c r="E991" s="1646" t="s">
        <v>2797</v>
      </c>
      <c r="F991" s="1645">
        <f t="shared" si="65"/>
        <v>1988</v>
      </c>
      <c r="G991" s="1647">
        <v>32313</v>
      </c>
      <c r="H991" s="1644" t="s">
        <v>3636</v>
      </c>
      <c r="I991" s="1648" t="s">
        <v>3629</v>
      </c>
      <c r="J991" s="1645" t="s">
        <v>37</v>
      </c>
      <c r="K991" s="1645">
        <v>0</v>
      </c>
      <c r="L991" s="1645" t="s">
        <v>1747</v>
      </c>
      <c r="M991" s="1645" t="s">
        <v>3814</v>
      </c>
      <c r="N991" s="1645"/>
      <c r="O991" s="1645" t="s">
        <v>3645</v>
      </c>
      <c r="P991" s="1649"/>
      <c r="Q991" s="1645"/>
      <c r="R991" s="1647" t="s">
        <v>3683</v>
      </c>
      <c r="S991" s="1644" t="s">
        <v>3743</v>
      </c>
      <c r="T991" s="1644" t="s">
        <v>936</v>
      </c>
      <c r="U991" s="1644" t="s">
        <v>3711</v>
      </c>
      <c r="V991" s="1644"/>
      <c r="W991" s="1644" t="s">
        <v>3687</v>
      </c>
      <c r="X991" s="1644"/>
      <c r="Y991" s="1647"/>
      <c r="Z991" s="1647" t="s">
        <v>936</v>
      </c>
      <c r="AA991" s="1650">
        <f t="shared" ca="1" si="67"/>
        <v>23.666666666666668</v>
      </c>
      <c r="AB991" s="2444" t="s">
        <v>3629</v>
      </c>
      <c r="AC991" s="2445"/>
      <c r="AD991" s="2438"/>
    </row>
    <row r="992" spans="1:30" ht="15.75" hidden="1" customHeight="1">
      <c r="A992" s="1644">
        <f t="shared" si="48"/>
        <v>167</v>
      </c>
      <c r="B992" s="1645" t="s">
        <v>5277</v>
      </c>
      <c r="C992" s="1645" t="s">
        <v>5253</v>
      </c>
      <c r="D992" s="1645" t="s">
        <v>3814</v>
      </c>
      <c r="E992" s="1644" t="s">
        <v>2798</v>
      </c>
      <c r="F992" s="1645">
        <f t="shared" si="65"/>
        <v>1987</v>
      </c>
      <c r="G992" s="1647">
        <v>31844</v>
      </c>
      <c r="H992" s="1644" t="s">
        <v>3636</v>
      </c>
      <c r="I992" s="1648" t="s">
        <v>3629</v>
      </c>
      <c r="J992" s="1645" t="s">
        <v>37</v>
      </c>
      <c r="K992" s="1645">
        <v>0</v>
      </c>
      <c r="L992" s="1645" t="s">
        <v>5278</v>
      </c>
      <c r="M992" s="1645" t="s">
        <v>5279</v>
      </c>
      <c r="N992" s="1645"/>
      <c r="O992" s="1645" t="s">
        <v>3814</v>
      </c>
      <c r="P992" s="1649"/>
      <c r="Q992" s="1645"/>
      <c r="R992" s="1647" t="s">
        <v>3710</v>
      </c>
      <c r="S992" s="1644"/>
      <c r="T992" s="1644" t="s">
        <v>936</v>
      </c>
      <c r="U992" s="1644" t="s">
        <v>3711</v>
      </c>
      <c r="V992" s="1644"/>
      <c r="W992" s="1650" t="s">
        <v>3653</v>
      </c>
      <c r="X992" s="1644"/>
      <c r="Y992" s="1647">
        <v>43168</v>
      </c>
      <c r="Z992" s="1647">
        <v>43533</v>
      </c>
      <c r="AA992" s="1650">
        <f t="shared" ca="1" si="67"/>
        <v>17.416666666666668</v>
      </c>
      <c r="AB992" s="2444" t="s">
        <v>3629</v>
      </c>
      <c r="AC992" s="2445"/>
      <c r="AD992" s="2438"/>
    </row>
    <row r="993" spans="1:30" ht="15.75" hidden="1" customHeight="1">
      <c r="A993" s="1644">
        <f t="shared" si="48"/>
        <v>167</v>
      </c>
      <c r="B993" s="1645" t="s">
        <v>5280</v>
      </c>
      <c r="C993" s="1645" t="s">
        <v>5253</v>
      </c>
      <c r="D993" s="1645" t="s">
        <v>3814</v>
      </c>
      <c r="E993" s="1646" t="s">
        <v>2797</v>
      </c>
      <c r="F993" s="1645">
        <f t="shared" si="65"/>
        <v>1979</v>
      </c>
      <c r="G993" s="1647">
        <v>29007</v>
      </c>
      <c r="H993" s="1644" t="s">
        <v>3636</v>
      </c>
      <c r="I993" s="1648" t="s">
        <v>3629</v>
      </c>
      <c r="J993" s="1645" t="s">
        <v>38</v>
      </c>
      <c r="K993" s="1645">
        <v>0</v>
      </c>
      <c r="L993" s="1645" t="s">
        <v>1747</v>
      </c>
      <c r="M993" s="1645" t="s">
        <v>4200</v>
      </c>
      <c r="N993" s="1645"/>
      <c r="O993" s="1645" t="s">
        <v>5281</v>
      </c>
      <c r="P993" s="1649"/>
      <c r="Q993" s="1645" t="s">
        <v>3693</v>
      </c>
      <c r="R993" s="1647" t="s">
        <v>4084</v>
      </c>
      <c r="S993" s="1644"/>
      <c r="T993" s="1644">
        <v>2018</v>
      </c>
      <c r="U993" s="1644" t="s">
        <v>3711</v>
      </c>
      <c r="V993" s="1644"/>
      <c r="W993" s="1644" t="s">
        <v>3658</v>
      </c>
      <c r="X993" s="1644" t="s">
        <v>3707</v>
      </c>
      <c r="Y993" s="1647">
        <v>42358</v>
      </c>
      <c r="Z993" s="1647">
        <v>42724</v>
      </c>
      <c r="AA993" s="1650">
        <f t="shared" ca="1" si="67"/>
        <v>14.583333333333334</v>
      </c>
      <c r="AB993" s="2444" t="s">
        <v>3629</v>
      </c>
      <c r="AC993" s="2445"/>
      <c r="AD993" s="2438"/>
    </row>
    <row r="994" spans="1:30" ht="15.75" hidden="1" customHeight="1">
      <c r="A994" s="1644">
        <f t="shared" si="48"/>
        <v>167</v>
      </c>
      <c r="B994" s="1645" t="s">
        <v>5282</v>
      </c>
      <c r="C994" s="1645" t="s">
        <v>5253</v>
      </c>
      <c r="D994" s="1645" t="s">
        <v>3814</v>
      </c>
      <c r="E994" s="1646" t="s">
        <v>2798</v>
      </c>
      <c r="F994" s="1645">
        <f t="shared" si="65"/>
        <v>1987</v>
      </c>
      <c r="G994" s="1647">
        <v>32005</v>
      </c>
      <c r="H994" s="1644" t="s">
        <v>3636</v>
      </c>
      <c r="I994" s="1648" t="s">
        <v>3629</v>
      </c>
      <c r="J994" s="1645" t="s">
        <v>37</v>
      </c>
      <c r="K994" s="1645">
        <v>0</v>
      </c>
      <c r="L994" s="1645" t="s">
        <v>3814</v>
      </c>
      <c r="M994" s="1645" t="s">
        <v>3814</v>
      </c>
      <c r="N994" s="1645"/>
      <c r="O994" s="1645" t="s">
        <v>3645</v>
      </c>
      <c r="P994" s="1649"/>
      <c r="Q994" s="1645"/>
      <c r="R994" s="1647" t="s">
        <v>3683</v>
      </c>
      <c r="S994" s="1644"/>
      <c r="T994" s="1644">
        <v>0</v>
      </c>
      <c r="U994" s="1644" t="s">
        <v>3711</v>
      </c>
      <c r="V994" s="1644"/>
      <c r="W994" s="1650" t="s">
        <v>3653</v>
      </c>
      <c r="X994" s="1644"/>
      <c r="Y994" s="1647">
        <v>43168</v>
      </c>
      <c r="Z994" s="1647">
        <v>43533</v>
      </c>
      <c r="AA994" s="1650">
        <f t="shared" ca="1" si="67"/>
        <v>17.833333333333332</v>
      </c>
      <c r="AB994" s="2444" t="s">
        <v>3629</v>
      </c>
      <c r="AC994" s="2445"/>
      <c r="AD994" s="2438"/>
    </row>
    <row r="995" spans="1:30" ht="15.75" hidden="1" customHeight="1">
      <c r="A995" s="1644">
        <f t="shared" si="48"/>
        <v>167</v>
      </c>
      <c r="B995" s="1645" t="s">
        <v>5283</v>
      </c>
      <c r="C995" s="1645" t="s">
        <v>5253</v>
      </c>
      <c r="D995" s="1645" t="s">
        <v>5284</v>
      </c>
      <c r="E995" s="1644" t="s">
        <v>2797</v>
      </c>
      <c r="F995" s="1645">
        <f t="shared" si="65"/>
        <v>1976</v>
      </c>
      <c r="G995" s="1647">
        <v>28122</v>
      </c>
      <c r="H995" s="1644" t="s">
        <v>3636</v>
      </c>
      <c r="I995" s="1648" t="s">
        <v>3629</v>
      </c>
      <c r="J995" s="1645" t="s">
        <v>37</v>
      </c>
      <c r="K995" s="1645">
        <v>0</v>
      </c>
      <c r="L995" s="1645" t="s">
        <v>1747</v>
      </c>
      <c r="M995" s="1645" t="s">
        <v>4682</v>
      </c>
      <c r="N995" s="1645"/>
      <c r="O995" s="1645" t="s">
        <v>3645</v>
      </c>
      <c r="P995" s="1649"/>
      <c r="Q995" s="1645" t="s">
        <v>3693</v>
      </c>
      <c r="R995" s="1647" t="s">
        <v>3699</v>
      </c>
      <c r="S995" s="1644"/>
      <c r="T995" s="1644" t="s">
        <v>936</v>
      </c>
      <c r="U995" s="1644" t="s">
        <v>3711</v>
      </c>
      <c r="V995" s="1644"/>
      <c r="W995" s="1644"/>
      <c r="X995" s="1644" t="s">
        <v>3633</v>
      </c>
      <c r="Y995" s="1647">
        <v>38512</v>
      </c>
      <c r="Z995" s="1647">
        <v>38877</v>
      </c>
      <c r="AA995" s="1650">
        <f t="shared" ca="1" si="67"/>
        <v>12.166666666666666</v>
      </c>
      <c r="AB995" s="2444" t="s">
        <v>3629</v>
      </c>
      <c r="AC995" s="2445"/>
      <c r="AD995" s="2438"/>
    </row>
    <row r="996" spans="1:30" ht="15.75" hidden="1" customHeight="1">
      <c r="A996" s="1644">
        <f t="shared" si="48"/>
        <v>167</v>
      </c>
      <c r="B996" s="1645" t="s">
        <v>5285</v>
      </c>
      <c r="C996" s="1645" t="s">
        <v>5253</v>
      </c>
      <c r="D996" s="1645" t="s">
        <v>5284</v>
      </c>
      <c r="E996" s="1646" t="s">
        <v>2797</v>
      </c>
      <c r="F996" s="1645">
        <f t="shared" si="65"/>
        <v>1984</v>
      </c>
      <c r="G996" s="1647">
        <v>30867</v>
      </c>
      <c r="H996" s="1644" t="s">
        <v>3636</v>
      </c>
      <c r="I996" s="1648" t="s">
        <v>3629</v>
      </c>
      <c r="J996" s="1645" t="s">
        <v>37</v>
      </c>
      <c r="K996" s="1645">
        <v>0</v>
      </c>
      <c r="L996" s="1645" t="s">
        <v>5278</v>
      </c>
      <c r="M996" s="1645" t="s">
        <v>5286</v>
      </c>
      <c r="N996" s="1645"/>
      <c r="O996" s="1645" t="s">
        <v>3645</v>
      </c>
      <c r="P996" s="1649"/>
      <c r="Q996" s="1645"/>
      <c r="R996" s="1647" t="s">
        <v>3683</v>
      </c>
      <c r="S996" s="1644"/>
      <c r="T996" s="1644">
        <v>0</v>
      </c>
      <c r="U996" s="1644"/>
      <c r="V996" s="1644"/>
      <c r="W996" s="1644">
        <v>0</v>
      </c>
      <c r="X996" s="1644"/>
      <c r="Y996" s="1647"/>
      <c r="Z996" s="1647" t="s">
        <v>936</v>
      </c>
      <c r="AA996" s="1650">
        <f t="shared" ca="1" si="67"/>
        <v>19.75</v>
      </c>
      <c r="AB996" s="2444" t="s">
        <v>3629</v>
      </c>
      <c r="AC996" s="2445"/>
      <c r="AD996" s="2438"/>
    </row>
    <row r="997" spans="1:30" ht="15.75" hidden="1" customHeight="1">
      <c r="A997" s="1644">
        <f t="shared" si="48"/>
        <v>167</v>
      </c>
      <c r="B997" s="1645" t="s">
        <v>5287</v>
      </c>
      <c r="C997" s="1645" t="s">
        <v>5253</v>
      </c>
      <c r="D997" s="1645" t="s">
        <v>5284</v>
      </c>
      <c r="E997" s="1644" t="s">
        <v>2798</v>
      </c>
      <c r="F997" s="1645">
        <f t="shared" si="65"/>
        <v>1991</v>
      </c>
      <c r="G997" s="1647">
        <v>33469</v>
      </c>
      <c r="H997" s="1644" t="s">
        <v>3636</v>
      </c>
      <c r="I997" s="1648" t="s">
        <v>3629</v>
      </c>
      <c r="J997" s="1645" t="s">
        <v>37</v>
      </c>
      <c r="K997" s="1645"/>
      <c r="L997" s="1651" t="s">
        <v>5288</v>
      </c>
      <c r="M997" s="1645" t="s">
        <v>5288</v>
      </c>
      <c r="N997" s="1645"/>
      <c r="O997" s="1645">
        <v>0</v>
      </c>
      <c r="P997" s="1649"/>
      <c r="Q997" s="1645"/>
      <c r="R997" s="1644" t="s">
        <v>3683</v>
      </c>
      <c r="S997" s="1644" t="s">
        <v>3743</v>
      </c>
      <c r="T997" s="1644">
        <v>2018</v>
      </c>
      <c r="U997" s="1644"/>
      <c r="V997" s="1644"/>
      <c r="W997" s="1644" t="s">
        <v>936</v>
      </c>
      <c r="X997" s="1644"/>
      <c r="Y997" s="1647"/>
      <c r="Z997" s="1647"/>
      <c r="AA997" s="1650">
        <f t="shared" ca="1" si="67"/>
        <v>21.833333333333332</v>
      </c>
      <c r="AB997" s="2444" t="s">
        <v>3629</v>
      </c>
      <c r="AC997" s="2445"/>
      <c r="AD997" s="2438"/>
    </row>
    <row r="998" spans="1:30" ht="15.75" hidden="1" customHeight="1">
      <c r="A998" s="1644">
        <f t="shared" si="48"/>
        <v>167</v>
      </c>
      <c r="B998" s="1645" t="s">
        <v>5289</v>
      </c>
      <c r="C998" s="1645" t="s">
        <v>5253</v>
      </c>
      <c r="D998" s="1645" t="s">
        <v>5284</v>
      </c>
      <c r="E998" s="1644" t="s">
        <v>2798</v>
      </c>
      <c r="F998" s="1645">
        <f t="shared" si="65"/>
        <v>1991</v>
      </c>
      <c r="G998" s="1647">
        <v>33240</v>
      </c>
      <c r="H998" s="1644" t="s">
        <v>3636</v>
      </c>
      <c r="I998" s="1648" t="s">
        <v>3629</v>
      </c>
      <c r="J998" s="1645" t="s">
        <v>37</v>
      </c>
      <c r="K998" s="1645">
        <v>0</v>
      </c>
      <c r="L998" s="1645" t="s">
        <v>3978</v>
      </c>
      <c r="M998" s="1645" t="s">
        <v>3978</v>
      </c>
      <c r="N998" s="1645"/>
      <c r="O998" s="1645" t="s">
        <v>3645</v>
      </c>
      <c r="P998" s="1649"/>
      <c r="Q998" s="1645"/>
      <c r="R998" s="1647" t="s">
        <v>3683</v>
      </c>
      <c r="S998" s="1644"/>
      <c r="T998" s="1644" t="s">
        <v>936</v>
      </c>
      <c r="U998" s="1644"/>
      <c r="V998" s="1644"/>
      <c r="W998" s="1644" t="s">
        <v>3679</v>
      </c>
      <c r="X998" s="1644"/>
      <c r="Y998" s="1647"/>
      <c r="Z998" s="1647" t="s">
        <v>936</v>
      </c>
      <c r="AA998" s="1650">
        <f t="shared" ca="1" si="67"/>
        <v>21.166666666666668</v>
      </c>
      <c r="AB998" s="2444" t="s">
        <v>3629</v>
      </c>
      <c r="AC998" s="2445"/>
      <c r="AD998" s="2438"/>
    </row>
    <row r="999" spans="1:30" ht="15.75" hidden="1" customHeight="1">
      <c r="A999" s="1644">
        <f t="shared" si="48"/>
        <v>167</v>
      </c>
      <c r="B999" s="1645" t="s">
        <v>5290</v>
      </c>
      <c r="C999" s="1645" t="s">
        <v>5253</v>
      </c>
      <c r="D999" s="1645" t="s">
        <v>5284</v>
      </c>
      <c r="E999" s="1644" t="s">
        <v>2798</v>
      </c>
      <c r="F999" s="1645">
        <f t="shared" si="65"/>
        <v>1986</v>
      </c>
      <c r="G999" s="1647">
        <v>31420</v>
      </c>
      <c r="H999" s="1644" t="s">
        <v>3636</v>
      </c>
      <c r="I999" s="1648" t="s">
        <v>3629</v>
      </c>
      <c r="J999" s="1645" t="s">
        <v>37</v>
      </c>
      <c r="K999" s="1645">
        <v>0</v>
      </c>
      <c r="L999" s="1645" t="s">
        <v>3978</v>
      </c>
      <c r="M999" s="1645" t="s">
        <v>3978</v>
      </c>
      <c r="N999" s="1645"/>
      <c r="O999" s="1645" t="s">
        <v>3645</v>
      </c>
      <c r="P999" s="1649"/>
      <c r="Q999" s="1645"/>
      <c r="R999" s="1647" t="s">
        <v>3683</v>
      </c>
      <c r="S999" s="1644"/>
      <c r="T999" s="1644" t="s">
        <v>936</v>
      </c>
      <c r="U999" s="1644" t="s">
        <v>3711</v>
      </c>
      <c r="V999" s="1644"/>
      <c r="W999" s="1650" t="s">
        <v>3646</v>
      </c>
      <c r="X999" s="1644"/>
      <c r="Y999" s="1647"/>
      <c r="Z999" s="1647"/>
      <c r="AA999" s="1650">
        <f t="shared" ca="1" si="67"/>
        <v>16.25</v>
      </c>
      <c r="AB999" s="2444" t="s">
        <v>3629</v>
      </c>
      <c r="AC999" s="2445"/>
      <c r="AD999" s="2438"/>
    </row>
    <row r="1000" spans="1:30" ht="15.75" hidden="1" customHeight="1">
      <c r="A1000" s="1644">
        <f t="shared" si="48"/>
        <v>167</v>
      </c>
      <c r="B1000" s="1645" t="s">
        <v>5291</v>
      </c>
      <c r="C1000" s="1645" t="s">
        <v>5253</v>
      </c>
      <c r="D1000" s="1645" t="s">
        <v>5284</v>
      </c>
      <c r="E1000" s="1646" t="s">
        <v>2798</v>
      </c>
      <c r="F1000" s="1645">
        <f t="shared" si="65"/>
        <v>1982</v>
      </c>
      <c r="G1000" s="1647">
        <v>30178</v>
      </c>
      <c r="H1000" s="1644" t="s">
        <v>3797</v>
      </c>
      <c r="I1000" s="1648" t="s">
        <v>3629</v>
      </c>
      <c r="J1000" s="1645" t="s">
        <v>38</v>
      </c>
      <c r="K1000" s="1645" t="s">
        <v>3798</v>
      </c>
      <c r="L1000" s="1645" t="s">
        <v>4410</v>
      </c>
      <c r="M1000" s="1645" t="s">
        <v>4682</v>
      </c>
      <c r="N1000" s="1645"/>
      <c r="O1000" s="1645" t="s">
        <v>4682</v>
      </c>
      <c r="P1000" s="1649"/>
      <c r="Q1000" s="1645" t="s">
        <v>3693</v>
      </c>
      <c r="R1000" s="1647" t="s">
        <v>4051</v>
      </c>
      <c r="S1000" s="1644"/>
      <c r="T1000" s="1644" t="s">
        <v>936</v>
      </c>
      <c r="U1000" s="1644" t="s">
        <v>3697</v>
      </c>
      <c r="V1000" s="1644"/>
      <c r="W1000" s="1644">
        <v>0</v>
      </c>
      <c r="X1000" s="1644" t="s">
        <v>3633</v>
      </c>
      <c r="Y1000" s="1647">
        <v>41282</v>
      </c>
      <c r="Z1000" s="1647">
        <v>41647</v>
      </c>
      <c r="AA1000" s="1650">
        <f t="shared" ca="1" si="67"/>
        <v>12.833333333333334</v>
      </c>
      <c r="AB1000" s="2444" t="s">
        <v>3629</v>
      </c>
      <c r="AC1000" s="2445"/>
      <c r="AD1000" s="2438"/>
    </row>
    <row r="1001" spans="1:30" ht="15.75" hidden="1" customHeight="1">
      <c r="A1001" s="1644">
        <f t="shared" si="48"/>
        <v>167</v>
      </c>
      <c r="B1001" s="1645" t="s">
        <v>5292</v>
      </c>
      <c r="C1001" s="1645" t="s">
        <v>5253</v>
      </c>
      <c r="D1001" s="1645" t="s">
        <v>5284</v>
      </c>
      <c r="E1001" s="1644" t="s">
        <v>2797</v>
      </c>
      <c r="F1001" s="1645">
        <f t="shared" si="65"/>
        <v>1976</v>
      </c>
      <c r="G1001" s="1647">
        <v>28091</v>
      </c>
      <c r="H1001" s="1644" t="s">
        <v>3636</v>
      </c>
      <c r="I1001" s="1648" t="s">
        <v>3629</v>
      </c>
      <c r="J1001" s="1645" t="s">
        <v>37</v>
      </c>
      <c r="K1001" s="1645">
        <v>0</v>
      </c>
      <c r="L1001" s="1645" t="s">
        <v>1747</v>
      </c>
      <c r="M1001" s="1645" t="s">
        <v>5272</v>
      </c>
      <c r="N1001" s="1645"/>
      <c r="O1001" s="1645" t="s">
        <v>3645</v>
      </c>
      <c r="P1001" s="1649"/>
      <c r="Q1001" s="1645"/>
      <c r="R1001" s="1644" t="s">
        <v>3699</v>
      </c>
      <c r="S1001" s="1644"/>
      <c r="T1001" s="1644">
        <v>2018</v>
      </c>
      <c r="U1001" s="1644" t="s">
        <v>3711</v>
      </c>
      <c r="V1001" s="1644"/>
      <c r="W1001" s="1650" t="s">
        <v>3646</v>
      </c>
      <c r="X1001" s="1644"/>
      <c r="Y1001" s="1647"/>
      <c r="Z1001" s="1647"/>
      <c r="AA1001" s="1650">
        <f t="shared" ca="1" si="67"/>
        <v>12.083333333333334</v>
      </c>
      <c r="AB1001" s="2444" t="s">
        <v>3629</v>
      </c>
      <c r="AC1001" s="2445"/>
      <c r="AD1001" s="2438"/>
    </row>
    <row r="1002" spans="1:30" ht="15.75" hidden="1" customHeight="1">
      <c r="A1002" s="1644">
        <f t="shared" si="48"/>
        <v>167</v>
      </c>
      <c r="B1002" s="1645" t="s">
        <v>5293</v>
      </c>
      <c r="C1002" s="1645" t="s">
        <v>5253</v>
      </c>
      <c r="D1002" s="1645" t="s">
        <v>5294</v>
      </c>
      <c r="E1002" s="1644" t="s">
        <v>2798</v>
      </c>
      <c r="F1002" s="1645">
        <f t="shared" si="65"/>
        <v>1986</v>
      </c>
      <c r="G1002" s="1647">
        <v>31568</v>
      </c>
      <c r="H1002" s="1644" t="s">
        <v>3636</v>
      </c>
      <c r="I1002" s="1648" t="s">
        <v>3629</v>
      </c>
      <c r="J1002" s="1645" t="s">
        <v>38</v>
      </c>
      <c r="K1002" s="1645">
        <v>0</v>
      </c>
      <c r="L1002" s="1645" t="s">
        <v>5295</v>
      </c>
      <c r="M1002" s="1645" t="s">
        <v>5296</v>
      </c>
      <c r="N1002" s="1645"/>
      <c r="O1002" s="1645" t="s">
        <v>5297</v>
      </c>
      <c r="P1002" s="1649">
        <v>44415</v>
      </c>
      <c r="Q1002" s="1645"/>
      <c r="R1002" s="1647" t="s">
        <v>3667</v>
      </c>
      <c r="S1002" s="1644"/>
      <c r="T1002" s="1644" t="s">
        <v>936</v>
      </c>
      <c r="U1002" s="1644" t="s">
        <v>3711</v>
      </c>
      <c r="V1002" s="1644"/>
      <c r="W1002" s="1644" t="s">
        <v>3939</v>
      </c>
      <c r="X1002" s="1644"/>
      <c r="Y1002" s="1647"/>
      <c r="Z1002" s="1647"/>
      <c r="AA1002" s="1650">
        <f t="shared" ca="1" si="67"/>
        <v>16.666666666666668</v>
      </c>
      <c r="AB1002" s="2444" t="s">
        <v>3629</v>
      </c>
      <c r="AC1002" s="2445"/>
      <c r="AD1002" s="2438"/>
    </row>
    <row r="1003" spans="1:30" ht="15.75" hidden="1" customHeight="1">
      <c r="A1003" s="1644">
        <f t="shared" si="48"/>
        <v>167</v>
      </c>
      <c r="B1003" s="1645" t="s">
        <v>5298</v>
      </c>
      <c r="C1003" s="1645" t="s">
        <v>5253</v>
      </c>
      <c r="D1003" s="1645" t="s">
        <v>5294</v>
      </c>
      <c r="E1003" s="1646" t="s">
        <v>2797</v>
      </c>
      <c r="F1003" s="1645">
        <f t="shared" si="65"/>
        <v>1979</v>
      </c>
      <c r="G1003" s="1647">
        <v>28949</v>
      </c>
      <c r="H1003" s="1644" t="s">
        <v>3636</v>
      </c>
      <c r="I1003" s="1648" t="s">
        <v>3629</v>
      </c>
      <c r="J1003" s="1645" t="s">
        <v>38</v>
      </c>
      <c r="K1003" s="1645">
        <v>0</v>
      </c>
      <c r="L1003" s="1645" t="s">
        <v>3737</v>
      </c>
      <c r="M1003" s="1645" t="s">
        <v>3737</v>
      </c>
      <c r="N1003" s="1645"/>
      <c r="O1003" s="1645" t="s">
        <v>5299</v>
      </c>
      <c r="P1003" s="1649"/>
      <c r="Q1003" s="1645"/>
      <c r="R1003" s="1647" t="s">
        <v>3699</v>
      </c>
      <c r="S1003" s="1644"/>
      <c r="T1003" s="1644">
        <v>0</v>
      </c>
      <c r="U1003" s="1644" t="s">
        <v>3711</v>
      </c>
      <c r="V1003" s="1644"/>
      <c r="W1003" s="1650" t="s">
        <v>3653</v>
      </c>
      <c r="X1003" s="1644" t="s">
        <v>3707</v>
      </c>
      <c r="Y1003" s="1647">
        <v>36298</v>
      </c>
      <c r="Z1003" s="1647">
        <v>36664</v>
      </c>
      <c r="AA1003" s="1650">
        <f t="shared" ca="1" si="67"/>
        <v>14.5</v>
      </c>
      <c r="AB1003" s="2444" t="s">
        <v>3629</v>
      </c>
      <c r="AC1003" s="2445"/>
      <c r="AD1003" s="2438"/>
    </row>
    <row r="1004" spans="1:30" ht="15.75" hidden="1" customHeight="1">
      <c r="A1004" s="1644">
        <f t="shared" si="48"/>
        <v>167</v>
      </c>
      <c r="B1004" s="1645" t="s">
        <v>5300</v>
      </c>
      <c r="C1004" s="1645" t="s">
        <v>5253</v>
      </c>
      <c r="D1004" s="1645" t="s">
        <v>5294</v>
      </c>
      <c r="E1004" s="1644" t="s">
        <v>2797</v>
      </c>
      <c r="F1004" s="1645">
        <f t="shared" si="65"/>
        <v>1980</v>
      </c>
      <c r="G1004" s="1647">
        <v>29440</v>
      </c>
      <c r="H1004" s="1644" t="s">
        <v>3636</v>
      </c>
      <c r="I1004" s="1648" t="s">
        <v>3629</v>
      </c>
      <c r="J1004" s="1645" t="s">
        <v>38</v>
      </c>
      <c r="K1004" s="1645">
        <v>0</v>
      </c>
      <c r="L1004" s="1645" t="s">
        <v>1701</v>
      </c>
      <c r="M1004" s="1645" t="s">
        <v>3737</v>
      </c>
      <c r="N1004" s="1645"/>
      <c r="O1004" s="1645" t="s">
        <v>3014</v>
      </c>
      <c r="P1004" s="1649"/>
      <c r="Q1004" s="1645"/>
      <c r="R1004" s="1644" t="s">
        <v>5301</v>
      </c>
      <c r="S1004" s="1644"/>
      <c r="T1004" s="1644" t="s">
        <v>936</v>
      </c>
      <c r="U1004" s="1644" t="s">
        <v>3631</v>
      </c>
      <c r="V1004" s="1644"/>
      <c r="W1004" s="1644" t="s">
        <v>3939</v>
      </c>
      <c r="X1004" s="1644" t="s">
        <v>3633</v>
      </c>
      <c r="Y1004" s="1647">
        <v>37795</v>
      </c>
      <c r="Z1004" s="1647">
        <v>38161</v>
      </c>
      <c r="AA1004" s="1650">
        <f t="shared" ca="1" si="67"/>
        <v>15.833333333333334</v>
      </c>
      <c r="AB1004" s="2444" t="s">
        <v>3629</v>
      </c>
      <c r="AC1004" s="2445"/>
      <c r="AD1004" s="2438"/>
    </row>
    <row r="1005" spans="1:30" ht="15.75" hidden="1" customHeight="1">
      <c r="A1005" s="1644">
        <f t="shared" si="48"/>
        <v>167</v>
      </c>
      <c r="B1005" s="1645" t="s">
        <v>5302</v>
      </c>
      <c r="C1005" s="1645" t="s">
        <v>5253</v>
      </c>
      <c r="D1005" s="1645" t="s">
        <v>5294</v>
      </c>
      <c r="E1005" s="1644" t="s">
        <v>2798</v>
      </c>
      <c r="F1005" s="1645">
        <f t="shared" si="65"/>
        <v>1981</v>
      </c>
      <c r="G1005" s="1647">
        <v>29821</v>
      </c>
      <c r="H1005" s="1644" t="s">
        <v>3636</v>
      </c>
      <c r="I1005" s="1648" t="s">
        <v>3629</v>
      </c>
      <c r="J1005" s="1645" t="s">
        <v>38</v>
      </c>
      <c r="K1005" s="1645">
        <v>0</v>
      </c>
      <c r="L1005" s="1645" t="s">
        <v>3737</v>
      </c>
      <c r="M1005" s="1645" t="s">
        <v>3737</v>
      </c>
      <c r="N1005" s="1645"/>
      <c r="O1005" s="1645" t="s">
        <v>5303</v>
      </c>
      <c r="P1005" s="1649">
        <v>43862</v>
      </c>
      <c r="Q1005" s="1645"/>
      <c r="R1005" s="1647" t="s">
        <v>3852</v>
      </c>
      <c r="S1005" s="1644"/>
      <c r="T1005" s="1644" t="s">
        <v>936</v>
      </c>
      <c r="U1005" s="1644"/>
      <c r="V1005" s="1644"/>
      <c r="W1005" s="1644">
        <v>0</v>
      </c>
      <c r="X1005" s="1644"/>
      <c r="Y1005" s="1647"/>
      <c r="Z1005" s="1647"/>
      <c r="AA1005" s="1650">
        <f t="shared" ca="1" si="67"/>
        <v>11.833333333333334</v>
      </c>
      <c r="AB1005" s="2444" t="s">
        <v>3629</v>
      </c>
      <c r="AC1005" s="2445"/>
      <c r="AD1005" s="2438"/>
    </row>
    <row r="1006" spans="1:30" ht="15.75" hidden="1" customHeight="1">
      <c r="A1006" s="1644">
        <f t="shared" si="48"/>
        <v>167</v>
      </c>
      <c r="B1006" s="1645" t="s">
        <v>5304</v>
      </c>
      <c r="C1006" s="1645" t="s">
        <v>5253</v>
      </c>
      <c r="D1006" s="1645" t="s">
        <v>5294</v>
      </c>
      <c r="E1006" s="1646" t="s">
        <v>2798</v>
      </c>
      <c r="F1006" s="1645">
        <f t="shared" si="65"/>
        <v>1978</v>
      </c>
      <c r="G1006" s="1647">
        <v>28810</v>
      </c>
      <c r="H1006" s="1644" t="s">
        <v>3636</v>
      </c>
      <c r="I1006" s="1648" t="s">
        <v>3629</v>
      </c>
      <c r="J1006" s="1645" t="s">
        <v>38</v>
      </c>
      <c r="K1006" s="1645">
        <v>0</v>
      </c>
      <c r="L1006" s="1645" t="s">
        <v>3737</v>
      </c>
      <c r="M1006" s="1645" t="s">
        <v>3737</v>
      </c>
      <c r="N1006" s="1645"/>
      <c r="O1006" s="1645" t="s">
        <v>5299</v>
      </c>
      <c r="P1006" s="1653" t="s">
        <v>4488</v>
      </c>
      <c r="Q1006" s="1645"/>
      <c r="R1006" s="1644" t="s">
        <v>3683</v>
      </c>
      <c r="S1006" s="1644"/>
      <c r="T1006" s="1644" t="s">
        <v>936</v>
      </c>
      <c r="U1006" s="1644" t="s">
        <v>3711</v>
      </c>
      <c r="V1006" s="1644"/>
      <c r="W1006" s="1644">
        <v>0</v>
      </c>
      <c r="X1006" s="1644"/>
      <c r="Y1006" s="1647"/>
      <c r="Z1006" s="1647"/>
      <c r="AA1006" s="1650">
        <f t="shared" ca="1" si="67"/>
        <v>9.0833333333333339</v>
      </c>
      <c r="AB1006" s="2444" t="s">
        <v>3629</v>
      </c>
      <c r="AC1006" s="2445"/>
      <c r="AD1006" s="2438"/>
    </row>
    <row r="1007" spans="1:30" ht="15.75" hidden="1" customHeight="1">
      <c r="A1007" s="1644">
        <f t="shared" si="48"/>
        <v>167</v>
      </c>
      <c r="B1007" s="1645" t="s">
        <v>5305</v>
      </c>
      <c r="C1007" s="1645" t="s">
        <v>5253</v>
      </c>
      <c r="D1007" s="1645" t="s">
        <v>5294</v>
      </c>
      <c r="E1007" s="1644" t="s">
        <v>2797</v>
      </c>
      <c r="F1007" s="1645">
        <f t="shared" si="65"/>
        <v>1976</v>
      </c>
      <c r="G1007" s="1647">
        <v>27774</v>
      </c>
      <c r="H1007" s="1644" t="s">
        <v>3636</v>
      </c>
      <c r="I1007" s="1648" t="s">
        <v>3629</v>
      </c>
      <c r="J1007" s="1645" t="s">
        <v>38</v>
      </c>
      <c r="K1007" s="1645">
        <v>0</v>
      </c>
      <c r="L1007" s="1645" t="s">
        <v>3737</v>
      </c>
      <c r="M1007" s="1645" t="s">
        <v>3737</v>
      </c>
      <c r="N1007" s="1645"/>
      <c r="O1007" s="1645" t="s">
        <v>5111</v>
      </c>
      <c r="P1007" s="1649"/>
      <c r="Q1007" s="1645"/>
      <c r="R1007" s="1647" t="s">
        <v>3999</v>
      </c>
      <c r="S1007" s="1644"/>
      <c r="T1007" s="1644">
        <v>2018</v>
      </c>
      <c r="U1007" s="1644" t="s">
        <v>3711</v>
      </c>
      <c r="V1007" s="1644"/>
      <c r="W1007" s="1644" t="s">
        <v>936</v>
      </c>
      <c r="X1007" s="1644"/>
      <c r="Y1007" s="1647"/>
      <c r="Z1007" s="1647"/>
      <c r="AA1007" s="1650">
        <f t="shared" ca="1" si="67"/>
        <v>11.25</v>
      </c>
      <c r="AB1007" s="2444" t="s">
        <v>3629</v>
      </c>
      <c r="AC1007" s="2445"/>
      <c r="AD1007" s="2438"/>
    </row>
    <row r="1008" spans="1:30" ht="15.75" hidden="1" customHeight="1">
      <c r="A1008" s="1644">
        <f t="shared" si="48"/>
        <v>167</v>
      </c>
      <c r="B1008" s="1645" t="s">
        <v>5306</v>
      </c>
      <c r="C1008" s="1645" t="s">
        <v>5253</v>
      </c>
      <c r="D1008" s="1645" t="s">
        <v>5294</v>
      </c>
      <c r="E1008" s="1644" t="s">
        <v>2798</v>
      </c>
      <c r="F1008" s="1645">
        <f t="shared" si="65"/>
        <v>1981</v>
      </c>
      <c r="G1008" s="1647">
        <v>29822</v>
      </c>
      <c r="H1008" s="1644" t="s">
        <v>3628</v>
      </c>
      <c r="I1008" s="1648" t="s">
        <v>3629</v>
      </c>
      <c r="J1008" s="1645" t="s">
        <v>38</v>
      </c>
      <c r="K1008" s="1645">
        <v>0</v>
      </c>
      <c r="L1008" s="1645" t="s">
        <v>3737</v>
      </c>
      <c r="M1008" s="1645" t="s">
        <v>3737</v>
      </c>
      <c r="N1008" s="1645"/>
      <c r="O1008" s="1645" t="s">
        <v>5299</v>
      </c>
      <c r="P1008" s="1649">
        <v>43770</v>
      </c>
      <c r="Q1008" s="1645"/>
      <c r="R1008" s="1647" t="s">
        <v>4203</v>
      </c>
      <c r="S1008" s="1644"/>
      <c r="T1008" s="1644">
        <v>0</v>
      </c>
      <c r="U1008" s="1644" t="s">
        <v>3711</v>
      </c>
      <c r="V1008" s="1644"/>
      <c r="W1008" s="1644">
        <v>0</v>
      </c>
      <c r="X1008" s="1644" t="s">
        <v>3707</v>
      </c>
      <c r="Y1008" s="1647">
        <v>41123</v>
      </c>
      <c r="Z1008" s="1647">
        <v>41488</v>
      </c>
      <c r="AA1008" s="1650">
        <f t="shared" ca="1" si="67"/>
        <v>11.833333333333334</v>
      </c>
      <c r="AB1008" s="2444" t="s">
        <v>3629</v>
      </c>
      <c r="AC1008" s="2445"/>
      <c r="AD1008" s="2438"/>
    </row>
    <row r="1009" spans="1:30" ht="15.75" hidden="1" customHeight="1">
      <c r="A1009" s="1644">
        <f t="shared" si="48"/>
        <v>167</v>
      </c>
      <c r="B1009" s="1645" t="s">
        <v>5307</v>
      </c>
      <c r="C1009" s="1645" t="s">
        <v>5253</v>
      </c>
      <c r="D1009" s="1645" t="s">
        <v>5294</v>
      </c>
      <c r="E1009" s="1646" t="s">
        <v>2798</v>
      </c>
      <c r="F1009" s="1645">
        <f t="shared" si="65"/>
        <v>1979</v>
      </c>
      <c r="G1009" s="1647">
        <v>29000</v>
      </c>
      <c r="H1009" s="1644" t="s">
        <v>3636</v>
      </c>
      <c r="I1009" s="1648" t="s">
        <v>3629</v>
      </c>
      <c r="J1009" s="1645" t="s">
        <v>38</v>
      </c>
      <c r="K1009" s="1645">
        <v>0</v>
      </c>
      <c r="L1009" s="1645" t="s">
        <v>3737</v>
      </c>
      <c r="M1009" s="1645" t="s">
        <v>3737</v>
      </c>
      <c r="N1009" s="1645"/>
      <c r="O1009" s="1645" t="s">
        <v>3014</v>
      </c>
      <c r="P1009" s="1649">
        <v>44105</v>
      </c>
      <c r="Q1009" s="1645"/>
      <c r="R1009" s="1644"/>
      <c r="S1009" s="1644"/>
      <c r="T1009" s="1644" t="s">
        <v>936</v>
      </c>
      <c r="U1009" s="1644" t="s">
        <v>3711</v>
      </c>
      <c r="V1009" s="1644"/>
      <c r="W1009" s="1650" t="s">
        <v>3646</v>
      </c>
      <c r="X1009" s="1644"/>
      <c r="Y1009" s="1647">
        <v>41746</v>
      </c>
      <c r="Z1009" s="1647">
        <v>42111</v>
      </c>
      <c r="AA1009" s="1650">
        <f t="shared" ca="1" si="67"/>
        <v>9.5833333333333339</v>
      </c>
      <c r="AB1009" s="2444" t="s">
        <v>3629</v>
      </c>
      <c r="AC1009" s="2445"/>
      <c r="AD1009" s="2438"/>
    </row>
    <row r="1010" spans="1:30" ht="15.75" hidden="1" customHeight="1">
      <c r="A1010" s="1644">
        <f t="shared" si="48"/>
        <v>167</v>
      </c>
      <c r="B1010" s="1645" t="s">
        <v>5308</v>
      </c>
      <c r="C1010" s="1645" t="s">
        <v>5253</v>
      </c>
      <c r="D1010" s="1645" t="s">
        <v>5294</v>
      </c>
      <c r="E1010" s="1644" t="s">
        <v>2798</v>
      </c>
      <c r="F1010" s="1645">
        <f t="shared" si="65"/>
        <v>1980</v>
      </c>
      <c r="G1010" s="1647">
        <v>29457</v>
      </c>
      <c r="H1010" s="1644" t="s">
        <v>3636</v>
      </c>
      <c r="I1010" s="1648" t="s">
        <v>3629</v>
      </c>
      <c r="J1010" s="1645" t="s">
        <v>38</v>
      </c>
      <c r="K1010" s="1645">
        <v>0</v>
      </c>
      <c r="L1010" s="1645" t="s">
        <v>3737</v>
      </c>
      <c r="M1010" s="1645" t="s">
        <v>3737</v>
      </c>
      <c r="N1010" s="1645"/>
      <c r="O1010" s="1645" t="s">
        <v>3978</v>
      </c>
      <c r="P1010" s="1649"/>
      <c r="Q1010" s="1645"/>
      <c r="R1010" s="1647" t="s">
        <v>3852</v>
      </c>
      <c r="S1010" s="1644"/>
      <c r="T1010" s="1644"/>
      <c r="U1010" s="1644"/>
      <c r="V1010" s="1644"/>
      <c r="W1010" s="1644">
        <v>0</v>
      </c>
      <c r="X1010" s="1644"/>
      <c r="Y1010" s="1647"/>
      <c r="Z1010" s="1647" t="s">
        <v>936</v>
      </c>
      <c r="AA1010" s="1650">
        <f t="shared" ca="1" si="67"/>
        <v>10.833333333333334</v>
      </c>
      <c r="AB1010" s="2444" t="s">
        <v>3629</v>
      </c>
      <c r="AC1010" s="2445"/>
      <c r="AD1010" s="2438"/>
    </row>
    <row r="1011" spans="1:30" ht="15.75" hidden="1" customHeight="1">
      <c r="A1011" s="1644">
        <f t="shared" si="48"/>
        <v>167</v>
      </c>
      <c r="B1011" s="1645" t="s">
        <v>5309</v>
      </c>
      <c r="C1011" s="1645" t="s">
        <v>5253</v>
      </c>
      <c r="D1011" s="1645" t="s">
        <v>5294</v>
      </c>
      <c r="E1011" s="1646" t="s">
        <v>2798</v>
      </c>
      <c r="F1011" s="1645">
        <f t="shared" si="65"/>
        <v>1984</v>
      </c>
      <c r="G1011" s="1647">
        <v>30839</v>
      </c>
      <c r="H1011" s="1644" t="s">
        <v>3636</v>
      </c>
      <c r="I1011" s="1648" t="s">
        <v>3629</v>
      </c>
      <c r="J1011" s="1645" t="s">
        <v>37</v>
      </c>
      <c r="K1011" s="1645">
        <v>0</v>
      </c>
      <c r="L1011" s="1645" t="s">
        <v>3737</v>
      </c>
      <c r="M1011" s="1645" t="s">
        <v>3737</v>
      </c>
      <c r="N1011" s="1645"/>
      <c r="O1011" s="1645" t="s">
        <v>3645</v>
      </c>
      <c r="P1011" s="1649"/>
      <c r="Q1011" s="1645"/>
      <c r="R1011" s="1644"/>
      <c r="S1011" s="1644"/>
      <c r="T1011" s="1644" t="s">
        <v>936</v>
      </c>
      <c r="U1011" s="1644" t="s">
        <v>3711</v>
      </c>
      <c r="V1011" s="1644"/>
      <c r="W1011" s="1644">
        <v>0</v>
      </c>
      <c r="X1011" s="1644"/>
      <c r="Y1011" s="1647"/>
      <c r="Z1011" s="1647"/>
      <c r="AA1011" s="1650">
        <f t="shared" ca="1" si="67"/>
        <v>14.666666666666666</v>
      </c>
      <c r="AB1011" s="2444" t="s">
        <v>3629</v>
      </c>
      <c r="AC1011" s="2445"/>
      <c r="AD1011" s="2438"/>
    </row>
    <row r="1012" spans="1:30" ht="15.75" hidden="1" customHeight="1">
      <c r="A1012" s="1644">
        <f t="shared" si="48"/>
        <v>167</v>
      </c>
      <c r="B1012" s="1645" t="s">
        <v>5310</v>
      </c>
      <c r="C1012" s="1645" t="s">
        <v>5253</v>
      </c>
      <c r="D1012" s="1645" t="s">
        <v>3641</v>
      </c>
      <c r="E1012" s="1646" t="s">
        <v>2798</v>
      </c>
      <c r="F1012" s="1645">
        <f t="shared" si="65"/>
        <v>1985</v>
      </c>
      <c r="G1012" s="1647">
        <v>31057</v>
      </c>
      <c r="H1012" s="1644" t="s">
        <v>3642</v>
      </c>
      <c r="I1012" s="1648" t="s">
        <v>3629</v>
      </c>
      <c r="J1012" s="1645" t="s">
        <v>201</v>
      </c>
      <c r="K1012" s="1645">
        <v>0</v>
      </c>
      <c r="L1012" s="1645" t="s">
        <v>3676</v>
      </c>
      <c r="M1012" s="1645">
        <v>0</v>
      </c>
      <c r="N1012" s="1645"/>
      <c r="O1012" s="1645" t="s">
        <v>3645</v>
      </c>
      <c r="P1012" s="1649"/>
      <c r="Q1012" s="1645"/>
      <c r="R1012" s="1647" t="s">
        <v>3667</v>
      </c>
      <c r="S1012" s="1644" t="s">
        <v>3743</v>
      </c>
      <c r="T1012" s="1644"/>
      <c r="U1012" s="1644"/>
      <c r="V1012" s="1644" t="s">
        <v>3649</v>
      </c>
      <c r="W1012" s="1650" t="s">
        <v>3653</v>
      </c>
      <c r="X1012" s="1644"/>
      <c r="Y1012" s="1647"/>
      <c r="Z1012" s="1647"/>
      <c r="AA1012" s="1650">
        <f t="shared" ca="1" si="67"/>
        <v>15.25</v>
      </c>
      <c r="AB1012" s="2444" t="s">
        <v>3629</v>
      </c>
      <c r="AC1012" s="2445"/>
      <c r="AD1012" s="2438"/>
    </row>
    <row r="1013" spans="1:30" ht="15.75" hidden="1" customHeight="1">
      <c r="A1013" s="1644">
        <f t="shared" si="48"/>
        <v>167</v>
      </c>
      <c r="B1013" s="1645" t="s">
        <v>5311</v>
      </c>
      <c r="C1013" s="1645" t="s">
        <v>5253</v>
      </c>
      <c r="D1013" s="1645" t="s">
        <v>3641</v>
      </c>
      <c r="E1013" s="1646" t="s">
        <v>2797</v>
      </c>
      <c r="F1013" s="1645">
        <f t="shared" si="65"/>
        <v>1974</v>
      </c>
      <c r="G1013" s="1647">
        <v>27345</v>
      </c>
      <c r="H1013" s="1644" t="s">
        <v>3648</v>
      </c>
      <c r="I1013" s="1648" t="s">
        <v>3629</v>
      </c>
      <c r="J1013" s="1645" t="s">
        <v>201</v>
      </c>
      <c r="K1013" s="1645">
        <v>0</v>
      </c>
      <c r="L1013" s="1645" t="s">
        <v>1766</v>
      </c>
      <c r="M1013" s="1645">
        <v>0</v>
      </c>
      <c r="N1013" s="1645"/>
      <c r="O1013" s="1645">
        <v>0</v>
      </c>
      <c r="P1013" s="1649"/>
      <c r="Q1013" s="1645"/>
      <c r="R1013" s="1647" t="s">
        <v>5312</v>
      </c>
      <c r="S1013" s="1644" t="s">
        <v>4068</v>
      </c>
      <c r="T1013" s="1644"/>
      <c r="U1013" s="1644"/>
      <c r="V1013" s="1644"/>
      <c r="W1013" s="1644">
        <v>0</v>
      </c>
      <c r="X1013" s="1644"/>
      <c r="Y1013" s="1647"/>
      <c r="Z1013" s="1647"/>
      <c r="AA1013" s="1650">
        <f t="shared" ca="1" si="67"/>
        <v>10.083333333333334</v>
      </c>
      <c r="AB1013" s="2444" t="s">
        <v>3629</v>
      </c>
      <c r="AC1013" s="2445"/>
      <c r="AD1013" s="2438"/>
    </row>
    <row r="1014" spans="1:30" ht="15.75" hidden="1" customHeight="1">
      <c r="A1014" s="1644">
        <f t="shared" si="48"/>
        <v>167</v>
      </c>
      <c r="B1014" s="1645" t="s">
        <v>5313</v>
      </c>
      <c r="C1014" s="1645" t="s">
        <v>5253</v>
      </c>
      <c r="D1014" s="1645"/>
      <c r="E1014" s="1644" t="s">
        <v>2797</v>
      </c>
      <c r="F1014" s="1645">
        <f t="shared" si="65"/>
        <v>1970</v>
      </c>
      <c r="G1014" s="1647">
        <v>25813</v>
      </c>
      <c r="H1014" s="1644" t="s">
        <v>3685</v>
      </c>
      <c r="I1014" s="1648" t="s">
        <v>3629</v>
      </c>
      <c r="J1014" s="1645" t="s">
        <v>201</v>
      </c>
      <c r="K1014" s="1645">
        <v>0</v>
      </c>
      <c r="L1014" s="1645" t="s">
        <v>4057</v>
      </c>
      <c r="M1014" s="1645">
        <v>0</v>
      </c>
      <c r="N1014" s="1645"/>
      <c r="O1014" s="1645" t="s">
        <v>3645</v>
      </c>
      <c r="P1014" s="1649"/>
      <c r="Q1014" s="1645"/>
      <c r="R1014" s="1644"/>
      <c r="S1014" s="1644"/>
      <c r="T1014" s="1644"/>
      <c r="U1014" s="1644"/>
      <c r="V1014" s="1644"/>
      <c r="W1014" s="1644">
        <v>0</v>
      </c>
      <c r="X1014" s="1644"/>
      <c r="Y1014" s="1647"/>
      <c r="Z1014" s="1647"/>
      <c r="AA1014" s="1650">
        <f t="shared" ca="1" si="67"/>
        <v>5.833333333333333</v>
      </c>
      <c r="AB1014" s="2444" t="s">
        <v>3629</v>
      </c>
      <c r="AC1014" s="2445"/>
      <c r="AD1014" s="2438"/>
    </row>
    <row r="1015" spans="1:30" ht="15.75" hidden="1" customHeight="1">
      <c r="A1015" s="1644"/>
      <c r="B1015" s="24"/>
      <c r="C1015" s="1645"/>
      <c r="D1015" s="1645"/>
      <c r="E1015" s="1646"/>
      <c r="F1015" s="1645"/>
      <c r="G1015" s="1647"/>
      <c r="H1015" s="1646"/>
      <c r="I1015" s="1648"/>
      <c r="J1015" s="1645"/>
      <c r="K1015" s="1645"/>
      <c r="L1015" s="1645"/>
      <c r="M1015" s="1645"/>
      <c r="N1015" s="1645"/>
      <c r="O1015" s="1645" t="s">
        <v>3645</v>
      </c>
      <c r="P1015" s="1649"/>
      <c r="Q1015" s="1645"/>
      <c r="R1015" s="1644"/>
      <c r="S1015" s="1644"/>
      <c r="T1015" s="1644"/>
      <c r="U1015" s="1644"/>
      <c r="V1015" s="1644"/>
      <c r="W1015" s="1644"/>
      <c r="X1015" s="1644"/>
      <c r="Y1015" s="1644"/>
      <c r="Z1015" s="1644"/>
      <c r="AA1015" s="1654"/>
      <c r="AB1015" s="2444"/>
      <c r="AC1015" s="2438"/>
      <c r="AD1015" s="2438"/>
    </row>
    <row r="1016" spans="1:30" ht="15.75" customHeight="1">
      <c r="A1016" s="1644"/>
      <c r="B1016" s="1671"/>
      <c r="C1016" s="1644"/>
      <c r="D1016" s="1645"/>
      <c r="E1016" s="1646"/>
      <c r="F1016" s="1644"/>
      <c r="G1016" s="1647"/>
      <c r="H1016" s="1646"/>
      <c r="I1016" s="1648"/>
      <c r="J1016" s="1644"/>
      <c r="K1016" s="1644"/>
      <c r="L1016" s="1645"/>
      <c r="M1016" s="1645"/>
      <c r="N1016" s="1645"/>
      <c r="O1016" s="1645"/>
      <c r="P1016" s="1649"/>
      <c r="Q1016" s="1645"/>
      <c r="R1016" s="1644"/>
      <c r="S1016" s="1644"/>
      <c r="T1016" s="1644"/>
      <c r="U1016" s="1644"/>
      <c r="V1016" s="1644"/>
      <c r="W1016" s="1644"/>
      <c r="X1016" s="1644"/>
      <c r="Y1016" s="1644"/>
      <c r="Z1016" s="1644"/>
      <c r="AA1016" s="1654"/>
      <c r="AB1016" s="2447"/>
      <c r="AC1016" s="2438"/>
      <c r="AD1016" s="2438"/>
    </row>
    <row r="1017" spans="1:30" ht="15.75" customHeight="1">
      <c r="A1017" s="1644"/>
      <c r="B1017" s="1672"/>
      <c r="C1017" s="1644"/>
      <c r="D1017" s="1645"/>
      <c r="E1017" s="1646"/>
      <c r="F1017" s="1644"/>
      <c r="G1017" s="1647"/>
      <c r="H1017" s="1646"/>
      <c r="I1017" s="1648"/>
      <c r="J1017" s="1644"/>
      <c r="K1017" s="1644"/>
      <c r="L1017" s="1645"/>
      <c r="M1017" s="1645"/>
      <c r="N1017" s="1645"/>
      <c r="O1017" s="1645"/>
      <c r="P1017" s="1649"/>
      <c r="Q1017" s="1645"/>
      <c r="R1017" s="1644"/>
      <c r="S1017" s="1644"/>
      <c r="T1017" s="1644"/>
      <c r="U1017" s="1644"/>
      <c r="V1017" s="1644"/>
      <c r="W1017" s="1644"/>
      <c r="X1017" s="1644"/>
      <c r="Y1017" s="1644"/>
      <c r="Z1017" s="1644"/>
      <c r="AA1017" s="1654"/>
      <c r="AB1017" s="2447"/>
      <c r="AC1017" s="2438"/>
      <c r="AD1017" s="2438"/>
    </row>
    <row r="1018" spans="1:30" ht="15.75" customHeight="1">
      <c r="A1018" s="1644"/>
      <c r="B1018" s="1672"/>
      <c r="C1018" s="1644"/>
      <c r="D1018" s="1645"/>
      <c r="E1018" s="1646"/>
      <c r="F1018" s="1644"/>
      <c r="G1018" s="1647"/>
      <c r="H1018" s="1646"/>
      <c r="I1018" s="1648"/>
      <c r="J1018" s="1644"/>
      <c r="K1018" s="1644"/>
      <c r="L1018" s="1645"/>
      <c r="M1018" s="1645"/>
      <c r="N1018" s="1645"/>
      <c r="O1018" s="1645"/>
      <c r="P1018" s="1649"/>
      <c r="Q1018" s="1645"/>
      <c r="R1018" s="1644"/>
      <c r="S1018" s="1644"/>
      <c r="T1018" s="1644"/>
      <c r="U1018" s="1644"/>
      <c r="V1018" s="1644"/>
      <c r="W1018" s="1644"/>
      <c r="X1018" s="1644"/>
      <c r="Y1018" s="1644"/>
      <c r="Z1018" s="1644"/>
      <c r="AA1018" s="1654"/>
      <c r="AB1018" s="2447"/>
      <c r="AC1018" s="2438"/>
      <c r="AD1018" s="2438"/>
    </row>
    <row r="1019" spans="1:30" ht="15.75" customHeight="1">
      <c r="A1019" s="1644"/>
      <c r="B1019" s="1673"/>
      <c r="C1019" s="1644"/>
      <c r="D1019" s="1645"/>
      <c r="E1019" s="1646"/>
      <c r="F1019" s="1644"/>
      <c r="G1019" s="1647"/>
      <c r="H1019" s="1646"/>
      <c r="I1019" s="1648"/>
      <c r="J1019" s="1644"/>
      <c r="K1019" s="1644"/>
      <c r="L1019" s="1645"/>
      <c r="M1019" s="1645"/>
      <c r="N1019" s="1645"/>
      <c r="O1019" s="1645"/>
      <c r="P1019" s="1649"/>
      <c r="Q1019" s="1645"/>
      <c r="R1019" s="1644"/>
      <c r="S1019" s="1644"/>
      <c r="T1019" s="1644"/>
      <c r="U1019" s="1644"/>
      <c r="V1019" s="1644"/>
      <c r="W1019" s="1644"/>
      <c r="X1019" s="1644"/>
      <c r="Y1019" s="1644"/>
      <c r="Z1019" s="1644"/>
      <c r="AA1019" s="1654"/>
      <c r="AB1019" s="2447"/>
      <c r="AC1019" s="2438"/>
      <c r="AD1019" s="2438"/>
    </row>
    <row r="1020" spans="1:30" ht="15.75" customHeight="1">
      <c r="A1020" s="1644"/>
      <c r="B1020" s="1673"/>
      <c r="C1020" s="1644"/>
      <c r="D1020" s="1645"/>
      <c r="E1020" s="1646"/>
      <c r="F1020" s="1644"/>
      <c r="G1020" s="1647"/>
      <c r="H1020" s="1646"/>
      <c r="I1020" s="1648"/>
      <c r="J1020" s="1644"/>
      <c r="K1020" s="1644"/>
      <c r="L1020" s="1645"/>
      <c r="M1020" s="1645"/>
      <c r="N1020" s="1645"/>
      <c r="O1020" s="1645"/>
      <c r="P1020" s="1649"/>
      <c r="Q1020" s="1645"/>
      <c r="R1020" s="1644"/>
      <c r="S1020" s="1644"/>
      <c r="T1020" s="1644"/>
      <c r="U1020" s="1644"/>
      <c r="V1020" s="1644"/>
      <c r="W1020" s="1644"/>
      <c r="X1020" s="1644"/>
      <c r="Y1020" s="1644"/>
      <c r="Z1020" s="1644"/>
      <c r="AA1020" s="1654"/>
      <c r="AB1020" s="2447"/>
      <c r="AC1020" s="2438"/>
      <c r="AD1020" s="2438"/>
    </row>
  </sheetData>
  <sheetProtection algorithmName="SHA-512" hashValue="jsJIvXd9WyOlx6KY/vbkHXP/IFQgpsf8oK5h0im0j1siv7PNewOmFzbIvrvfAQ5nbRxRlaNgfeWWrwDDInXVKQ==" saltValue="rafZBxXTRh2Owlyxsi4rNA==" spinCount="100000" sheet="1" objects="1" scenarios="1"/>
  <autoFilter ref="A4:AA1015">
    <filterColumn colId="2">
      <filters blank="1">
        <filter val="Ban Quản lý cơ sở II"/>
        <filter val="Khoa Giáo dục Thể chất"/>
        <filter val="Khoa Sư phạm Ngoại ngữ"/>
        <filter val="Khoa Xây dựng"/>
        <filter val="Phòng Hành chính Tổng hợp"/>
        <filter val="Phòng Kế hoạch - Tài chính"/>
        <filter val="Phòng Khoa học và Hợp tác Quốc tế"/>
        <filter val="Phòng Quản trị và Đầu tư"/>
        <filter val="Trạm Y tế"/>
        <filter val="Trung tâm Dịch vụ, Hỗ trợ sinh viên và Quan hệ doanh nghiệp"/>
        <filter val="Trung tâm Giáo Dục quốc phòng và An Ninh Trường Đại học Vinh"/>
        <filter val="Trung tâm Giáo dục Thường xuyên"/>
        <filter val="Trung tâm Nội trú"/>
        <filter val="Trung tâm Thông tin - Thư viện Nguyễn Thúc Hào"/>
        <filter val="Trường Mầm non thực hành"/>
        <filter val="Trường Sư phạm"/>
        <filter val="Văn phòng đại diện tại thành phố HCM"/>
        <filter val="Văn phòng đại diện tại tỉnh Thanh Hóa"/>
        <filter val="Viện Công nghệ Hóa sinh - Môi trường"/>
        <filter val="Viện Kỹ thuật và Công nghệ"/>
        <filter val="Viện Nông nghiệp và Tài nguyên"/>
      </filters>
    </filterColumn>
    <filterColumn colId="3">
      <filters>
        <filter val="Bóng - Điền kinh"/>
        <filter val="hóa học"/>
        <filter val="Khoa Chính trị và Báo chí"/>
        <filter val="Khoa Đào tạo trực tuyến"/>
        <filter val="Khoa Địa lý"/>
        <filter val="Khoa Giáo dục Chính trị"/>
        <filter val="Khoa Giáo dục mầm non"/>
        <filter val="Khoa Giáo dục Tiểu học"/>
        <filter val="Khoa Hóa học"/>
        <filter val="Khoa học môi trường"/>
        <filter val="Khoa Kế toán"/>
        <filter val="Khoa Lịch sử"/>
        <filter val="Khoa Luật học"/>
        <filter val="Khoa Luật Kinh tế"/>
        <filter val="Khoa Ngữ văn"/>
        <filter val="Khoa Quản trị Kinh doanh"/>
        <filter val="Khoa Sinh học"/>
        <filter val="Khoa Tài chính ngân hàng"/>
        <filter val="Khoa Tâm lý - Giáo dục"/>
        <filter val="Khoa Tin học"/>
        <filter val="Khoa Toán học"/>
        <filter val="Khoa Vật lý"/>
        <filter val="Phương pháp giảng dạy giáo dục thể chất"/>
        <filter val="Sinh - Địa"/>
        <filter val="Thể dục - Võ và Thể thao dưới nước"/>
        <filter val="Tổ Anh"/>
        <filter val="Tổ Đảm bảo chất lượng"/>
        <filter val="Tổ Hóa"/>
        <filter val="Tổ Hóa sinh - Môi trường"/>
        <filter val="Tổ Khảo thí"/>
        <filter val="Tổ Kỹ thuật và Công nghệ"/>
        <filter val="Tổ Ngữ văn - Ngoại ngữ"/>
        <filter val="Tổ Sinh,TD, QDQP"/>
        <filter val="Tổ Sư phạm Tự nhiên"/>
        <filter val="Tổ Sử, Địa, GDCD"/>
        <filter val="Tổ Tiểu học"/>
        <filter val="Tổ Tiểu học 1"/>
        <filter val="Tổ tiểu học 2"/>
        <filter val="Tổ Toán-Tin"/>
        <filter val="Tổ Tự nhiên"/>
        <filter val="Tổ Tự nhiên - THCS"/>
        <filter val="Tổ văn"/>
        <filter val="Tổ Vật lý"/>
        <filter val="Tổ Xã hội"/>
        <filter val="Tổ Xã hội - THCS"/>
        <filter val="Tổ Xây dựng"/>
        <filter val="Trung tâm Công nghệ thông tin"/>
        <filter val="Trung tâm Nghiên cứu và Chuyển giao công nghệ giáo dục số"/>
        <filter val="Trung tâm Quản lý và Phát triển học liệu"/>
        <filter val="Văn phòng Trường"/>
        <filter val="Văn phòng Viện"/>
        <filter val="Vật lý- Công nghệ"/>
        <filter val="Vật lý và Công nghệ"/>
        <filter val="VP Trường TH, THCS"/>
        <filter val="xây dựng"/>
      </filters>
    </filterColumn>
  </autoFilter>
  <mergeCells count="5">
    <mergeCell ref="A1:D1"/>
    <mergeCell ref="A2:D2"/>
    <mergeCell ref="B3:D3"/>
    <mergeCell ref="L4:P4"/>
    <mergeCell ref="Y4:Z4"/>
  </mergeCells>
  <pageMargins left="0.35" right="0.34" top="0.75" bottom="0.2"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5.140625" customWidth="1"/>
    <col min="2" max="2" width="14.7109375" customWidth="1"/>
    <col min="3" max="3" width="15.7109375" customWidth="1"/>
    <col min="5" max="5" width="15" customWidth="1"/>
    <col min="6" max="6" width="13.28515625" customWidth="1"/>
    <col min="7" max="26" width="9.140625" customWidth="1"/>
  </cols>
  <sheetData>
    <row r="1" spans="1:26" ht="72">
      <c r="A1" s="1814" t="s">
        <v>540</v>
      </c>
      <c r="B1" s="1815" t="s">
        <v>529</v>
      </c>
      <c r="C1" s="1815" t="s">
        <v>530</v>
      </c>
      <c r="D1" s="1815" t="s">
        <v>531</v>
      </c>
      <c r="E1" s="1815" t="s">
        <v>5314</v>
      </c>
      <c r="F1" s="1815" t="s">
        <v>1861</v>
      </c>
      <c r="G1" s="13"/>
      <c r="H1" s="13"/>
      <c r="I1" s="13"/>
      <c r="J1" s="13"/>
      <c r="K1" s="13"/>
      <c r="L1" s="13"/>
      <c r="M1" s="13"/>
      <c r="N1" s="13"/>
      <c r="O1" s="13"/>
      <c r="P1" s="13"/>
      <c r="Q1" s="13"/>
      <c r="R1" s="13"/>
      <c r="S1" s="13"/>
      <c r="T1" s="13"/>
      <c r="U1" s="13"/>
      <c r="V1" s="13"/>
      <c r="W1" s="13"/>
      <c r="X1" s="13"/>
      <c r="Y1" s="13"/>
      <c r="Z1" s="13"/>
    </row>
    <row r="2" spans="1:26" ht="13.5" customHeight="1">
      <c r="A2" s="1272" t="s">
        <v>542</v>
      </c>
      <c r="B2" s="1816">
        <f>'B2 SP'!M242</f>
        <v>5980</v>
      </c>
      <c r="C2" s="1816">
        <f>'B2 SP'!N242</f>
        <v>5038</v>
      </c>
      <c r="D2" s="1816">
        <f>'B2 SP'!O242</f>
        <v>11715.425000000003</v>
      </c>
      <c r="E2" s="1816">
        <f t="shared" ref="E2:E14" si="0">D2-(B2+C2)</f>
        <v>697.42500000000291</v>
      </c>
      <c r="F2" s="1816">
        <f t="shared" ref="F2:F14" si="1">IF(E2&gt;0,E2*90+(D2-E2)*80,D2*80)</f>
        <v>944208.25000000023</v>
      </c>
      <c r="G2" s="13"/>
      <c r="H2" s="13"/>
      <c r="I2" s="13"/>
      <c r="J2" s="13"/>
      <c r="K2" s="13"/>
      <c r="L2" s="13"/>
      <c r="M2" s="13"/>
      <c r="N2" s="13"/>
      <c r="O2" s="13"/>
      <c r="P2" s="13"/>
      <c r="Q2" s="13"/>
      <c r="R2" s="13"/>
      <c r="S2" s="13"/>
      <c r="T2" s="13"/>
      <c r="U2" s="13"/>
      <c r="V2" s="13"/>
      <c r="W2" s="13"/>
      <c r="X2" s="13"/>
      <c r="Y2" s="13"/>
      <c r="Z2" s="13"/>
    </row>
    <row r="3" spans="1:26" ht="13.5" customHeight="1">
      <c r="A3" s="1272" t="s">
        <v>545</v>
      </c>
      <c r="B3" s="1816">
        <f>'B2 SP'!M243</f>
        <v>2270</v>
      </c>
      <c r="C3" s="1816">
        <f>'B2 SP'!N243</f>
        <v>1730</v>
      </c>
      <c r="D3" s="1816">
        <f>'B2 SP'!O243</f>
        <v>1736.4749999999999</v>
      </c>
      <c r="E3" s="1816">
        <f t="shared" si="0"/>
        <v>-2263.5250000000001</v>
      </c>
      <c r="F3" s="1816">
        <f t="shared" si="1"/>
        <v>138918</v>
      </c>
      <c r="G3" s="1817"/>
      <c r="H3" s="13"/>
      <c r="I3" s="13"/>
      <c r="J3" s="13"/>
      <c r="K3" s="13"/>
      <c r="L3" s="13"/>
      <c r="M3" s="13"/>
      <c r="N3" s="13"/>
      <c r="O3" s="13"/>
      <c r="P3" s="13"/>
      <c r="Q3" s="13"/>
      <c r="R3" s="13"/>
      <c r="S3" s="13"/>
      <c r="T3" s="13"/>
      <c r="U3" s="13"/>
      <c r="V3" s="13"/>
      <c r="W3" s="13"/>
      <c r="X3" s="13"/>
      <c r="Y3" s="13"/>
      <c r="Z3" s="13"/>
    </row>
    <row r="4" spans="1:26" ht="13.5" customHeight="1">
      <c r="A4" s="1272" t="s">
        <v>546</v>
      </c>
      <c r="B4" s="1816">
        <f>'B2 SP'!M244</f>
        <v>2670</v>
      </c>
      <c r="C4" s="1816">
        <f>'B2 SP'!N244</f>
        <v>2061</v>
      </c>
      <c r="D4" s="1816">
        <f>'B2 SP'!O244</f>
        <v>2314.5</v>
      </c>
      <c r="E4" s="1816">
        <f t="shared" si="0"/>
        <v>-2416.5</v>
      </c>
      <c r="F4" s="1816">
        <f t="shared" si="1"/>
        <v>185160</v>
      </c>
      <c r="G4" s="1817"/>
      <c r="H4" s="13"/>
      <c r="I4" s="13"/>
      <c r="J4" s="13"/>
      <c r="K4" s="13"/>
      <c r="L4" s="13"/>
      <c r="M4" s="13"/>
      <c r="N4" s="13"/>
      <c r="O4" s="13"/>
      <c r="P4" s="13"/>
      <c r="Q4" s="13"/>
      <c r="R4" s="13"/>
      <c r="S4" s="13"/>
      <c r="T4" s="13"/>
      <c r="U4" s="13"/>
      <c r="V4" s="13"/>
      <c r="W4" s="13"/>
      <c r="X4" s="13"/>
      <c r="Y4" s="13"/>
      <c r="Z4" s="13"/>
    </row>
    <row r="5" spans="1:26" ht="13.5" customHeight="1">
      <c r="A5" s="1272" t="s">
        <v>547</v>
      </c>
      <c r="B5" s="1816">
        <f>'B2 SP'!M245</f>
        <v>3000</v>
      </c>
      <c r="C5" s="1816">
        <f>'B2 SP'!N245</f>
        <v>2390</v>
      </c>
      <c r="D5" s="1816">
        <f>'B2 SP'!O245</f>
        <v>1592.7325000000001</v>
      </c>
      <c r="E5" s="1816">
        <f t="shared" si="0"/>
        <v>-3797.2674999999999</v>
      </c>
      <c r="F5" s="1816">
        <f t="shared" si="1"/>
        <v>127418.6</v>
      </c>
      <c r="G5" s="1817"/>
      <c r="H5" s="13"/>
      <c r="I5" s="13"/>
      <c r="J5" s="13"/>
      <c r="K5" s="13"/>
      <c r="L5" s="13"/>
      <c r="M5" s="13"/>
      <c r="N5" s="13"/>
      <c r="O5" s="13"/>
      <c r="P5" s="13"/>
      <c r="Q5" s="13"/>
      <c r="R5" s="13"/>
      <c r="S5" s="13"/>
      <c r="T5" s="13"/>
      <c r="U5" s="13"/>
      <c r="V5" s="13"/>
      <c r="W5" s="13"/>
      <c r="X5" s="13"/>
      <c r="Y5" s="13"/>
      <c r="Z5" s="13"/>
    </row>
    <row r="6" spans="1:26" ht="13.5" customHeight="1">
      <c r="A6" s="1272" t="s">
        <v>548</v>
      </c>
      <c r="B6" s="1816">
        <f>'B2 SP'!M246</f>
        <v>1430</v>
      </c>
      <c r="C6" s="1816">
        <f>'B2 SP'!N246</f>
        <v>1246.5</v>
      </c>
      <c r="D6" s="1816">
        <f>'B2 SP'!O246</f>
        <v>5463.6</v>
      </c>
      <c r="E6" s="1816">
        <f t="shared" si="0"/>
        <v>2787.1000000000004</v>
      </c>
      <c r="F6" s="1816">
        <f t="shared" si="1"/>
        <v>464959</v>
      </c>
      <c r="G6" s="1817"/>
      <c r="H6" s="13"/>
      <c r="I6" s="13"/>
      <c r="J6" s="13"/>
      <c r="K6" s="13"/>
      <c r="L6" s="13"/>
      <c r="M6" s="13"/>
      <c r="N6" s="13"/>
      <c r="O6" s="13"/>
      <c r="P6" s="13"/>
      <c r="Q6" s="13"/>
      <c r="R6" s="13"/>
      <c r="S6" s="13"/>
      <c r="T6" s="13"/>
      <c r="U6" s="13"/>
      <c r="V6" s="13"/>
      <c r="W6" s="13"/>
      <c r="X6" s="13"/>
      <c r="Y6" s="13"/>
      <c r="Z6" s="13"/>
    </row>
    <row r="7" spans="1:26" ht="13.5" customHeight="1">
      <c r="A7" s="1272" t="s">
        <v>549</v>
      </c>
      <c r="B7" s="1816">
        <f>'B2 SP'!M247</f>
        <v>3740</v>
      </c>
      <c r="C7" s="1816">
        <f>'B2 SP'!N247</f>
        <v>3330</v>
      </c>
      <c r="D7" s="1816">
        <f>'B2 SP'!O247</f>
        <v>6454.716666666669</v>
      </c>
      <c r="E7" s="1816">
        <f t="shared" si="0"/>
        <v>-615.28333333333103</v>
      </c>
      <c r="F7" s="1816">
        <f t="shared" si="1"/>
        <v>516377.33333333349</v>
      </c>
      <c r="G7" s="1817"/>
      <c r="H7" s="13"/>
      <c r="I7" s="13"/>
      <c r="J7" s="13"/>
      <c r="K7" s="13"/>
      <c r="L7" s="13"/>
      <c r="M7" s="13"/>
      <c r="N7" s="13"/>
      <c r="O7" s="13"/>
      <c r="P7" s="13"/>
      <c r="Q7" s="13"/>
      <c r="R7" s="13"/>
      <c r="S7" s="13"/>
      <c r="T7" s="13"/>
      <c r="U7" s="13"/>
      <c r="V7" s="13"/>
      <c r="W7" s="13"/>
      <c r="X7" s="13"/>
      <c r="Y7" s="13"/>
      <c r="Z7" s="13"/>
    </row>
    <row r="8" spans="1:26" ht="13.5" customHeight="1">
      <c r="A8" s="1272" t="s">
        <v>605</v>
      </c>
      <c r="B8" s="1816">
        <f>'B2 SP'!M248</f>
        <v>2400</v>
      </c>
      <c r="C8" s="1816">
        <f>'B2 SP'!N248</f>
        <v>2190</v>
      </c>
      <c r="D8" s="1816">
        <f>'B2 SP'!O248</f>
        <v>1752.7249999999999</v>
      </c>
      <c r="E8" s="1816">
        <f t="shared" si="0"/>
        <v>-2837.2750000000001</v>
      </c>
      <c r="F8" s="1816">
        <f t="shared" si="1"/>
        <v>140218</v>
      </c>
      <c r="G8" s="1817"/>
      <c r="H8" s="13"/>
      <c r="I8" s="13"/>
      <c r="J8" s="13"/>
      <c r="K8" s="13"/>
      <c r="L8" s="13"/>
      <c r="M8" s="13"/>
      <c r="N8" s="13"/>
      <c r="O8" s="13"/>
      <c r="P8" s="13"/>
      <c r="Q8" s="13"/>
      <c r="R8" s="13"/>
      <c r="S8" s="13"/>
      <c r="T8" s="13"/>
      <c r="U8" s="13"/>
      <c r="V8" s="13"/>
      <c r="W8" s="13"/>
      <c r="X8" s="13"/>
      <c r="Y8" s="13"/>
      <c r="Z8" s="13"/>
    </row>
    <row r="9" spans="1:26" ht="13.5" customHeight="1">
      <c r="A9" s="1272" t="s">
        <v>551</v>
      </c>
      <c r="B9" s="1816">
        <f>'B2 SP'!M249</f>
        <v>1600</v>
      </c>
      <c r="C9" s="1816">
        <f>'B2 SP'!N249</f>
        <v>1370</v>
      </c>
      <c r="D9" s="1816">
        <f>'B2 SP'!O249</f>
        <v>1420.9499999999998</v>
      </c>
      <c r="E9" s="1816">
        <f t="shared" si="0"/>
        <v>-1549.0500000000002</v>
      </c>
      <c r="F9" s="1818">
        <f t="shared" si="1"/>
        <v>113675.99999999999</v>
      </c>
      <c r="G9" s="1817" t="s">
        <v>5315</v>
      </c>
      <c r="H9" s="13"/>
      <c r="I9" s="13"/>
      <c r="J9" s="13"/>
      <c r="K9" s="13"/>
      <c r="L9" s="13"/>
      <c r="M9" s="13"/>
      <c r="N9" s="13"/>
      <c r="O9" s="13"/>
      <c r="P9" s="13"/>
      <c r="Q9" s="13"/>
      <c r="R9" s="13"/>
      <c r="S9" s="13"/>
      <c r="T9" s="13"/>
      <c r="U9" s="13"/>
      <c r="V9" s="13"/>
      <c r="W9" s="13"/>
      <c r="X9" s="13"/>
      <c r="Y9" s="13"/>
      <c r="Z9" s="13"/>
    </row>
    <row r="10" spans="1:26" ht="13.5" customHeight="1">
      <c r="A10" s="1272" t="s">
        <v>552</v>
      </c>
      <c r="B10" s="1816">
        <f>'B2 SP'!M250</f>
        <v>3710</v>
      </c>
      <c r="C10" s="1816">
        <f>'B2 SP'!N250</f>
        <v>3413.5</v>
      </c>
      <c r="D10" s="1816">
        <f>'B2 SP'!O250</f>
        <v>4450.5</v>
      </c>
      <c r="E10" s="1816">
        <f t="shared" si="0"/>
        <v>-2673</v>
      </c>
      <c r="F10" s="1816">
        <f t="shared" si="1"/>
        <v>356040</v>
      </c>
      <c r="G10" s="1817"/>
      <c r="H10" s="13"/>
      <c r="I10" s="13"/>
      <c r="J10" s="13"/>
      <c r="K10" s="13"/>
      <c r="L10" s="13"/>
      <c r="M10" s="13"/>
      <c r="N10" s="13"/>
      <c r="O10" s="13"/>
      <c r="P10" s="13"/>
      <c r="Q10" s="13"/>
      <c r="R10" s="13"/>
      <c r="S10" s="13"/>
      <c r="T10" s="13"/>
      <c r="U10" s="13"/>
      <c r="V10" s="13"/>
      <c r="W10" s="13"/>
      <c r="X10" s="13"/>
      <c r="Y10" s="13"/>
      <c r="Z10" s="13"/>
    </row>
    <row r="11" spans="1:26" ht="13.5" customHeight="1">
      <c r="A11" s="1272" t="s">
        <v>553</v>
      </c>
      <c r="B11" s="1816">
        <f>'B2 SP'!M251</f>
        <v>1960</v>
      </c>
      <c r="C11" s="1816">
        <f>'B2 SP'!N251</f>
        <v>1190</v>
      </c>
      <c r="D11" s="1816">
        <f>'B2 SP'!O251</f>
        <v>18777.924999999999</v>
      </c>
      <c r="E11" s="1816">
        <f t="shared" si="0"/>
        <v>15627.924999999999</v>
      </c>
      <c r="F11" s="1816">
        <f t="shared" si="1"/>
        <v>1658513.25</v>
      </c>
      <c r="G11" s="1817"/>
      <c r="H11" s="13"/>
      <c r="I11" s="13"/>
      <c r="J11" s="13"/>
      <c r="K11" s="13"/>
      <c r="L11" s="13"/>
      <c r="M11" s="13"/>
      <c r="N11" s="13"/>
      <c r="O11" s="13"/>
      <c r="P11" s="13"/>
      <c r="Q11" s="13"/>
      <c r="R11" s="13"/>
      <c r="S11" s="13"/>
      <c r="T11" s="13"/>
      <c r="U11" s="13"/>
      <c r="V11" s="13"/>
      <c r="W11" s="13"/>
      <c r="X11" s="13"/>
      <c r="Y11" s="13"/>
      <c r="Z11" s="13"/>
    </row>
    <row r="12" spans="1:26" ht="13.5" customHeight="1">
      <c r="A12" s="1272" t="s">
        <v>554</v>
      </c>
      <c r="B12" s="1816">
        <f>'B2 SP'!M252</f>
        <v>2800</v>
      </c>
      <c r="C12" s="1816">
        <f>'B2 SP'!N252</f>
        <v>2069</v>
      </c>
      <c r="D12" s="1816">
        <f>'B2 SP'!O252</f>
        <v>22529.174999999999</v>
      </c>
      <c r="E12" s="1816">
        <f t="shared" si="0"/>
        <v>17660.174999999999</v>
      </c>
      <c r="F12" s="1816">
        <f t="shared" si="1"/>
        <v>1978935.75</v>
      </c>
      <c r="G12" s="1817"/>
      <c r="H12" s="13"/>
      <c r="I12" s="13"/>
      <c r="J12" s="13"/>
      <c r="K12" s="13"/>
      <c r="L12" s="13"/>
      <c r="M12" s="13"/>
      <c r="N12" s="13"/>
      <c r="O12" s="13"/>
      <c r="P12" s="13"/>
      <c r="Q12" s="13"/>
      <c r="R12" s="13"/>
      <c r="S12" s="13"/>
      <c r="T12" s="13"/>
      <c r="U12" s="13"/>
      <c r="V12" s="13"/>
      <c r="W12" s="13"/>
      <c r="X12" s="13"/>
      <c r="Y12" s="13"/>
      <c r="Z12" s="13"/>
    </row>
    <row r="13" spans="1:26" ht="13.5" customHeight="1">
      <c r="A13" s="1272" t="s">
        <v>555</v>
      </c>
      <c r="B13" s="1816">
        <f>'B2 SP'!M253</f>
        <v>4360</v>
      </c>
      <c r="C13" s="1816">
        <f>'B2 SP'!N253</f>
        <v>3815</v>
      </c>
      <c r="D13" s="1816">
        <f>'B2 SP'!O253</f>
        <v>14993.584999999999</v>
      </c>
      <c r="E13" s="1816">
        <f t="shared" si="0"/>
        <v>6818.5849999999991</v>
      </c>
      <c r="F13" s="1816">
        <f t="shared" si="1"/>
        <v>1267672.6499999999</v>
      </c>
      <c r="G13" s="1817"/>
      <c r="H13" s="13"/>
      <c r="I13" s="13"/>
      <c r="J13" s="13"/>
      <c r="K13" s="13"/>
      <c r="L13" s="13"/>
      <c r="M13" s="13"/>
      <c r="N13" s="13"/>
      <c r="O13" s="13"/>
      <c r="P13" s="13"/>
      <c r="Q13" s="13"/>
      <c r="R13" s="13"/>
      <c r="S13" s="13"/>
      <c r="T13" s="13"/>
      <c r="U13" s="13"/>
      <c r="V13" s="13"/>
      <c r="W13" s="13"/>
      <c r="X13" s="13"/>
      <c r="Y13" s="13"/>
      <c r="Z13" s="13"/>
    </row>
    <row r="14" spans="1:26" ht="13.5" customHeight="1">
      <c r="A14" s="1272" t="s">
        <v>606</v>
      </c>
      <c r="B14" s="1816">
        <f>'B2 SP'!M254</f>
        <v>200</v>
      </c>
      <c r="C14" s="1816">
        <f>'B2 SP'!N254</f>
        <v>60.000000000000007</v>
      </c>
      <c r="D14" s="1816">
        <f>'B2 SP'!O254</f>
        <v>-60.000000000000007</v>
      </c>
      <c r="E14" s="1816">
        <f t="shared" si="0"/>
        <v>-320</v>
      </c>
      <c r="F14" s="1816">
        <f t="shared" si="1"/>
        <v>-4800.0000000000009</v>
      </c>
      <c r="G14" s="1817"/>
      <c r="H14" s="13"/>
      <c r="I14" s="13"/>
      <c r="J14" s="13"/>
      <c r="K14" s="13"/>
      <c r="L14" s="13"/>
      <c r="M14" s="13"/>
      <c r="N14" s="13"/>
      <c r="O14" s="13"/>
      <c r="P14" s="13"/>
      <c r="Q14" s="13"/>
      <c r="R14" s="13"/>
      <c r="S14" s="13"/>
      <c r="T14" s="13"/>
      <c r="U14" s="13"/>
      <c r="V14" s="13"/>
      <c r="W14" s="13"/>
      <c r="X14" s="13"/>
      <c r="Y14" s="13"/>
      <c r="Z14" s="13"/>
    </row>
    <row r="15" spans="1:26" ht="13.5" customHeight="1">
      <c r="A15" s="37" t="s">
        <v>1577</v>
      </c>
      <c r="B15" s="1819">
        <f>SUM(B2:B14)</f>
        <v>36120</v>
      </c>
      <c r="C15" s="13"/>
      <c r="D15" s="13"/>
      <c r="E15" s="13"/>
      <c r="F15" s="1819"/>
      <c r="G15" s="13"/>
      <c r="H15" s="13"/>
      <c r="I15" s="13"/>
      <c r="J15" s="13"/>
      <c r="K15" s="13"/>
      <c r="L15" s="13"/>
      <c r="M15" s="13"/>
      <c r="N15" s="13"/>
      <c r="O15" s="13"/>
      <c r="P15" s="13"/>
      <c r="Q15" s="13"/>
      <c r="R15" s="13"/>
      <c r="S15" s="13"/>
      <c r="T15" s="13"/>
      <c r="U15" s="13"/>
      <c r="V15" s="13"/>
      <c r="W15" s="13"/>
      <c r="X15" s="13"/>
      <c r="Y15" s="13"/>
      <c r="Z15" s="13"/>
    </row>
    <row r="16" spans="1:26" ht="13.5" customHeight="1">
      <c r="A16" s="13"/>
      <c r="B16" s="1819">
        <f t="shared" ref="B16:F16" si="2">SUM(B2:B14)</f>
        <v>36120</v>
      </c>
      <c r="C16" s="1819">
        <f t="shared" si="2"/>
        <v>29903</v>
      </c>
      <c r="D16" s="1819">
        <f t="shared" si="2"/>
        <v>93142.309166666673</v>
      </c>
      <c r="E16" s="1819">
        <f t="shared" si="2"/>
        <v>27119.30916666667</v>
      </c>
      <c r="F16" s="1819">
        <f t="shared" si="2"/>
        <v>7887296.833333334</v>
      </c>
      <c r="G16" s="13"/>
      <c r="H16" s="13"/>
      <c r="I16" s="13"/>
      <c r="J16" s="13"/>
      <c r="K16" s="13"/>
      <c r="L16" s="13"/>
      <c r="M16" s="13"/>
      <c r="N16" s="13"/>
      <c r="O16" s="13"/>
      <c r="P16" s="13"/>
      <c r="Q16" s="13"/>
      <c r="R16" s="13"/>
      <c r="S16" s="13"/>
      <c r="T16" s="13"/>
      <c r="U16" s="13"/>
      <c r="V16" s="13"/>
      <c r="W16" s="13"/>
      <c r="X16" s="13"/>
      <c r="Y16" s="13"/>
      <c r="Z16" s="13"/>
    </row>
    <row r="17" spans="1:26" ht="13.5" customHeight="1">
      <c r="A17" s="13"/>
      <c r="B17" s="13" t="s">
        <v>5316</v>
      </c>
      <c r="C17" s="13" t="s">
        <v>5316</v>
      </c>
      <c r="D17" s="13" t="s">
        <v>5316</v>
      </c>
      <c r="E17" s="13"/>
      <c r="F17" s="13"/>
      <c r="G17" s="13"/>
      <c r="H17" s="13"/>
      <c r="I17" s="13"/>
      <c r="J17" s="13"/>
      <c r="K17" s="13"/>
      <c r="L17" s="13"/>
      <c r="M17" s="13"/>
      <c r="N17" s="13"/>
      <c r="O17" s="13"/>
      <c r="P17" s="13"/>
      <c r="Q17" s="13"/>
      <c r="R17" s="13"/>
      <c r="S17" s="13"/>
      <c r="T17" s="13"/>
      <c r="U17" s="13"/>
      <c r="V17" s="13"/>
      <c r="W17" s="13"/>
      <c r="X17" s="13"/>
      <c r="Y17" s="13"/>
      <c r="Z17" s="13"/>
    </row>
    <row r="18" spans="1:26" ht="13.5" customHeight="1">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3.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3.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3.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3.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3.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3.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3.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3.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3.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3.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3.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3.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3.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3.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3.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3.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3.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3.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3.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3.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3.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3.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3.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3.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3.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3.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3.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3.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3.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3.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3.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3.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3.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3.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3.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3.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3.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3.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3.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3.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3.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3.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3.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3.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3.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3.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3.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3.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3.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3.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3.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3.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3.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3.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3.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3.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3.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3.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3.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3.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3.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3.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3.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3.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3.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3.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3.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3.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3.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3.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3.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3.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3.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3.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3.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3.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3.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3.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3.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3.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3.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3.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3.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3.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3.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3.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3.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3.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3.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3.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3.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3.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3.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3.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3.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3.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3.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3.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3.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3.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3.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3.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3.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3.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3.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3.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3.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3.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3.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3.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3.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3.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3.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3.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3.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3.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3.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3.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3.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3.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3.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3.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3.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3.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3.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3.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3.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3.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3.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3.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3.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3.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3.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3.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3.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3.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3.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3.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3.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3.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3.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3.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3.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3.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3.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3.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3.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3.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3.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3.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3.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3.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3.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3.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3.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3.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3.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3.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3.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3.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3.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3.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3.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3.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3.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3.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3.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3.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3.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3.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3.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3.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3.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3.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3.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3.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3.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3.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3.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3.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3.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3.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3.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3.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3.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3.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3.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3.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3.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3.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3.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3.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3.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3.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3.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3.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3.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3.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3.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3.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3.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3.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3.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3.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3.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3.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3.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3.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3.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3.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3.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3.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3.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3.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3.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3.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3.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3.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3.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3.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3.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3.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3.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3.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3.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3.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3.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3.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3.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3.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3.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3.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3.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3.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3.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3.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3.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3.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3.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3.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3.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3.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3.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3.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3.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3.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3.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3.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3.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3.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3.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3.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3.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3.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3.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3.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3.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3.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3.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3.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3.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3.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3.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3.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3.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3.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3.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3.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3.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3.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3.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3.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3.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3.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3.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3.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3.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3.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3.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3.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3.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3.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3.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3.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3.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3.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3.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3.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3.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3.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3.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3.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3.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3.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3.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3.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3.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3.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3.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3.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3.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3.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3.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3.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3.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3.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3.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3.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3.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3.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3.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3.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3.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3.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3.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3.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3.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3.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3.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3.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3.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3.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3.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3.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3.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3.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3.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3.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3.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3.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3.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3.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3.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3.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3.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3.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3.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3.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3.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3.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3.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3.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3.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3.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3.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3.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3.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3.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3.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3.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3.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3.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3.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3.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3.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3.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3.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3.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3.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3.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3.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3.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3.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3.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3.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3.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3.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3.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3.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3.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3.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3.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3.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3.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3.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3.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3.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3.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3.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3.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3.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3.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3.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3.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3.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3.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3.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3.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3.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3.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3.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3.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3.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3.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3.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3.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3.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3.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3.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3.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3.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3.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3.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3.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3.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3.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3.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3.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3.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3.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3.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3.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3.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3.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3.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3.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3.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3.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3.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3.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3.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3.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3.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3.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3.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3.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3.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3.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3.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3.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3.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3.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3.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3.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3.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3.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3.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3.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3.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3.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3.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3.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3.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3.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3.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3.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3.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3.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3.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3.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3.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3.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3.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3.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3.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3.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3.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3.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3.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3.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3.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3.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3.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3.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3.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3.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3.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3.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3.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3.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3.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3.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3.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3.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3.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3.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3.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3.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3.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3.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3.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3.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3.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3.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3.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3.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3.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3.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3.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3.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3.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3.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3.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3.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3.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3.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3.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3.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3.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3.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3.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3.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3.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3.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3.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3.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3.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3.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3.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3.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3.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3.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3.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3.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3.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3.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3.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3.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3.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3.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3.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3.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3.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3.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3.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3.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3.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3.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3.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3.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3.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3.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3.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3.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3.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3.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3.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3.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3.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3.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3.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3.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3.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3.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3.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3.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3.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3.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3.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3.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3.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3.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3.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3.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3.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3.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3.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3.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3.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3.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3.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3.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3.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3.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3.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3.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3.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3.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3.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3.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3.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3.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3.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3.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3.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3.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3.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3.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3.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3.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3.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3.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3.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3.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3.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3.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3.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3.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3.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3.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3.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3.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3.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3.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3.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3.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3.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3.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3.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3.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3.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3.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3.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3.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3.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3.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3.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3.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3.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3.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3.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3.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3.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3.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3.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3.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3.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3.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3.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3.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3.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3.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3.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3.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3.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3.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3.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3.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3.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3.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3.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3.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3.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3.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3.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3.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3.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3.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3.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3.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3.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3.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3.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3.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3.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3.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3.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3.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3.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3.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3.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3.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3.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3.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3.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3.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3.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3.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3.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3.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3.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3.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3.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3.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3.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3.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3.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3.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3.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3.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3.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3.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3.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3.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3.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3.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3.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3.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3.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3.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3.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3.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3.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3.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3.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3.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3.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3.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3.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3.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3.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3.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3.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3.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3.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3.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3.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3.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3.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3.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3.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3.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3.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3.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3.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3.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3.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3.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3.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3.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3.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3.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3.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3.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3.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3.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3.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3.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3.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3.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3.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3.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3.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3.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3.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3.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3.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3.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3.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3.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3.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3.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3.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3.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3.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3.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3.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3.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3.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3.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3.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3.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3.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3.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3.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3.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3.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3.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3.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3.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3.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3.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3.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3.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3.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3.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3.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3.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3.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3.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3.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3.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3.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3.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3.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3.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3.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3.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3.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3.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3.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3.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3.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3.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3.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3.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3.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3.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3.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3.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3.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3.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3.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3.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3.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3.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3.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3.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3.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3.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3.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3.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3.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3.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3.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3.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3.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3.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3.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3.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3.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3.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3.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3.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3.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3.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3.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3.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3.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3.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3.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3.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3.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3.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3.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3.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3.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3.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3.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3.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3.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3.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3.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3.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3.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3.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3.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3.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3.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3.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3.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3.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3.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3.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3.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3.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3.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3.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3.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3.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3.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3.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3.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3.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3.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3.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3.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3.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3.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3.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3.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3.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3.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3.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3.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3.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3.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3.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3.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3.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3.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3.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3.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3.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3.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3.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3.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3.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3.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3.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3.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3.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3.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3.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3.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3.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3.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3.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3.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3.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3.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3.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3.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3.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3.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3.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3.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3.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3.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3.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3.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3.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3.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3.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3.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3.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3.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3.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3.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3.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3.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3.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3.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3.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3.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3.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3.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3.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3.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3.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3.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3.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3.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3.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3.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3.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3.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3.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3.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3.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3.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3.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3.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3.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3.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3.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3.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3.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3.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3.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3.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3.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3.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3.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3.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3.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3.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3.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3.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3.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3.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3.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3.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3.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3.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3.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3.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3.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3.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3.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3.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3.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3.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3.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3.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3.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3.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3.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3.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3.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3.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3.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3.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3.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3.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3.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3.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3.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3.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3.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3.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3.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3.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3.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3.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3.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3.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3.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3.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3.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3.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3.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algorithmName="SHA-512" hashValue="PmvP726n3yCzrG/1r1MvczfYw3ik7FNkiFv4XsUFLWkwDyL6WCCZxg4BKBfHgi8291xGEIyWqBuxVFmSce21Bg==" saltValue="FB9K7Et/mf9Yk9P1Pi2Dqw==" spinCount="100000" sheet="1" objects="1" scenarios="1"/>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7" sqref="H7"/>
    </sheetView>
  </sheetViews>
  <sheetFormatPr defaultRowHeight="1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topLeftCell="A3" workbookViewId="0">
      <pane xSplit="2" ySplit="6" topLeftCell="C20" activePane="bottomRight" state="frozen"/>
      <selection activeCell="A3" sqref="A3"/>
      <selection pane="topRight" activeCell="B1" sqref="B1"/>
      <selection pane="bottomLeft" activeCell="A5" sqref="A5"/>
      <selection pane="bottomRight" activeCell="B1" sqref="B1"/>
    </sheetView>
  </sheetViews>
  <sheetFormatPr defaultColWidth="14.42578125" defaultRowHeight="15" customHeight="1"/>
  <cols>
    <col min="1" max="1" width="9" customWidth="1"/>
    <col min="2" max="2" width="42" customWidth="1"/>
    <col min="3" max="3" width="27.28515625" customWidth="1"/>
    <col min="4" max="4" width="18.140625" customWidth="1"/>
    <col min="5" max="5" width="23.140625" customWidth="1"/>
    <col min="6" max="6" width="18.140625" customWidth="1"/>
    <col min="7" max="7" width="23.7109375" customWidth="1"/>
    <col min="8" max="8" width="18.140625" customWidth="1"/>
    <col min="9" max="9" width="19.140625" customWidth="1"/>
    <col min="10" max="10" width="16.42578125" customWidth="1"/>
    <col min="11" max="11" width="13.7109375" customWidth="1"/>
    <col min="12" max="26" width="8.7109375" customWidth="1"/>
  </cols>
  <sheetData>
    <row r="1" spans="1:26" ht="16.5" customHeight="1">
      <c r="A1" s="3030" t="s">
        <v>1565</v>
      </c>
      <c r="B1" s="2796"/>
      <c r="C1" s="2519"/>
      <c r="D1" s="2519"/>
      <c r="E1" s="2519"/>
      <c r="F1" s="2519"/>
      <c r="G1" s="2519"/>
      <c r="H1" s="2519"/>
      <c r="I1" s="2519"/>
      <c r="J1" s="2520" t="s">
        <v>5317</v>
      </c>
      <c r="K1" s="2521"/>
      <c r="L1" s="2521"/>
      <c r="M1" s="2521"/>
      <c r="N1" s="2521"/>
      <c r="O1" s="2521"/>
      <c r="P1" s="2521"/>
      <c r="Q1" s="2521"/>
      <c r="R1" s="2521"/>
      <c r="S1" s="2521"/>
      <c r="T1" s="2521"/>
      <c r="U1" s="2521"/>
      <c r="V1" s="2521"/>
      <c r="W1" s="2521"/>
      <c r="X1" s="2521"/>
      <c r="Y1" s="2521"/>
      <c r="Z1" s="2521"/>
    </row>
    <row r="2" spans="1:26" ht="16.5" customHeight="1">
      <c r="A2" s="3031" t="s">
        <v>23</v>
      </c>
      <c r="B2" s="2796"/>
      <c r="C2" s="2519"/>
      <c r="D2" s="2519"/>
      <c r="E2" s="2519"/>
      <c r="F2" s="2519"/>
      <c r="G2" s="2519"/>
      <c r="H2" s="2519"/>
      <c r="I2" s="2519"/>
      <c r="J2" s="2519"/>
      <c r="K2" s="2521"/>
      <c r="L2" s="2521"/>
      <c r="M2" s="2521"/>
      <c r="N2" s="2521"/>
      <c r="O2" s="2521"/>
      <c r="P2" s="2521"/>
      <c r="Q2" s="2521"/>
      <c r="R2" s="2521"/>
      <c r="S2" s="2521"/>
      <c r="T2" s="2521"/>
      <c r="U2" s="2521"/>
      <c r="V2" s="2521"/>
      <c r="W2" s="2521"/>
      <c r="X2" s="2521"/>
      <c r="Y2" s="2521"/>
      <c r="Z2" s="2521"/>
    </row>
    <row r="3" spans="1:26" ht="16.5" customHeight="1">
      <c r="A3" s="2522"/>
      <c r="B3" s="2522"/>
      <c r="C3" s="2519"/>
      <c r="D3" s="2519"/>
      <c r="E3" s="2519"/>
      <c r="F3" s="2519"/>
      <c r="G3" s="2519"/>
      <c r="H3" s="2519"/>
      <c r="I3" s="2519"/>
      <c r="J3" s="2519"/>
      <c r="K3" s="2520"/>
      <c r="L3" s="2521"/>
      <c r="M3" s="2521"/>
      <c r="N3" s="2521"/>
      <c r="O3" s="2521"/>
      <c r="P3" s="2521"/>
      <c r="Q3" s="2521"/>
      <c r="R3" s="2521"/>
      <c r="S3" s="2521"/>
      <c r="T3" s="2521"/>
      <c r="U3" s="2521"/>
      <c r="V3" s="2521"/>
      <c r="W3" s="2521"/>
      <c r="X3" s="2521"/>
      <c r="Y3" s="2521"/>
      <c r="Z3" s="2521"/>
    </row>
    <row r="4" spans="1:26" ht="16.5" hidden="1" customHeight="1">
      <c r="A4" s="3032" t="s">
        <v>5318</v>
      </c>
      <c r="B4" s="2796"/>
      <c r="C4" s="2796"/>
      <c r="D4" s="2796"/>
      <c r="E4" s="2796"/>
      <c r="F4" s="2796"/>
      <c r="G4" s="2796"/>
      <c r="H4" s="2796"/>
      <c r="I4" s="2796"/>
      <c r="J4" s="2796"/>
      <c r="K4" s="2796"/>
      <c r="L4" s="2521"/>
      <c r="M4" s="2521"/>
      <c r="N4" s="2521"/>
      <c r="O4" s="2521"/>
      <c r="P4" s="2521"/>
      <c r="Q4" s="2521"/>
      <c r="R4" s="2521"/>
      <c r="S4" s="2521"/>
      <c r="T4" s="2521"/>
      <c r="U4" s="2521"/>
      <c r="V4" s="2521"/>
      <c r="W4" s="2521"/>
      <c r="X4" s="2521"/>
      <c r="Y4" s="2521"/>
      <c r="Z4" s="2521"/>
    </row>
    <row r="5" spans="1:26" ht="51" customHeight="1">
      <c r="A5" s="3033" t="s">
        <v>5319</v>
      </c>
      <c r="B5" s="2796"/>
      <c r="C5" s="2796"/>
      <c r="D5" s="2796"/>
      <c r="E5" s="2796"/>
      <c r="F5" s="2796"/>
      <c r="G5" s="2796"/>
      <c r="H5" s="2796"/>
      <c r="I5" s="2796"/>
      <c r="J5" s="2796"/>
      <c r="K5" s="2796"/>
      <c r="L5" s="2521"/>
      <c r="M5" s="2521"/>
      <c r="N5" s="2521"/>
      <c r="O5" s="2521"/>
      <c r="P5" s="2521"/>
      <c r="Q5" s="2521"/>
      <c r="R5" s="2521"/>
      <c r="S5" s="2521"/>
      <c r="T5" s="2521"/>
      <c r="U5" s="2521"/>
      <c r="V5" s="2521"/>
      <c r="W5" s="2521"/>
      <c r="X5" s="2521"/>
      <c r="Y5" s="2521"/>
      <c r="Z5" s="2521"/>
    </row>
    <row r="6" spans="1:26" ht="16.5" hidden="1" customHeight="1">
      <c r="A6" s="1820"/>
      <c r="B6" s="1820"/>
      <c r="C6" s="1820"/>
      <c r="D6" s="1820"/>
      <c r="E6" s="1820"/>
      <c r="F6" s="1820"/>
      <c r="G6" s="1820"/>
      <c r="H6" s="1820"/>
      <c r="I6" s="1820"/>
      <c r="J6" s="1821" t="s">
        <v>2626</v>
      </c>
      <c r="K6" s="1822"/>
      <c r="L6" s="2521"/>
      <c r="M6" s="2521"/>
      <c r="N6" s="2521"/>
      <c r="O6" s="2521"/>
      <c r="P6" s="2521"/>
      <c r="Q6" s="2521"/>
      <c r="R6" s="2521"/>
      <c r="S6" s="2521"/>
      <c r="T6" s="2521"/>
      <c r="U6" s="2521"/>
      <c r="V6" s="2521"/>
      <c r="W6" s="2521"/>
      <c r="X6" s="2521"/>
      <c r="Y6" s="2521"/>
      <c r="Z6" s="2521"/>
    </row>
    <row r="7" spans="1:26" ht="68.25" customHeight="1">
      <c r="A7" s="1567" t="s">
        <v>186</v>
      </c>
      <c r="B7" s="1823" t="s">
        <v>5320</v>
      </c>
      <c r="C7" s="3034" t="s">
        <v>5321</v>
      </c>
      <c r="D7" s="2783"/>
      <c r="E7" s="3035" t="s">
        <v>5322</v>
      </c>
      <c r="F7" s="2782"/>
      <c r="G7" s="1823" t="s">
        <v>5323</v>
      </c>
      <c r="H7" s="1823" t="s">
        <v>5324</v>
      </c>
      <c r="I7" s="1823" t="s">
        <v>5325</v>
      </c>
      <c r="J7" s="1823" t="s">
        <v>5326</v>
      </c>
      <c r="K7" s="1823" t="s">
        <v>32</v>
      </c>
      <c r="L7" s="2521"/>
      <c r="M7" s="2521"/>
      <c r="N7" s="2521"/>
      <c r="O7" s="2521"/>
      <c r="P7" s="2521"/>
      <c r="Q7" s="2521"/>
      <c r="R7" s="2521"/>
      <c r="S7" s="2521"/>
      <c r="T7" s="2521"/>
      <c r="U7" s="2521"/>
      <c r="V7" s="2521"/>
      <c r="W7" s="2521"/>
      <c r="X7" s="2521"/>
      <c r="Y7" s="2521"/>
      <c r="Z7" s="2521"/>
    </row>
    <row r="8" spans="1:26" ht="16.5" customHeight="1">
      <c r="A8" s="1824"/>
      <c r="B8" s="1825"/>
      <c r="C8" s="1823" t="s">
        <v>5327</v>
      </c>
      <c r="D8" s="1823" t="s">
        <v>5328</v>
      </c>
      <c r="E8" s="1826" t="s">
        <v>5327</v>
      </c>
      <c r="F8" s="1826" t="s">
        <v>5328</v>
      </c>
      <c r="G8" s="1825"/>
      <c r="H8" s="1825"/>
      <c r="I8" s="1825"/>
      <c r="J8" s="1825"/>
      <c r="K8" s="1825"/>
      <c r="L8" s="2521"/>
      <c r="M8" s="2521"/>
      <c r="N8" s="2521"/>
      <c r="O8" s="2521"/>
      <c r="P8" s="2521"/>
      <c r="Q8" s="2521"/>
      <c r="R8" s="2521"/>
      <c r="S8" s="2521"/>
      <c r="T8" s="2521"/>
      <c r="U8" s="2521"/>
      <c r="V8" s="2521"/>
      <c r="W8" s="2521"/>
      <c r="X8" s="2521"/>
      <c r="Y8" s="2521"/>
      <c r="Z8" s="2521"/>
    </row>
    <row r="9" spans="1:26" ht="16.5" customHeight="1">
      <c r="A9" s="1580">
        <v>1</v>
      </c>
      <c r="B9" s="1827" t="s">
        <v>5329</v>
      </c>
      <c r="C9" s="1828"/>
      <c r="D9" s="1828"/>
      <c r="E9" s="1828"/>
      <c r="F9" s="1828"/>
      <c r="G9" s="1828"/>
      <c r="H9" s="1828"/>
      <c r="I9" s="1828"/>
      <c r="J9" s="1828"/>
      <c r="K9" s="1826"/>
      <c r="L9" s="2521"/>
      <c r="M9" s="2521"/>
      <c r="N9" s="2521"/>
      <c r="O9" s="2521"/>
      <c r="P9" s="2521"/>
      <c r="Q9" s="2521"/>
      <c r="R9" s="2521"/>
      <c r="S9" s="2521"/>
      <c r="T9" s="2521"/>
      <c r="U9" s="2521"/>
      <c r="V9" s="2521"/>
      <c r="W9" s="2521"/>
      <c r="X9" s="2521"/>
      <c r="Y9" s="2521"/>
      <c r="Z9" s="2521"/>
    </row>
    <row r="10" spans="1:26" ht="16.5" customHeight="1">
      <c r="A10" s="1580"/>
      <c r="B10" s="1829" t="s">
        <v>5330</v>
      </c>
      <c r="C10" s="1828">
        <v>2092380.132</v>
      </c>
      <c r="D10" s="1828">
        <v>419811.31440000003</v>
      </c>
      <c r="E10" s="1828">
        <v>128446.02</v>
      </c>
      <c r="F10" s="1828">
        <v>43671.646800000002</v>
      </c>
      <c r="G10" s="1828">
        <v>635316.69999999995</v>
      </c>
      <c r="H10" s="1828">
        <v>22197.636304185886</v>
      </c>
      <c r="I10" s="1828">
        <v>150552.24778602563</v>
      </c>
      <c r="J10" s="1830">
        <f t="shared" ref="J10:J20" si="0">SUM(C10:I10)</f>
        <v>3492375.697290211</v>
      </c>
      <c r="K10" s="1829"/>
      <c r="L10" s="2521"/>
      <c r="M10" s="2521"/>
      <c r="N10" s="2521"/>
      <c r="O10" s="2521"/>
      <c r="P10" s="2521"/>
      <c r="Q10" s="2521"/>
      <c r="R10" s="2521"/>
      <c r="S10" s="2521"/>
      <c r="T10" s="2521"/>
      <c r="U10" s="2521"/>
      <c r="V10" s="2521"/>
      <c r="W10" s="2521"/>
      <c r="X10" s="2521"/>
      <c r="Y10" s="2521"/>
      <c r="Z10" s="2521"/>
    </row>
    <row r="11" spans="1:26" ht="16.5" customHeight="1">
      <c r="A11" s="1580"/>
      <c r="B11" s="1829" t="s">
        <v>5331</v>
      </c>
      <c r="C11" s="1828">
        <v>2026458.672</v>
      </c>
      <c r="D11" s="1828">
        <v>424048.51679999992</v>
      </c>
      <c r="E11" s="1828">
        <v>129742.44</v>
      </c>
      <c r="F11" s="1828">
        <v>44112.429600000003</v>
      </c>
      <c r="G11" s="1828">
        <v>271385.42499999999</v>
      </c>
      <c r="H11" s="1828">
        <v>0</v>
      </c>
      <c r="I11" s="1828">
        <v>170121.96666155881</v>
      </c>
      <c r="J11" s="1830">
        <f t="shared" si="0"/>
        <v>3065869.4500615587</v>
      </c>
      <c r="K11" s="1829"/>
      <c r="L11" s="2521"/>
      <c r="M11" s="2521"/>
      <c r="N11" s="2521"/>
      <c r="O11" s="2521"/>
      <c r="P11" s="2521"/>
      <c r="Q11" s="2521"/>
      <c r="R11" s="2521"/>
      <c r="S11" s="2521"/>
      <c r="T11" s="2521"/>
      <c r="U11" s="2521"/>
      <c r="V11" s="2521"/>
      <c r="W11" s="2521"/>
      <c r="X11" s="2521"/>
      <c r="Y11" s="2521"/>
      <c r="Z11" s="2521"/>
    </row>
    <row r="12" spans="1:26" ht="16.5" customHeight="1">
      <c r="A12" s="1580"/>
      <c r="B12" s="1829" t="s">
        <v>5332</v>
      </c>
      <c r="C12" s="1828">
        <v>2006159.9280000001</v>
      </c>
      <c r="D12" s="1828">
        <v>426139.76160000009</v>
      </c>
      <c r="E12" s="1828">
        <v>130382.28</v>
      </c>
      <c r="F12" s="1828">
        <v>44329.975200000008</v>
      </c>
      <c r="G12" s="1828">
        <v>908578.35699999996</v>
      </c>
      <c r="H12" s="1828">
        <v>0</v>
      </c>
      <c r="I12" s="1828">
        <v>199229.55452989077</v>
      </c>
      <c r="J12" s="1830">
        <f t="shared" si="0"/>
        <v>3714819.8563298909</v>
      </c>
      <c r="K12" s="1829"/>
      <c r="L12" s="2521"/>
      <c r="M12" s="2521"/>
      <c r="N12" s="2521"/>
      <c r="O12" s="2521"/>
      <c r="P12" s="2521"/>
      <c r="Q12" s="2521"/>
      <c r="R12" s="2521"/>
      <c r="S12" s="2521"/>
      <c r="T12" s="2521"/>
      <c r="U12" s="2521"/>
      <c r="V12" s="2521"/>
      <c r="W12" s="2521"/>
      <c r="X12" s="2521"/>
      <c r="Y12" s="2521"/>
      <c r="Z12" s="2521"/>
    </row>
    <row r="13" spans="1:26" ht="16.5" customHeight="1">
      <c r="A13" s="1580"/>
      <c r="B13" s="1829" t="s">
        <v>5333</v>
      </c>
      <c r="C13" s="1828">
        <v>1680510.156</v>
      </c>
      <c r="D13" s="1828">
        <v>330781.43039999995</v>
      </c>
      <c r="E13" s="1828">
        <v>108019.5</v>
      </c>
      <c r="F13" s="1828">
        <v>36726.629999999997</v>
      </c>
      <c r="G13" s="1828">
        <v>1156789.4879999999</v>
      </c>
      <c r="H13" s="1828">
        <v>0</v>
      </c>
      <c r="I13" s="1828">
        <v>169498.78672927065</v>
      </c>
      <c r="J13" s="1830">
        <f t="shared" si="0"/>
        <v>3482325.9911292703</v>
      </c>
      <c r="K13" s="1829"/>
      <c r="L13" s="2521"/>
      <c r="M13" s="2521"/>
      <c r="N13" s="2521"/>
      <c r="O13" s="2521"/>
      <c r="P13" s="2521"/>
      <c r="Q13" s="2521"/>
      <c r="R13" s="2521"/>
      <c r="S13" s="2521"/>
      <c r="T13" s="2521"/>
      <c r="U13" s="2521"/>
      <c r="V13" s="2521"/>
      <c r="W13" s="2521"/>
      <c r="X13" s="2521"/>
      <c r="Y13" s="2521"/>
      <c r="Z13" s="2521"/>
    </row>
    <row r="14" spans="1:26" ht="16.5" customHeight="1">
      <c r="A14" s="1580"/>
      <c r="B14" s="1829" t="s">
        <v>5334</v>
      </c>
      <c r="C14" s="1828">
        <v>454088.56800000003</v>
      </c>
      <c r="D14" s="1828">
        <v>93011.76</v>
      </c>
      <c r="E14" s="1828">
        <v>28458</v>
      </c>
      <c r="F14" s="1828">
        <v>9675.7199999999993</v>
      </c>
      <c r="G14" s="1828">
        <v>0</v>
      </c>
      <c r="H14" s="1828">
        <v>101137.98041094696</v>
      </c>
      <c r="I14" s="1828">
        <v>44742.328991422262</v>
      </c>
      <c r="J14" s="1830">
        <f t="shared" si="0"/>
        <v>731114.35740236926</v>
      </c>
      <c r="K14" s="1829"/>
      <c r="L14" s="2521"/>
      <c r="M14" s="2521"/>
      <c r="N14" s="2521"/>
      <c r="O14" s="2521"/>
      <c r="P14" s="2521"/>
      <c r="Q14" s="2521"/>
      <c r="R14" s="2521"/>
      <c r="S14" s="2521"/>
      <c r="T14" s="2521"/>
      <c r="U14" s="2521"/>
      <c r="V14" s="2521"/>
      <c r="W14" s="2521"/>
      <c r="X14" s="2521"/>
      <c r="Y14" s="2521"/>
      <c r="Z14" s="2521"/>
    </row>
    <row r="15" spans="1:26" ht="16.5" customHeight="1">
      <c r="A15" s="1580">
        <v>2</v>
      </c>
      <c r="B15" s="1829" t="s">
        <v>5335</v>
      </c>
      <c r="C15" s="1828">
        <v>0</v>
      </c>
      <c r="D15" s="1828">
        <v>0</v>
      </c>
      <c r="E15" s="1828">
        <v>0</v>
      </c>
      <c r="F15" s="1828">
        <v>0</v>
      </c>
      <c r="G15" s="1828">
        <v>0</v>
      </c>
      <c r="H15" s="1828">
        <v>0</v>
      </c>
      <c r="I15" s="1828">
        <v>0</v>
      </c>
      <c r="J15" s="1830">
        <f t="shared" si="0"/>
        <v>0</v>
      </c>
      <c r="K15" s="1829"/>
      <c r="L15" s="2521"/>
      <c r="M15" s="2521"/>
      <c r="N15" s="2521"/>
      <c r="O15" s="2521"/>
      <c r="P15" s="2521"/>
      <c r="Q15" s="2521"/>
      <c r="R15" s="2521"/>
      <c r="S15" s="2521"/>
      <c r="T15" s="2521"/>
      <c r="U15" s="2521"/>
      <c r="V15" s="2521"/>
      <c r="W15" s="2521"/>
      <c r="X15" s="2521"/>
      <c r="Y15" s="2521"/>
      <c r="Z15" s="2521"/>
    </row>
    <row r="16" spans="1:26" ht="16.5" customHeight="1">
      <c r="A16" s="1580"/>
      <c r="B16" s="1829" t="s">
        <v>5336</v>
      </c>
      <c r="C16" s="1828">
        <v>1874932.7879999999</v>
      </c>
      <c r="D16" s="1828">
        <v>403537.29600000003</v>
      </c>
      <c r="E16" s="1828">
        <v>123466.8</v>
      </c>
      <c r="F16" s="1828">
        <v>41978.712000000007</v>
      </c>
      <c r="G16" s="1828">
        <v>651182.25</v>
      </c>
      <c r="H16" s="1828">
        <v>0</v>
      </c>
      <c r="I16" s="1828">
        <v>172570.73614081729</v>
      </c>
      <c r="J16" s="1830">
        <f t="shared" si="0"/>
        <v>3267668.5821408168</v>
      </c>
      <c r="K16" s="1829"/>
      <c r="L16" s="2521"/>
      <c r="M16" s="2521"/>
      <c r="N16" s="2521"/>
      <c r="O16" s="2521"/>
      <c r="P16" s="2521"/>
      <c r="Q16" s="2521"/>
      <c r="R16" s="2521"/>
      <c r="S16" s="2521"/>
      <c r="T16" s="2521"/>
      <c r="U16" s="2521"/>
      <c r="V16" s="2521"/>
      <c r="W16" s="2521"/>
      <c r="X16" s="2521"/>
      <c r="Y16" s="2521"/>
      <c r="Z16" s="2521"/>
    </row>
    <row r="17" spans="1:26" ht="16.5" customHeight="1">
      <c r="A17" s="1580"/>
      <c r="B17" s="1829" t="s">
        <v>5337</v>
      </c>
      <c r="C17" s="1828">
        <v>2173609.9679999999</v>
      </c>
      <c r="D17" s="1828">
        <v>479934.60240000003</v>
      </c>
      <c r="E17" s="1828">
        <v>146841.42000000001</v>
      </c>
      <c r="F17" s="1828">
        <v>49926.082800000004</v>
      </c>
      <c r="G17" s="1828">
        <v>1005213.55</v>
      </c>
      <c r="H17" s="1828">
        <v>18937.358472008582</v>
      </c>
      <c r="I17" s="1828">
        <v>194738.64501404102</v>
      </c>
      <c r="J17" s="1830">
        <f t="shared" si="0"/>
        <v>4069201.6266860501</v>
      </c>
      <c r="K17" s="1829"/>
      <c r="L17" s="2521"/>
      <c r="M17" s="2521"/>
      <c r="N17" s="2521"/>
      <c r="O17" s="2521"/>
      <c r="P17" s="2521"/>
      <c r="Q17" s="2521"/>
      <c r="R17" s="2521"/>
      <c r="S17" s="2521"/>
      <c r="T17" s="2521"/>
      <c r="U17" s="2521"/>
      <c r="V17" s="2521"/>
      <c r="W17" s="2521"/>
      <c r="X17" s="2521"/>
      <c r="Y17" s="2521"/>
      <c r="Z17" s="2521"/>
    </row>
    <row r="18" spans="1:26" ht="16.5" customHeight="1">
      <c r="A18" s="1580"/>
      <c r="B18" s="1829" t="s">
        <v>5338</v>
      </c>
      <c r="C18" s="1828">
        <v>1033787.616</v>
      </c>
      <c r="D18" s="1828">
        <v>227599.16880000004</v>
      </c>
      <c r="E18" s="1828">
        <v>69636.539999999994</v>
      </c>
      <c r="F18" s="1828">
        <v>23676.423600000002</v>
      </c>
      <c r="G18" s="1828">
        <v>480739.9</v>
      </c>
      <c r="H18" s="1828">
        <v>0</v>
      </c>
      <c r="I18" s="1828">
        <v>79311.46479132981</v>
      </c>
      <c r="J18" s="1830">
        <f t="shared" si="0"/>
        <v>1914751.1131913301</v>
      </c>
      <c r="K18" s="1829"/>
      <c r="L18" s="2521"/>
      <c r="M18" s="2521"/>
      <c r="N18" s="2521"/>
      <c r="O18" s="2521"/>
      <c r="P18" s="2521"/>
      <c r="Q18" s="2521"/>
      <c r="R18" s="2521"/>
      <c r="S18" s="2521"/>
      <c r="T18" s="2521"/>
      <c r="U18" s="2521"/>
      <c r="V18" s="2521"/>
      <c r="W18" s="2521"/>
      <c r="X18" s="2521"/>
      <c r="Y18" s="2521"/>
      <c r="Z18" s="2521"/>
    </row>
    <row r="19" spans="1:26" ht="16.5" customHeight="1">
      <c r="A19" s="1580"/>
      <c r="B19" s="1829" t="s">
        <v>5339</v>
      </c>
      <c r="C19" s="1828">
        <v>1461048.5759999999</v>
      </c>
      <c r="D19" s="1828">
        <v>286713.30959999998</v>
      </c>
      <c r="E19" s="1828">
        <v>95416.14</v>
      </c>
      <c r="F19" s="1828">
        <v>32441.487599999993</v>
      </c>
      <c r="G19" s="1828">
        <v>356659.15700000001</v>
      </c>
      <c r="H19" s="1828">
        <v>0</v>
      </c>
      <c r="I19" s="1828">
        <v>145309.25992053046</v>
      </c>
      <c r="J19" s="1830">
        <f t="shared" si="0"/>
        <v>2377587.9301205305</v>
      </c>
      <c r="K19" s="1829"/>
      <c r="L19" s="2521"/>
      <c r="M19" s="2521"/>
      <c r="N19" s="2521"/>
      <c r="O19" s="2521"/>
      <c r="P19" s="2521"/>
      <c r="Q19" s="2521"/>
      <c r="R19" s="2521"/>
      <c r="S19" s="2521"/>
      <c r="T19" s="2521"/>
      <c r="U19" s="2521"/>
      <c r="V19" s="2521"/>
      <c r="W19" s="2521"/>
      <c r="X19" s="2521"/>
      <c r="Y19" s="2521"/>
      <c r="Z19" s="2521"/>
    </row>
    <row r="20" spans="1:26" ht="16.5" customHeight="1">
      <c r="A20" s="1580"/>
      <c r="B20" s="1829" t="s">
        <v>5340</v>
      </c>
      <c r="C20" s="1828">
        <v>510081.67200000002</v>
      </c>
      <c r="D20" s="1828">
        <v>101218.68</v>
      </c>
      <c r="E20" s="1828">
        <v>30969</v>
      </c>
      <c r="F20" s="1828">
        <v>10529.46</v>
      </c>
      <c r="G20" s="1828">
        <v>0</v>
      </c>
      <c r="H20" s="1828">
        <v>129856.17237948741</v>
      </c>
      <c r="I20" s="1828">
        <v>55656.582375960985</v>
      </c>
      <c r="J20" s="1830">
        <f t="shared" si="0"/>
        <v>838311.56675544835</v>
      </c>
      <c r="K20" s="1829"/>
      <c r="L20" s="2521"/>
      <c r="M20" s="2521"/>
      <c r="N20" s="2521"/>
      <c r="O20" s="2521"/>
      <c r="P20" s="2521"/>
      <c r="Q20" s="2521"/>
      <c r="R20" s="2521"/>
      <c r="S20" s="2521"/>
      <c r="T20" s="2521"/>
      <c r="U20" s="2521"/>
      <c r="V20" s="2521"/>
      <c r="W20" s="2521"/>
      <c r="X20" s="2521"/>
      <c r="Y20" s="2521"/>
      <c r="Z20" s="2521"/>
    </row>
    <row r="21" spans="1:26" ht="16.5" customHeight="1">
      <c r="A21" s="1596" t="s">
        <v>936</v>
      </c>
      <c r="B21" s="2604" t="s">
        <v>5341</v>
      </c>
      <c r="C21" s="2605">
        <f t="shared" ref="C21:J21" si="1">SUM(C22:C35)</f>
        <v>27967528.991999999</v>
      </c>
      <c r="D21" s="2605">
        <f t="shared" si="1"/>
        <v>5803848.7152000004</v>
      </c>
      <c r="E21" s="2605">
        <f t="shared" si="1"/>
        <v>1787471.16</v>
      </c>
      <c r="F21" s="2605">
        <f t="shared" si="1"/>
        <v>607740.19440000004</v>
      </c>
      <c r="G21" s="2605">
        <f t="shared" si="1"/>
        <v>8937060.4210000001</v>
      </c>
      <c r="H21" s="2605">
        <f t="shared" si="1"/>
        <v>441316.75677259569</v>
      </c>
      <c r="I21" s="2605">
        <f t="shared" si="1"/>
        <v>1948579.5715064143</v>
      </c>
      <c r="J21" s="2605">
        <f t="shared" si="1"/>
        <v>47493545.810879007</v>
      </c>
      <c r="K21" s="2604"/>
      <c r="L21" s="2523"/>
      <c r="M21" s="2523"/>
      <c r="N21" s="2523"/>
      <c r="O21" s="2523"/>
      <c r="P21" s="2523"/>
      <c r="Q21" s="2523"/>
      <c r="R21" s="2523"/>
      <c r="S21" s="2523"/>
      <c r="T21" s="2523"/>
      <c r="U21" s="2523"/>
      <c r="V21" s="2523"/>
      <c r="W21" s="2523"/>
      <c r="X21" s="2523"/>
      <c r="Y21" s="2523"/>
      <c r="Z21" s="2523"/>
    </row>
    <row r="22" spans="1:26" ht="16.5" customHeight="1">
      <c r="A22" s="1580" t="s">
        <v>936</v>
      </c>
      <c r="B22" s="1829" t="s">
        <v>5342</v>
      </c>
      <c r="C22" s="1828">
        <v>1394603.5319999999</v>
      </c>
      <c r="D22" s="1828">
        <v>286731.54720000003</v>
      </c>
      <c r="E22" s="1828">
        <v>87728.76</v>
      </c>
      <c r="F22" s="1828">
        <v>29827.778400000003</v>
      </c>
      <c r="G22" s="1828">
        <v>98530.1</v>
      </c>
      <c r="H22" s="1828">
        <v>0</v>
      </c>
      <c r="I22" s="1828">
        <v>93012.252074136544</v>
      </c>
      <c r="J22" s="1830">
        <f t="shared" ref="J22:J72" si="2">SUM(C22:I22)</f>
        <v>1990433.9696741367</v>
      </c>
      <c r="K22" s="1829"/>
      <c r="L22" s="2521"/>
      <c r="M22" s="2521"/>
      <c r="N22" s="2521"/>
      <c r="O22" s="2521"/>
      <c r="P22" s="2521"/>
      <c r="Q22" s="2521"/>
      <c r="R22" s="2521"/>
      <c r="S22" s="2521"/>
      <c r="T22" s="2521"/>
      <c r="U22" s="2521"/>
      <c r="V22" s="2521"/>
      <c r="W22" s="2521"/>
      <c r="X22" s="2521"/>
      <c r="Y22" s="2521"/>
      <c r="Z22" s="2521"/>
    </row>
    <row r="23" spans="1:26" ht="16.5" customHeight="1">
      <c r="A23" s="1580" t="s">
        <v>936</v>
      </c>
      <c r="B23" s="1829" t="s">
        <v>5343</v>
      </c>
      <c r="C23" s="1828">
        <v>2094610.632</v>
      </c>
      <c r="D23" s="1828">
        <v>407081.46960000001</v>
      </c>
      <c r="E23" s="1828">
        <v>129517.38</v>
      </c>
      <c r="F23" s="1828">
        <v>44035.909200000002</v>
      </c>
      <c r="G23" s="1828">
        <v>745387.1</v>
      </c>
      <c r="H23" s="1828">
        <v>0</v>
      </c>
      <c r="I23" s="1828">
        <v>152323.56580527354</v>
      </c>
      <c r="J23" s="1830">
        <f t="shared" si="2"/>
        <v>3572956.0566052739</v>
      </c>
      <c r="K23" s="1829"/>
      <c r="L23" s="2521"/>
      <c r="M23" s="2521"/>
      <c r="N23" s="2521"/>
      <c r="O23" s="2521"/>
      <c r="P23" s="2521"/>
      <c r="Q23" s="2521"/>
      <c r="R23" s="2521"/>
      <c r="S23" s="2521"/>
      <c r="T23" s="2521"/>
      <c r="U23" s="2521"/>
      <c r="V23" s="2521"/>
      <c r="W23" s="2521"/>
      <c r="X23" s="2521"/>
      <c r="Y23" s="2521"/>
      <c r="Z23" s="2521"/>
    </row>
    <row r="24" spans="1:26" ht="16.5" customHeight="1">
      <c r="A24" s="1831" t="s">
        <v>936</v>
      </c>
      <c r="B24" s="1832" t="s">
        <v>5344</v>
      </c>
      <c r="C24" s="1833">
        <v>1117363.956</v>
      </c>
      <c r="D24" s="1833">
        <v>230395.60080000004</v>
      </c>
      <c r="E24" s="1833">
        <v>70492.14</v>
      </c>
      <c r="F24" s="1833">
        <v>23967.327600000001</v>
      </c>
      <c r="G24" s="1833">
        <v>1391506.969</v>
      </c>
      <c r="H24" s="1833">
        <v>0</v>
      </c>
      <c r="I24" s="1833">
        <v>90351.701040850225</v>
      </c>
      <c r="J24" s="1834">
        <f t="shared" si="2"/>
        <v>2924077.6944408501</v>
      </c>
      <c r="K24" s="1832"/>
      <c r="L24" s="2524"/>
      <c r="M24" s="2524"/>
      <c r="N24" s="2524"/>
      <c r="O24" s="2524"/>
      <c r="P24" s="2524"/>
      <c r="Q24" s="2524"/>
      <c r="R24" s="2524"/>
      <c r="S24" s="2524"/>
      <c r="T24" s="2524"/>
      <c r="U24" s="2524"/>
      <c r="V24" s="2524"/>
      <c r="W24" s="2524"/>
      <c r="X24" s="2524"/>
      <c r="Y24" s="2524"/>
      <c r="Z24" s="2524"/>
    </row>
    <row r="25" spans="1:26" ht="27" customHeight="1">
      <c r="A25" s="1580" t="s">
        <v>936</v>
      </c>
      <c r="B25" s="1580" t="s">
        <v>5345</v>
      </c>
      <c r="C25" s="2606">
        <v>1757505.3119999999</v>
      </c>
      <c r="D25" s="2606">
        <v>360593.82720000006</v>
      </c>
      <c r="E25" s="2606">
        <v>110327.76</v>
      </c>
      <c r="F25" s="2606">
        <v>37511.438400000006</v>
      </c>
      <c r="G25" s="2606">
        <v>2207802.9</v>
      </c>
      <c r="H25" s="2606">
        <v>24972.340842209123</v>
      </c>
      <c r="I25" s="2606">
        <v>124773.34565535754</v>
      </c>
      <c r="J25" s="2607">
        <f t="shared" si="2"/>
        <v>4623486.9240975659</v>
      </c>
      <c r="K25" s="1826"/>
      <c r="L25" s="2521"/>
      <c r="M25" s="2521"/>
      <c r="N25" s="2521"/>
      <c r="O25" s="2521"/>
      <c r="P25" s="2521"/>
      <c r="Q25" s="2521"/>
      <c r="R25" s="2521"/>
      <c r="S25" s="2521"/>
      <c r="T25" s="2521"/>
      <c r="U25" s="2521"/>
      <c r="V25" s="2521"/>
      <c r="W25" s="2521"/>
      <c r="X25" s="2521"/>
      <c r="Y25" s="2521"/>
      <c r="Z25" s="2521"/>
    </row>
    <row r="26" spans="1:26" ht="16.5" customHeight="1">
      <c r="A26" s="1580" t="s">
        <v>936</v>
      </c>
      <c r="B26" s="1829" t="s">
        <v>5346</v>
      </c>
      <c r="C26" s="1828">
        <v>2264851.176</v>
      </c>
      <c r="D26" s="1828">
        <v>469344.63600000012</v>
      </c>
      <c r="E26" s="1828">
        <v>143601.29999999999</v>
      </c>
      <c r="F26" s="1828">
        <v>48824.442000000003</v>
      </c>
      <c r="G26" s="1828">
        <v>217218.5</v>
      </c>
      <c r="H26" s="1828">
        <v>0</v>
      </c>
      <c r="I26" s="1828">
        <v>160681.43941092727</v>
      </c>
      <c r="J26" s="1830">
        <f t="shared" si="2"/>
        <v>3304521.4934109268</v>
      </c>
      <c r="K26" s="1826"/>
      <c r="L26" s="2521"/>
      <c r="M26" s="2521"/>
      <c r="N26" s="2521"/>
      <c r="O26" s="2521"/>
      <c r="P26" s="2521"/>
      <c r="Q26" s="2521"/>
      <c r="R26" s="2521"/>
      <c r="S26" s="2521"/>
      <c r="T26" s="2521"/>
      <c r="U26" s="2521"/>
      <c r="V26" s="2521"/>
      <c r="W26" s="2521"/>
      <c r="X26" s="2521"/>
      <c r="Y26" s="2521"/>
      <c r="Z26" s="2521"/>
    </row>
    <row r="27" spans="1:26" ht="16.5" customHeight="1">
      <c r="A27" s="1580" t="s">
        <v>936</v>
      </c>
      <c r="B27" s="1829" t="s">
        <v>5347</v>
      </c>
      <c r="C27" s="1828">
        <v>2312666.148</v>
      </c>
      <c r="D27" s="1828">
        <v>480001.47360000014</v>
      </c>
      <c r="E27" s="1828">
        <v>146861.88</v>
      </c>
      <c r="F27" s="1828">
        <v>49933.039200000007</v>
      </c>
      <c r="G27" s="1828">
        <v>119378.9</v>
      </c>
      <c r="H27" s="1828">
        <v>0</v>
      </c>
      <c r="I27" s="1828">
        <v>153077.68649296756</v>
      </c>
      <c r="J27" s="1830">
        <f t="shared" si="2"/>
        <v>3261919.1272929674</v>
      </c>
      <c r="K27" s="1826"/>
      <c r="L27" s="2521"/>
      <c r="M27" s="2521"/>
      <c r="N27" s="2521"/>
      <c r="O27" s="2521"/>
      <c r="P27" s="2521"/>
      <c r="Q27" s="2521"/>
      <c r="R27" s="2521"/>
      <c r="S27" s="2521"/>
      <c r="T27" s="2521"/>
      <c r="U27" s="2521"/>
      <c r="V27" s="2521"/>
      <c r="W27" s="2521"/>
      <c r="X27" s="2521"/>
      <c r="Y27" s="2521"/>
      <c r="Z27" s="2521"/>
    </row>
    <row r="28" spans="1:26" ht="16.5" customHeight="1">
      <c r="A28" s="1580" t="s">
        <v>936</v>
      </c>
      <c r="B28" s="1829" t="s">
        <v>5348</v>
      </c>
      <c r="C28" s="1828">
        <v>2925347.6639999999</v>
      </c>
      <c r="D28" s="1828">
        <v>605743.64640000009</v>
      </c>
      <c r="E28" s="1828">
        <v>185334.12</v>
      </c>
      <c r="F28" s="1828">
        <v>63013.600800000007</v>
      </c>
      <c r="G28" s="1828">
        <v>628069.55599999998</v>
      </c>
      <c r="H28" s="1828">
        <v>22093.584884010012</v>
      </c>
      <c r="I28" s="1828">
        <v>206529.95756352664</v>
      </c>
      <c r="J28" s="1830">
        <f t="shared" si="2"/>
        <v>4636132.1296475371</v>
      </c>
      <c r="K28" s="1826"/>
      <c r="L28" s="2521"/>
      <c r="M28" s="2521"/>
      <c r="N28" s="2521"/>
      <c r="O28" s="2521"/>
      <c r="P28" s="2521"/>
      <c r="Q28" s="2521"/>
      <c r="R28" s="2521"/>
      <c r="S28" s="2521"/>
      <c r="T28" s="2521"/>
      <c r="U28" s="2521"/>
      <c r="V28" s="2521"/>
      <c r="W28" s="2521"/>
      <c r="X28" s="2521"/>
      <c r="Y28" s="2521"/>
      <c r="Z28" s="2521"/>
    </row>
    <row r="29" spans="1:26" ht="16.5" customHeight="1">
      <c r="A29" s="1580" t="s">
        <v>936</v>
      </c>
      <c r="B29" s="1829" t="s">
        <v>5349</v>
      </c>
      <c r="C29" s="1828">
        <v>2229999.7560000001</v>
      </c>
      <c r="D29" s="1828">
        <v>461326.1712000001</v>
      </c>
      <c r="E29" s="1828">
        <v>141147.96</v>
      </c>
      <c r="F29" s="1828">
        <v>47990.306400000001</v>
      </c>
      <c r="G29" s="1828">
        <v>107556.6</v>
      </c>
      <c r="H29" s="1828">
        <v>25249.811296011445</v>
      </c>
      <c r="I29" s="1828">
        <v>148527.92574388572</v>
      </c>
      <c r="J29" s="1830">
        <f t="shared" si="2"/>
        <v>3161798.5306398976</v>
      </c>
      <c r="K29" s="1826"/>
      <c r="L29" s="2521"/>
      <c r="M29" s="2521"/>
      <c r="N29" s="2521"/>
      <c r="O29" s="2521"/>
      <c r="P29" s="2521"/>
      <c r="Q29" s="2521"/>
      <c r="R29" s="2521"/>
      <c r="S29" s="2521"/>
      <c r="T29" s="2521"/>
      <c r="U29" s="2521"/>
      <c r="V29" s="2521"/>
      <c r="W29" s="2521"/>
      <c r="X29" s="2521"/>
      <c r="Y29" s="2521"/>
      <c r="Z29" s="2521"/>
    </row>
    <row r="30" spans="1:26" ht="16.5" customHeight="1">
      <c r="A30" s="1835" t="s">
        <v>936</v>
      </c>
      <c r="B30" s="1829" t="s">
        <v>5350</v>
      </c>
      <c r="C30" s="1828">
        <v>2555179.6919999998</v>
      </c>
      <c r="D30" s="1828">
        <v>508020.50640000007</v>
      </c>
      <c r="E30" s="1828">
        <v>162186.42000000001</v>
      </c>
      <c r="F30" s="1828">
        <v>55143.382800000007</v>
      </c>
      <c r="G30" s="1828">
        <v>2100009.5580000002</v>
      </c>
      <c r="H30" s="1828">
        <v>0</v>
      </c>
      <c r="I30" s="1828">
        <v>189737.34836002105</v>
      </c>
      <c r="J30" s="1830">
        <f t="shared" si="2"/>
        <v>5570276.9075600207</v>
      </c>
      <c r="K30" s="1829"/>
      <c r="L30" s="2521"/>
      <c r="M30" s="2521"/>
      <c r="N30" s="2521"/>
      <c r="O30" s="2521"/>
      <c r="P30" s="2521"/>
      <c r="Q30" s="2521"/>
      <c r="R30" s="2521"/>
      <c r="S30" s="2521"/>
      <c r="T30" s="2521"/>
      <c r="U30" s="2521"/>
      <c r="V30" s="2521"/>
      <c r="W30" s="2521"/>
      <c r="X30" s="2521"/>
      <c r="Y30" s="2521"/>
      <c r="Z30" s="2521"/>
    </row>
    <row r="31" spans="1:26" ht="16.5" customHeight="1">
      <c r="A31" s="1580" t="s">
        <v>936</v>
      </c>
      <c r="B31" s="1829" t="s">
        <v>5351</v>
      </c>
      <c r="C31" s="1828">
        <v>920430.28799999994</v>
      </c>
      <c r="D31" s="1828">
        <v>193859.60880000002</v>
      </c>
      <c r="E31" s="1828">
        <v>59313.54</v>
      </c>
      <c r="F31" s="1828">
        <v>20166.603600000002</v>
      </c>
      <c r="G31" s="1828">
        <v>441068.2</v>
      </c>
      <c r="H31" s="1828">
        <v>0</v>
      </c>
      <c r="I31" s="1828">
        <v>57626.453275008149</v>
      </c>
      <c r="J31" s="1830">
        <f t="shared" si="2"/>
        <v>1692464.6936750081</v>
      </c>
      <c r="K31" s="1829"/>
      <c r="L31" s="2521"/>
      <c r="M31" s="2521"/>
      <c r="N31" s="2521"/>
      <c r="O31" s="2521"/>
      <c r="P31" s="2521"/>
      <c r="Q31" s="2521"/>
      <c r="R31" s="2521"/>
      <c r="S31" s="2521"/>
      <c r="T31" s="2521"/>
      <c r="U31" s="2521"/>
      <c r="V31" s="2521"/>
      <c r="W31" s="2521"/>
      <c r="X31" s="2521"/>
      <c r="Y31" s="2521"/>
      <c r="Z31" s="2521"/>
    </row>
    <row r="32" spans="1:26" ht="16.5" customHeight="1">
      <c r="A32" s="1580" t="s">
        <v>936</v>
      </c>
      <c r="B32" s="1829" t="s">
        <v>5352</v>
      </c>
      <c r="C32" s="1828">
        <v>4676477.7479999997</v>
      </c>
      <c r="D32" s="1828">
        <v>1008928.3488</v>
      </c>
      <c r="E32" s="1828">
        <v>308693.03999999998</v>
      </c>
      <c r="F32" s="1828">
        <v>104955.63360000002</v>
      </c>
      <c r="G32" s="1828">
        <v>667263.9</v>
      </c>
      <c r="H32" s="1828">
        <v>0</v>
      </c>
      <c r="I32" s="1828">
        <v>283176.26622146653</v>
      </c>
      <c r="J32" s="1830">
        <f t="shared" si="2"/>
        <v>7049494.9366214667</v>
      </c>
      <c r="K32" s="1829"/>
      <c r="L32" s="2521"/>
      <c r="M32" s="2521"/>
      <c r="N32" s="2521"/>
      <c r="O32" s="2521"/>
      <c r="P32" s="2521"/>
      <c r="Q32" s="2521"/>
      <c r="R32" s="2521"/>
      <c r="S32" s="2521"/>
      <c r="T32" s="2521"/>
      <c r="U32" s="2521"/>
      <c r="V32" s="2521"/>
      <c r="W32" s="2521"/>
      <c r="X32" s="2521"/>
      <c r="Y32" s="2521"/>
      <c r="Z32" s="2521"/>
    </row>
    <row r="33" spans="1:26" ht="16.5" customHeight="1">
      <c r="A33" s="1580" t="s">
        <v>936</v>
      </c>
      <c r="B33" s="1829" t="s">
        <v>5353</v>
      </c>
      <c r="C33" s="1828">
        <v>1965887.328</v>
      </c>
      <c r="D33" s="1828">
        <v>416467.75440000003</v>
      </c>
      <c r="E33" s="1828">
        <v>127423.02</v>
      </c>
      <c r="F33" s="1828">
        <v>43323.826800000003</v>
      </c>
      <c r="G33" s="1828">
        <v>190199.33799999999</v>
      </c>
      <c r="H33" s="1828">
        <v>0</v>
      </c>
      <c r="I33" s="1828">
        <v>122528.68456788771</v>
      </c>
      <c r="J33" s="1830">
        <f t="shared" si="2"/>
        <v>2865829.9517678879</v>
      </c>
      <c r="K33" s="1829"/>
      <c r="L33" s="2521"/>
      <c r="M33" s="2521"/>
      <c r="N33" s="2521"/>
      <c r="O33" s="2521"/>
      <c r="P33" s="2521"/>
      <c r="Q33" s="2521"/>
      <c r="R33" s="2521"/>
      <c r="S33" s="2521"/>
      <c r="T33" s="2521"/>
      <c r="U33" s="2521"/>
      <c r="V33" s="2521"/>
      <c r="W33" s="2521"/>
      <c r="X33" s="2521"/>
      <c r="Y33" s="2521"/>
      <c r="Z33" s="2521"/>
    </row>
    <row r="34" spans="1:26" ht="16.5" customHeight="1">
      <c r="A34" s="1580" t="s">
        <v>936</v>
      </c>
      <c r="B34" s="1829" t="s">
        <v>5354</v>
      </c>
      <c r="C34" s="1828">
        <v>794642.52</v>
      </c>
      <c r="D34" s="1828">
        <v>174649.33680000002</v>
      </c>
      <c r="E34" s="1828">
        <v>53435.94</v>
      </c>
      <c r="F34" s="1828">
        <v>18168.2196</v>
      </c>
      <c r="G34" s="1828">
        <v>23068.799999999999</v>
      </c>
      <c r="H34" s="1828">
        <v>167175.94841589997</v>
      </c>
      <c r="I34" s="1828">
        <v>77453.727681597898</v>
      </c>
      <c r="J34" s="1830">
        <f t="shared" si="2"/>
        <v>1308594.4924974979</v>
      </c>
      <c r="K34" s="1829"/>
      <c r="L34" s="2521"/>
      <c r="M34" s="2521"/>
      <c r="N34" s="2521"/>
      <c r="O34" s="2521"/>
      <c r="P34" s="2521"/>
      <c r="Q34" s="2521"/>
      <c r="R34" s="2521"/>
      <c r="S34" s="2521"/>
      <c r="T34" s="2521"/>
      <c r="U34" s="2521"/>
      <c r="V34" s="2521"/>
      <c r="W34" s="2521"/>
      <c r="X34" s="2521"/>
      <c r="Y34" s="2521"/>
      <c r="Z34" s="2521"/>
    </row>
    <row r="35" spans="1:26" ht="16.5" customHeight="1">
      <c r="A35" s="1580" t="s">
        <v>936</v>
      </c>
      <c r="B35" s="1829" t="s">
        <v>5355</v>
      </c>
      <c r="C35" s="1828">
        <v>957963.24</v>
      </c>
      <c r="D35" s="1828">
        <v>200704.788</v>
      </c>
      <c r="E35" s="1828">
        <v>61407.9</v>
      </c>
      <c r="F35" s="1828">
        <v>20878.686000000002</v>
      </c>
      <c r="G35" s="1828">
        <v>0</v>
      </c>
      <c r="H35" s="1828">
        <v>201825.07133446512</v>
      </c>
      <c r="I35" s="1828">
        <v>88779.217613507702</v>
      </c>
      <c r="J35" s="1830">
        <f t="shared" si="2"/>
        <v>1531558.9029479728</v>
      </c>
      <c r="K35" s="1829"/>
      <c r="L35" s="2521"/>
      <c r="M35" s="2521"/>
      <c r="N35" s="2521"/>
      <c r="O35" s="2521"/>
      <c r="P35" s="2521"/>
      <c r="Q35" s="2521"/>
      <c r="R35" s="2521"/>
      <c r="S35" s="2521"/>
      <c r="T35" s="2521"/>
      <c r="U35" s="2521"/>
      <c r="V35" s="2521"/>
      <c r="W35" s="2521"/>
      <c r="X35" s="2521"/>
      <c r="Y35" s="2521"/>
      <c r="Z35" s="2521"/>
    </row>
    <row r="36" spans="1:26" ht="16.5" customHeight="1">
      <c r="A36" s="1580">
        <v>4</v>
      </c>
      <c r="B36" s="1829" t="s">
        <v>5356</v>
      </c>
      <c r="C36" s="1828">
        <v>0</v>
      </c>
      <c r="D36" s="1828">
        <v>0</v>
      </c>
      <c r="E36" s="1828">
        <v>0</v>
      </c>
      <c r="F36" s="1828">
        <v>0</v>
      </c>
      <c r="G36" s="1828">
        <v>0</v>
      </c>
      <c r="H36" s="1828">
        <v>0</v>
      </c>
      <c r="I36" s="1828">
        <v>0</v>
      </c>
      <c r="J36" s="1830">
        <f t="shared" si="2"/>
        <v>0</v>
      </c>
      <c r="K36" s="1829"/>
      <c r="L36" s="2521"/>
      <c r="M36" s="2521"/>
      <c r="N36" s="2521"/>
      <c r="O36" s="2521"/>
      <c r="P36" s="2521"/>
      <c r="Q36" s="2521"/>
      <c r="R36" s="2521"/>
      <c r="S36" s="2521"/>
      <c r="T36" s="2521"/>
      <c r="U36" s="2521"/>
      <c r="V36" s="2521"/>
      <c r="W36" s="2521"/>
      <c r="X36" s="2521"/>
      <c r="Y36" s="2521"/>
      <c r="Z36" s="2521"/>
    </row>
    <row r="37" spans="1:26" ht="16.5" customHeight="1">
      <c r="A37" s="1835"/>
      <c r="B37" s="1829" t="s">
        <v>5357</v>
      </c>
      <c r="C37" s="1828">
        <v>915750.82799999998</v>
      </c>
      <c r="D37" s="1828">
        <v>189379.2384</v>
      </c>
      <c r="E37" s="1828">
        <v>57942.720000000001</v>
      </c>
      <c r="F37" s="1828">
        <v>19700.524799999999</v>
      </c>
      <c r="G37" s="1828">
        <v>115260</v>
      </c>
      <c r="H37" s="1828">
        <v>131122.13132496056</v>
      </c>
      <c r="I37" s="1828">
        <v>78630.663446995357</v>
      </c>
      <c r="J37" s="1830">
        <f t="shared" si="2"/>
        <v>1507786.1059719559</v>
      </c>
      <c r="K37" s="1829"/>
      <c r="L37" s="2521"/>
      <c r="M37" s="2521"/>
      <c r="N37" s="2521"/>
      <c r="O37" s="2521"/>
      <c r="P37" s="2521"/>
      <c r="Q37" s="2521"/>
      <c r="R37" s="2521"/>
      <c r="S37" s="2521"/>
      <c r="T37" s="2521"/>
      <c r="U37" s="2521"/>
      <c r="V37" s="2521"/>
      <c r="W37" s="2521"/>
      <c r="X37" s="2521"/>
      <c r="Y37" s="2521"/>
      <c r="Z37" s="2521"/>
    </row>
    <row r="38" spans="1:26" ht="16.5" customHeight="1">
      <c r="A38" s="1835"/>
      <c r="B38" s="1829" t="s">
        <v>5358</v>
      </c>
      <c r="C38" s="1828">
        <v>910912.66799999995</v>
      </c>
      <c r="D38" s="1828">
        <v>189519.06</v>
      </c>
      <c r="E38" s="1828">
        <v>57985.5</v>
      </c>
      <c r="F38" s="1828">
        <v>19715.07</v>
      </c>
      <c r="G38" s="1828">
        <v>32552.5</v>
      </c>
      <c r="H38" s="1828">
        <v>205466.87104062067</v>
      </c>
      <c r="I38" s="1828">
        <v>88414.128209724455</v>
      </c>
      <c r="J38" s="1830">
        <f t="shared" si="2"/>
        <v>1504565.7972503451</v>
      </c>
      <c r="K38" s="1829"/>
      <c r="L38" s="2521"/>
      <c r="M38" s="2521"/>
      <c r="N38" s="2521"/>
      <c r="O38" s="2521"/>
      <c r="P38" s="2521"/>
      <c r="Q38" s="2521"/>
      <c r="R38" s="2521"/>
      <c r="S38" s="2521"/>
      <c r="T38" s="2521"/>
      <c r="U38" s="2521"/>
      <c r="V38" s="2521"/>
      <c r="W38" s="2521"/>
      <c r="X38" s="2521"/>
      <c r="Y38" s="2521"/>
      <c r="Z38" s="2521"/>
    </row>
    <row r="39" spans="1:26" ht="16.5" customHeight="1">
      <c r="A39" s="1835"/>
      <c r="B39" s="1829" t="s">
        <v>5359</v>
      </c>
      <c r="C39" s="1828">
        <v>1166931.564</v>
      </c>
      <c r="D39" s="1828">
        <v>243253.10880000002</v>
      </c>
      <c r="E39" s="1828">
        <v>74426.039999999994</v>
      </c>
      <c r="F39" s="1828">
        <v>25304.853600000002</v>
      </c>
      <c r="G39" s="1828">
        <v>634252.4</v>
      </c>
      <c r="H39" s="1828">
        <v>82599.485716279189</v>
      </c>
      <c r="I39" s="1828">
        <v>100841.36682718758</v>
      </c>
      <c r="J39" s="1830">
        <f t="shared" si="2"/>
        <v>2327608.818943467</v>
      </c>
      <c r="K39" s="1829"/>
      <c r="L39" s="2521"/>
      <c r="M39" s="2521"/>
      <c r="N39" s="2521"/>
      <c r="O39" s="2521"/>
      <c r="P39" s="2521"/>
      <c r="Q39" s="2521"/>
      <c r="R39" s="2521"/>
      <c r="S39" s="2521"/>
      <c r="T39" s="2521"/>
      <c r="U39" s="2521"/>
      <c r="V39" s="2521"/>
      <c r="W39" s="2521"/>
      <c r="X39" s="2521"/>
      <c r="Y39" s="2521"/>
      <c r="Z39" s="2521"/>
    </row>
    <row r="40" spans="1:26" ht="16.5" customHeight="1">
      <c r="A40" s="1835"/>
      <c r="B40" s="1829" t="s">
        <v>5360</v>
      </c>
      <c r="C40" s="1828">
        <v>749032.94400000002</v>
      </c>
      <c r="D40" s="1828">
        <v>149286.91440000001</v>
      </c>
      <c r="E40" s="1828">
        <v>45676.02</v>
      </c>
      <c r="F40" s="1828">
        <v>15529.846800000001</v>
      </c>
      <c r="G40" s="1828">
        <v>48560.4</v>
      </c>
      <c r="H40" s="1828">
        <v>108230.81888626884</v>
      </c>
      <c r="I40" s="1828">
        <v>76642.595841051574</v>
      </c>
      <c r="J40" s="1830">
        <f t="shared" si="2"/>
        <v>1192959.5399273206</v>
      </c>
      <c r="K40" s="1829"/>
      <c r="L40" s="2521"/>
      <c r="M40" s="2521"/>
      <c r="N40" s="2521"/>
      <c r="O40" s="2521"/>
      <c r="P40" s="2521"/>
      <c r="Q40" s="2521"/>
      <c r="R40" s="2521"/>
      <c r="S40" s="2521"/>
      <c r="T40" s="2521"/>
      <c r="U40" s="2521"/>
      <c r="V40" s="2521"/>
      <c r="W40" s="2521"/>
      <c r="X40" s="2521"/>
      <c r="Y40" s="2521"/>
      <c r="Z40" s="2521"/>
    </row>
    <row r="41" spans="1:26" ht="16.5" customHeight="1">
      <c r="A41" s="1835"/>
      <c r="B41" s="1829" t="s">
        <v>5361</v>
      </c>
      <c r="C41" s="1828">
        <v>883245.86399999994</v>
      </c>
      <c r="D41" s="1828">
        <v>187622.34960000002</v>
      </c>
      <c r="E41" s="1828">
        <v>57405.18</v>
      </c>
      <c r="F41" s="1828">
        <v>19517.761200000004</v>
      </c>
      <c r="G41" s="1828">
        <v>23993.1</v>
      </c>
      <c r="H41" s="1828">
        <v>154533.70086453159</v>
      </c>
      <c r="I41" s="1828">
        <v>80935.542300430767</v>
      </c>
      <c r="J41" s="1830">
        <f t="shared" si="2"/>
        <v>1407253.4979649624</v>
      </c>
      <c r="K41" s="1829"/>
      <c r="L41" s="2521"/>
      <c r="M41" s="2521"/>
      <c r="N41" s="2521"/>
      <c r="O41" s="2521"/>
      <c r="P41" s="2521"/>
      <c r="Q41" s="2521"/>
      <c r="R41" s="2521"/>
      <c r="S41" s="2521"/>
      <c r="T41" s="2521"/>
      <c r="U41" s="2521"/>
      <c r="V41" s="2521"/>
      <c r="W41" s="2521"/>
      <c r="X41" s="2521"/>
      <c r="Y41" s="2521"/>
      <c r="Z41" s="2521"/>
    </row>
    <row r="42" spans="1:26" ht="16.5" customHeight="1">
      <c r="A42" s="1835">
        <v>5</v>
      </c>
      <c r="B42" s="1829" t="s">
        <v>5362</v>
      </c>
      <c r="C42" s="1828">
        <v>2054262.5519999999</v>
      </c>
      <c r="D42" s="1828">
        <v>440662.97040000011</v>
      </c>
      <c r="E42" s="1828">
        <v>134825.82</v>
      </c>
      <c r="F42" s="1828">
        <v>45840.778800000007</v>
      </c>
      <c r="G42" s="1828">
        <v>91054.55</v>
      </c>
      <c r="H42" s="1828">
        <v>55494.090760464715</v>
      </c>
      <c r="I42" s="1828">
        <v>187932.74626681776</v>
      </c>
      <c r="J42" s="1830">
        <f t="shared" si="2"/>
        <v>3010073.5082272822</v>
      </c>
      <c r="K42" s="1829"/>
      <c r="L42" s="2521"/>
      <c r="M42" s="2521"/>
      <c r="N42" s="2521"/>
      <c r="O42" s="2521"/>
      <c r="P42" s="2521"/>
      <c r="Q42" s="2521"/>
      <c r="R42" s="2521"/>
      <c r="S42" s="2521"/>
      <c r="T42" s="2521"/>
      <c r="U42" s="2521"/>
      <c r="V42" s="2521"/>
      <c r="W42" s="2521"/>
      <c r="X42" s="2521"/>
      <c r="Y42" s="2521"/>
      <c r="Z42" s="2521"/>
    </row>
    <row r="43" spans="1:26" ht="16.5" customHeight="1">
      <c r="A43" s="1835">
        <v>6</v>
      </c>
      <c r="B43" s="1829" t="s">
        <v>5363</v>
      </c>
      <c r="C43" s="1828">
        <v>5052396.7319999998</v>
      </c>
      <c r="D43" s="1828">
        <v>1106578.5384000002</v>
      </c>
      <c r="E43" s="1828">
        <v>338570.22</v>
      </c>
      <c r="F43" s="1828">
        <v>115113.87479999999</v>
      </c>
      <c r="G43" s="1828">
        <v>1613770.3130000001</v>
      </c>
      <c r="H43" s="1828">
        <v>78246.667972255265</v>
      </c>
      <c r="I43" s="1828">
        <v>432269.06357933616</v>
      </c>
      <c r="J43" s="1830">
        <f t="shared" si="2"/>
        <v>8736945.4097515922</v>
      </c>
      <c r="K43" s="1829"/>
      <c r="L43" s="2521"/>
      <c r="M43" s="2521"/>
      <c r="N43" s="2521"/>
      <c r="O43" s="2521"/>
      <c r="P43" s="2521"/>
      <c r="Q43" s="2521"/>
      <c r="R43" s="2521"/>
      <c r="S43" s="2521"/>
      <c r="T43" s="2521"/>
      <c r="U43" s="2521"/>
      <c r="V43" s="2521"/>
      <c r="W43" s="2521"/>
      <c r="X43" s="2521"/>
      <c r="Y43" s="2521"/>
      <c r="Z43" s="2521"/>
    </row>
    <row r="44" spans="1:26" ht="16.5" customHeight="1">
      <c r="A44" s="1835">
        <v>7</v>
      </c>
      <c r="B44" s="1829" t="s">
        <v>5364</v>
      </c>
      <c r="C44" s="1828">
        <v>4490881.8480000002</v>
      </c>
      <c r="D44" s="1828">
        <v>994921.87200000009</v>
      </c>
      <c r="E44" s="1828">
        <v>303793.8</v>
      </c>
      <c r="F44" s="1828">
        <v>103289.89200000004</v>
      </c>
      <c r="G44" s="1828">
        <v>168975.47500000001</v>
      </c>
      <c r="H44" s="1828">
        <v>69367.613450580888</v>
      </c>
      <c r="I44" s="1828">
        <v>416389.83776393603</v>
      </c>
      <c r="J44" s="1830">
        <f t="shared" si="2"/>
        <v>6547620.3382145176</v>
      </c>
      <c r="K44" s="1829"/>
      <c r="L44" s="2521"/>
      <c r="M44" s="2521"/>
      <c r="N44" s="2521"/>
      <c r="O44" s="2521"/>
      <c r="P44" s="2521"/>
      <c r="Q44" s="2521"/>
      <c r="R44" s="2521"/>
      <c r="S44" s="2521"/>
      <c r="T44" s="2521"/>
      <c r="U44" s="2521"/>
      <c r="V44" s="2521"/>
      <c r="W44" s="2521"/>
      <c r="X44" s="2521"/>
      <c r="Y44" s="2521"/>
      <c r="Z44" s="2521"/>
    </row>
    <row r="45" spans="1:26" ht="16.5" customHeight="1">
      <c r="A45" s="1835">
        <v>8</v>
      </c>
      <c r="B45" s="1829" t="s">
        <v>5365</v>
      </c>
      <c r="C45" s="1828">
        <v>110961.408</v>
      </c>
      <c r="D45" s="1828">
        <v>24256.008000000005</v>
      </c>
      <c r="E45" s="1828">
        <v>7421.4</v>
      </c>
      <c r="F45" s="1828">
        <v>2523.2759999999998</v>
      </c>
      <c r="G45" s="1828">
        <v>0</v>
      </c>
      <c r="H45" s="1828">
        <v>24972.340842209123</v>
      </c>
      <c r="I45" s="1828">
        <v>10850.063612624112</v>
      </c>
      <c r="J45" s="1830">
        <f t="shared" si="2"/>
        <v>180984.49645483322</v>
      </c>
      <c r="K45" s="1829"/>
      <c r="L45" s="2521"/>
      <c r="M45" s="2521"/>
      <c r="N45" s="2521"/>
      <c r="O45" s="2521"/>
      <c r="P45" s="2521"/>
      <c r="Q45" s="2521"/>
      <c r="R45" s="2521"/>
      <c r="S45" s="2521"/>
      <c r="T45" s="2521"/>
      <c r="U45" s="2521"/>
      <c r="V45" s="2521"/>
      <c r="W45" s="2521"/>
      <c r="X45" s="2521"/>
      <c r="Y45" s="2521"/>
      <c r="Z45" s="2521"/>
    </row>
    <row r="46" spans="1:26" ht="16.5" customHeight="1">
      <c r="A46" s="1835">
        <v>9</v>
      </c>
      <c r="B46" s="1829" t="s">
        <v>5366</v>
      </c>
      <c r="C46" s="1828">
        <v>2035317.3840000001</v>
      </c>
      <c r="D46" s="1828">
        <v>409045.05120000005</v>
      </c>
      <c r="E46" s="1828">
        <v>125151.96</v>
      </c>
      <c r="F46" s="1828">
        <v>42551.666400000002</v>
      </c>
      <c r="G46" s="1828">
        <v>114783.2</v>
      </c>
      <c r="H46" s="1828">
        <v>386516.34214663669</v>
      </c>
      <c r="I46" s="1828">
        <v>148976.06018401592</v>
      </c>
      <c r="J46" s="1830">
        <f t="shared" si="2"/>
        <v>3262341.6639306527</v>
      </c>
      <c r="K46" s="1829"/>
      <c r="L46" s="2521"/>
      <c r="M46" s="2521"/>
      <c r="N46" s="2521"/>
      <c r="O46" s="2521"/>
      <c r="P46" s="2521"/>
      <c r="Q46" s="2521"/>
      <c r="R46" s="2521"/>
      <c r="S46" s="2521"/>
      <c r="T46" s="2521"/>
      <c r="U46" s="2521"/>
      <c r="V46" s="2521"/>
      <c r="W46" s="2521"/>
      <c r="X46" s="2521"/>
      <c r="Y46" s="2521"/>
      <c r="Z46" s="2521"/>
    </row>
    <row r="47" spans="1:26" ht="16.5" customHeight="1">
      <c r="A47" s="1835">
        <v>10</v>
      </c>
      <c r="B47" s="1829" t="s">
        <v>5367</v>
      </c>
      <c r="C47" s="1828">
        <v>3234982.92</v>
      </c>
      <c r="D47" s="1828">
        <v>680645.46960000007</v>
      </c>
      <c r="E47" s="1828">
        <v>208251.18</v>
      </c>
      <c r="F47" s="1828">
        <v>70805.401200000008</v>
      </c>
      <c r="G47" s="1828">
        <v>410540.21299999999</v>
      </c>
      <c r="H47" s="1828">
        <v>24972.340842209123</v>
      </c>
      <c r="I47" s="1828">
        <v>225532.72104193259</v>
      </c>
      <c r="J47" s="1830">
        <f t="shared" si="2"/>
        <v>4855730.2456841422</v>
      </c>
      <c r="K47" s="1829"/>
      <c r="L47" s="2521"/>
      <c r="M47" s="2521"/>
      <c r="N47" s="2521"/>
      <c r="O47" s="2521"/>
      <c r="P47" s="2521"/>
      <c r="Q47" s="2521"/>
      <c r="R47" s="2521"/>
      <c r="S47" s="2521"/>
      <c r="T47" s="2521"/>
      <c r="U47" s="2521"/>
      <c r="V47" s="2521"/>
      <c r="W47" s="2521"/>
      <c r="X47" s="2521"/>
      <c r="Y47" s="2521"/>
      <c r="Z47" s="2521"/>
    </row>
    <row r="48" spans="1:26" ht="16.5" customHeight="1">
      <c r="A48" s="1835">
        <v>11</v>
      </c>
      <c r="B48" s="1829" t="s">
        <v>5368</v>
      </c>
      <c r="C48" s="1828">
        <v>7448834.6519999998</v>
      </c>
      <c r="D48" s="1828">
        <v>1560798.1247999999</v>
      </c>
      <c r="E48" s="1828">
        <v>477543.84</v>
      </c>
      <c r="F48" s="1828">
        <v>162364.9056</v>
      </c>
      <c r="G48" s="1828">
        <v>2765064.017</v>
      </c>
      <c r="H48" s="1828">
        <v>150527.72118776059</v>
      </c>
      <c r="I48" s="1828">
        <v>574838.92762051441</v>
      </c>
      <c r="J48" s="1830">
        <f t="shared" si="2"/>
        <v>13139972.188208276</v>
      </c>
      <c r="K48" s="1829"/>
      <c r="L48" s="2521"/>
      <c r="M48" s="2521"/>
      <c r="N48" s="2521"/>
      <c r="O48" s="2521"/>
      <c r="P48" s="2521"/>
      <c r="Q48" s="2521"/>
      <c r="R48" s="2521"/>
      <c r="S48" s="2521"/>
      <c r="T48" s="2521"/>
      <c r="U48" s="2521"/>
      <c r="V48" s="2521"/>
      <c r="W48" s="2521"/>
      <c r="X48" s="2521"/>
      <c r="Y48" s="2521"/>
      <c r="Z48" s="2521"/>
    </row>
    <row r="49" spans="1:26" ht="16.5" customHeight="1">
      <c r="A49" s="1835">
        <v>12</v>
      </c>
      <c r="B49" s="1829" t="s">
        <v>5369</v>
      </c>
      <c r="C49" s="1828">
        <v>4426409.1960000005</v>
      </c>
      <c r="D49" s="1828">
        <v>987559.96080000023</v>
      </c>
      <c r="E49" s="1828">
        <v>302155.14</v>
      </c>
      <c r="F49" s="1828">
        <v>102732.7476</v>
      </c>
      <c r="G49" s="1828">
        <v>525840.125</v>
      </c>
      <c r="H49" s="1828">
        <v>49944.681684418247</v>
      </c>
      <c r="I49" s="1828">
        <v>441893.59003511188</v>
      </c>
      <c r="J49" s="1830">
        <f t="shared" si="2"/>
        <v>6836535.4411195312</v>
      </c>
      <c r="K49" s="1829"/>
      <c r="L49" s="2521"/>
      <c r="M49" s="2521"/>
      <c r="N49" s="2521"/>
      <c r="O49" s="2521"/>
      <c r="P49" s="2521"/>
      <c r="Q49" s="2521"/>
      <c r="R49" s="2521"/>
      <c r="S49" s="2521"/>
      <c r="T49" s="2521"/>
      <c r="U49" s="2521"/>
      <c r="V49" s="2521"/>
      <c r="W49" s="2521"/>
      <c r="X49" s="2521"/>
      <c r="Y49" s="2521"/>
      <c r="Z49" s="2521"/>
    </row>
    <row r="50" spans="1:26" ht="16.5" customHeight="1">
      <c r="A50" s="1835">
        <v>13</v>
      </c>
      <c r="B50" s="1829" t="s">
        <v>5370</v>
      </c>
      <c r="C50" s="1828">
        <v>966262.08</v>
      </c>
      <c r="D50" s="1828">
        <v>202589.34</v>
      </c>
      <c r="E50" s="1828">
        <v>61984.5</v>
      </c>
      <c r="F50" s="1828">
        <v>21074.73</v>
      </c>
      <c r="G50" s="1828">
        <v>45230</v>
      </c>
      <c r="H50" s="1828">
        <v>283019.86287837004</v>
      </c>
      <c r="I50" s="1828">
        <v>113938.24744833331</v>
      </c>
      <c r="J50" s="1830">
        <f t="shared" si="2"/>
        <v>1694098.7603267033</v>
      </c>
      <c r="K50" s="1829"/>
      <c r="L50" s="2521"/>
      <c r="M50" s="2521"/>
      <c r="N50" s="2521"/>
      <c r="O50" s="2521"/>
      <c r="P50" s="2521"/>
      <c r="Q50" s="2521"/>
      <c r="R50" s="2521"/>
      <c r="S50" s="2521"/>
      <c r="T50" s="2521"/>
      <c r="U50" s="2521"/>
      <c r="V50" s="2521"/>
      <c r="W50" s="2521"/>
      <c r="X50" s="2521"/>
      <c r="Y50" s="2521"/>
      <c r="Z50" s="2521"/>
    </row>
    <row r="51" spans="1:26" ht="16.5" customHeight="1">
      <c r="A51" s="1835">
        <v>14</v>
      </c>
      <c r="B51" s="1829" t="s">
        <v>5371</v>
      </c>
      <c r="C51" s="1828">
        <v>1300033.764</v>
      </c>
      <c r="D51" s="1828">
        <v>271715.92320000002</v>
      </c>
      <c r="E51" s="1828">
        <v>83134.559999999998</v>
      </c>
      <c r="F51" s="1828">
        <v>28265.750399999997</v>
      </c>
      <c r="G51" s="1828">
        <v>71709.3</v>
      </c>
      <c r="H51" s="1828">
        <v>242439.80900978026</v>
      </c>
      <c r="I51" s="1828">
        <v>113729.87810454037</v>
      </c>
      <c r="J51" s="1830">
        <f t="shared" si="2"/>
        <v>2111028.9847143209</v>
      </c>
      <c r="K51" s="1829"/>
      <c r="L51" s="2521"/>
      <c r="M51" s="2521"/>
      <c r="N51" s="2521"/>
      <c r="O51" s="2521"/>
      <c r="P51" s="2521"/>
      <c r="Q51" s="2521"/>
      <c r="R51" s="2521"/>
      <c r="S51" s="2521"/>
      <c r="T51" s="2521"/>
      <c r="U51" s="2521"/>
      <c r="V51" s="2521"/>
      <c r="W51" s="2521"/>
      <c r="X51" s="2521"/>
      <c r="Y51" s="2521"/>
      <c r="Z51" s="2521"/>
    </row>
    <row r="52" spans="1:26" ht="16.5" customHeight="1">
      <c r="A52" s="1835">
        <v>15</v>
      </c>
      <c r="B52" s="1829" t="s">
        <v>5372</v>
      </c>
      <c r="C52" s="1828">
        <v>1362705.852</v>
      </c>
      <c r="D52" s="1828">
        <v>293394.35040000005</v>
      </c>
      <c r="E52" s="1828">
        <v>89767.32</v>
      </c>
      <c r="F52" s="1828">
        <v>30520.888800000001</v>
      </c>
      <c r="G52" s="1828">
        <v>3083.4</v>
      </c>
      <c r="H52" s="1828">
        <v>206576.75285582992</v>
      </c>
      <c r="I52" s="1828">
        <v>103088.18383570919</v>
      </c>
      <c r="J52" s="1830">
        <f t="shared" si="2"/>
        <v>2089136.7478915392</v>
      </c>
      <c r="K52" s="1829"/>
      <c r="L52" s="2521"/>
      <c r="M52" s="2521"/>
      <c r="N52" s="2521"/>
      <c r="O52" s="2521"/>
      <c r="P52" s="2521"/>
      <c r="Q52" s="2521"/>
      <c r="R52" s="2521"/>
      <c r="S52" s="2521"/>
      <c r="T52" s="2521"/>
      <c r="U52" s="2521"/>
      <c r="V52" s="2521"/>
      <c r="W52" s="2521"/>
      <c r="X52" s="2521"/>
      <c r="Y52" s="2521"/>
      <c r="Z52" s="2521"/>
    </row>
    <row r="53" spans="1:26" ht="16.5" customHeight="1">
      <c r="A53" s="1835">
        <v>16</v>
      </c>
      <c r="B53" s="1829" t="s">
        <v>5373</v>
      </c>
      <c r="C53" s="1828">
        <v>1507698.72</v>
      </c>
      <c r="D53" s="1828">
        <v>319346.45520000003</v>
      </c>
      <c r="E53" s="1828">
        <v>97707.66</v>
      </c>
      <c r="F53" s="1828">
        <v>33220.604400000004</v>
      </c>
      <c r="G53" s="1828">
        <v>0</v>
      </c>
      <c r="H53" s="1828">
        <v>391233.33986127615</v>
      </c>
      <c r="I53" s="1828">
        <v>157619.75985040778</v>
      </c>
      <c r="J53" s="1830">
        <f t="shared" si="2"/>
        <v>2506826.5393116842</v>
      </c>
      <c r="K53" s="1829"/>
      <c r="L53" s="2521"/>
      <c r="M53" s="2521"/>
      <c r="N53" s="2521"/>
      <c r="O53" s="2521"/>
      <c r="P53" s="2521"/>
      <c r="Q53" s="2521"/>
      <c r="R53" s="2521"/>
      <c r="S53" s="2521"/>
      <c r="T53" s="2521"/>
      <c r="U53" s="2521"/>
      <c r="V53" s="2521"/>
      <c r="W53" s="2521"/>
      <c r="X53" s="2521"/>
      <c r="Y53" s="2521"/>
      <c r="Z53" s="2521"/>
    </row>
    <row r="54" spans="1:26" ht="16.5" customHeight="1">
      <c r="A54" s="1835">
        <v>17</v>
      </c>
      <c r="B54" s="1829" t="s">
        <v>5374</v>
      </c>
      <c r="C54" s="1828">
        <v>1296511.284</v>
      </c>
      <c r="D54" s="1828">
        <v>272226.576</v>
      </c>
      <c r="E54" s="1828">
        <v>83290.8</v>
      </c>
      <c r="F54" s="1828">
        <v>28318.871999999999</v>
      </c>
      <c r="G54" s="1828">
        <v>0</v>
      </c>
      <c r="H54" s="1828">
        <v>349543.40417747712</v>
      </c>
      <c r="I54" s="1828">
        <v>145228.91464673786</v>
      </c>
      <c r="J54" s="1830">
        <f t="shared" si="2"/>
        <v>2175119.850824215</v>
      </c>
      <c r="K54" s="1829"/>
      <c r="L54" s="2521"/>
      <c r="M54" s="2521"/>
      <c r="N54" s="2521"/>
      <c r="O54" s="2521"/>
      <c r="P54" s="2521"/>
      <c r="Q54" s="2521"/>
      <c r="R54" s="2521"/>
      <c r="S54" s="2521"/>
      <c r="T54" s="2521"/>
      <c r="U54" s="2521"/>
      <c r="V54" s="2521"/>
      <c r="W54" s="2521"/>
      <c r="X54" s="2521"/>
      <c r="Y54" s="2521"/>
      <c r="Z54" s="2521"/>
    </row>
    <row r="55" spans="1:26" ht="16.5" customHeight="1">
      <c r="A55" s="1835">
        <v>18</v>
      </c>
      <c r="B55" s="1829" t="s">
        <v>5375</v>
      </c>
      <c r="C55" s="1828">
        <v>1188810.804</v>
      </c>
      <c r="D55" s="1828">
        <v>253283.78880000001</v>
      </c>
      <c r="E55" s="1828">
        <v>77495.039999999994</v>
      </c>
      <c r="F55" s="1828">
        <v>26348.313599999998</v>
      </c>
      <c r="G55" s="1828">
        <v>159208.875</v>
      </c>
      <c r="H55" s="1828">
        <v>125139.17466484795</v>
      </c>
      <c r="I55" s="1828">
        <v>102329.5898373933</v>
      </c>
      <c r="J55" s="1830">
        <f t="shared" si="2"/>
        <v>1932615.5859022413</v>
      </c>
      <c r="K55" s="1829"/>
      <c r="L55" s="2521"/>
      <c r="M55" s="2521"/>
      <c r="N55" s="2521"/>
      <c r="O55" s="2521"/>
      <c r="P55" s="2521"/>
      <c r="Q55" s="2521"/>
      <c r="R55" s="2521"/>
      <c r="S55" s="2521"/>
      <c r="T55" s="2521"/>
      <c r="U55" s="2521"/>
      <c r="V55" s="2521"/>
      <c r="W55" s="2521"/>
      <c r="X55" s="2521"/>
      <c r="Y55" s="2521"/>
      <c r="Z55" s="2521"/>
    </row>
    <row r="56" spans="1:26" ht="16.5" customHeight="1">
      <c r="A56" s="1835">
        <v>19</v>
      </c>
      <c r="B56" s="1829" t="s">
        <v>5376</v>
      </c>
      <c r="C56" s="1828">
        <v>2414176.8840000001</v>
      </c>
      <c r="D56" s="1828">
        <v>512190.83760000003</v>
      </c>
      <c r="E56" s="1828">
        <v>156710.57999999999</v>
      </c>
      <c r="F56" s="1828">
        <v>53281.597200000004</v>
      </c>
      <c r="G56" s="1828">
        <v>0</v>
      </c>
      <c r="H56" s="1828">
        <v>596561.47567499545</v>
      </c>
      <c r="I56" s="1828">
        <v>254164.04260613467</v>
      </c>
      <c r="J56" s="1830">
        <f t="shared" si="2"/>
        <v>3987085.4170811307</v>
      </c>
      <c r="K56" s="1829"/>
      <c r="L56" s="2521"/>
      <c r="M56" s="2521"/>
      <c r="N56" s="2521"/>
      <c r="O56" s="2521"/>
      <c r="P56" s="2521"/>
      <c r="Q56" s="2521"/>
      <c r="R56" s="2521"/>
      <c r="S56" s="2521"/>
      <c r="T56" s="2521"/>
      <c r="U56" s="2521"/>
      <c r="V56" s="2521"/>
      <c r="W56" s="2521"/>
      <c r="X56" s="2521"/>
      <c r="Y56" s="2521"/>
      <c r="Z56" s="2521"/>
    </row>
    <row r="57" spans="1:26" ht="16.5" customHeight="1">
      <c r="A57" s="1835">
        <v>20</v>
      </c>
      <c r="B57" s="1829" t="s">
        <v>5377</v>
      </c>
      <c r="C57" s="1828">
        <v>1237896.18</v>
      </c>
      <c r="D57" s="1828">
        <v>261381.28320000001</v>
      </c>
      <c r="E57" s="1828">
        <v>79972.56</v>
      </c>
      <c r="F57" s="1828">
        <v>27190.670400000003</v>
      </c>
      <c r="G57" s="1828">
        <v>102861.79399999999</v>
      </c>
      <c r="H57" s="1828">
        <v>180633.26542531271</v>
      </c>
      <c r="I57" s="1828">
        <v>102817.09513844531</v>
      </c>
      <c r="J57" s="1830">
        <f t="shared" si="2"/>
        <v>1992752.8481637579</v>
      </c>
      <c r="K57" s="1826"/>
      <c r="L57" s="2521"/>
      <c r="M57" s="2521"/>
      <c r="N57" s="2521"/>
      <c r="O57" s="2521"/>
      <c r="P57" s="2521"/>
      <c r="Q57" s="2521"/>
      <c r="R57" s="2521"/>
      <c r="S57" s="2521"/>
      <c r="T57" s="2521"/>
      <c r="U57" s="2521"/>
      <c r="V57" s="2521"/>
      <c r="W57" s="2521"/>
      <c r="X57" s="2521"/>
      <c r="Y57" s="2521"/>
      <c r="Z57" s="2521"/>
    </row>
    <row r="58" spans="1:26" ht="16.5" customHeight="1">
      <c r="A58" s="1835">
        <v>21</v>
      </c>
      <c r="B58" s="1829" t="s">
        <v>5378</v>
      </c>
      <c r="C58" s="1828">
        <v>825113.66399999999</v>
      </c>
      <c r="D58" s="1828">
        <v>173494.28880000001</v>
      </c>
      <c r="E58" s="1828">
        <v>53082.54</v>
      </c>
      <c r="F58" s="1828">
        <v>18048.063600000001</v>
      </c>
      <c r="G58" s="1828">
        <v>52627</v>
      </c>
      <c r="H58" s="1828">
        <v>202622.7988891468</v>
      </c>
      <c r="I58" s="1828">
        <v>80585.013456673405</v>
      </c>
      <c r="J58" s="1830">
        <f t="shared" si="2"/>
        <v>1405573.3687458201</v>
      </c>
      <c r="K58" s="1826"/>
      <c r="L58" s="2521"/>
      <c r="M58" s="2521"/>
      <c r="N58" s="2521"/>
      <c r="O58" s="2521"/>
      <c r="P58" s="2521"/>
      <c r="Q58" s="2521"/>
      <c r="R58" s="2521"/>
      <c r="S58" s="2521"/>
      <c r="T58" s="2521"/>
      <c r="U58" s="2521"/>
      <c r="V58" s="2521"/>
      <c r="W58" s="2521"/>
      <c r="X58" s="2521"/>
      <c r="Y58" s="2521"/>
      <c r="Z58" s="2521"/>
    </row>
    <row r="59" spans="1:26" ht="16.5" customHeight="1">
      <c r="A59" s="1835">
        <v>22</v>
      </c>
      <c r="B59" s="1829" t="s">
        <v>5379</v>
      </c>
      <c r="C59" s="1828">
        <v>1522219.9080000001</v>
      </c>
      <c r="D59" s="1828">
        <v>324234.13199999998</v>
      </c>
      <c r="E59" s="1828">
        <v>99203.1</v>
      </c>
      <c r="F59" s="1828">
        <v>33729.053999999996</v>
      </c>
      <c r="G59" s="1828">
        <v>89803.199999999997</v>
      </c>
      <c r="H59" s="1828">
        <v>269146.3401882539</v>
      </c>
      <c r="I59" s="1828">
        <v>134889.9075211637</v>
      </c>
      <c r="J59" s="1830">
        <f t="shared" si="2"/>
        <v>2473225.6417094176</v>
      </c>
      <c r="K59" s="1826"/>
      <c r="L59" s="2521"/>
      <c r="M59" s="2521"/>
      <c r="N59" s="2521"/>
      <c r="O59" s="2521"/>
      <c r="P59" s="2521"/>
      <c r="Q59" s="2521"/>
      <c r="R59" s="2521"/>
      <c r="S59" s="2521"/>
      <c r="T59" s="2521"/>
      <c r="U59" s="2521"/>
      <c r="V59" s="2521"/>
      <c r="W59" s="2521"/>
      <c r="X59" s="2521"/>
      <c r="Y59" s="2521"/>
      <c r="Z59" s="2521"/>
    </row>
    <row r="60" spans="1:26" ht="16.5" customHeight="1">
      <c r="A60" s="1835">
        <v>23</v>
      </c>
      <c r="B60" s="1829" t="s">
        <v>5380</v>
      </c>
      <c r="C60" s="1828">
        <v>996111.85199999996</v>
      </c>
      <c r="D60" s="1828">
        <v>214145.89920000001</v>
      </c>
      <c r="E60" s="1828">
        <v>65520.36</v>
      </c>
      <c r="F60" s="1828">
        <v>22276.922400000003</v>
      </c>
      <c r="G60" s="1828">
        <v>98054.8</v>
      </c>
      <c r="H60" s="1828">
        <v>233630.12210155648</v>
      </c>
      <c r="I60" s="1828">
        <v>106887.08043013365</v>
      </c>
      <c r="J60" s="1830">
        <f t="shared" si="2"/>
        <v>1736627.0361316905</v>
      </c>
      <c r="K60" s="1829"/>
      <c r="L60" s="2521"/>
      <c r="M60" s="2521"/>
      <c r="N60" s="2521"/>
      <c r="O60" s="2521"/>
      <c r="P60" s="2521"/>
      <c r="Q60" s="2521"/>
      <c r="R60" s="2521"/>
      <c r="S60" s="2521"/>
      <c r="T60" s="2521"/>
      <c r="U60" s="2521"/>
      <c r="V60" s="2521"/>
      <c r="W60" s="2521"/>
      <c r="X60" s="2521"/>
      <c r="Y60" s="2521"/>
      <c r="Z60" s="2521"/>
    </row>
    <row r="61" spans="1:26" ht="16.5" customHeight="1">
      <c r="A61" s="1835">
        <v>24</v>
      </c>
      <c r="B61" s="1829" t="s">
        <v>5381</v>
      </c>
      <c r="C61" s="1828">
        <v>1016208.8639999999</v>
      </c>
      <c r="D61" s="1828">
        <v>190619.3952</v>
      </c>
      <c r="E61" s="1828">
        <v>58322.16</v>
      </c>
      <c r="F61" s="1828">
        <v>19829.5344</v>
      </c>
      <c r="G61" s="1828">
        <v>192132.91</v>
      </c>
      <c r="H61" s="1828">
        <v>22197.636304185886</v>
      </c>
      <c r="I61" s="1828">
        <v>109363.15202939713</v>
      </c>
      <c r="J61" s="1830">
        <f t="shared" si="2"/>
        <v>1608673.651933583</v>
      </c>
      <c r="K61" s="1826"/>
      <c r="L61" s="2521"/>
      <c r="M61" s="2521"/>
      <c r="N61" s="2521"/>
      <c r="O61" s="2521"/>
      <c r="P61" s="2521"/>
      <c r="Q61" s="2521"/>
      <c r="R61" s="2521"/>
      <c r="S61" s="2521"/>
      <c r="T61" s="2521"/>
      <c r="U61" s="2521"/>
      <c r="V61" s="2521"/>
      <c r="W61" s="2521"/>
      <c r="X61" s="2521"/>
      <c r="Y61" s="2521"/>
      <c r="Z61" s="2521"/>
    </row>
    <row r="62" spans="1:26" ht="16.5" customHeight="1">
      <c r="A62" s="1835">
        <v>25</v>
      </c>
      <c r="B62" s="1829" t="s">
        <v>5382</v>
      </c>
      <c r="C62" s="1828">
        <v>1430579.16</v>
      </c>
      <c r="D62" s="1828">
        <v>304336.91039999999</v>
      </c>
      <c r="E62" s="1828">
        <v>93115.32</v>
      </c>
      <c r="F62" s="1828">
        <v>31659.2088</v>
      </c>
      <c r="G62" s="1828">
        <v>49790</v>
      </c>
      <c r="H62" s="1828">
        <v>324519.03762518003</v>
      </c>
      <c r="I62" s="1828">
        <v>125846.37952516065</v>
      </c>
      <c r="J62" s="1830">
        <f t="shared" si="2"/>
        <v>2359846.0163503401</v>
      </c>
      <c r="K62" s="1826"/>
      <c r="L62" s="2521"/>
      <c r="M62" s="2521"/>
      <c r="N62" s="2521"/>
      <c r="O62" s="2521"/>
      <c r="P62" s="2521"/>
      <c r="Q62" s="2521"/>
      <c r="R62" s="2521"/>
      <c r="S62" s="2521"/>
      <c r="T62" s="2521"/>
      <c r="U62" s="2521"/>
      <c r="V62" s="2521"/>
      <c r="W62" s="2521"/>
      <c r="X62" s="2521"/>
      <c r="Y62" s="2521"/>
      <c r="Z62" s="2521"/>
    </row>
    <row r="63" spans="1:26" ht="16.5" customHeight="1">
      <c r="A63" s="1835">
        <v>26</v>
      </c>
      <c r="B63" s="1829" t="s">
        <v>5383</v>
      </c>
      <c r="C63" s="1828">
        <v>1091276.916</v>
      </c>
      <c r="D63" s="1828">
        <v>231976.19280000002</v>
      </c>
      <c r="E63" s="1828">
        <v>70975.740000000005</v>
      </c>
      <c r="F63" s="1828">
        <v>24131.751600000003</v>
      </c>
      <c r="G63" s="1828">
        <v>10572</v>
      </c>
      <c r="H63" s="1828">
        <v>191142.45886307565</v>
      </c>
      <c r="I63" s="1828">
        <v>90494.346368351049</v>
      </c>
      <c r="J63" s="1830">
        <f t="shared" si="2"/>
        <v>1710569.4056314267</v>
      </c>
      <c r="K63" s="1829"/>
      <c r="L63" s="2521"/>
      <c r="M63" s="2521"/>
      <c r="N63" s="2521"/>
      <c r="O63" s="2521"/>
      <c r="P63" s="2521"/>
      <c r="Q63" s="2521"/>
      <c r="R63" s="2521"/>
      <c r="S63" s="2521"/>
      <c r="T63" s="2521"/>
      <c r="U63" s="2521"/>
      <c r="V63" s="2521"/>
      <c r="W63" s="2521"/>
      <c r="X63" s="2521"/>
      <c r="Y63" s="2521"/>
      <c r="Z63" s="2521"/>
    </row>
    <row r="64" spans="1:26" ht="16.5" customHeight="1">
      <c r="A64" s="1835">
        <v>27</v>
      </c>
      <c r="B64" s="1829" t="s">
        <v>5384</v>
      </c>
      <c r="C64" s="1828">
        <v>1943962.74</v>
      </c>
      <c r="D64" s="1828">
        <v>409069.36800000002</v>
      </c>
      <c r="E64" s="1828">
        <v>125159.4</v>
      </c>
      <c r="F64" s="1828">
        <v>42554.196000000004</v>
      </c>
      <c r="G64" s="1828">
        <v>0</v>
      </c>
      <c r="H64" s="1828">
        <v>504996.22592022881</v>
      </c>
      <c r="I64" s="1828">
        <v>213688.8199619503</v>
      </c>
      <c r="J64" s="1830">
        <f t="shared" si="2"/>
        <v>3239430.7498821788</v>
      </c>
      <c r="K64" s="1829"/>
      <c r="L64" s="2521"/>
      <c r="M64" s="2521"/>
      <c r="N64" s="2521"/>
      <c r="O64" s="2521"/>
      <c r="P64" s="2521"/>
      <c r="Q64" s="2521"/>
      <c r="R64" s="2521"/>
      <c r="S64" s="2521"/>
      <c r="T64" s="2521"/>
      <c r="U64" s="2521"/>
      <c r="V64" s="2521"/>
      <c r="W64" s="2521"/>
      <c r="X64" s="2521"/>
      <c r="Y64" s="2521"/>
      <c r="Z64" s="2521"/>
    </row>
    <row r="65" spans="1:26" ht="16.5" customHeight="1">
      <c r="A65" s="1835">
        <v>28</v>
      </c>
      <c r="B65" s="1829" t="s">
        <v>5385</v>
      </c>
      <c r="C65" s="1828">
        <v>2536472.196</v>
      </c>
      <c r="D65" s="1828">
        <v>541595.92799999996</v>
      </c>
      <c r="E65" s="1828">
        <v>165707.4</v>
      </c>
      <c r="F65" s="1828">
        <v>56340.516000000003</v>
      </c>
      <c r="G65" s="1828">
        <v>0</v>
      </c>
      <c r="H65" s="1828">
        <v>616331.24550841108</v>
      </c>
      <c r="I65" s="1828">
        <v>259244.26076476127</v>
      </c>
      <c r="J65" s="1830">
        <f t="shared" si="2"/>
        <v>4175691.5462731719</v>
      </c>
      <c r="K65" s="1829"/>
      <c r="L65" s="2521"/>
      <c r="M65" s="2521"/>
      <c r="N65" s="2521"/>
      <c r="O65" s="2521"/>
      <c r="P65" s="2521"/>
      <c r="Q65" s="2521"/>
      <c r="R65" s="2521"/>
      <c r="S65" s="2521"/>
      <c r="T65" s="2521"/>
      <c r="U65" s="2521"/>
      <c r="V65" s="2521"/>
      <c r="W65" s="2521"/>
      <c r="X65" s="2521"/>
      <c r="Y65" s="2521"/>
      <c r="Z65" s="2521"/>
    </row>
    <row r="66" spans="1:26" ht="16.5" customHeight="1">
      <c r="A66" s="1835">
        <v>29</v>
      </c>
      <c r="B66" s="1829" t="s">
        <v>5386</v>
      </c>
      <c r="C66" s="1828">
        <v>3221275.872</v>
      </c>
      <c r="D66" s="1828">
        <v>677429.57279999997</v>
      </c>
      <c r="E66" s="1828">
        <v>207267.24</v>
      </c>
      <c r="F66" s="1828">
        <v>70470.861600000004</v>
      </c>
      <c r="G66" s="1828">
        <v>14865.3</v>
      </c>
      <c r="H66" s="1828">
        <v>758361.43404847535</v>
      </c>
      <c r="I66" s="1828">
        <v>340467.26398535189</v>
      </c>
      <c r="J66" s="1830">
        <f t="shared" si="2"/>
        <v>5290137.5444338266</v>
      </c>
      <c r="K66" s="1829"/>
      <c r="L66" s="2521"/>
      <c r="M66" s="2521"/>
      <c r="N66" s="2521"/>
      <c r="O66" s="2521"/>
      <c r="P66" s="2521"/>
      <c r="Q66" s="2521"/>
      <c r="R66" s="2521"/>
      <c r="S66" s="2521"/>
      <c r="T66" s="2521"/>
      <c r="U66" s="2521"/>
      <c r="V66" s="2521"/>
      <c r="W66" s="2521"/>
      <c r="X66" s="2521"/>
      <c r="Y66" s="2521"/>
      <c r="Z66" s="2521"/>
    </row>
    <row r="67" spans="1:26" ht="16.5" customHeight="1">
      <c r="A67" s="1835">
        <v>30</v>
      </c>
      <c r="B67" s="1829" t="s">
        <v>5387</v>
      </c>
      <c r="C67" s="1828">
        <v>11688885.960000001</v>
      </c>
      <c r="D67" s="1828">
        <v>2174742.6119999993</v>
      </c>
      <c r="E67" s="1828">
        <v>665387.1</v>
      </c>
      <c r="F67" s="1828">
        <v>226231.61399999997</v>
      </c>
      <c r="G67" s="1828">
        <v>1942943.7</v>
      </c>
      <c r="H67" s="1828">
        <v>99889.363368836493</v>
      </c>
      <c r="I67" s="1828">
        <v>805421.28927116957</v>
      </c>
      <c r="J67" s="1830">
        <f t="shared" si="2"/>
        <v>17603501.638640005</v>
      </c>
      <c r="K67" s="1829"/>
      <c r="L67" s="2521"/>
      <c r="M67" s="2521"/>
      <c r="N67" s="2521"/>
      <c r="O67" s="2521"/>
      <c r="P67" s="2521"/>
      <c r="Q67" s="2521"/>
      <c r="R67" s="2521"/>
      <c r="S67" s="2521"/>
      <c r="T67" s="2521"/>
      <c r="U67" s="2521"/>
      <c r="V67" s="2521"/>
      <c r="W67" s="2521"/>
      <c r="X67" s="2521"/>
      <c r="Y67" s="2521"/>
      <c r="Z67" s="2521"/>
    </row>
    <row r="68" spans="1:26" ht="16.5" customHeight="1">
      <c r="A68" s="1835">
        <v>31</v>
      </c>
      <c r="B68" s="1829" t="s">
        <v>5388</v>
      </c>
      <c r="C68" s="1828">
        <v>4205079.9119999995</v>
      </c>
      <c r="D68" s="1828">
        <v>859057.83120000002</v>
      </c>
      <c r="E68" s="1828">
        <v>262838.46000000002</v>
      </c>
      <c r="F68" s="1828">
        <v>89365.076399999991</v>
      </c>
      <c r="G68" s="1828">
        <v>6980</v>
      </c>
      <c r="H68" s="1828">
        <v>135613.68429588564</v>
      </c>
      <c r="I68" s="1828">
        <v>435121.22111737938</v>
      </c>
      <c r="J68" s="1830">
        <f t="shared" si="2"/>
        <v>5994056.1850132635</v>
      </c>
      <c r="K68" s="1829"/>
      <c r="L68" s="2521"/>
      <c r="M68" s="2521"/>
      <c r="N68" s="2521"/>
      <c r="O68" s="2521"/>
      <c r="P68" s="2521"/>
      <c r="Q68" s="2521"/>
      <c r="R68" s="2521"/>
      <c r="S68" s="2521"/>
      <c r="T68" s="2521"/>
      <c r="U68" s="2521"/>
      <c r="V68" s="2521"/>
      <c r="W68" s="2521"/>
      <c r="X68" s="2521"/>
      <c r="Y68" s="2521"/>
      <c r="Z68" s="2521"/>
    </row>
    <row r="69" spans="1:26" ht="16.5" customHeight="1">
      <c r="A69" s="1835">
        <v>32</v>
      </c>
      <c r="B69" s="1829" t="s">
        <v>5389</v>
      </c>
      <c r="C69" s="1828">
        <v>6144698.9879999999</v>
      </c>
      <c r="D69" s="1828">
        <v>1293623.3640000001</v>
      </c>
      <c r="E69" s="1828">
        <v>401769.3</v>
      </c>
      <c r="F69" s="1828">
        <v>136601.56200000001</v>
      </c>
      <c r="G69" s="1828">
        <v>920645.57499999995</v>
      </c>
      <c r="H69" s="1828">
        <v>141509.93143918502</v>
      </c>
      <c r="I69" s="1828">
        <v>639170.52430271974</v>
      </c>
      <c r="J69" s="1830">
        <f t="shared" si="2"/>
        <v>9678019.2447419036</v>
      </c>
      <c r="K69" s="1829"/>
      <c r="L69" s="2521"/>
      <c r="M69" s="2521"/>
      <c r="N69" s="2521"/>
      <c r="O69" s="2521"/>
      <c r="P69" s="2521"/>
      <c r="Q69" s="2521"/>
      <c r="R69" s="2521"/>
      <c r="S69" s="2521"/>
      <c r="T69" s="2521"/>
      <c r="U69" s="2521"/>
      <c r="V69" s="2521"/>
      <c r="W69" s="2521"/>
      <c r="X69" s="2521"/>
      <c r="Y69" s="2521"/>
      <c r="Z69" s="2521"/>
    </row>
    <row r="70" spans="1:26" ht="16.5" customHeight="1">
      <c r="A70" s="1835">
        <v>33</v>
      </c>
      <c r="B70" s="1829" t="s">
        <v>5390</v>
      </c>
      <c r="C70" s="1828">
        <v>1627988.5919999999</v>
      </c>
      <c r="D70" s="1828">
        <v>347292.53760000004</v>
      </c>
      <c r="E70" s="1828">
        <v>106258.08</v>
      </c>
      <c r="F70" s="1828">
        <v>36127.747200000005</v>
      </c>
      <c r="G70" s="1828">
        <v>0</v>
      </c>
      <c r="H70" s="1828">
        <v>375486.89160799433</v>
      </c>
      <c r="I70" s="1828">
        <v>166482.27575356376</v>
      </c>
      <c r="J70" s="1830">
        <f t="shared" si="2"/>
        <v>2659636.1241615582</v>
      </c>
      <c r="K70" s="1836"/>
      <c r="L70" s="2521"/>
      <c r="M70" s="2521"/>
      <c r="N70" s="2521"/>
      <c r="O70" s="2521"/>
      <c r="P70" s="2521"/>
      <c r="Q70" s="2521"/>
      <c r="R70" s="2521"/>
      <c r="S70" s="2521"/>
      <c r="T70" s="2521"/>
      <c r="U70" s="2521"/>
      <c r="V70" s="2521"/>
      <c r="W70" s="2521"/>
      <c r="X70" s="2521"/>
      <c r="Y70" s="2521"/>
      <c r="Z70" s="2521"/>
    </row>
    <row r="71" spans="1:26" ht="16.5" customHeight="1">
      <c r="A71" s="1835">
        <v>34</v>
      </c>
      <c r="B71" s="1829" t="s">
        <v>5391</v>
      </c>
      <c r="C71" s="1828">
        <v>626480.17200000002</v>
      </c>
      <c r="D71" s="1828">
        <v>132581.27280000001</v>
      </c>
      <c r="E71" s="1828">
        <v>40564.74</v>
      </c>
      <c r="F71" s="1828">
        <v>13792.011600000002</v>
      </c>
      <c r="G71" s="1828">
        <v>27428.400000000001</v>
      </c>
      <c r="H71" s="1828">
        <v>83418.89065016419</v>
      </c>
      <c r="I71" s="1828">
        <v>46698.174864593595</v>
      </c>
      <c r="J71" s="1830">
        <f t="shared" si="2"/>
        <v>970963.6619147578</v>
      </c>
      <c r="K71" s="1829"/>
      <c r="L71" s="2521"/>
      <c r="M71" s="2521"/>
      <c r="N71" s="2521"/>
      <c r="O71" s="2521"/>
      <c r="P71" s="2521"/>
      <c r="Q71" s="2521"/>
      <c r="R71" s="2521"/>
      <c r="S71" s="2521"/>
      <c r="T71" s="2521"/>
      <c r="U71" s="2521"/>
      <c r="V71" s="2521"/>
      <c r="W71" s="2521"/>
      <c r="X71" s="2521"/>
      <c r="Y71" s="2521"/>
      <c r="Z71" s="2521"/>
    </row>
    <row r="72" spans="1:26" ht="16.5" customHeight="1">
      <c r="A72" s="1835">
        <v>35</v>
      </c>
      <c r="B72" s="1829" t="s">
        <v>5392</v>
      </c>
      <c r="C72" s="1828">
        <v>1016600.112</v>
      </c>
      <c r="D72" s="1828">
        <v>218760.01199999999</v>
      </c>
      <c r="E72" s="1828">
        <v>66932.100000000006</v>
      </c>
      <c r="F72" s="1828">
        <v>22756.914000000001</v>
      </c>
      <c r="G72" s="1828">
        <v>0</v>
      </c>
      <c r="H72" s="1828">
        <v>222583.32965955147</v>
      </c>
      <c r="I72" s="1828">
        <v>95989.058290879053</v>
      </c>
      <c r="J72" s="1830">
        <f t="shared" si="2"/>
        <v>1643621.5259504304</v>
      </c>
      <c r="K72" s="1829"/>
      <c r="L72" s="2521"/>
      <c r="M72" s="2521"/>
      <c r="N72" s="2521"/>
      <c r="O72" s="2521"/>
      <c r="P72" s="2521"/>
      <c r="Q72" s="2521"/>
      <c r="R72" s="2521"/>
      <c r="S72" s="2521"/>
      <c r="T72" s="2521"/>
      <c r="U72" s="2521"/>
      <c r="V72" s="2521"/>
      <c r="W72" s="2521"/>
      <c r="X72" s="2521"/>
      <c r="Y72" s="2521"/>
      <c r="Z72" s="2521"/>
    </row>
    <row r="73" spans="1:26" ht="16.5" customHeight="1">
      <c r="A73" s="1837"/>
      <c r="B73" s="1837" t="s">
        <v>5393</v>
      </c>
      <c r="C73" s="1838">
        <f t="shared" ref="C73:J73" si="3">SUM(C9:C72)</f>
        <v>155895087.09599996</v>
      </c>
      <c r="D73" s="1838">
        <f t="shared" si="3"/>
        <v>32443109.808000002</v>
      </c>
      <c r="E73" s="1838">
        <f t="shared" si="3"/>
        <v>9969635.3399999999</v>
      </c>
      <c r="F73" s="1838">
        <f t="shared" si="3"/>
        <v>3389676.0155999996</v>
      </c>
      <c r="G73" s="1838">
        <f t="shared" si="3"/>
        <v>33672568.215999998</v>
      </c>
      <c r="H73" s="1838">
        <f t="shared" si="3"/>
        <v>9233353.9428490363</v>
      </c>
      <c r="I73" s="1838">
        <f t="shared" si="3"/>
        <v>12886302.501794301</v>
      </c>
      <c r="J73" s="1838">
        <f t="shared" si="3"/>
        <v>257489732.92024344</v>
      </c>
      <c r="K73" s="1837"/>
      <c r="L73" s="2525"/>
      <c r="M73" s="2525"/>
      <c r="N73" s="2525"/>
      <c r="O73" s="2525"/>
      <c r="P73" s="2525"/>
      <c r="Q73" s="2525"/>
      <c r="R73" s="2525"/>
      <c r="S73" s="2525"/>
      <c r="T73" s="2525"/>
      <c r="U73" s="2525"/>
      <c r="V73" s="2525"/>
      <c r="W73" s="2525"/>
      <c r="X73" s="2525"/>
      <c r="Y73" s="2525"/>
      <c r="Z73" s="2525"/>
    </row>
    <row r="74" spans="1:26" ht="16.5" customHeight="1">
      <c r="A74" s="2521"/>
      <c r="B74" s="2526"/>
      <c r="C74" s="2521"/>
      <c r="D74" s="2521"/>
      <c r="E74" s="2521"/>
      <c r="F74" s="2521"/>
      <c r="G74" s="2521"/>
      <c r="H74" s="2521"/>
      <c r="I74" s="2521"/>
      <c r="J74" s="2521"/>
      <c r="K74" s="2521"/>
      <c r="L74" s="2521"/>
      <c r="M74" s="2521"/>
      <c r="N74" s="2521"/>
      <c r="O74" s="2521"/>
      <c r="P74" s="2521"/>
      <c r="Q74" s="2521"/>
      <c r="R74" s="2521"/>
      <c r="S74" s="2521"/>
      <c r="T74" s="2521"/>
      <c r="U74" s="2521"/>
      <c r="V74" s="2521"/>
      <c r="W74" s="2521"/>
      <c r="X74" s="2521"/>
      <c r="Y74" s="2521"/>
      <c r="Z74" s="2521"/>
    </row>
    <row r="75" spans="1:26" ht="16.5" customHeight="1">
      <c r="A75" s="2521"/>
      <c r="B75" s="2526"/>
      <c r="C75" s="2527"/>
      <c r="D75" s="2527"/>
      <c r="E75" s="2527"/>
      <c r="F75" s="2527"/>
      <c r="G75" s="2521"/>
      <c r="H75" s="2521"/>
      <c r="I75" s="2521"/>
      <c r="J75" s="2527"/>
      <c r="K75" s="2521"/>
      <c r="L75" s="2521"/>
      <c r="M75" s="2521"/>
      <c r="N75" s="2521"/>
      <c r="O75" s="2521"/>
      <c r="P75" s="2521"/>
      <c r="Q75" s="2521"/>
      <c r="R75" s="2521"/>
      <c r="S75" s="2521"/>
      <c r="T75" s="2521"/>
      <c r="U75" s="2521"/>
      <c r="V75" s="2521"/>
      <c r="W75" s="2521"/>
      <c r="X75" s="2521"/>
      <c r="Y75" s="2521"/>
      <c r="Z75" s="2521"/>
    </row>
    <row r="76" spans="1:26" ht="16.5" customHeight="1">
      <c r="A76" s="2521"/>
      <c r="B76" s="2526"/>
      <c r="C76" s="2521"/>
      <c r="D76" s="2521"/>
      <c r="E76" s="2521"/>
      <c r="F76" s="2521"/>
      <c r="G76" s="2521"/>
      <c r="H76" s="2521"/>
      <c r="I76" s="2521"/>
      <c r="J76" s="2521"/>
      <c r="K76" s="2521"/>
      <c r="L76" s="2521"/>
      <c r="M76" s="2521"/>
      <c r="N76" s="2521"/>
      <c r="O76" s="2521"/>
      <c r="P76" s="2521"/>
      <c r="Q76" s="2521"/>
      <c r="R76" s="2521"/>
      <c r="S76" s="2521"/>
      <c r="T76" s="2521"/>
      <c r="U76" s="2521"/>
      <c r="V76" s="2521"/>
      <c r="W76" s="2521"/>
      <c r="X76" s="2521"/>
      <c r="Y76" s="2521"/>
      <c r="Z76" s="2521"/>
    </row>
    <row r="77" spans="1:26" ht="16.5" customHeight="1">
      <c r="A77" s="2521"/>
      <c r="B77" s="2526"/>
      <c r="C77" s="2521"/>
      <c r="D77" s="2521"/>
      <c r="E77" s="2521"/>
      <c r="F77" s="2521"/>
      <c r="G77" s="2521"/>
      <c r="H77" s="2521"/>
      <c r="I77" s="2521"/>
      <c r="J77" s="2521"/>
      <c r="K77" s="2521"/>
      <c r="L77" s="2521"/>
      <c r="M77" s="2521"/>
      <c r="N77" s="2521"/>
      <c r="O77" s="2521"/>
      <c r="P77" s="2521"/>
      <c r="Q77" s="2521"/>
      <c r="R77" s="2521"/>
      <c r="S77" s="2521"/>
      <c r="T77" s="2521"/>
      <c r="U77" s="2521"/>
      <c r="V77" s="2521"/>
      <c r="W77" s="2521"/>
      <c r="X77" s="2521"/>
      <c r="Y77" s="2521"/>
      <c r="Z77" s="2521"/>
    </row>
    <row r="78" spans="1:26" ht="16.5" customHeight="1">
      <c r="A78" s="2521"/>
      <c r="B78" s="2526"/>
      <c r="C78" s="2521"/>
      <c r="D78" s="2521"/>
      <c r="E78" s="2521"/>
      <c r="F78" s="2521"/>
      <c r="G78" s="2521"/>
      <c r="H78" s="2521"/>
      <c r="I78" s="2521"/>
      <c r="J78" s="2521"/>
      <c r="K78" s="2521"/>
      <c r="L78" s="2521"/>
      <c r="M78" s="2521"/>
      <c r="N78" s="2521"/>
      <c r="O78" s="2521"/>
      <c r="P78" s="2521"/>
      <c r="Q78" s="2521"/>
      <c r="R78" s="2521"/>
      <c r="S78" s="2521"/>
      <c r="T78" s="2521"/>
      <c r="U78" s="2521"/>
      <c r="V78" s="2521"/>
      <c r="W78" s="2521"/>
      <c r="X78" s="2521"/>
      <c r="Y78" s="2521"/>
      <c r="Z78" s="2521"/>
    </row>
    <row r="79" spans="1:26" ht="16.5" customHeight="1">
      <c r="A79" s="2521"/>
      <c r="B79" s="2526"/>
      <c r="C79" s="2521"/>
      <c r="D79" s="2521"/>
      <c r="E79" s="2521"/>
      <c r="F79" s="2521"/>
      <c r="G79" s="2521"/>
      <c r="H79" s="2521"/>
      <c r="I79" s="2521"/>
      <c r="J79" s="2521"/>
      <c r="K79" s="2521"/>
      <c r="L79" s="2521"/>
      <c r="M79" s="2521"/>
      <c r="N79" s="2521"/>
      <c r="O79" s="2521"/>
      <c r="P79" s="2521"/>
      <c r="Q79" s="2521"/>
      <c r="R79" s="2521"/>
      <c r="S79" s="2521"/>
      <c r="T79" s="2521"/>
      <c r="U79" s="2521"/>
      <c r="V79" s="2521"/>
      <c r="W79" s="2521"/>
      <c r="X79" s="2521"/>
      <c r="Y79" s="2521"/>
      <c r="Z79" s="2521"/>
    </row>
    <row r="80" spans="1:26" ht="16.5" customHeight="1">
      <c r="A80" s="2521"/>
      <c r="B80" s="2526"/>
      <c r="C80" s="2521"/>
      <c r="D80" s="2521"/>
      <c r="E80" s="2521"/>
      <c r="F80" s="2521"/>
      <c r="G80" s="2521"/>
      <c r="H80" s="2521"/>
      <c r="I80" s="2521"/>
      <c r="J80" s="2521"/>
      <c r="K80" s="2521"/>
      <c r="L80" s="2521"/>
      <c r="M80" s="2521"/>
      <c r="N80" s="2521"/>
      <c r="O80" s="2521"/>
      <c r="P80" s="2521"/>
      <c r="Q80" s="2521"/>
      <c r="R80" s="2521"/>
      <c r="S80" s="2521"/>
      <c r="T80" s="2521"/>
      <c r="U80" s="2521"/>
      <c r="V80" s="2521"/>
      <c r="W80" s="2521"/>
      <c r="X80" s="2521"/>
      <c r="Y80" s="2521"/>
      <c r="Z80" s="2521"/>
    </row>
    <row r="81" spans="1:26" ht="16.5" customHeight="1">
      <c r="A81" s="2521"/>
      <c r="B81" s="2526"/>
      <c r="C81" s="2521"/>
      <c r="D81" s="2521"/>
      <c r="E81" s="2521"/>
      <c r="F81" s="2521"/>
      <c r="G81" s="2521"/>
      <c r="H81" s="2521"/>
      <c r="I81" s="2521"/>
      <c r="J81" s="2521"/>
      <c r="K81" s="2521"/>
      <c r="L81" s="2521"/>
      <c r="M81" s="2521"/>
      <c r="N81" s="2521"/>
      <c r="O81" s="2521"/>
      <c r="P81" s="2521"/>
      <c r="Q81" s="2521"/>
      <c r="R81" s="2521"/>
      <c r="S81" s="2521"/>
      <c r="T81" s="2521"/>
      <c r="U81" s="2521"/>
      <c r="V81" s="2521"/>
      <c r="W81" s="2521"/>
      <c r="X81" s="2521"/>
      <c r="Y81" s="2521"/>
      <c r="Z81" s="2521"/>
    </row>
    <row r="82" spans="1:26" ht="16.5" customHeight="1">
      <c r="A82" s="2521"/>
      <c r="B82" s="2526"/>
      <c r="C82" s="2521"/>
      <c r="D82" s="2521"/>
      <c r="E82" s="2521"/>
      <c r="F82" s="2521"/>
      <c r="G82" s="2521"/>
      <c r="H82" s="2521"/>
      <c r="I82" s="2521"/>
      <c r="J82" s="2521"/>
      <c r="K82" s="2521"/>
      <c r="L82" s="2521"/>
      <c r="M82" s="2521"/>
      <c r="N82" s="2521"/>
      <c r="O82" s="2521"/>
      <c r="P82" s="2521"/>
      <c r="Q82" s="2521"/>
      <c r="R82" s="2521"/>
      <c r="S82" s="2521"/>
      <c r="T82" s="2521"/>
      <c r="U82" s="2521"/>
      <c r="V82" s="2521"/>
      <c r="W82" s="2521"/>
      <c r="X82" s="2521"/>
      <c r="Y82" s="2521"/>
      <c r="Z82" s="2521"/>
    </row>
    <row r="83" spans="1:26" ht="16.5" customHeight="1">
      <c r="A83" s="2521"/>
      <c r="B83" s="2526"/>
      <c r="C83" s="2521"/>
      <c r="D83" s="2521"/>
      <c r="E83" s="2521"/>
      <c r="F83" s="2521"/>
      <c r="G83" s="2521"/>
      <c r="H83" s="2521"/>
      <c r="I83" s="2521"/>
      <c r="J83" s="2521"/>
      <c r="K83" s="2521"/>
      <c r="L83" s="2521"/>
      <c r="M83" s="2521"/>
      <c r="N83" s="2521"/>
      <c r="O83" s="2521"/>
      <c r="P83" s="2521"/>
      <c r="Q83" s="2521"/>
      <c r="R83" s="2521"/>
      <c r="S83" s="2521"/>
      <c r="T83" s="2521"/>
      <c r="U83" s="2521"/>
      <c r="V83" s="2521"/>
      <c r="W83" s="2521"/>
      <c r="X83" s="2521"/>
      <c r="Y83" s="2521"/>
      <c r="Z83" s="2521"/>
    </row>
    <row r="84" spans="1:26" ht="16.5" customHeight="1">
      <c r="A84" s="2521"/>
      <c r="B84" s="2526"/>
      <c r="C84" s="2521"/>
      <c r="D84" s="2521"/>
      <c r="E84" s="2521"/>
      <c r="F84" s="2521"/>
      <c r="G84" s="2521"/>
      <c r="H84" s="2521"/>
      <c r="I84" s="2521"/>
      <c r="J84" s="2521"/>
      <c r="K84" s="2521"/>
      <c r="L84" s="2521"/>
      <c r="M84" s="2521"/>
      <c r="N84" s="2521"/>
      <c r="O84" s="2521"/>
      <c r="P84" s="2521"/>
      <c r="Q84" s="2521"/>
      <c r="R84" s="2521"/>
      <c r="S84" s="2521"/>
      <c r="T84" s="2521"/>
      <c r="U84" s="2521"/>
      <c r="V84" s="2521"/>
      <c r="W84" s="2521"/>
      <c r="X84" s="2521"/>
      <c r="Y84" s="2521"/>
      <c r="Z84" s="2521"/>
    </row>
    <row r="85" spans="1:26" ht="16.5" customHeight="1">
      <c r="A85" s="2521"/>
      <c r="B85" s="2526"/>
      <c r="C85" s="2521"/>
      <c r="D85" s="2521"/>
      <c r="E85" s="2521"/>
      <c r="F85" s="2521"/>
      <c r="G85" s="2521"/>
      <c r="H85" s="2521"/>
      <c r="I85" s="2521"/>
      <c r="J85" s="2521"/>
      <c r="K85" s="2521"/>
      <c r="L85" s="2521"/>
      <c r="M85" s="2521"/>
      <c r="N85" s="2521"/>
      <c r="O85" s="2521"/>
      <c r="P85" s="2521"/>
      <c r="Q85" s="2521"/>
      <c r="R85" s="2521"/>
      <c r="S85" s="2521"/>
      <c r="T85" s="2521"/>
      <c r="U85" s="2521"/>
      <c r="V85" s="2521"/>
      <c r="W85" s="2521"/>
      <c r="X85" s="2521"/>
      <c r="Y85" s="2521"/>
      <c r="Z85" s="2521"/>
    </row>
    <row r="86" spans="1:26" ht="16.5" customHeight="1">
      <c r="A86" s="2521"/>
      <c r="B86" s="2526"/>
      <c r="C86" s="2521"/>
      <c r="D86" s="2521"/>
      <c r="E86" s="2521"/>
      <c r="F86" s="2521"/>
      <c r="G86" s="2521"/>
      <c r="H86" s="2521"/>
      <c r="I86" s="2521"/>
      <c r="J86" s="2521"/>
      <c r="K86" s="2521"/>
      <c r="L86" s="2521"/>
      <c r="M86" s="2521"/>
      <c r="N86" s="2521"/>
      <c r="O86" s="2521"/>
      <c r="P86" s="2521"/>
      <c r="Q86" s="2521"/>
      <c r="R86" s="2521"/>
      <c r="S86" s="2521"/>
      <c r="T86" s="2521"/>
      <c r="U86" s="2521"/>
      <c r="V86" s="2521"/>
      <c r="W86" s="2521"/>
      <c r="X86" s="2521"/>
      <c r="Y86" s="2521"/>
      <c r="Z86" s="2521"/>
    </row>
    <row r="87" spans="1:26" ht="16.5" customHeight="1">
      <c r="A87" s="2521"/>
      <c r="B87" s="2526"/>
      <c r="C87" s="2521"/>
      <c r="D87" s="2521"/>
      <c r="E87" s="2521"/>
      <c r="F87" s="2521"/>
      <c r="G87" s="2521"/>
      <c r="H87" s="2521"/>
      <c r="I87" s="2521"/>
      <c r="J87" s="2521"/>
      <c r="K87" s="2521"/>
      <c r="L87" s="2521"/>
      <c r="M87" s="2521"/>
      <c r="N87" s="2521"/>
      <c r="O87" s="2521"/>
      <c r="P87" s="2521"/>
      <c r="Q87" s="2521"/>
      <c r="R87" s="2521"/>
      <c r="S87" s="2521"/>
      <c r="T87" s="2521"/>
      <c r="U87" s="2521"/>
      <c r="V87" s="2521"/>
      <c r="W87" s="2521"/>
      <c r="X87" s="2521"/>
      <c r="Y87" s="2521"/>
      <c r="Z87" s="2521"/>
    </row>
    <row r="88" spans="1:26" ht="16.5" customHeight="1">
      <c r="A88" s="2521"/>
      <c r="B88" s="2526"/>
      <c r="C88" s="2521"/>
      <c r="D88" s="2521"/>
      <c r="E88" s="2521"/>
      <c r="F88" s="2521"/>
      <c r="G88" s="2521"/>
      <c r="H88" s="2521"/>
      <c r="I88" s="2521"/>
      <c r="J88" s="2521"/>
      <c r="K88" s="2521"/>
      <c r="L88" s="2521"/>
      <c r="M88" s="2521"/>
      <c r="N88" s="2521"/>
      <c r="O88" s="2521"/>
      <c r="P88" s="2521"/>
      <c r="Q88" s="2521"/>
      <c r="R88" s="2521"/>
      <c r="S88" s="2521"/>
      <c r="T88" s="2521"/>
      <c r="U88" s="2521"/>
      <c r="V88" s="2521"/>
      <c r="W88" s="2521"/>
      <c r="X88" s="2521"/>
      <c r="Y88" s="2521"/>
      <c r="Z88" s="2521"/>
    </row>
    <row r="89" spans="1:26" ht="16.5" customHeight="1">
      <c r="A89" s="2521"/>
      <c r="B89" s="2526"/>
      <c r="C89" s="2521"/>
      <c r="D89" s="2521"/>
      <c r="E89" s="2521"/>
      <c r="F89" s="2521"/>
      <c r="G89" s="2521"/>
      <c r="H89" s="2521"/>
      <c r="I89" s="2521"/>
      <c r="J89" s="2521"/>
      <c r="K89" s="2521"/>
      <c r="L89" s="2521"/>
      <c r="M89" s="2521"/>
      <c r="N89" s="2521"/>
      <c r="O89" s="2521"/>
      <c r="P89" s="2521"/>
      <c r="Q89" s="2521"/>
      <c r="R89" s="2521"/>
      <c r="S89" s="2521"/>
      <c r="T89" s="2521"/>
      <c r="U89" s="2521"/>
      <c r="V89" s="2521"/>
      <c r="W89" s="2521"/>
      <c r="X89" s="2521"/>
      <c r="Y89" s="2521"/>
      <c r="Z89" s="2521"/>
    </row>
    <row r="90" spans="1:26" ht="16.5" customHeight="1">
      <c r="A90" s="2521"/>
      <c r="B90" s="2526"/>
      <c r="C90" s="2521"/>
      <c r="D90" s="2521"/>
      <c r="E90" s="2521"/>
      <c r="F90" s="2521"/>
      <c r="G90" s="2521"/>
      <c r="H90" s="2521"/>
      <c r="I90" s="2521"/>
      <c r="J90" s="2521"/>
      <c r="K90" s="2521"/>
      <c r="L90" s="2521"/>
      <c r="M90" s="2521"/>
      <c r="N90" s="2521"/>
      <c r="O90" s="2521"/>
      <c r="P90" s="2521"/>
      <c r="Q90" s="2521"/>
      <c r="R90" s="2521"/>
      <c r="S90" s="2521"/>
      <c r="T90" s="2521"/>
      <c r="U90" s="2521"/>
      <c r="V90" s="2521"/>
      <c r="W90" s="2521"/>
      <c r="X90" s="2521"/>
      <c r="Y90" s="2521"/>
      <c r="Z90" s="2521"/>
    </row>
    <row r="91" spans="1:26" ht="16.5" customHeight="1">
      <c r="A91" s="2521"/>
      <c r="B91" s="2526"/>
      <c r="C91" s="2521"/>
      <c r="D91" s="2521"/>
      <c r="E91" s="2521"/>
      <c r="F91" s="2521"/>
      <c r="G91" s="2521"/>
      <c r="H91" s="2521"/>
      <c r="I91" s="2521"/>
      <c r="J91" s="2521"/>
      <c r="K91" s="2521"/>
      <c r="L91" s="2521"/>
      <c r="M91" s="2521"/>
      <c r="N91" s="2521"/>
      <c r="O91" s="2521"/>
      <c r="P91" s="2521"/>
      <c r="Q91" s="2521"/>
      <c r="R91" s="2521"/>
      <c r="S91" s="2521"/>
      <c r="T91" s="2521"/>
      <c r="U91" s="2521"/>
      <c r="V91" s="2521"/>
      <c r="W91" s="2521"/>
      <c r="X91" s="2521"/>
      <c r="Y91" s="2521"/>
      <c r="Z91" s="2521"/>
    </row>
    <row r="92" spans="1:26" ht="16.5" customHeight="1">
      <c r="A92" s="2521"/>
      <c r="B92" s="2526"/>
      <c r="C92" s="2521"/>
      <c r="D92" s="2521"/>
      <c r="E92" s="2521"/>
      <c r="F92" s="2521"/>
      <c r="G92" s="2521"/>
      <c r="H92" s="2521"/>
      <c r="I92" s="2521"/>
      <c r="J92" s="2521"/>
      <c r="K92" s="2521"/>
      <c r="L92" s="2521"/>
      <c r="M92" s="2521"/>
      <c r="N92" s="2521"/>
      <c r="O92" s="2521"/>
      <c r="P92" s="2521"/>
      <c r="Q92" s="2521"/>
      <c r="R92" s="2521"/>
      <c r="S92" s="2521"/>
      <c r="T92" s="2521"/>
      <c r="U92" s="2521"/>
      <c r="V92" s="2521"/>
      <c r="W92" s="2521"/>
      <c r="X92" s="2521"/>
      <c r="Y92" s="2521"/>
      <c r="Z92" s="2521"/>
    </row>
    <row r="93" spans="1:26" ht="16.5" customHeight="1">
      <c r="A93" s="2521"/>
      <c r="B93" s="2526"/>
      <c r="C93" s="2521"/>
      <c r="D93" s="2521"/>
      <c r="E93" s="2521"/>
      <c r="F93" s="2521"/>
      <c r="G93" s="2521"/>
      <c r="H93" s="2521"/>
      <c r="I93" s="2521"/>
      <c r="J93" s="2521"/>
      <c r="K93" s="2521"/>
      <c r="L93" s="2521"/>
      <c r="M93" s="2521"/>
      <c r="N93" s="2521"/>
      <c r="O93" s="2521"/>
      <c r="P93" s="2521"/>
      <c r="Q93" s="2521"/>
      <c r="R93" s="2521"/>
      <c r="S93" s="2521"/>
      <c r="T93" s="2521"/>
      <c r="U93" s="2521"/>
      <c r="V93" s="2521"/>
      <c r="W93" s="2521"/>
      <c r="X93" s="2521"/>
      <c r="Y93" s="2521"/>
      <c r="Z93" s="2521"/>
    </row>
    <row r="94" spans="1:26" ht="16.5" customHeight="1">
      <c r="A94" s="2521"/>
      <c r="B94" s="2526"/>
      <c r="C94" s="2521"/>
      <c r="D94" s="2521"/>
      <c r="E94" s="2521"/>
      <c r="F94" s="2521"/>
      <c r="G94" s="2521"/>
      <c r="H94" s="2521"/>
      <c r="I94" s="2521"/>
      <c r="J94" s="2521"/>
      <c r="K94" s="2521"/>
      <c r="L94" s="2521"/>
      <c r="M94" s="2521"/>
      <c r="N94" s="2521"/>
      <c r="O94" s="2521"/>
      <c r="P94" s="2521"/>
      <c r="Q94" s="2521"/>
      <c r="R94" s="2521"/>
      <c r="S94" s="2521"/>
      <c r="T94" s="2521"/>
      <c r="U94" s="2521"/>
      <c r="V94" s="2521"/>
      <c r="W94" s="2521"/>
      <c r="X94" s="2521"/>
      <c r="Y94" s="2521"/>
      <c r="Z94" s="2521"/>
    </row>
    <row r="95" spans="1:26" ht="16.5" customHeight="1">
      <c r="A95" s="2521"/>
      <c r="B95" s="2526"/>
      <c r="C95" s="2521"/>
      <c r="D95" s="2521"/>
      <c r="E95" s="2521"/>
      <c r="F95" s="2521"/>
      <c r="G95" s="2521"/>
      <c r="H95" s="2521"/>
      <c r="I95" s="2521"/>
      <c r="J95" s="2521"/>
      <c r="K95" s="2521"/>
      <c r="L95" s="2521"/>
      <c r="M95" s="2521"/>
      <c r="N95" s="2521"/>
      <c r="O95" s="2521"/>
      <c r="P95" s="2521"/>
      <c r="Q95" s="2521"/>
      <c r="R95" s="2521"/>
      <c r="S95" s="2521"/>
      <c r="T95" s="2521"/>
      <c r="U95" s="2521"/>
      <c r="V95" s="2521"/>
      <c r="W95" s="2521"/>
      <c r="X95" s="2521"/>
      <c r="Y95" s="2521"/>
      <c r="Z95" s="2521"/>
    </row>
    <row r="96" spans="1:26" ht="16.5" customHeight="1">
      <c r="A96" s="2521"/>
      <c r="B96" s="2526"/>
      <c r="C96" s="2521"/>
      <c r="D96" s="2521"/>
      <c r="E96" s="2521"/>
      <c r="F96" s="2521"/>
      <c r="G96" s="2521"/>
      <c r="H96" s="2521"/>
      <c r="I96" s="2521"/>
      <c r="J96" s="2521"/>
      <c r="K96" s="2521"/>
      <c r="L96" s="2521"/>
      <c r="M96" s="2521"/>
      <c r="N96" s="2521"/>
      <c r="O96" s="2521"/>
      <c r="P96" s="2521"/>
      <c r="Q96" s="2521"/>
      <c r="R96" s="2521"/>
      <c r="S96" s="2521"/>
      <c r="T96" s="2521"/>
      <c r="U96" s="2521"/>
      <c r="V96" s="2521"/>
      <c r="W96" s="2521"/>
      <c r="X96" s="2521"/>
      <c r="Y96" s="2521"/>
      <c r="Z96" s="2521"/>
    </row>
    <row r="97" spans="1:26" ht="16.5" customHeight="1">
      <c r="A97" s="2521"/>
      <c r="B97" s="2526"/>
      <c r="C97" s="2521"/>
      <c r="D97" s="2521"/>
      <c r="E97" s="2521"/>
      <c r="F97" s="2521"/>
      <c r="G97" s="2521"/>
      <c r="H97" s="2521"/>
      <c r="I97" s="2521"/>
      <c r="J97" s="2521"/>
      <c r="K97" s="2521"/>
      <c r="L97" s="2521"/>
      <c r="M97" s="2521"/>
      <c r="N97" s="2521"/>
      <c r="O97" s="2521"/>
      <c r="P97" s="2521"/>
      <c r="Q97" s="2521"/>
      <c r="R97" s="2521"/>
      <c r="S97" s="2521"/>
      <c r="T97" s="2521"/>
      <c r="U97" s="2521"/>
      <c r="V97" s="2521"/>
      <c r="W97" s="2521"/>
      <c r="X97" s="2521"/>
      <c r="Y97" s="2521"/>
      <c r="Z97" s="2521"/>
    </row>
    <row r="98" spans="1:26" ht="16.5" customHeight="1">
      <c r="A98" s="2521"/>
      <c r="B98" s="2526"/>
      <c r="C98" s="2521"/>
      <c r="D98" s="2521"/>
      <c r="E98" s="2521"/>
      <c r="F98" s="2521"/>
      <c r="G98" s="2521"/>
      <c r="H98" s="2521"/>
      <c r="I98" s="2521"/>
      <c r="J98" s="2521"/>
      <c r="K98" s="2521"/>
      <c r="L98" s="2521"/>
      <c r="M98" s="2521"/>
      <c r="N98" s="2521"/>
      <c r="O98" s="2521"/>
      <c r="P98" s="2521"/>
      <c r="Q98" s="2521"/>
      <c r="R98" s="2521"/>
      <c r="S98" s="2521"/>
      <c r="T98" s="2521"/>
      <c r="U98" s="2521"/>
      <c r="V98" s="2521"/>
      <c r="W98" s="2521"/>
      <c r="X98" s="2521"/>
      <c r="Y98" s="2521"/>
      <c r="Z98" s="2521"/>
    </row>
    <row r="99" spans="1:26" ht="16.5" customHeight="1">
      <c r="A99" s="2521"/>
      <c r="B99" s="2526"/>
      <c r="C99" s="2521"/>
      <c r="D99" s="2521"/>
      <c r="E99" s="2521"/>
      <c r="F99" s="2521"/>
      <c r="G99" s="2521"/>
      <c r="H99" s="2521"/>
      <c r="I99" s="2521"/>
      <c r="J99" s="2521"/>
      <c r="K99" s="2521"/>
      <c r="L99" s="2521"/>
      <c r="M99" s="2521"/>
      <c r="N99" s="2521"/>
      <c r="O99" s="2521"/>
      <c r="P99" s="2521"/>
      <c r="Q99" s="2521"/>
      <c r="R99" s="2521"/>
      <c r="S99" s="2521"/>
      <c r="T99" s="2521"/>
      <c r="U99" s="2521"/>
      <c r="V99" s="2521"/>
      <c r="W99" s="2521"/>
      <c r="X99" s="2521"/>
      <c r="Y99" s="2521"/>
      <c r="Z99" s="2521"/>
    </row>
    <row r="100" spans="1:26" ht="16.5" customHeight="1">
      <c r="A100" s="2521"/>
      <c r="B100" s="2526"/>
      <c r="C100" s="2521"/>
      <c r="D100" s="2521"/>
      <c r="E100" s="2521"/>
      <c r="F100" s="2521"/>
      <c r="G100" s="2521"/>
      <c r="H100" s="2521"/>
      <c r="I100" s="2521"/>
      <c r="J100" s="2521"/>
      <c r="K100" s="2521"/>
      <c r="L100" s="2521"/>
      <c r="M100" s="2521"/>
      <c r="N100" s="2521"/>
      <c r="O100" s="2521"/>
      <c r="P100" s="2521"/>
      <c r="Q100" s="2521"/>
      <c r="R100" s="2521"/>
      <c r="S100" s="2521"/>
      <c r="T100" s="2521"/>
      <c r="U100" s="2521"/>
      <c r="V100" s="2521"/>
      <c r="W100" s="2521"/>
      <c r="X100" s="2521"/>
      <c r="Y100" s="2521"/>
      <c r="Z100" s="2521"/>
    </row>
    <row r="101" spans="1:26" ht="16.5" customHeight="1">
      <c r="A101" s="2521"/>
      <c r="B101" s="2526"/>
      <c r="C101" s="2521"/>
      <c r="D101" s="2521"/>
      <c r="E101" s="2521"/>
      <c r="F101" s="2521"/>
      <c r="G101" s="2521"/>
      <c r="H101" s="2521"/>
      <c r="I101" s="2521"/>
      <c r="J101" s="2521"/>
      <c r="K101" s="2521"/>
      <c r="L101" s="2521"/>
      <c r="M101" s="2521"/>
      <c r="N101" s="2521"/>
      <c r="O101" s="2521"/>
      <c r="P101" s="2521"/>
      <c r="Q101" s="2521"/>
      <c r="R101" s="2521"/>
      <c r="S101" s="2521"/>
      <c r="T101" s="2521"/>
      <c r="U101" s="2521"/>
      <c r="V101" s="2521"/>
      <c r="W101" s="2521"/>
      <c r="X101" s="2521"/>
      <c r="Y101" s="2521"/>
      <c r="Z101" s="2521"/>
    </row>
    <row r="102" spans="1:26" ht="16.5" customHeight="1">
      <c r="A102" s="2521"/>
      <c r="B102" s="2526"/>
      <c r="C102" s="2521"/>
      <c r="D102" s="2521"/>
      <c r="E102" s="2521"/>
      <c r="F102" s="2521"/>
      <c r="G102" s="2521"/>
      <c r="H102" s="2521"/>
      <c r="I102" s="2521"/>
      <c r="J102" s="2521"/>
      <c r="K102" s="2521"/>
      <c r="L102" s="2521"/>
      <c r="M102" s="2521"/>
      <c r="N102" s="2521"/>
      <c r="O102" s="2521"/>
      <c r="P102" s="2521"/>
      <c r="Q102" s="2521"/>
      <c r="R102" s="2521"/>
      <c r="S102" s="2521"/>
      <c r="T102" s="2521"/>
      <c r="U102" s="2521"/>
      <c r="V102" s="2521"/>
      <c r="W102" s="2521"/>
      <c r="X102" s="2521"/>
      <c r="Y102" s="2521"/>
      <c r="Z102" s="2521"/>
    </row>
    <row r="103" spans="1:26" ht="16.5" customHeight="1">
      <c r="A103" s="2521"/>
      <c r="B103" s="2526"/>
      <c r="C103" s="2521"/>
      <c r="D103" s="2521"/>
      <c r="E103" s="2521"/>
      <c r="F103" s="2521"/>
      <c r="G103" s="2521"/>
      <c r="H103" s="2521"/>
      <c r="I103" s="2521"/>
      <c r="J103" s="2521"/>
      <c r="K103" s="2521"/>
      <c r="L103" s="2521"/>
      <c r="M103" s="2521"/>
      <c r="N103" s="2521"/>
      <c r="O103" s="2521"/>
      <c r="P103" s="2521"/>
      <c r="Q103" s="2521"/>
      <c r="R103" s="2521"/>
      <c r="S103" s="2521"/>
      <c r="T103" s="2521"/>
      <c r="U103" s="2521"/>
      <c r="V103" s="2521"/>
      <c r="W103" s="2521"/>
      <c r="X103" s="2521"/>
      <c r="Y103" s="2521"/>
      <c r="Z103" s="2521"/>
    </row>
    <row r="104" spans="1:26" ht="16.5" customHeight="1">
      <c r="A104" s="2521"/>
      <c r="B104" s="2526"/>
      <c r="C104" s="2521"/>
      <c r="D104" s="2521"/>
      <c r="E104" s="2521"/>
      <c r="F104" s="2521"/>
      <c r="G104" s="2521"/>
      <c r="H104" s="2521"/>
      <c r="I104" s="2521"/>
      <c r="J104" s="2521"/>
      <c r="K104" s="2521"/>
      <c r="L104" s="2521"/>
      <c r="M104" s="2521"/>
      <c r="N104" s="2521"/>
      <c r="O104" s="2521"/>
      <c r="P104" s="2521"/>
      <c r="Q104" s="2521"/>
      <c r="R104" s="2521"/>
      <c r="S104" s="2521"/>
      <c r="T104" s="2521"/>
      <c r="U104" s="2521"/>
      <c r="V104" s="2521"/>
      <c r="W104" s="2521"/>
      <c r="X104" s="2521"/>
      <c r="Y104" s="2521"/>
      <c r="Z104" s="2521"/>
    </row>
    <row r="105" spans="1:26" ht="16.5" customHeight="1">
      <c r="A105" s="2521"/>
      <c r="B105" s="2526"/>
      <c r="C105" s="2521"/>
      <c r="D105" s="2521"/>
      <c r="E105" s="2521"/>
      <c r="F105" s="2521"/>
      <c r="G105" s="2521"/>
      <c r="H105" s="2521"/>
      <c r="I105" s="2521"/>
      <c r="J105" s="2521"/>
      <c r="K105" s="2521"/>
      <c r="L105" s="2521"/>
      <c r="M105" s="2521"/>
      <c r="N105" s="2521"/>
      <c r="O105" s="2521"/>
      <c r="P105" s="2521"/>
      <c r="Q105" s="2521"/>
      <c r="R105" s="2521"/>
      <c r="S105" s="2521"/>
      <c r="T105" s="2521"/>
      <c r="U105" s="2521"/>
      <c r="V105" s="2521"/>
      <c r="W105" s="2521"/>
      <c r="X105" s="2521"/>
      <c r="Y105" s="2521"/>
      <c r="Z105" s="2521"/>
    </row>
    <row r="106" spans="1:26" ht="16.5" customHeight="1">
      <c r="A106" s="2521"/>
      <c r="B106" s="2526"/>
      <c r="C106" s="2521"/>
      <c r="D106" s="2521"/>
      <c r="E106" s="2521"/>
      <c r="F106" s="2521"/>
      <c r="G106" s="2521"/>
      <c r="H106" s="2521"/>
      <c r="I106" s="2521"/>
      <c r="J106" s="2521"/>
      <c r="K106" s="2521"/>
      <c r="L106" s="2521"/>
      <c r="M106" s="2521"/>
      <c r="N106" s="2521"/>
      <c r="O106" s="2521"/>
      <c r="P106" s="2521"/>
      <c r="Q106" s="2521"/>
      <c r="R106" s="2521"/>
      <c r="S106" s="2521"/>
      <c r="T106" s="2521"/>
      <c r="U106" s="2521"/>
      <c r="V106" s="2521"/>
      <c r="W106" s="2521"/>
      <c r="X106" s="2521"/>
      <c r="Y106" s="2521"/>
      <c r="Z106" s="2521"/>
    </row>
    <row r="107" spans="1:26" ht="16.5" customHeight="1">
      <c r="A107" s="2521"/>
      <c r="B107" s="2526"/>
      <c r="C107" s="2521"/>
      <c r="D107" s="2521"/>
      <c r="E107" s="2521"/>
      <c r="F107" s="2521"/>
      <c r="G107" s="2521"/>
      <c r="H107" s="2521"/>
      <c r="I107" s="2521"/>
      <c r="J107" s="2521"/>
      <c r="K107" s="2521"/>
      <c r="L107" s="2521"/>
      <c r="M107" s="2521"/>
      <c r="N107" s="2521"/>
      <c r="O107" s="2521"/>
      <c r="P107" s="2521"/>
      <c r="Q107" s="2521"/>
      <c r="R107" s="2521"/>
      <c r="S107" s="2521"/>
      <c r="T107" s="2521"/>
      <c r="U107" s="2521"/>
      <c r="V107" s="2521"/>
      <c r="W107" s="2521"/>
      <c r="X107" s="2521"/>
      <c r="Y107" s="2521"/>
      <c r="Z107" s="2521"/>
    </row>
    <row r="108" spans="1:26" ht="16.5" customHeight="1">
      <c r="A108" s="2521"/>
      <c r="B108" s="2526"/>
      <c r="C108" s="2521"/>
      <c r="D108" s="2521"/>
      <c r="E108" s="2521"/>
      <c r="F108" s="2521"/>
      <c r="G108" s="2521"/>
      <c r="H108" s="2521"/>
      <c r="I108" s="2521"/>
      <c r="J108" s="2521"/>
      <c r="K108" s="2521"/>
      <c r="L108" s="2521"/>
      <c r="M108" s="2521"/>
      <c r="N108" s="2521"/>
      <c r="O108" s="2521"/>
      <c r="P108" s="2521"/>
      <c r="Q108" s="2521"/>
      <c r="R108" s="2521"/>
      <c r="S108" s="2521"/>
      <c r="T108" s="2521"/>
      <c r="U108" s="2521"/>
      <c r="V108" s="2521"/>
      <c r="W108" s="2521"/>
      <c r="X108" s="2521"/>
      <c r="Y108" s="2521"/>
      <c r="Z108" s="2521"/>
    </row>
    <row r="109" spans="1:26" ht="16.5" customHeight="1">
      <c r="A109" s="2521"/>
      <c r="B109" s="2526"/>
      <c r="C109" s="2521"/>
      <c r="D109" s="2521"/>
      <c r="E109" s="2521"/>
      <c r="F109" s="2521"/>
      <c r="G109" s="2521"/>
      <c r="H109" s="2521"/>
      <c r="I109" s="2521"/>
      <c r="J109" s="2521"/>
      <c r="K109" s="2521"/>
      <c r="L109" s="2521"/>
      <c r="M109" s="2521"/>
      <c r="N109" s="2521"/>
      <c r="O109" s="2521"/>
      <c r="P109" s="2521"/>
      <c r="Q109" s="2521"/>
      <c r="R109" s="2521"/>
      <c r="S109" s="2521"/>
      <c r="T109" s="2521"/>
      <c r="U109" s="2521"/>
      <c r="V109" s="2521"/>
      <c r="W109" s="2521"/>
      <c r="X109" s="2521"/>
      <c r="Y109" s="2521"/>
      <c r="Z109" s="2521"/>
    </row>
    <row r="110" spans="1:26" ht="16.5" customHeight="1">
      <c r="A110" s="2521"/>
      <c r="B110" s="2526"/>
      <c r="C110" s="2521"/>
      <c r="D110" s="2521"/>
      <c r="E110" s="2521"/>
      <c r="F110" s="2521"/>
      <c r="G110" s="2521"/>
      <c r="H110" s="2521"/>
      <c r="I110" s="2521"/>
      <c r="J110" s="2521"/>
      <c r="K110" s="2521"/>
      <c r="L110" s="2521"/>
      <c r="M110" s="2521"/>
      <c r="N110" s="2521"/>
      <c r="O110" s="2521"/>
      <c r="P110" s="2521"/>
      <c r="Q110" s="2521"/>
      <c r="R110" s="2521"/>
      <c r="S110" s="2521"/>
      <c r="T110" s="2521"/>
      <c r="U110" s="2521"/>
      <c r="V110" s="2521"/>
      <c r="W110" s="2521"/>
      <c r="X110" s="2521"/>
      <c r="Y110" s="2521"/>
      <c r="Z110" s="2521"/>
    </row>
    <row r="111" spans="1:26" ht="16.5" customHeight="1">
      <c r="A111" s="2521"/>
      <c r="B111" s="2526"/>
      <c r="C111" s="2521"/>
      <c r="D111" s="2521"/>
      <c r="E111" s="2521"/>
      <c r="F111" s="2521"/>
      <c r="G111" s="2521"/>
      <c r="H111" s="2521"/>
      <c r="I111" s="2521"/>
      <c r="J111" s="2521"/>
      <c r="K111" s="2521"/>
      <c r="L111" s="2521"/>
      <c r="M111" s="2521"/>
      <c r="N111" s="2521"/>
      <c r="O111" s="2521"/>
      <c r="P111" s="2521"/>
      <c r="Q111" s="2521"/>
      <c r="R111" s="2521"/>
      <c r="S111" s="2521"/>
      <c r="T111" s="2521"/>
      <c r="U111" s="2521"/>
      <c r="V111" s="2521"/>
      <c r="W111" s="2521"/>
      <c r="X111" s="2521"/>
      <c r="Y111" s="2521"/>
      <c r="Z111" s="2521"/>
    </row>
    <row r="112" spans="1:26" ht="16.5" customHeight="1">
      <c r="A112" s="2521"/>
      <c r="B112" s="2526"/>
      <c r="C112" s="2521"/>
      <c r="D112" s="2521"/>
      <c r="E112" s="2521"/>
      <c r="F112" s="2521"/>
      <c r="G112" s="2521"/>
      <c r="H112" s="2521"/>
      <c r="I112" s="2521"/>
      <c r="J112" s="2521"/>
      <c r="K112" s="2521"/>
      <c r="L112" s="2521"/>
      <c r="M112" s="2521"/>
      <c r="N112" s="2521"/>
      <c r="O112" s="2521"/>
      <c r="P112" s="2521"/>
      <c r="Q112" s="2521"/>
      <c r="R112" s="2521"/>
      <c r="S112" s="2521"/>
      <c r="T112" s="2521"/>
      <c r="U112" s="2521"/>
      <c r="V112" s="2521"/>
      <c r="W112" s="2521"/>
      <c r="X112" s="2521"/>
      <c r="Y112" s="2521"/>
      <c r="Z112" s="2521"/>
    </row>
    <row r="113" spans="1:26" ht="16.5" customHeight="1">
      <c r="A113" s="2521"/>
      <c r="B113" s="2526"/>
      <c r="C113" s="2521"/>
      <c r="D113" s="2521"/>
      <c r="E113" s="2521"/>
      <c r="F113" s="2521"/>
      <c r="G113" s="2521"/>
      <c r="H113" s="2521"/>
      <c r="I113" s="2521"/>
      <c r="J113" s="2521"/>
      <c r="K113" s="2521"/>
      <c r="L113" s="2521"/>
      <c r="M113" s="2521"/>
      <c r="N113" s="2521"/>
      <c r="O113" s="2521"/>
      <c r="P113" s="2521"/>
      <c r="Q113" s="2521"/>
      <c r="R113" s="2521"/>
      <c r="S113" s="2521"/>
      <c r="T113" s="2521"/>
      <c r="U113" s="2521"/>
      <c r="V113" s="2521"/>
      <c r="W113" s="2521"/>
      <c r="X113" s="2521"/>
      <c r="Y113" s="2521"/>
      <c r="Z113" s="2521"/>
    </row>
    <row r="114" spans="1:26" ht="16.5" customHeight="1">
      <c r="A114" s="2521"/>
      <c r="B114" s="2526"/>
      <c r="C114" s="2521"/>
      <c r="D114" s="2521"/>
      <c r="E114" s="2521"/>
      <c r="F114" s="2521"/>
      <c r="G114" s="2521"/>
      <c r="H114" s="2521"/>
      <c r="I114" s="2521"/>
      <c r="J114" s="2521"/>
      <c r="K114" s="2521"/>
      <c r="L114" s="2521"/>
      <c r="M114" s="2521"/>
      <c r="N114" s="2521"/>
      <c r="O114" s="2521"/>
      <c r="P114" s="2521"/>
      <c r="Q114" s="2521"/>
      <c r="R114" s="2521"/>
      <c r="S114" s="2521"/>
      <c r="T114" s="2521"/>
      <c r="U114" s="2521"/>
      <c r="V114" s="2521"/>
      <c r="W114" s="2521"/>
      <c r="X114" s="2521"/>
      <c r="Y114" s="2521"/>
      <c r="Z114" s="2521"/>
    </row>
    <row r="115" spans="1:26" ht="16.5" customHeight="1">
      <c r="A115" s="2521"/>
      <c r="B115" s="2526"/>
      <c r="C115" s="2521"/>
      <c r="D115" s="2521"/>
      <c r="E115" s="2521"/>
      <c r="F115" s="2521"/>
      <c r="G115" s="2521"/>
      <c r="H115" s="2521"/>
      <c r="I115" s="2521"/>
      <c r="J115" s="2521"/>
      <c r="K115" s="2521"/>
      <c r="L115" s="2521"/>
      <c r="M115" s="2521"/>
      <c r="N115" s="2521"/>
      <c r="O115" s="2521"/>
      <c r="P115" s="2521"/>
      <c r="Q115" s="2521"/>
      <c r="R115" s="2521"/>
      <c r="S115" s="2521"/>
      <c r="T115" s="2521"/>
      <c r="U115" s="2521"/>
      <c r="V115" s="2521"/>
      <c r="W115" s="2521"/>
      <c r="X115" s="2521"/>
      <c r="Y115" s="2521"/>
      <c r="Z115" s="2521"/>
    </row>
    <row r="116" spans="1:26" ht="16.5" customHeight="1">
      <c r="A116" s="2521"/>
      <c r="B116" s="2526"/>
      <c r="C116" s="2521"/>
      <c r="D116" s="2521"/>
      <c r="E116" s="2521"/>
      <c r="F116" s="2521"/>
      <c r="G116" s="2521"/>
      <c r="H116" s="2521"/>
      <c r="I116" s="2521"/>
      <c r="J116" s="2521"/>
      <c r="K116" s="2521"/>
      <c r="L116" s="2521"/>
      <c r="M116" s="2521"/>
      <c r="N116" s="2521"/>
      <c r="O116" s="2521"/>
      <c r="P116" s="2521"/>
      <c r="Q116" s="2521"/>
      <c r="R116" s="2521"/>
      <c r="S116" s="2521"/>
      <c r="T116" s="2521"/>
      <c r="U116" s="2521"/>
      <c r="V116" s="2521"/>
      <c r="W116" s="2521"/>
      <c r="X116" s="2521"/>
      <c r="Y116" s="2521"/>
      <c r="Z116" s="2521"/>
    </row>
    <row r="117" spans="1:26" ht="16.5" customHeight="1">
      <c r="A117" s="2521"/>
      <c r="B117" s="2526"/>
      <c r="C117" s="2521"/>
      <c r="D117" s="2521"/>
      <c r="E117" s="2521"/>
      <c r="F117" s="2521"/>
      <c r="G117" s="2521"/>
      <c r="H117" s="2521"/>
      <c r="I117" s="2521"/>
      <c r="J117" s="2521"/>
      <c r="K117" s="2521"/>
      <c r="L117" s="2521"/>
      <c r="M117" s="2521"/>
      <c r="N117" s="2521"/>
      <c r="O117" s="2521"/>
      <c r="P117" s="2521"/>
      <c r="Q117" s="2521"/>
      <c r="R117" s="2521"/>
      <c r="S117" s="2521"/>
      <c r="T117" s="2521"/>
      <c r="U117" s="2521"/>
      <c r="V117" s="2521"/>
      <c r="W117" s="2521"/>
      <c r="X117" s="2521"/>
      <c r="Y117" s="2521"/>
      <c r="Z117" s="2521"/>
    </row>
    <row r="118" spans="1:26" ht="16.5" customHeight="1">
      <c r="A118" s="2521"/>
      <c r="B118" s="2526"/>
      <c r="C118" s="2521"/>
      <c r="D118" s="2521"/>
      <c r="E118" s="2521"/>
      <c r="F118" s="2521"/>
      <c r="G118" s="2521"/>
      <c r="H118" s="2521"/>
      <c r="I118" s="2521"/>
      <c r="J118" s="2521"/>
      <c r="K118" s="2521"/>
      <c r="L118" s="2521"/>
      <c r="M118" s="2521"/>
      <c r="N118" s="2521"/>
      <c r="O118" s="2521"/>
      <c r="P118" s="2521"/>
      <c r="Q118" s="2521"/>
      <c r="R118" s="2521"/>
      <c r="S118" s="2521"/>
      <c r="T118" s="2521"/>
      <c r="U118" s="2521"/>
      <c r="V118" s="2521"/>
      <c r="W118" s="2521"/>
      <c r="X118" s="2521"/>
      <c r="Y118" s="2521"/>
      <c r="Z118" s="2521"/>
    </row>
    <row r="119" spans="1:26" ht="16.5" customHeight="1">
      <c r="A119" s="2521"/>
      <c r="B119" s="2526"/>
      <c r="C119" s="2521"/>
      <c r="D119" s="2521"/>
      <c r="E119" s="2521"/>
      <c r="F119" s="2521"/>
      <c r="G119" s="2521"/>
      <c r="H119" s="2521"/>
      <c r="I119" s="2521"/>
      <c r="J119" s="2521"/>
      <c r="K119" s="2521"/>
      <c r="L119" s="2521"/>
      <c r="M119" s="2521"/>
      <c r="N119" s="2521"/>
      <c r="O119" s="2521"/>
      <c r="P119" s="2521"/>
      <c r="Q119" s="2521"/>
      <c r="R119" s="2521"/>
      <c r="S119" s="2521"/>
      <c r="T119" s="2521"/>
      <c r="U119" s="2521"/>
      <c r="V119" s="2521"/>
      <c r="W119" s="2521"/>
      <c r="X119" s="2521"/>
      <c r="Y119" s="2521"/>
      <c r="Z119" s="2521"/>
    </row>
    <row r="120" spans="1:26" ht="16.5" customHeight="1">
      <c r="A120" s="2521"/>
      <c r="B120" s="2526"/>
      <c r="C120" s="2521"/>
      <c r="D120" s="2521"/>
      <c r="E120" s="2521"/>
      <c r="F120" s="2521"/>
      <c r="G120" s="2521"/>
      <c r="H120" s="2521"/>
      <c r="I120" s="2521"/>
      <c r="J120" s="2521"/>
      <c r="K120" s="2521"/>
      <c r="L120" s="2521"/>
      <c r="M120" s="2521"/>
      <c r="N120" s="2521"/>
      <c r="O120" s="2521"/>
      <c r="P120" s="2521"/>
      <c r="Q120" s="2521"/>
      <c r="R120" s="2521"/>
      <c r="S120" s="2521"/>
      <c r="T120" s="2521"/>
      <c r="U120" s="2521"/>
      <c r="V120" s="2521"/>
      <c r="W120" s="2521"/>
      <c r="X120" s="2521"/>
      <c r="Y120" s="2521"/>
      <c r="Z120" s="2521"/>
    </row>
    <row r="121" spans="1:26" ht="16.5" customHeight="1">
      <c r="A121" s="2521"/>
      <c r="B121" s="2526"/>
      <c r="C121" s="2521"/>
      <c r="D121" s="2521"/>
      <c r="E121" s="2521"/>
      <c r="F121" s="2521"/>
      <c r="G121" s="2521"/>
      <c r="H121" s="2521"/>
      <c r="I121" s="2521"/>
      <c r="J121" s="2521"/>
      <c r="K121" s="2521"/>
      <c r="L121" s="2521"/>
      <c r="M121" s="2521"/>
      <c r="N121" s="2521"/>
      <c r="O121" s="2521"/>
      <c r="P121" s="2521"/>
      <c r="Q121" s="2521"/>
      <c r="R121" s="2521"/>
      <c r="S121" s="2521"/>
      <c r="T121" s="2521"/>
      <c r="U121" s="2521"/>
      <c r="V121" s="2521"/>
      <c r="W121" s="2521"/>
      <c r="X121" s="2521"/>
      <c r="Y121" s="2521"/>
      <c r="Z121" s="2521"/>
    </row>
    <row r="122" spans="1:26" ht="16.5" customHeight="1">
      <c r="A122" s="2521"/>
      <c r="B122" s="2526"/>
      <c r="C122" s="2521"/>
      <c r="D122" s="2521"/>
      <c r="E122" s="2521"/>
      <c r="F122" s="2521"/>
      <c r="G122" s="2521"/>
      <c r="H122" s="2521"/>
      <c r="I122" s="2521"/>
      <c r="J122" s="2521"/>
      <c r="K122" s="2521"/>
      <c r="L122" s="2521"/>
      <c r="M122" s="2521"/>
      <c r="N122" s="2521"/>
      <c r="O122" s="2521"/>
      <c r="P122" s="2521"/>
      <c r="Q122" s="2521"/>
      <c r="R122" s="2521"/>
      <c r="S122" s="2521"/>
      <c r="T122" s="2521"/>
      <c r="U122" s="2521"/>
      <c r="V122" s="2521"/>
      <c r="W122" s="2521"/>
      <c r="X122" s="2521"/>
      <c r="Y122" s="2521"/>
      <c r="Z122" s="2521"/>
    </row>
    <row r="123" spans="1:26" ht="16.5" customHeight="1">
      <c r="A123" s="2521"/>
      <c r="B123" s="2526"/>
      <c r="C123" s="2521"/>
      <c r="D123" s="2521"/>
      <c r="E123" s="2521"/>
      <c r="F123" s="2521"/>
      <c r="G123" s="2521"/>
      <c r="H123" s="2521"/>
      <c r="I123" s="2521"/>
      <c r="J123" s="2521"/>
      <c r="K123" s="2521"/>
      <c r="L123" s="2521"/>
      <c r="M123" s="2521"/>
      <c r="N123" s="2521"/>
      <c r="O123" s="2521"/>
      <c r="P123" s="2521"/>
      <c r="Q123" s="2521"/>
      <c r="R123" s="2521"/>
      <c r="S123" s="2521"/>
      <c r="T123" s="2521"/>
      <c r="U123" s="2521"/>
      <c r="V123" s="2521"/>
      <c r="W123" s="2521"/>
      <c r="X123" s="2521"/>
      <c r="Y123" s="2521"/>
      <c r="Z123" s="2521"/>
    </row>
    <row r="124" spans="1:26" ht="16.5" customHeight="1">
      <c r="A124" s="2521"/>
      <c r="B124" s="2526"/>
      <c r="C124" s="2521"/>
      <c r="D124" s="2521"/>
      <c r="E124" s="2521"/>
      <c r="F124" s="2521"/>
      <c r="G124" s="2521"/>
      <c r="H124" s="2521"/>
      <c r="I124" s="2521"/>
      <c r="J124" s="2521"/>
      <c r="K124" s="2521"/>
      <c r="L124" s="2521"/>
      <c r="M124" s="2521"/>
      <c r="N124" s="2521"/>
      <c r="O124" s="2521"/>
      <c r="P124" s="2521"/>
      <c r="Q124" s="2521"/>
      <c r="R124" s="2521"/>
      <c r="S124" s="2521"/>
      <c r="T124" s="2521"/>
      <c r="U124" s="2521"/>
      <c r="V124" s="2521"/>
      <c r="W124" s="2521"/>
      <c r="X124" s="2521"/>
      <c r="Y124" s="2521"/>
      <c r="Z124" s="2521"/>
    </row>
    <row r="125" spans="1:26" ht="16.5" customHeight="1">
      <c r="A125" s="2521"/>
      <c r="B125" s="2526"/>
      <c r="C125" s="2521"/>
      <c r="D125" s="2521"/>
      <c r="E125" s="2521"/>
      <c r="F125" s="2521"/>
      <c r="G125" s="2521"/>
      <c r="H125" s="2521"/>
      <c r="I125" s="2521"/>
      <c r="J125" s="2521"/>
      <c r="K125" s="2521"/>
      <c r="L125" s="2521"/>
      <c r="M125" s="2521"/>
      <c r="N125" s="2521"/>
      <c r="O125" s="2521"/>
      <c r="P125" s="2521"/>
      <c r="Q125" s="2521"/>
      <c r="R125" s="2521"/>
      <c r="S125" s="2521"/>
      <c r="T125" s="2521"/>
      <c r="U125" s="2521"/>
      <c r="V125" s="2521"/>
      <c r="W125" s="2521"/>
      <c r="X125" s="2521"/>
      <c r="Y125" s="2521"/>
      <c r="Z125" s="2521"/>
    </row>
    <row r="126" spans="1:26" ht="16.5" customHeight="1">
      <c r="A126" s="2521"/>
      <c r="B126" s="2526"/>
      <c r="C126" s="2521"/>
      <c r="D126" s="2521"/>
      <c r="E126" s="2521"/>
      <c r="F126" s="2521"/>
      <c r="G126" s="2521"/>
      <c r="H126" s="2521"/>
      <c r="I126" s="2521"/>
      <c r="J126" s="2521"/>
      <c r="K126" s="2521"/>
      <c r="L126" s="2521"/>
      <c r="M126" s="2521"/>
      <c r="N126" s="2521"/>
      <c r="O126" s="2521"/>
      <c r="P126" s="2521"/>
      <c r="Q126" s="2521"/>
      <c r="R126" s="2521"/>
      <c r="S126" s="2521"/>
      <c r="T126" s="2521"/>
      <c r="U126" s="2521"/>
      <c r="V126" s="2521"/>
      <c r="W126" s="2521"/>
      <c r="X126" s="2521"/>
      <c r="Y126" s="2521"/>
      <c r="Z126" s="2521"/>
    </row>
    <row r="127" spans="1:26" ht="16.5" customHeight="1">
      <c r="A127" s="2521"/>
      <c r="B127" s="2526"/>
      <c r="C127" s="2521"/>
      <c r="D127" s="2521"/>
      <c r="E127" s="2521"/>
      <c r="F127" s="2521"/>
      <c r="G127" s="2521"/>
      <c r="H127" s="2521"/>
      <c r="I127" s="2521"/>
      <c r="J127" s="2521"/>
      <c r="K127" s="2521"/>
      <c r="L127" s="2521"/>
      <c r="M127" s="2521"/>
      <c r="N127" s="2521"/>
      <c r="O127" s="2521"/>
      <c r="P127" s="2521"/>
      <c r="Q127" s="2521"/>
      <c r="R127" s="2521"/>
      <c r="S127" s="2521"/>
      <c r="T127" s="2521"/>
      <c r="U127" s="2521"/>
      <c r="V127" s="2521"/>
      <c r="W127" s="2521"/>
      <c r="X127" s="2521"/>
      <c r="Y127" s="2521"/>
      <c r="Z127" s="2521"/>
    </row>
    <row r="128" spans="1:26" ht="16.5" customHeight="1">
      <c r="A128" s="2521"/>
      <c r="B128" s="2526"/>
      <c r="C128" s="2521"/>
      <c r="D128" s="2521"/>
      <c r="E128" s="2521"/>
      <c r="F128" s="2521"/>
      <c r="G128" s="2521"/>
      <c r="H128" s="2521"/>
      <c r="I128" s="2521"/>
      <c r="J128" s="2521"/>
      <c r="K128" s="2521"/>
      <c r="L128" s="2521"/>
      <c r="M128" s="2521"/>
      <c r="N128" s="2521"/>
      <c r="O128" s="2521"/>
      <c r="P128" s="2521"/>
      <c r="Q128" s="2521"/>
      <c r="R128" s="2521"/>
      <c r="S128" s="2521"/>
      <c r="T128" s="2521"/>
      <c r="U128" s="2521"/>
      <c r="V128" s="2521"/>
      <c r="W128" s="2521"/>
      <c r="X128" s="2521"/>
      <c r="Y128" s="2521"/>
      <c r="Z128" s="2521"/>
    </row>
    <row r="129" spans="1:26" ht="16.5" customHeight="1">
      <c r="A129" s="2521"/>
      <c r="B129" s="2526"/>
      <c r="C129" s="2521"/>
      <c r="D129" s="2521"/>
      <c r="E129" s="2521"/>
      <c r="F129" s="2521"/>
      <c r="G129" s="2521"/>
      <c r="H129" s="2521"/>
      <c r="I129" s="2521"/>
      <c r="J129" s="2521"/>
      <c r="K129" s="2521"/>
      <c r="L129" s="2521"/>
      <c r="M129" s="2521"/>
      <c r="N129" s="2521"/>
      <c r="O129" s="2521"/>
      <c r="P129" s="2521"/>
      <c r="Q129" s="2521"/>
      <c r="R129" s="2521"/>
      <c r="S129" s="2521"/>
      <c r="T129" s="2521"/>
      <c r="U129" s="2521"/>
      <c r="V129" s="2521"/>
      <c r="W129" s="2521"/>
      <c r="X129" s="2521"/>
      <c r="Y129" s="2521"/>
      <c r="Z129" s="2521"/>
    </row>
    <row r="130" spans="1:26" ht="16.5" customHeight="1">
      <c r="A130" s="2521"/>
      <c r="B130" s="2526"/>
      <c r="C130" s="2521"/>
      <c r="D130" s="2521"/>
      <c r="E130" s="2521"/>
      <c r="F130" s="2521"/>
      <c r="G130" s="2521"/>
      <c r="H130" s="2521"/>
      <c r="I130" s="2521"/>
      <c r="J130" s="2521"/>
      <c r="K130" s="2521"/>
      <c r="L130" s="2521"/>
      <c r="M130" s="2521"/>
      <c r="N130" s="2521"/>
      <c r="O130" s="2521"/>
      <c r="P130" s="2521"/>
      <c r="Q130" s="2521"/>
      <c r="R130" s="2521"/>
      <c r="S130" s="2521"/>
      <c r="T130" s="2521"/>
      <c r="U130" s="2521"/>
      <c r="V130" s="2521"/>
      <c r="W130" s="2521"/>
      <c r="X130" s="2521"/>
      <c r="Y130" s="2521"/>
      <c r="Z130" s="2521"/>
    </row>
    <row r="131" spans="1:26" ht="16.5" customHeight="1">
      <c r="A131" s="2521"/>
      <c r="B131" s="2526"/>
      <c r="C131" s="2521"/>
      <c r="D131" s="2521"/>
      <c r="E131" s="2521"/>
      <c r="F131" s="2521"/>
      <c r="G131" s="2521"/>
      <c r="H131" s="2521"/>
      <c r="I131" s="2521"/>
      <c r="J131" s="2521"/>
      <c r="K131" s="2521"/>
      <c r="L131" s="2521"/>
      <c r="M131" s="2521"/>
      <c r="N131" s="2521"/>
      <c r="O131" s="2521"/>
      <c r="P131" s="2521"/>
      <c r="Q131" s="2521"/>
      <c r="R131" s="2521"/>
      <c r="S131" s="2521"/>
      <c r="T131" s="2521"/>
      <c r="U131" s="2521"/>
      <c r="V131" s="2521"/>
      <c r="W131" s="2521"/>
      <c r="X131" s="2521"/>
      <c r="Y131" s="2521"/>
      <c r="Z131" s="2521"/>
    </row>
    <row r="132" spans="1:26" ht="16.5" customHeight="1">
      <c r="A132" s="2521"/>
      <c r="B132" s="2526"/>
      <c r="C132" s="2521"/>
      <c r="D132" s="2521"/>
      <c r="E132" s="2521"/>
      <c r="F132" s="2521"/>
      <c r="G132" s="2521"/>
      <c r="H132" s="2521"/>
      <c r="I132" s="2521"/>
      <c r="J132" s="2521"/>
      <c r="K132" s="2521"/>
      <c r="L132" s="2521"/>
      <c r="M132" s="2521"/>
      <c r="N132" s="2521"/>
      <c r="O132" s="2521"/>
      <c r="P132" s="2521"/>
      <c r="Q132" s="2521"/>
      <c r="R132" s="2521"/>
      <c r="S132" s="2521"/>
      <c r="T132" s="2521"/>
      <c r="U132" s="2521"/>
      <c r="V132" s="2521"/>
      <c r="W132" s="2521"/>
      <c r="X132" s="2521"/>
      <c r="Y132" s="2521"/>
      <c r="Z132" s="2521"/>
    </row>
    <row r="133" spans="1:26" ht="16.5" customHeight="1">
      <c r="A133" s="2521"/>
      <c r="B133" s="2526"/>
      <c r="C133" s="2521"/>
      <c r="D133" s="2521"/>
      <c r="E133" s="2521"/>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row>
    <row r="134" spans="1:26" ht="16.5" customHeight="1">
      <c r="A134" s="2521"/>
      <c r="B134" s="2526"/>
      <c r="C134" s="2521"/>
      <c r="D134" s="2521"/>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row>
    <row r="135" spans="1:26" ht="16.5" customHeight="1">
      <c r="A135" s="2521"/>
      <c r="B135" s="2526"/>
      <c r="C135" s="2521"/>
      <c r="D135" s="2521"/>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row>
    <row r="136" spans="1:26" ht="16.5" customHeight="1">
      <c r="A136" s="2521"/>
      <c r="B136" s="2526"/>
      <c r="C136" s="2521"/>
      <c r="D136" s="2521"/>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row>
    <row r="137" spans="1:26" ht="16.5" customHeight="1">
      <c r="A137" s="2521"/>
      <c r="B137" s="2526"/>
      <c r="C137" s="2521"/>
      <c r="D137" s="2521"/>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row>
    <row r="138" spans="1:26" ht="16.5" customHeight="1">
      <c r="A138" s="2521"/>
      <c r="B138" s="2526"/>
      <c r="C138" s="2521"/>
      <c r="D138" s="2521"/>
      <c r="E138" s="2521"/>
      <c r="F138" s="2521"/>
      <c r="G138" s="2521"/>
      <c r="H138" s="2521"/>
      <c r="I138" s="2521"/>
      <c r="J138" s="2521"/>
      <c r="K138" s="2521"/>
      <c r="L138" s="2521"/>
      <c r="M138" s="2521"/>
      <c r="N138" s="2521"/>
      <c r="O138" s="2521"/>
      <c r="P138" s="2521"/>
      <c r="Q138" s="2521"/>
      <c r="R138" s="2521"/>
      <c r="S138" s="2521"/>
      <c r="T138" s="2521"/>
      <c r="U138" s="2521"/>
      <c r="V138" s="2521"/>
      <c r="W138" s="2521"/>
      <c r="X138" s="2521"/>
      <c r="Y138" s="2521"/>
      <c r="Z138" s="2521"/>
    </row>
    <row r="139" spans="1:26" ht="16.5" customHeight="1">
      <c r="A139" s="2521"/>
      <c r="B139" s="2526"/>
      <c r="C139" s="2521"/>
      <c r="D139" s="2521"/>
      <c r="E139" s="2521"/>
      <c r="F139" s="2521"/>
      <c r="G139" s="2521"/>
      <c r="H139" s="2521"/>
      <c r="I139" s="2521"/>
      <c r="J139" s="2521"/>
      <c r="K139" s="2521"/>
      <c r="L139" s="2521"/>
      <c r="M139" s="2521"/>
      <c r="N139" s="2521"/>
      <c r="O139" s="2521"/>
      <c r="P139" s="2521"/>
      <c r="Q139" s="2521"/>
      <c r="R139" s="2521"/>
      <c r="S139" s="2521"/>
      <c r="T139" s="2521"/>
      <c r="U139" s="2521"/>
      <c r="V139" s="2521"/>
      <c r="W139" s="2521"/>
      <c r="X139" s="2521"/>
      <c r="Y139" s="2521"/>
      <c r="Z139" s="2521"/>
    </row>
    <row r="140" spans="1:26" ht="16.5" customHeight="1">
      <c r="A140" s="2521"/>
      <c r="B140" s="2526"/>
      <c r="C140" s="2521"/>
      <c r="D140" s="2521"/>
      <c r="E140" s="2521"/>
      <c r="F140" s="2521"/>
      <c r="G140" s="2521"/>
      <c r="H140" s="2521"/>
      <c r="I140" s="2521"/>
      <c r="J140" s="2521"/>
      <c r="K140" s="2521"/>
      <c r="L140" s="2521"/>
      <c r="M140" s="2521"/>
      <c r="N140" s="2521"/>
      <c r="O140" s="2521"/>
      <c r="P140" s="2521"/>
      <c r="Q140" s="2521"/>
      <c r="R140" s="2521"/>
      <c r="S140" s="2521"/>
      <c r="T140" s="2521"/>
      <c r="U140" s="2521"/>
      <c r="V140" s="2521"/>
      <c r="W140" s="2521"/>
      <c r="X140" s="2521"/>
      <c r="Y140" s="2521"/>
      <c r="Z140" s="2521"/>
    </row>
    <row r="141" spans="1:26" ht="16.5" customHeight="1">
      <c r="A141" s="2521"/>
      <c r="B141" s="2526"/>
      <c r="C141" s="2521"/>
      <c r="D141" s="2521"/>
      <c r="E141" s="2521"/>
      <c r="F141" s="2521"/>
      <c r="G141" s="2521"/>
      <c r="H141" s="2521"/>
      <c r="I141" s="2521"/>
      <c r="J141" s="2521"/>
      <c r="K141" s="2521"/>
      <c r="L141" s="2521"/>
      <c r="M141" s="2521"/>
      <c r="N141" s="2521"/>
      <c r="O141" s="2521"/>
      <c r="P141" s="2521"/>
      <c r="Q141" s="2521"/>
      <c r="R141" s="2521"/>
      <c r="S141" s="2521"/>
      <c r="T141" s="2521"/>
      <c r="U141" s="2521"/>
      <c r="V141" s="2521"/>
      <c r="W141" s="2521"/>
      <c r="X141" s="2521"/>
      <c r="Y141" s="2521"/>
      <c r="Z141" s="2521"/>
    </row>
    <row r="142" spans="1:26" ht="16.5" customHeight="1">
      <c r="A142" s="2521"/>
      <c r="B142" s="2526"/>
      <c r="C142" s="2521"/>
      <c r="D142" s="2521"/>
      <c r="E142" s="2521"/>
      <c r="F142" s="2521"/>
      <c r="G142" s="2521"/>
      <c r="H142" s="2521"/>
      <c r="I142" s="2521"/>
      <c r="J142" s="2521"/>
      <c r="K142" s="2521"/>
      <c r="L142" s="2521"/>
      <c r="M142" s="2521"/>
      <c r="N142" s="2521"/>
      <c r="O142" s="2521"/>
      <c r="P142" s="2521"/>
      <c r="Q142" s="2521"/>
      <c r="R142" s="2521"/>
      <c r="S142" s="2521"/>
      <c r="T142" s="2521"/>
      <c r="U142" s="2521"/>
      <c r="V142" s="2521"/>
      <c r="W142" s="2521"/>
      <c r="X142" s="2521"/>
      <c r="Y142" s="2521"/>
      <c r="Z142" s="2521"/>
    </row>
    <row r="143" spans="1:26" ht="16.5" customHeight="1">
      <c r="A143" s="2521"/>
      <c r="B143" s="2526"/>
      <c r="C143" s="2521"/>
      <c r="D143" s="2521"/>
      <c r="E143" s="2521"/>
      <c r="F143" s="2521"/>
      <c r="G143" s="2521"/>
      <c r="H143" s="2521"/>
      <c r="I143" s="2521"/>
      <c r="J143" s="2521"/>
      <c r="K143" s="2521"/>
      <c r="L143" s="2521"/>
      <c r="M143" s="2521"/>
      <c r="N143" s="2521"/>
      <c r="O143" s="2521"/>
      <c r="P143" s="2521"/>
      <c r="Q143" s="2521"/>
      <c r="R143" s="2521"/>
      <c r="S143" s="2521"/>
      <c r="T143" s="2521"/>
      <c r="U143" s="2521"/>
      <c r="V143" s="2521"/>
      <c r="W143" s="2521"/>
      <c r="X143" s="2521"/>
      <c r="Y143" s="2521"/>
      <c r="Z143" s="2521"/>
    </row>
    <row r="144" spans="1:26" ht="16.5" customHeight="1">
      <c r="A144" s="2521"/>
      <c r="B144" s="2526"/>
      <c r="C144" s="2521"/>
      <c r="D144" s="2521"/>
      <c r="E144" s="2521"/>
      <c r="F144" s="2521"/>
      <c r="G144" s="2521"/>
      <c r="H144" s="2521"/>
      <c r="I144" s="2521"/>
      <c r="J144" s="2521"/>
      <c r="K144" s="2521"/>
      <c r="L144" s="2521"/>
      <c r="M144" s="2521"/>
      <c r="N144" s="2521"/>
      <c r="O144" s="2521"/>
      <c r="P144" s="2521"/>
      <c r="Q144" s="2521"/>
      <c r="R144" s="2521"/>
      <c r="S144" s="2521"/>
      <c r="T144" s="2521"/>
      <c r="U144" s="2521"/>
      <c r="V144" s="2521"/>
      <c r="W144" s="2521"/>
      <c r="X144" s="2521"/>
      <c r="Y144" s="2521"/>
      <c r="Z144" s="2521"/>
    </row>
    <row r="145" spans="1:26" ht="16.5" customHeight="1">
      <c r="A145" s="2521"/>
      <c r="B145" s="2526"/>
      <c r="C145" s="2521"/>
      <c r="D145" s="2521"/>
      <c r="E145" s="2521"/>
      <c r="F145" s="2521"/>
      <c r="G145" s="2521"/>
      <c r="H145" s="2521"/>
      <c r="I145" s="2521"/>
      <c r="J145" s="2521"/>
      <c r="K145" s="2521"/>
      <c r="L145" s="2521"/>
      <c r="M145" s="2521"/>
      <c r="N145" s="2521"/>
      <c r="O145" s="2521"/>
      <c r="P145" s="2521"/>
      <c r="Q145" s="2521"/>
      <c r="R145" s="2521"/>
      <c r="S145" s="2521"/>
      <c r="T145" s="2521"/>
      <c r="U145" s="2521"/>
      <c r="V145" s="2521"/>
      <c r="W145" s="2521"/>
      <c r="X145" s="2521"/>
      <c r="Y145" s="2521"/>
      <c r="Z145" s="2521"/>
    </row>
    <row r="146" spans="1:26" ht="16.5" customHeight="1">
      <c r="A146" s="2521"/>
      <c r="B146" s="2526"/>
      <c r="C146" s="2521"/>
      <c r="D146" s="2521"/>
      <c r="E146" s="2521"/>
      <c r="F146" s="2521"/>
      <c r="G146" s="2521"/>
      <c r="H146" s="2521"/>
      <c r="I146" s="2521"/>
      <c r="J146" s="2521"/>
      <c r="K146" s="2521"/>
      <c r="L146" s="2521"/>
      <c r="M146" s="2521"/>
      <c r="N146" s="2521"/>
      <c r="O146" s="2521"/>
      <c r="P146" s="2521"/>
      <c r="Q146" s="2521"/>
      <c r="R146" s="2521"/>
      <c r="S146" s="2521"/>
      <c r="T146" s="2521"/>
      <c r="U146" s="2521"/>
      <c r="V146" s="2521"/>
      <c r="W146" s="2521"/>
      <c r="X146" s="2521"/>
      <c r="Y146" s="2521"/>
      <c r="Z146" s="2521"/>
    </row>
    <row r="147" spans="1:26" ht="16.5" customHeight="1">
      <c r="A147" s="2521"/>
      <c r="B147" s="2526"/>
      <c r="C147" s="2521"/>
      <c r="D147" s="2521"/>
      <c r="E147" s="2521"/>
      <c r="F147" s="2521"/>
      <c r="G147" s="2521"/>
      <c r="H147" s="2521"/>
      <c r="I147" s="2521"/>
      <c r="J147" s="2521"/>
      <c r="K147" s="2521"/>
      <c r="L147" s="2521"/>
      <c r="M147" s="2521"/>
      <c r="N147" s="2521"/>
      <c r="O147" s="2521"/>
      <c r="P147" s="2521"/>
      <c r="Q147" s="2521"/>
      <c r="R147" s="2521"/>
      <c r="S147" s="2521"/>
      <c r="T147" s="2521"/>
      <c r="U147" s="2521"/>
      <c r="V147" s="2521"/>
      <c r="W147" s="2521"/>
      <c r="X147" s="2521"/>
      <c r="Y147" s="2521"/>
      <c r="Z147" s="2521"/>
    </row>
    <row r="148" spans="1:26" ht="16.5" customHeight="1">
      <c r="A148" s="2521"/>
      <c r="B148" s="2526"/>
      <c r="C148" s="2521"/>
      <c r="D148" s="2521"/>
      <c r="E148" s="2521"/>
      <c r="F148" s="2521"/>
      <c r="G148" s="2521"/>
      <c r="H148" s="2521"/>
      <c r="I148" s="2521"/>
      <c r="J148" s="2521"/>
      <c r="K148" s="2521"/>
      <c r="L148" s="2521"/>
      <c r="M148" s="2521"/>
      <c r="N148" s="2521"/>
      <c r="O148" s="2521"/>
      <c r="P148" s="2521"/>
      <c r="Q148" s="2521"/>
      <c r="R148" s="2521"/>
      <c r="S148" s="2521"/>
      <c r="T148" s="2521"/>
      <c r="U148" s="2521"/>
      <c r="V148" s="2521"/>
      <c r="W148" s="2521"/>
      <c r="X148" s="2521"/>
      <c r="Y148" s="2521"/>
      <c r="Z148" s="2521"/>
    </row>
    <row r="149" spans="1:26" ht="16.5" customHeight="1">
      <c r="A149" s="2521"/>
      <c r="B149" s="2526"/>
      <c r="C149" s="2521"/>
      <c r="D149" s="2521"/>
      <c r="E149" s="2521"/>
      <c r="F149" s="2521"/>
      <c r="G149" s="2521"/>
      <c r="H149" s="2521"/>
      <c r="I149" s="2521"/>
      <c r="J149" s="2521"/>
      <c r="K149" s="2521"/>
      <c r="L149" s="2521"/>
      <c r="M149" s="2521"/>
      <c r="N149" s="2521"/>
      <c r="O149" s="2521"/>
      <c r="P149" s="2521"/>
      <c r="Q149" s="2521"/>
      <c r="R149" s="2521"/>
      <c r="S149" s="2521"/>
      <c r="T149" s="2521"/>
      <c r="U149" s="2521"/>
      <c r="V149" s="2521"/>
      <c r="W149" s="2521"/>
      <c r="X149" s="2521"/>
      <c r="Y149" s="2521"/>
      <c r="Z149" s="2521"/>
    </row>
    <row r="150" spans="1:26" ht="16.5" customHeight="1">
      <c r="A150" s="2521"/>
      <c r="B150" s="2526"/>
      <c r="C150" s="2521"/>
      <c r="D150" s="2521"/>
      <c r="E150" s="2521"/>
      <c r="F150" s="2521"/>
      <c r="G150" s="2521"/>
      <c r="H150" s="2521"/>
      <c r="I150" s="2521"/>
      <c r="J150" s="2521"/>
      <c r="K150" s="2521"/>
      <c r="L150" s="2521"/>
      <c r="M150" s="2521"/>
      <c r="N150" s="2521"/>
      <c r="O150" s="2521"/>
      <c r="P150" s="2521"/>
      <c r="Q150" s="2521"/>
      <c r="R150" s="2521"/>
      <c r="S150" s="2521"/>
      <c r="T150" s="2521"/>
      <c r="U150" s="2521"/>
      <c r="V150" s="2521"/>
      <c r="W150" s="2521"/>
      <c r="X150" s="2521"/>
      <c r="Y150" s="2521"/>
      <c r="Z150" s="2521"/>
    </row>
    <row r="151" spans="1:26" ht="16.5" customHeight="1">
      <c r="A151" s="2521"/>
      <c r="B151" s="2526"/>
      <c r="C151" s="2521"/>
      <c r="D151" s="2521"/>
      <c r="E151" s="2521"/>
      <c r="F151" s="2521"/>
      <c r="G151" s="2521"/>
      <c r="H151" s="2521"/>
      <c r="I151" s="2521"/>
      <c r="J151" s="2521"/>
      <c r="K151" s="2521"/>
      <c r="L151" s="2521"/>
      <c r="M151" s="2521"/>
      <c r="N151" s="2521"/>
      <c r="O151" s="2521"/>
      <c r="P151" s="2521"/>
      <c r="Q151" s="2521"/>
      <c r="R151" s="2521"/>
      <c r="S151" s="2521"/>
      <c r="T151" s="2521"/>
      <c r="U151" s="2521"/>
      <c r="V151" s="2521"/>
      <c r="W151" s="2521"/>
      <c r="X151" s="2521"/>
      <c r="Y151" s="2521"/>
      <c r="Z151" s="2521"/>
    </row>
    <row r="152" spans="1:26" ht="16.5" customHeight="1">
      <c r="A152" s="2521"/>
      <c r="B152" s="2526"/>
      <c r="C152" s="2521"/>
      <c r="D152" s="2521"/>
      <c r="E152" s="2521"/>
      <c r="F152" s="2521"/>
      <c r="G152" s="2521"/>
      <c r="H152" s="2521"/>
      <c r="I152" s="2521"/>
      <c r="J152" s="2521"/>
      <c r="K152" s="2521"/>
      <c r="L152" s="2521"/>
      <c r="M152" s="2521"/>
      <c r="N152" s="2521"/>
      <c r="O152" s="2521"/>
      <c r="P152" s="2521"/>
      <c r="Q152" s="2521"/>
      <c r="R152" s="2521"/>
      <c r="S152" s="2521"/>
      <c r="T152" s="2521"/>
      <c r="U152" s="2521"/>
      <c r="V152" s="2521"/>
      <c r="W152" s="2521"/>
      <c r="X152" s="2521"/>
      <c r="Y152" s="2521"/>
      <c r="Z152" s="2521"/>
    </row>
    <row r="153" spans="1:26" ht="16.5" customHeight="1">
      <c r="A153" s="2521"/>
      <c r="B153" s="2526"/>
      <c r="C153" s="2521"/>
      <c r="D153" s="2521"/>
      <c r="E153" s="2521"/>
      <c r="F153" s="2521"/>
      <c r="G153" s="2521"/>
      <c r="H153" s="2521"/>
      <c r="I153" s="2521"/>
      <c r="J153" s="2521"/>
      <c r="K153" s="2521"/>
      <c r="L153" s="2521"/>
      <c r="M153" s="2521"/>
      <c r="N153" s="2521"/>
      <c r="O153" s="2521"/>
      <c r="P153" s="2521"/>
      <c r="Q153" s="2521"/>
      <c r="R153" s="2521"/>
      <c r="S153" s="2521"/>
      <c r="T153" s="2521"/>
      <c r="U153" s="2521"/>
      <c r="V153" s="2521"/>
      <c r="W153" s="2521"/>
      <c r="X153" s="2521"/>
      <c r="Y153" s="2521"/>
      <c r="Z153" s="2521"/>
    </row>
    <row r="154" spans="1:26" ht="16.5" customHeight="1">
      <c r="A154" s="2521"/>
      <c r="B154" s="2526"/>
      <c r="C154" s="2521"/>
      <c r="D154" s="2521"/>
      <c r="E154" s="2521"/>
      <c r="F154" s="2521"/>
      <c r="G154" s="2521"/>
      <c r="H154" s="2521"/>
      <c r="I154" s="2521"/>
      <c r="J154" s="2521"/>
      <c r="K154" s="2521"/>
      <c r="L154" s="2521"/>
      <c r="M154" s="2521"/>
      <c r="N154" s="2521"/>
      <c r="O154" s="2521"/>
      <c r="P154" s="2521"/>
      <c r="Q154" s="2521"/>
      <c r="R154" s="2521"/>
      <c r="S154" s="2521"/>
      <c r="T154" s="2521"/>
      <c r="U154" s="2521"/>
      <c r="V154" s="2521"/>
      <c r="W154" s="2521"/>
      <c r="X154" s="2521"/>
      <c r="Y154" s="2521"/>
      <c r="Z154" s="2521"/>
    </row>
    <row r="155" spans="1:26" ht="16.5" customHeight="1">
      <c r="A155" s="2521"/>
      <c r="B155" s="2526"/>
      <c r="C155" s="2521"/>
      <c r="D155" s="2521"/>
      <c r="E155" s="2521"/>
      <c r="F155" s="2521"/>
      <c r="G155" s="2521"/>
      <c r="H155" s="2521"/>
      <c r="I155" s="2521"/>
      <c r="J155" s="2521"/>
      <c r="K155" s="2521"/>
      <c r="L155" s="2521"/>
      <c r="M155" s="2521"/>
      <c r="N155" s="2521"/>
      <c r="O155" s="2521"/>
      <c r="P155" s="2521"/>
      <c r="Q155" s="2521"/>
      <c r="R155" s="2521"/>
      <c r="S155" s="2521"/>
      <c r="T155" s="2521"/>
      <c r="U155" s="2521"/>
      <c r="V155" s="2521"/>
      <c r="W155" s="2521"/>
      <c r="X155" s="2521"/>
      <c r="Y155" s="2521"/>
      <c r="Z155" s="2521"/>
    </row>
    <row r="156" spans="1:26" ht="16.5" customHeight="1">
      <c r="A156" s="2521"/>
      <c r="B156" s="2526"/>
      <c r="C156" s="2521"/>
      <c r="D156" s="2521"/>
      <c r="E156" s="2521"/>
      <c r="F156" s="2521"/>
      <c r="G156" s="2521"/>
      <c r="H156" s="2521"/>
      <c r="I156" s="2521"/>
      <c r="J156" s="2521"/>
      <c r="K156" s="2521"/>
      <c r="L156" s="2521"/>
      <c r="M156" s="2521"/>
      <c r="N156" s="2521"/>
      <c r="O156" s="2521"/>
      <c r="P156" s="2521"/>
      <c r="Q156" s="2521"/>
      <c r="R156" s="2521"/>
      <c r="S156" s="2521"/>
      <c r="T156" s="2521"/>
      <c r="U156" s="2521"/>
      <c r="V156" s="2521"/>
      <c r="W156" s="2521"/>
      <c r="X156" s="2521"/>
      <c r="Y156" s="2521"/>
      <c r="Z156" s="2521"/>
    </row>
    <row r="157" spans="1:26" ht="16.5" customHeight="1">
      <c r="A157" s="2521"/>
      <c r="B157" s="2526"/>
      <c r="C157" s="2521"/>
      <c r="D157" s="2521"/>
      <c r="E157" s="2521"/>
      <c r="F157" s="2521"/>
      <c r="G157" s="2521"/>
      <c r="H157" s="2521"/>
      <c r="I157" s="2521"/>
      <c r="J157" s="2521"/>
      <c r="K157" s="2521"/>
      <c r="L157" s="2521"/>
      <c r="M157" s="2521"/>
      <c r="N157" s="2521"/>
      <c r="O157" s="2521"/>
      <c r="P157" s="2521"/>
      <c r="Q157" s="2521"/>
      <c r="R157" s="2521"/>
      <c r="S157" s="2521"/>
      <c r="T157" s="2521"/>
      <c r="U157" s="2521"/>
      <c r="V157" s="2521"/>
      <c r="W157" s="2521"/>
      <c r="X157" s="2521"/>
      <c r="Y157" s="2521"/>
      <c r="Z157" s="2521"/>
    </row>
    <row r="158" spans="1:26" ht="16.5" customHeight="1">
      <c r="A158" s="2521"/>
      <c r="B158" s="2526"/>
      <c r="C158" s="2521"/>
      <c r="D158" s="2521"/>
      <c r="E158" s="2521"/>
      <c r="F158" s="2521"/>
      <c r="G158" s="2521"/>
      <c r="H158" s="2521"/>
      <c r="I158" s="2521"/>
      <c r="J158" s="2521"/>
      <c r="K158" s="2521"/>
      <c r="L158" s="2521"/>
      <c r="M158" s="2521"/>
      <c r="N158" s="2521"/>
      <c r="O158" s="2521"/>
      <c r="P158" s="2521"/>
      <c r="Q158" s="2521"/>
      <c r="R158" s="2521"/>
      <c r="S158" s="2521"/>
      <c r="T158" s="2521"/>
      <c r="U158" s="2521"/>
      <c r="V158" s="2521"/>
      <c r="W158" s="2521"/>
      <c r="X158" s="2521"/>
      <c r="Y158" s="2521"/>
      <c r="Z158" s="2521"/>
    </row>
    <row r="159" spans="1:26" ht="16.5" customHeight="1">
      <c r="A159" s="2521"/>
      <c r="B159" s="2526"/>
      <c r="C159" s="2521"/>
      <c r="D159" s="2521"/>
      <c r="E159" s="2521"/>
      <c r="F159" s="2521"/>
      <c r="G159" s="2521"/>
      <c r="H159" s="2521"/>
      <c r="I159" s="2521"/>
      <c r="J159" s="2521"/>
      <c r="K159" s="2521"/>
      <c r="L159" s="2521"/>
      <c r="M159" s="2521"/>
      <c r="N159" s="2521"/>
      <c r="O159" s="2521"/>
      <c r="P159" s="2521"/>
      <c r="Q159" s="2521"/>
      <c r="R159" s="2521"/>
      <c r="S159" s="2521"/>
      <c r="T159" s="2521"/>
      <c r="U159" s="2521"/>
      <c r="V159" s="2521"/>
      <c r="W159" s="2521"/>
      <c r="X159" s="2521"/>
      <c r="Y159" s="2521"/>
      <c r="Z159" s="2521"/>
    </row>
    <row r="160" spans="1:26" ht="16.5" customHeight="1">
      <c r="A160" s="2521"/>
      <c r="B160" s="2526"/>
      <c r="C160" s="2521"/>
      <c r="D160" s="2521"/>
      <c r="E160" s="2521"/>
      <c r="F160" s="2521"/>
      <c r="G160" s="2521"/>
      <c r="H160" s="2521"/>
      <c r="I160" s="2521"/>
      <c r="J160" s="2521"/>
      <c r="K160" s="2521"/>
      <c r="L160" s="2521"/>
      <c r="M160" s="2521"/>
      <c r="N160" s="2521"/>
      <c r="O160" s="2521"/>
      <c r="P160" s="2521"/>
      <c r="Q160" s="2521"/>
      <c r="R160" s="2521"/>
      <c r="S160" s="2521"/>
      <c r="T160" s="2521"/>
      <c r="U160" s="2521"/>
      <c r="V160" s="2521"/>
      <c r="W160" s="2521"/>
      <c r="X160" s="2521"/>
      <c r="Y160" s="2521"/>
      <c r="Z160" s="2521"/>
    </row>
    <row r="161" spans="1:26" ht="16.5" customHeight="1">
      <c r="A161" s="2521"/>
      <c r="B161" s="2526"/>
      <c r="C161" s="2521"/>
      <c r="D161" s="2521"/>
      <c r="E161" s="2521"/>
      <c r="F161" s="2521"/>
      <c r="G161" s="2521"/>
      <c r="H161" s="2521"/>
      <c r="I161" s="2521"/>
      <c r="J161" s="2521"/>
      <c r="K161" s="2521"/>
      <c r="L161" s="2521"/>
      <c r="M161" s="2521"/>
      <c r="N161" s="2521"/>
      <c r="O161" s="2521"/>
      <c r="P161" s="2521"/>
      <c r="Q161" s="2521"/>
      <c r="R161" s="2521"/>
      <c r="S161" s="2521"/>
      <c r="T161" s="2521"/>
      <c r="U161" s="2521"/>
      <c r="V161" s="2521"/>
      <c r="W161" s="2521"/>
      <c r="X161" s="2521"/>
      <c r="Y161" s="2521"/>
      <c r="Z161" s="2521"/>
    </row>
    <row r="162" spans="1:26" ht="16.5" customHeight="1">
      <c r="A162" s="2521"/>
      <c r="B162" s="2526"/>
      <c r="C162" s="2521"/>
      <c r="D162" s="2521"/>
      <c r="E162" s="2521"/>
      <c r="F162" s="2521"/>
      <c r="G162" s="2521"/>
      <c r="H162" s="2521"/>
      <c r="I162" s="2521"/>
      <c r="J162" s="2521"/>
      <c r="K162" s="2521"/>
      <c r="L162" s="2521"/>
      <c r="M162" s="2521"/>
      <c r="N162" s="2521"/>
      <c r="O162" s="2521"/>
      <c r="P162" s="2521"/>
      <c r="Q162" s="2521"/>
      <c r="R162" s="2521"/>
      <c r="S162" s="2521"/>
      <c r="T162" s="2521"/>
      <c r="U162" s="2521"/>
      <c r="V162" s="2521"/>
      <c r="W162" s="2521"/>
      <c r="X162" s="2521"/>
      <c r="Y162" s="2521"/>
      <c r="Z162" s="2521"/>
    </row>
    <row r="163" spans="1:26" ht="16.5" customHeight="1">
      <c r="A163" s="2521"/>
      <c r="B163" s="2526"/>
      <c r="C163" s="2521"/>
      <c r="D163" s="2521"/>
      <c r="E163" s="2521"/>
      <c r="F163" s="2521"/>
      <c r="G163" s="2521"/>
      <c r="H163" s="2521"/>
      <c r="I163" s="2521"/>
      <c r="J163" s="2521"/>
      <c r="K163" s="2521"/>
      <c r="L163" s="2521"/>
      <c r="M163" s="2521"/>
      <c r="N163" s="2521"/>
      <c r="O163" s="2521"/>
      <c r="P163" s="2521"/>
      <c r="Q163" s="2521"/>
      <c r="R163" s="2521"/>
      <c r="S163" s="2521"/>
      <c r="T163" s="2521"/>
      <c r="U163" s="2521"/>
      <c r="V163" s="2521"/>
      <c r="W163" s="2521"/>
      <c r="X163" s="2521"/>
      <c r="Y163" s="2521"/>
      <c r="Z163" s="2521"/>
    </row>
    <row r="164" spans="1:26" ht="16.5" customHeight="1">
      <c r="A164" s="2521"/>
      <c r="B164" s="2526"/>
      <c r="C164" s="2521"/>
      <c r="D164" s="2521"/>
      <c r="E164" s="2521"/>
      <c r="F164" s="2521"/>
      <c r="G164" s="2521"/>
      <c r="H164" s="2521"/>
      <c r="I164" s="2521"/>
      <c r="J164" s="2521"/>
      <c r="K164" s="2521"/>
      <c r="L164" s="2521"/>
      <c r="M164" s="2521"/>
      <c r="N164" s="2521"/>
      <c r="O164" s="2521"/>
      <c r="P164" s="2521"/>
      <c r="Q164" s="2521"/>
      <c r="R164" s="2521"/>
      <c r="S164" s="2521"/>
      <c r="T164" s="2521"/>
      <c r="U164" s="2521"/>
      <c r="V164" s="2521"/>
      <c r="W164" s="2521"/>
      <c r="X164" s="2521"/>
      <c r="Y164" s="2521"/>
      <c r="Z164" s="2521"/>
    </row>
    <row r="165" spans="1:26" ht="16.5" customHeight="1">
      <c r="A165" s="2521"/>
      <c r="B165" s="2526"/>
      <c r="C165" s="2521"/>
      <c r="D165" s="2521"/>
      <c r="E165" s="2521"/>
      <c r="F165" s="2521"/>
      <c r="G165" s="2521"/>
      <c r="H165" s="2521"/>
      <c r="I165" s="2521"/>
      <c r="J165" s="2521"/>
      <c r="K165" s="2521"/>
      <c r="L165" s="2521"/>
      <c r="M165" s="2521"/>
      <c r="N165" s="2521"/>
      <c r="O165" s="2521"/>
      <c r="P165" s="2521"/>
      <c r="Q165" s="2521"/>
      <c r="R165" s="2521"/>
      <c r="S165" s="2521"/>
      <c r="T165" s="2521"/>
      <c r="U165" s="2521"/>
      <c r="V165" s="2521"/>
      <c r="W165" s="2521"/>
      <c r="X165" s="2521"/>
      <c r="Y165" s="2521"/>
      <c r="Z165" s="2521"/>
    </row>
    <row r="166" spans="1:26" ht="16.5" customHeight="1">
      <c r="A166" s="2521"/>
      <c r="B166" s="2526"/>
      <c r="C166" s="2521"/>
      <c r="D166" s="2521"/>
      <c r="E166" s="2521"/>
      <c r="F166" s="2521"/>
      <c r="G166" s="2521"/>
      <c r="H166" s="2521"/>
      <c r="I166" s="2521"/>
      <c r="J166" s="2521"/>
      <c r="K166" s="2521"/>
      <c r="L166" s="2521"/>
      <c r="M166" s="2521"/>
      <c r="N166" s="2521"/>
      <c r="O166" s="2521"/>
      <c r="P166" s="2521"/>
      <c r="Q166" s="2521"/>
      <c r="R166" s="2521"/>
      <c r="S166" s="2521"/>
      <c r="T166" s="2521"/>
      <c r="U166" s="2521"/>
      <c r="V166" s="2521"/>
      <c r="W166" s="2521"/>
      <c r="X166" s="2521"/>
      <c r="Y166" s="2521"/>
      <c r="Z166" s="2521"/>
    </row>
    <row r="167" spans="1:26" ht="16.5" customHeight="1">
      <c r="A167" s="2521"/>
      <c r="B167" s="2526"/>
      <c r="C167" s="2521"/>
      <c r="D167" s="2521"/>
      <c r="E167" s="2521"/>
      <c r="F167" s="2521"/>
      <c r="G167" s="2521"/>
      <c r="H167" s="2521"/>
      <c r="I167" s="2521"/>
      <c r="J167" s="2521"/>
      <c r="K167" s="2521"/>
      <c r="L167" s="2521"/>
      <c r="M167" s="2521"/>
      <c r="N167" s="2521"/>
      <c r="O167" s="2521"/>
      <c r="P167" s="2521"/>
      <c r="Q167" s="2521"/>
      <c r="R167" s="2521"/>
      <c r="S167" s="2521"/>
      <c r="T167" s="2521"/>
      <c r="U167" s="2521"/>
      <c r="V167" s="2521"/>
      <c r="W167" s="2521"/>
      <c r="X167" s="2521"/>
      <c r="Y167" s="2521"/>
      <c r="Z167" s="2521"/>
    </row>
    <row r="168" spans="1:26" ht="16.5" customHeight="1">
      <c r="A168" s="2521"/>
      <c r="B168" s="2526"/>
      <c r="C168" s="2521"/>
      <c r="D168" s="2521"/>
      <c r="E168" s="2521"/>
      <c r="F168" s="2521"/>
      <c r="G168" s="2521"/>
      <c r="H168" s="2521"/>
      <c r="I168" s="2521"/>
      <c r="J168" s="2521"/>
      <c r="K168" s="2521"/>
      <c r="L168" s="2521"/>
      <c r="M168" s="2521"/>
      <c r="N168" s="2521"/>
      <c r="O168" s="2521"/>
      <c r="P168" s="2521"/>
      <c r="Q168" s="2521"/>
      <c r="R168" s="2521"/>
      <c r="S168" s="2521"/>
      <c r="T168" s="2521"/>
      <c r="U168" s="2521"/>
      <c r="V168" s="2521"/>
      <c r="W168" s="2521"/>
      <c r="X168" s="2521"/>
      <c r="Y168" s="2521"/>
      <c r="Z168" s="2521"/>
    </row>
    <row r="169" spans="1:26" ht="16.5" customHeight="1">
      <c r="A169" s="2521"/>
      <c r="B169" s="2526"/>
      <c r="C169" s="2521"/>
      <c r="D169" s="2521"/>
      <c r="E169" s="2521"/>
      <c r="F169" s="2521"/>
      <c r="G169" s="2521"/>
      <c r="H169" s="2521"/>
      <c r="I169" s="2521"/>
      <c r="J169" s="2521"/>
      <c r="K169" s="2521"/>
      <c r="L169" s="2521"/>
      <c r="M169" s="2521"/>
      <c r="N169" s="2521"/>
      <c r="O169" s="2521"/>
      <c r="P169" s="2521"/>
      <c r="Q169" s="2521"/>
      <c r="R169" s="2521"/>
      <c r="S169" s="2521"/>
      <c r="T169" s="2521"/>
      <c r="U169" s="2521"/>
      <c r="V169" s="2521"/>
      <c r="W169" s="2521"/>
      <c r="X169" s="2521"/>
      <c r="Y169" s="2521"/>
      <c r="Z169" s="2521"/>
    </row>
    <row r="170" spans="1:26" ht="16.5" customHeight="1">
      <c r="A170" s="2521"/>
      <c r="B170" s="2526"/>
      <c r="C170" s="2521"/>
      <c r="D170" s="2521"/>
      <c r="E170" s="2521"/>
      <c r="F170" s="2521"/>
      <c r="G170" s="2521"/>
      <c r="H170" s="2521"/>
      <c r="I170" s="2521"/>
      <c r="J170" s="2521"/>
      <c r="K170" s="2521"/>
      <c r="L170" s="2521"/>
      <c r="M170" s="2521"/>
      <c r="N170" s="2521"/>
      <c r="O170" s="2521"/>
      <c r="P170" s="2521"/>
      <c r="Q170" s="2521"/>
      <c r="R170" s="2521"/>
      <c r="S170" s="2521"/>
      <c r="T170" s="2521"/>
      <c r="U170" s="2521"/>
      <c r="V170" s="2521"/>
      <c r="W170" s="2521"/>
      <c r="X170" s="2521"/>
      <c r="Y170" s="2521"/>
      <c r="Z170" s="2521"/>
    </row>
    <row r="171" spans="1:26" ht="16.5" customHeight="1">
      <c r="A171" s="2521"/>
      <c r="B171" s="2526"/>
      <c r="C171" s="2521"/>
      <c r="D171" s="2521"/>
      <c r="E171" s="2521"/>
      <c r="F171" s="2521"/>
      <c r="G171" s="2521"/>
      <c r="H171" s="2521"/>
      <c r="I171" s="2521"/>
      <c r="J171" s="2521"/>
      <c r="K171" s="2521"/>
      <c r="L171" s="2521"/>
      <c r="M171" s="2521"/>
      <c r="N171" s="2521"/>
      <c r="O171" s="2521"/>
      <c r="P171" s="2521"/>
      <c r="Q171" s="2521"/>
      <c r="R171" s="2521"/>
      <c r="S171" s="2521"/>
      <c r="T171" s="2521"/>
      <c r="U171" s="2521"/>
      <c r="V171" s="2521"/>
      <c r="W171" s="2521"/>
      <c r="X171" s="2521"/>
      <c r="Y171" s="2521"/>
      <c r="Z171" s="2521"/>
    </row>
    <row r="172" spans="1:26" ht="16.5" customHeight="1">
      <c r="A172" s="2521"/>
      <c r="B172" s="2526"/>
      <c r="C172" s="2521"/>
      <c r="D172" s="2521"/>
      <c r="E172" s="2521"/>
      <c r="F172" s="2521"/>
      <c r="G172" s="2521"/>
      <c r="H172" s="2521"/>
      <c r="I172" s="2521"/>
      <c r="J172" s="2521"/>
      <c r="K172" s="2521"/>
      <c r="L172" s="2521"/>
      <c r="M172" s="2521"/>
      <c r="N172" s="2521"/>
      <c r="O172" s="2521"/>
      <c r="P172" s="2521"/>
      <c r="Q172" s="2521"/>
      <c r="R172" s="2521"/>
      <c r="S172" s="2521"/>
      <c r="T172" s="2521"/>
      <c r="U172" s="2521"/>
      <c r="V172" s="2521"/>
      <c r="W172" s="2521"/>
      <c r="X172" s="2521"/>
      <c r="Y172" s="2521"/>
      <c r="Z172" s="2521"/>
    </row>
    <row r="173" spans="1:26" ht="16.5" customHeight="1">
      <c r="A173" s="2521"/>
      <c r="B173" s="2526"/>
      <c r="C173" s="2521"/>
      <c r="D173" s="2521"/>
      <c r="E173" s="2521"/>
      <c r="F173" s="2521"/>
      <c r="G173" s="2521"/>
      <c r="H173" s="2521"/>
      <c r="I173" s="2521"/>
      <c r="J173" s="2521"/>
      <c r="K173" s="2521"/>
      <c r="L173" s="2521"/>
      <c r="M173" s="2521"/>
      <c r="N173" s="2521"/>
      <c r="O173" s="2521"/>
      <c r="P173" s="2521"/>
      <c r="Q173" s="2521"/>
      <c r="R173" s="2521"/>
      <c r="S173" s="2521"/>
      <c r="T173" s="2521"/>
      <c r="U173" s="2521"/>
      <c r="V173" s="2521"/>
      <c r="W173" s="2521"/>
      <c r="X173" s="2521"/>
      <c r="Y173" s="2521"/>
      <c r="Z173" s="2521"/>
    </row>
    <row r="174" spans="1:26" ht="16.5" customHeight="1">
      <c r="A174" s="2521"/>
      <c r="B174" s="2526"/>
      <c r="C174" s="2521"/>
      <c r="D174" s="2521"/>
      <c r="E174" s="2521"/>
      <c r="F174" s="2521"/>
      <c r="G174" s="2521"/>
      <c r="H174" s="2521"/>
      <c r="I174" s="2521"/>
      <c r="J174" s="2521"/>
      <c r="K174" s="2521"/>
      <c r="L174" s="2521"/>
      <c r="M174" s="2521"/>
      <c r="N174" s="2521"/>
      <c r="O174" s="2521"/>
      <c r="P174" s="2521"/>
      <c r="Q174" s="2521"/>
      <c r="R174" s="2521"/>
      <c r="S174" s="2521"/>
      <c r="T174" s="2521"/>
      <c r="U174" s="2521"/>
      <c r="V174" s="2521"/>
      <c r="W174" s="2521"/>
      <c r="X174" s="2521"/>
      <c r="Y174" s="2521"/>
      <c r="Z174" s="2521"/>
    </row>
    <row r="175" spans="1:26" ht="16.5" customHeight="1">
      <c r="A175" s="2521"/>
      <c r="B175" s="2526"/>
      <c r="C175" s="2521"/>
      <c r="D175" s="2521"/>
      <c r="E175" s="2521"/>
      <c r="F175" s="2521"/>
      <c r="G175" s="2521"/>
      <c r="H175" s="2521"/>
      <c r="I175" s="2521"/>
      <c r="J175" s="2521"/>
      <c r="K175" s="2521"/>
      <c r="L175" s="2521"/>
      <c r="M175" s="2521"/>
      <c r="N175" s="2521"/>
      <c r="O175" s="2521"/>
      <c r="P175" s="2521"/>
      <c r="Q175" s="2521"/>
      <c r="R175" s="2521"/>
      <c r="S175" s="2521"/>
      <c r="T175" s="2521"/>
      <c r="U175" s="2521"/>
      <c r="V175" s="2521"/>
      <c r="W175" s="2521"/>
      <c r="X175" s="2521"/>
      <c r="Y175" s="2521"/>
      <c r="Z175" s="2521"/>
    </row>
    <row r="176" spans="1:26" ht="16.5" customHeight="1">
      <c r="A176" s="2521"/>
      <c r="B176" s="2526"/>
      <c r="C176" s="2521"/>
      <c r="D176" s="2521"/>
      <c r="E176" s="2521"/>
      <c r="F176" s="2521"/>
      <c r="G176" s="2521"/>
      <c r="H176" s="2521"/>
      <c r="I176" s="2521"/>
      <c r="J176" s="2521"/>
      <c r="K176" s="2521"/>
      <c r="L176" s="2521"/>
      <c r="M176" s="2521"/>
      <c r="N176" s="2521"/>
      <c r="O176" s="2521"/>
      <c r="P176" s="2521"/>
      <c r="Q176" s="2521"/>
      <c r="R176" s="2521"/>
      <c r="S176" s="2521"/>
      <c r="T176" s="2521"/>
      <c r="U176" s="2521"/>
      <c r="V176" s="2521"/>
      <c r="W176" s="2521"/>
      <c r="X176" s="2521"/>
      <c r="Y176" s="2521"/>
      <c r="Z176" s="2521"/>
    </row>
    <row r="177" spans="1:26" ht="16.5" customHeight="1">
      <c r="A177" s="2521"/>
      <c r="B177" s="2526"/>
      <c r="C177" s="2521"/>
      <c r="D177" s="2521"/>
      <c r="E177" s="2521"/>
      <c r="F177" s="2521"/>
      <c r="G177" s="2521"/>
      <c r="H177" s="2521"/>
      <c r="I177" s="2521"/>
      <c r="J177" s="2521"/>
      <c r="K177" s="2521"/>
      <c r="L177" s="2521"/>
      <c r="M177" s="2521"/>
      <c r="N177" s="2521"/>
      <c r="O177" s="2521"/>
      <c r="P177" s="2521"/>
      <c r="Q177" s="2521"/>
      <c r="R177" s="2521"/>
      <c r="S177" s="2521"/>
      <c r="T177" s="2521"/>
      <c r="U177" s="2521"/>
      <c r="V177" s="2521"/>
      <c r="W177" s="2521"/>
      <c r="X177" s="2521"/>
      <c r="Y177" s="2521"/>
      <c r="Z177" s="2521"/>
    </row>
    <row r="178" spans="1:26" ht="16.5" customHeight="1">
      <c r="A178" s="2521"/>
      <c r="B178" s="2526"/>
      <c r="C178" s="2521"/>
      <c r="D178" s="2521"/>
      <c r="E178" s="2521"/>
      <c r="F178" s="2521"/>
      <c r="G178" s="2521"/>
      <c r="H178" s="2521"/>
      <c r="I178" s="2521"/>
      <c r="J178" s="2521"/>
      <c r="K178" s="2521"/>
      <c r="L178" s="2521"/>
      <c r="M178" s="2521"/>
      <c r="N178" s="2521"/>
      <c r="O178" s="2521"/>
      <c r="P178" s="2521"/>
      <c r="Q178" s="2521"/>
      <c r="R178" s="2521"/>
      <c r="S178" s="2521"/>
      <c r="T178" s="2521"/>
      <c r="U178" s="2521"/>
      <c r="V178" s="2521"/>
      <c r="W178" s="2521"/>
      <c r="X178" s="2521"/>
      <c r="Y178" s="2521"/>
      <c r="Z178" s="2521"/>
    </row>
    <row r="179" spans="1:26" ht="16.5" customHeight="1">
      <c r="A179" s="2521"/>
      <c r="B179" s="2526"/>
      <c r="C179" s="2521"/>
      <c r="D179" s="2521"/>
      <c r="E179" s="2521"/>
      <c r="F179" s="2521"/>
      <c r="G179" s="2521"/>
      <c r="H179" s="2521"/>
      <c r="I179" s="2521"/>
      <c r="J179" s="2521"/>
      <c r="K179" s="2521"/>
      <c r="L179" s="2521"/>
      <c r="M179" s="2521"/>
      <c r="N179" s="2521"/>
      <c r="O179" s="2521"/>
      <c r="P179" s="2521"/>
      <c r="Q179" s="2521"/>
      <c r="R179" s="2521"/>
      <c r="S179" s="2521"/>
      <c r="T179" s="2521"/>
      <c r="U179" s="2521"/>
      <c r="V179" s="2521"/>
      <c r="W179" s="2521"/>
      <c r="X179" s="2521"/>
      <c r="Y179" s="2521"/>
      <c r="Z179" s="2521"/>
    </row>
    <row r="180" spans="1:26" ht="16.5" customHeight="1">
      <c r="A180" s="2521"/>
      <c r="B180" s="2526"/>
      <c r="C180" s="2521"/>
      <c r="D180" s="2521"/>
      <c r="E180" s="2521"/>
      <c r="F180" s="2521"/>
      <c r="G180" s="2521"/>
      <c r="H180" s="2521"/>
      <c r="I180" s="2521"/>
      <c r="J180" s="2521"/>
      <c r="K180" s="2521"/>
      <c r="L180" s="2521"/>
      <c r="M180" s="2521"/>
      <c r="N180" s="2521"/>
      <c r="O180" s="2521"/>
      <c r="P180" s="2521"/>
      <c r="Q180" s="2521"/>
      <c r="R180" s="2521"/>
      <c r="S180" s="2521"/>
      <c r="T180" s="2521"/>
      <c r="U180" s="2521"/>
      <c r="V180" s="2521"/>
      <c r="W180" s="2521"/>
      <c r="X180" s="2521"/>
      <c r="Y180" s="2521"/>
      <c r="Z180" s="2521"/>
    </row>
    <row r="181" spans="1:26" ht="16.5" customHeight="1">
      <c r="A181" s="2521"/>
      <c r="B181" s="2526"/>
      <c r="C181" s="2521"/>
      <c r="D181" s="2521"/>
      <c r="E181" s="2521"/>
      <c r="F181" s="2521"/>
      <c r="G181" s="2521"/>
      <c r="H181" s="2521"/>
      <c r="I181" s="2521"/>
      <c r="J181" s="2521"/>
      <c r="K181" s="2521"/>
      <c r="L181" s="2521"/>
      <c r="M181" s="2521"/>
      <c r="N181" s="2521"/>
      <c r="O181" s="2521"/>
      <c r="P181" s="2521"/>
      <c r="Q181" s="2521"/>
      <c r="R181" s="2521"/>
      <c r="S181" s="2521"/>
      <c r="T181" s="2521"/>
      <c r="U181" s="2521"/>
      <c r="V181" s="2521"/>
      <c r="W181" s="2521"/>
      <c r="X181" s="2521"/>
      <c r="Y181" s="2521"/>
      <c r="Z181" s="2521"/>
    </row>
    <row r="182" spans="1:26" ht="16.5" customHeight="1">
      <c r="A182" s="2521"/>
      <c r="B182" s="2526"/>
      <c r="C182" s="2521"/>
      <c r="D182" s="2521"/>
      <c r="E182" s="2521"/>
      <c r="F182" s="2521"/>
      <c r="G182" s="2521"/>
      <c r="H182" s="2521"/>
      <c r="I182" s="2521"/>
      <c r="J182" s="2521"/>
      <c r="K182" s="2521"/>
      <c r="L182" s="2521"/>
      <c r="M182" s="2521"/>
      <c r="N182" s="2521"/>
      <c r="O182" s="2521"/>
      <c r="P182" s="2521"/>
      <c r="Q182" s="2521"/>
      <c r="R182" s="2521"/>
      <c r="S182" s="2521"/>
      <c r="T182" s="2521"/>
      <c r="U182" s="2521"/>
      <c r="V182" s="2521"/>
      <c r="W182" s="2521"/>
      <c r="X182" s="2521"/>
      <c r="Y182" s="2521"/>
      <c r="Z182" s="2521"/>
    </row>
    <row r="183" spans="1:26" ht="16.5" customHeight="1">
      <c r="A183" s="2521"/>
      <c r="B183" s="2526"/>
      <c r="C183" s="2521"/>
      <c r="D183" s="2521"/>
      <c r="E183" s="2521"/>
      <c r="F183" s="2521"/>
      <c r="G183" s="2521"/>
      <c r="H183" s="2521"/>
      <c r="I183" s="2521"/>
      <c r="J183" s="2521"/>
      <c r="K183" s="2521"/>
      <c r="L183" s="2521"/>
      <c r="M183" s="2521"/>
      <c r="N183" s="2521"/>
      <c r="O183" s="2521"/>
      <c r="P183" s="2521"/>
      <c r="Q183" s="2521"/>
      <c r="R183" s="2521"/>
      <c r="S183" s="2521"/>
      <c r="T183" s="2521"/>
      <c r="U183" s="2521"/>
      <c r="V183" s="2521"/>
      <c r="W183" s="2521"/>
      <c r="X183" s="2521"/>
      <c r="Y183" s="2521"/>
      <c r="Z183" s="2521"/>
    </row>
    <row r="184" spans="1:26" ht="16.5" customHeight="1">
      <c r="A184" s="2521"/>
      <c r="B184" s="2526"/>
      <c r="C184" s="2521"/>
      <c r="D184" s="2521"/>
      <c r="E184" s="2521"/>
      <c r="F184" s="2521"/>
      <c r="G184" s="2521"/>
      <c r="H184" s="2521"/>
      <c r="I184" s="2521"/>
      <c r="J184" s="2521"/>
      <c r="K184" s="2521"/>
      <c r="L184" s="2521"/>
      <c r="M184" s="2521"/>
      <c r="N184" s="2521"/>
      <c r="O184" s="2521"/>
      <c r="P184" s="2521"/>
      <c r="Q184" s="2521"/>
      <c r="R184" s="2521"/>
      <c r="S184" s="2521"/>
      <c r="T184" s="2521"/>
      <c r="U184" s="2521"/>
      <c r="V184" s="2521"/>
      <c r="W184" s="2521"/>
      <c r="X184" s="2521"/>
      <c r="Y184" s="2521"/>
      <c r="Z184" s="2521"/>
    </row>
    <row r="185" spans="1:26" ht="16.5" customHeight="1">
      <c r="A185" s="2521"/>
      <c r="B185" s="2526"/>
      <c r="C185" s="2521"/>
      <c r="D185" s="2521"/>
      <c r="E185" s="2521"/>
      <c r="F185" s="2521"/>
      <c r="G185" s="2521"/>
      <c r="H185" s="2521"/>
      <c r="I185" s="2521"/>
      <c r="J185" s="2521"/>
      <c r="K185" s="2521"/>
      <c r="L185" s="2521"/>
      <c r="M185" s="2521"/>
      <c r="N185" s="2521"/>
      <c r="O185" s="2521"/>
      <c r="P185" s="2521"/>
      <c r="Q185" s="2521"/>
      <c r="R185" s="2521"/>
      <c r="S185" s="2521"/>
      <c r="T185" s="2521"/>
      <c r="U185" s="2521"/>
      <c r="V185" s="2521"/>
      <c r="W185" s="2521"/>
      <c r="X185" s="2521"/>
      <c r="Y185" s="2521"/>
      <c r="Z185" s="2521"/>
    </row>
    <row r="186" spans="1:26" ht="16.5" customHeight="1">
      <c r="A186" s="2521"/>
      <c r="B186" s="2526"/>
      <c r="C186" s="2521"/>
      <c r="D186" s="2521"/>
      <c r="E186" s="2521"/>
      <c r="F186" s="2521"/>
      <c r="G186" s="2521"/>
      <c r="H186" s="2521"/>
      <c r="I186" s="2521"/>
      <c r="J186" s="2521"/>
      <c r="K186" s="2521"/>
      <c r="L186" s="2521"/>
      <c r="M186" s="2521"/>
      <c r="N186" s="2521"/>
      <c r="O186" s="2521"/>
      <c r="P186" s="2521"/>
      <c r="Q186" s="2521"/>
      <c r="R186" s="2521"/>
      <c r="S186" s="2521"/>
      <c r="T186" s="2521"/>
      <c r="U186" s="2521"/>
      <c r="V186" s="2521"/>
      <c r="W186" s="2521"/>
      <c r="X186" s="2521"/>
      <c r="Y186" s="2521"/>
      <c r="Z186" s="2521"/>
    </row>
    <row r="187" spans="1:26" ht="16.5" customHeight="1">
      <c r="A187" s="2521"/>
      <c r="B187" s="2526"/>
      <c r="C187" s="2521"/>
      <c r="D187" s="2521"/>
      <c r="E187" s="2521"/>
      <c r="F187" s="2521"/>
      <c r="G187" s="2521"/>
      <c r="H187" s="2521"/>
      <c r="I187" s="2521"/>
      <c r="J187" s="2521"/>
      <c r="K187" s="2521"/>
      <c r="L187" s="2521"/>
      <c r="M187" s="2521"/>
      <c r="N187" s="2521"/>
      <c r="O187" s="2521"/>
      <c r="P187" s="2521"/>
      <c r="Q187" s="2521"/>
      <c r="R187" s="2521"/>
      <c r="S187" s="2521"/>
      <c r="T187" s="2521"/>
      <c r="U187" s="2521"/>
      <c r="V187" s="2521"/>
      <c r="W187" s="2521"/>
      <c r="X187" s="2521"/>
      <c r="Y187" s="2521"/>
      <c r="Z187" s="2521"/>
    </row>
    <row r="188" spans="1:26" ht="16.5" customHeight="1">
      <c r="A188" s="2521"/>
      <c r="B188" s="2526"/>
      <c r="C188" s="2521"/>
      <c r="D188" s="2521"/>
      <c r="E188" s="2521"/>
      <c r="F188" s="2521"/>
      <c r="G188" s="2521"/>
      <c r="H188" s="2521"/>
      <c r="I188" s="2521"/>
      <c r="J188" s="2521"/>
      <c r="K188" s="2521"/>
      <c r="L188" s="2521"/>
      <c r="M188" s="2521"/>
      <c r="N188" s="2521"/>
      <c r="O188" s="2521"/>
      <c r="P188" s="2521"/>
      <c r="Q188" s="2521"/>
      <c r="R188" s="2521"/>
      <c r="S188" s="2521"/>
      <c r="T188" s="2521"/>
      <c r="U188" s="2521"/>
      <c r="V188" s="2521"/>
      <c r="W188" s="2521"/>
      <c r="X188" s="2521"/>
      <c r="Y188" s="2521"/>
      <c r="Z188" s="2521"/>
    </row>
    <row r="189" spans="1:26" ht="16.5" customHeight="1">
      <c r="A189" s="2521"/>
      <c r="B189" s="2526"/>
      <c r="C189" s="2521"/>
      <c r="D189" s="2521"/>
      <c r="E189" s="2521"/>
      <c r="F189" s="2521"/>
      <c r="G189" s="2521"/>
      <c r="H189" s="2521"/>
      <c r="I189" s="2521"/>
      <c r="J189" s="2521"/>
      <c r="K189" s="2521"/>
      <c r="L189" s="2521"/>
      <c r="M189" s="2521"/>
      <c r="N189" s="2521"/>
      <c r="O189" s="2521"/>
      <c r="P189" s="2521"/>
      <c r="Q189" s="2521"/>
      <c r="R189" s="2521"/>
      <c r="S189" s="2521"/>
      <c r="T189" s="2521"/>
      <c r="U189" s="2521"/>
      <c r="V189" s="2521"/>
      <c r="W189" s="2521"/>
      <c r="X189" s="2521"/>
      <c r="Y189" s="2521"/>
      <c r="Z189" s="2521"/>
    </row>
    <row r="190" spans="1:26" ht="16.5" customHeight="1">
      <c r="A190" s="2521"/>
      <c r="B190" s="2526"/>
      <c r="C190" s="2521"/>
      <c r="D190" s="2521"/>
      <c r="E190" s="2521"/>
      <c r="F190" s="2521"/>
      <c r="G190" s="2521"/>
      <c r="H190" s="2521"/>
      <c r="I190" s="2521"/>
      <c r="J190" s="2521"/>
      <c r="K190" s="2521"/>
      <c r="L190" s="2521"/>
      <c r="M190" s="2521"/>
      <c r="N190" s="2521"/>
      <c r="O190" s="2521"/>
      <c r="P190" s="2521"/>
      <c r="Q190" s="2521"/>
      <c r="R190" s="2521"/>
      <c r="S190" s="2521"/>
      <c r="T190" s="2521"/>
      <c r="U190" s="2521"/>
      <c r="V190" s="2521"/>
      <c r="W190" s="2521"/>
      <c r="X190" s="2521"/>
      <c r="Y190" s="2521"/>
      <c r="Z190" s="2521"/>
    </row>
    <row r="191" spans="1:26" ht="16.5" customHeight="1">
      <c r="A191" s="2521"/>
      <c r="B191" s="2526"/>
      <c r="C191" s="2521"/>
      <c r="D191" s="2521"/>
      <c r="E191" s="2521"/>
      <c r="F191" s="2521"/>
      <c r="G191" s="2521"/>
      <c r="H191" s="2521"/>
      <c r="I191" s="2521"/>
      <c r="J191" s="2521"/>
      <c r="K191" s="2521"/>
      <c r="L191" s="2521"/>
      <c r="M191" s="2521"/>
      <c r="N191" s="2521"/>
      <c r="O191" s="2521"/>
      <c r="P191" s="2521"/>
      <c r="Q191" s="2521"/>
      <c r="R191" s="2521"/>
      <c r="S191" s="2521"/>
      <c r="T191" s="2521"/>
      <c r="U191" s="2521"/>
      <c r="V191" s="2521"/>
      <c r="W191" s="2521"/>
      <c r="X191" s="2521"/>
      <c r="Y191" s="2521"/>
      <c r="Z191" s="2521"/>
    </row>
    <row r="192" spans="1:26" ht="16.5" customHeight="1">
      <c r="A192" s="2521"/>
      <c r="B192" s="2526"/>
      <c r="C192" s="2521"/>
      <c r="D192" s="2521"/>
      <c r="E192" s="2521"/>
      <c r="F192" s="2521"/>
      <c r="G192" s="2521"/>
      <c r="H192" s="2521"/>
      <c r="I192" s="2521"/>
      <c r="J192" s="2521"/>
      <c r="K192" s="2521"/>
      <c r="L192" s="2521"/>
      <c r="M192" s="2521"/>
      <c r="N192" s="2521"/>
      <c r="O192" s="2521"/>
      <c r="P192" s="2521"/>
      <c r="Q192" s="2521"/>
      <c r="R192" s="2521"/>
      <c r="S192" s="2521"/>
      <c r="T192" s="2521"/>
      <c r="U192" s="2521"/>
      <c r="V192" s="2521"/>
      <c r="W192" s="2521"/>
      <c r="X192" s="2521"/>
      <c r="Y192" s="2521"/>
      <c r="Z192" s="2521"/>
    </row>
    <row r="193" spans="1:26" ht="16.5" customHeight="1">
      <c r="A193" s="2521"/>
      <c r="B193" s="2526"/>
      <c r="C193" s="2521"/>
      <c r="D193" s="2521"/>
      <c r="E193" s="2521"/>
      <c r="F193" s="2521"/>
      <c r="G193" s="2521"/>
      <c r="H193" s="2521"/>
      <c r="I193" s="2521"/>
      <c r="J193" s="2521"/>
      <c r="K193" s="2521"/>
      <c r="L193" s="2521"/>
      <c r="M193" s="2521"/>
      <c r="N193" s="2521"/>
      <c r="O193" s="2521"/>
      <c r="P193" s="2521"/>
      <c r="Q193" s="2521"/>
      <c r="R193" s="2521"/>
      <c r="S193" s="2521"/>
      <c r="T193" s="2521"/>
      <c r="U193" s="2521"/>
      <c r="V193" s="2521"/>
      <c r="W193" s="2521"/>
      <c r="X193" s="2521"/>
      <c r="Y193" s="2521"/>
      <c r="Z193" s="2521"/>
    </row>
    <row r="194" spans="1:26" ht="16.5" customHeight="1">
      <c r="A194" s="2521"/>
      <c r="B194" s="2526"/>
      <c r="C194" s="2521"/>
      <c r="D194" s="2521"/>
      <c r="E194" s="2521"/>
      <c r="F194" s="2521"/>
      <c r="G194" s="2521"/>
      <c r="H194" s="2521"/>
      <c r="I194" s="2521"/>
      <c r="J194" s="2521"/>
      <c r="K194" s="2521"/>
      <c r="L194" s="2521"/>
      <c r="M194" s="2521"/>
      <c r="N194" s="2521"/>
      <c r="O194" s="2521"/>
      <c r="P194" s="2521"/>
      <c r="Q194" s="2521"/>
      <c r="R194" s="2521"/>
      <c r="S194" s="2521"/>
      <c r="T194" s="2521"/>
      <c r="U194" s="2521"/>
      <c r="V194" s="2521"/>
      <c r="W194" s="2521"/>
      <c r="X194" s="2521"/>
      <c r="Y194" s="2521"/>
      <c r="Z194" s="2521"/>
    </row>
    <row r="195" spans="1:26" ht="16.5" customHeight="1">
      <c r="A195" s="2521"/>
      <c r="B195" s="2526"/>
      <c r="C195" s="2521"/>
      <c r="D195" s="2521"/>
      <c r="E195" s="2521"/>
      <c r="F195" s="2521"/>
      <c r="G195" s="2521"/>
      <c r="H195" s="2521"/>
      <c r="I195" s="2521"/>
      <c r="J195" s="2521"/>
      <c r="K195" s="2521"/>
      <c r="L195" s="2521"/>
      <c r="M195" s="2521"/>
      <c r="N195" s="2521"/>
      <c r="O195" s="2521"/>
      <c r="P195" s="2521"/>
      <c r="Q195" s="2521"/>
      <c r="R195" s="2521"/>
      <c r="S195" s="2521"/>
      <c r="T195" s="2521"/>
      <c r="U195" s="2521"/>
      <c r="V195" s="2521"/>
      <c r="W195" s="2521"/>
      <c r="X195" s="2521"/>
      <c r="Y195" s="2521"/>
      <c r="Z195" s="2521"/>
    </row>
    <row r="196" spans="1:26" ht="16.5" customHeight="1">
      <c r="A196" s="2521"/>
      <c r="B196" s="2526"/>
      <c r="C196" s="2521"/>
      <c r="D196" s="2521"/>
      <c r="E196" s="2521"/>
      <c r="F196" s="2521"/>
      <c r="G196" s="2521"/>
      <c r="H196" s="2521"/>
      <c r="I196" s="2521"/>
      <c r="J196" s="2521"/>
      <c r="K196" s="2521"/>
      <c r="L196" s="2521"/>
      <c r="M196" s="2521"/>
      <c r="N196" s="2521"/>
      <c r="O196" s="2521"/>
      <c r="P196" s="2521"/>
      <c r="Q196" s="2521"/>
      <c r="R196" s="2521"/>
      <c r="S196" s="2521"/>
      <c r="T196" s="2521"/>
      <c r="U196" s="2521"/>
      <c r="V196" s="2521"/>
      <c r="W196" s="2521"/>
      <c r="X196" s="2521"/>
      <c r="Y196" s="2521"/>
      <c r="Z196" s="2521"/>
    </row>
    <row r="197" spans="1:26" ht="16.5" customHeight="1">
      <c r="A197" s="2521"/>
      <c r="B197" s="2526"/>
      <c r="C197" s="2521"/>
      <c r="D197" s="2521"/>
      <c r="E197" s="2521"/>
      <c r="F197" s="2521"/>
      <c r="G197" s="2521"/>
      <c r="H197" s="2521"/>
      <c r="I197" s="2521"/>
      <c r="J197" s="2521"/>
      <c r="K197" s="2521"/>
      <c r="L197" s="2521"/>
      <c r="M197" s="2521"/>
      <c r="N197" s="2521"/>
      <c r="O197" s="2521"/>
      <c r="P197" s="2521"/>
      <c r="Q197" s="2521"/>
      <c r="R197" s="2521"/>
      <c r="S197" s="2521"/>
      <c r="T197" s="2521"/>
      <c r="U197" s="2521"/>
      <c r="V197" s="2521"/>
      <c r="W197" s="2521"/>
      <c r="X197" s="2521"/>
      <c r="Y197" s="2521"/>
      <c r="Z197" s="2521"/>
    </row>
    <row r="198" spans="1:26" ht="16.5" customHeight="1">
      <c r="A198" s="2521"/>
      <c r="B198" s="2526"/>
      <c r="C198" s="2521"/>
      <c r="D198" s="2521"/>
      <c r="E198" s="2521"/>
      <c r="F198" s="2521"/>
      <c r="G198" s="2521"/>
      <c r="H198" s="2521"/>
      <c r="I198" s="2521"/>
      <c r="J198" s="2521"/>
      <c r="K198" s="2521"/>
      <c r="L198" s="2521"/>
      <c r="M198" s="2521"/>
      <c r="N198" s="2521"/>
      <c r="O198" s="2521"/>
      <c r="P198" s="2521"/>
      <c r="Q198" s="2521"/>
      <c r="R198" s="2521"/>
      <c r="S198" s="2521"/>
      <c r="T198" s="2521"/>
      <c r="U198" s="2521"/>
      <c r="V198" s="2521"/>
      <c r="W198" s="2521"/>
      <c r="X198" s="2521"/>
      <c r="Y198" s="2521"/>
      <c r="Z198" s="2521"/>
    </row>
    <row r="199" spans="1:26" ht="16.5" customHeight="1">
      <c r="A199" s="2521"/>
      <c r="B199" s="2526"/>
      <c r="C199" s="2521"/>
      <c r="D199" s="2521"/>
      <c r="E199" s="2521"/>
      <c r="F199" s="2521"/>
      <c r="G199" s="2521"/>
      <c r="H199" s="2521"/>
      <c r="I199" s="2521"/>
      <c r="J199" s="2521"/>
      <c r="K199" s="2521"/>
      <c r="L199" s="2521"/>
      <c r="M199" s="2521"/>
      <c r="N199" s="2521"/>
      <c r="O199" s="2521"/>
      <c r="P199" s="2521"/>
      <c r="Q199" s="2521"/>
      <c r="R199" s="2521"/>
      <c r="S199" s="2521"/>
      <c r="T199" s="2521"/>
      <c r="U199" s="2521"/>
      <c r="V199" s="2521"/>
      <c r="W199" s="2521"/>
      <c r="X199" s="2521"/>
      <c r="Y199" s="2521"/>
      <c r="Z199" s="2521"/>
    </row>
    <row r="200" spans="1:26" ht="16.5" customHeight="1">
      <c r="A200" s="2521"/>
      <c r="B200" s="2526"/>
      <c r="C200" s="2521"/>
      <c r="D200" s="2521"/>
      <c r="E200" s="2521"/>
      <c r="F200" s="2521"/>
      <c r="G200" s="2521"/>
      <c r="H200" s="2521"/>
      <c r="I200" s="2521"/>
      <c r="J200" s="2521"/>
      <c r="K200" s="2521"/>
      <c r="L200" s="2521"/>
      <c r="M200" s="2521"/>
      <c r="N200" s="2521"/>
      <c r="O200" s="2521"/>
      <c r="P200" s="2521"/>
      <c r="Q200" s="2521"/>
      <c r="R200" s="2521"/>
      <c r="S200" s="2521"/>
      <c r="T200" s="2521"/>
      <c r="U200" s="2521"/>
      <c r="V200" s="2521"/>
      <c r="W200" s="2521"/>
      <c r="X200" s="2521"/>
      <c r="Y200" s="2521"/>
      <c r="Z200" s="2521"/>
    </row>
    <row r="201" spans="1:26" ht="16.5" customHeight="1">
      <c r="A201" s="2521"/>
      <c r="B201" s="2526"/>
      <c r="C201" s="2521"/>
      <c r="D201" s="2521"/>
      <c r="E201" s="2521"/>
      <c r="F201" s="2521"/>
      <c r="G201" s="2521"/>
      <c r="H201" s="2521"/>
      <c r="I201" s="2521"/>
      <c r="J201" s="2521"/>
      <c r="K201" s="2521"/>
      <c r="L201" s="2521"/>
      <c r="M201" s="2521"/>
      <c r="N201" s="2521"/>
      <c r="O201" s="2521"/>
      <c r="P201" s="2521"/>
      <c r="Q201" s="2521"/>
      <c r="R201" s="2521"/>
      <c r="S201" s="2521"/>
      <c r="T201" s="2521"/>
      <c r="U201" s="2521"/>
      <c r="V201" s="2521"/>
      <c r="W201" s="2521"/>
      <c r="X201" s="2521"/>
      <c r="Y201" s="2521"/>
      <c r="Z201" s="2521"/>
    </row>
    <row r="202" spans="1:26" ht="16.5" customHeight="1">
      <c r="A202" s="2521"/>
      <c r="B202" s="2526"/>
      <c r="C202" s="2521"/>
      <c r="D202" s="2521"/>
      <c r="E202" s="2521"/>
      <c r="F202" s="2521"/>
      <c r="G202" s="2521"/>
      <c r="H202" s="2521"/>
      <c r="I202" s="2521"/>
      <c r="J202" s="2521"/>
      <c r="K202" s="2521"/>
      <c r="L202" s="2521"/>
      <c r="M202" s="2521"/>
      <c r="N202" s="2521"/>
      <c r="O202" s="2521"/>
      <c r="P202" s="2521"/>
      <c r="Q202" s="2521"/>
      <c r="R202" s="2521"/>
      <c r="S202" s="2521"/>
      <c r="T202" s="2521"/>
      <c r="U202" s="2521"/>
      <c r="V202" s="2521"/>
      <c r="W202" s="2521"/>
      <c r="X202" s="2521"/>
      <c r="Y202" s="2521"/>
      <c r="Z202" s="2521"/>
    </row>
    <row r="203" spans="1:26" ht="16.5" customHeight="1">
      <c r="A203" s="2521"/>
      <c r="B203" s="2526"/>
      <c r="C203" s="2521"/>
      <c r="D203" s="2521"/>
      <c r="E203" s="2521"/>
      <c r="F203" s="2521"/>
      <c r="G203" s="2521"/>
      <c r="H203" s="2521"/>
      <c r="I203" s="2521"/>
      <c r="J203" s="2521"/>
      <c r="K203" s="2521"/>
      <c r="L203" s="2521"/>
      <c r="M203" s="2521"/>
      <c r="N203" s="2521"/>
      <c r="O203" s="2521"/>
      <c r="P203" s="2521"/>
      <c r="Q203" s="2521"/>
      <c r="R203" s="2521"/>
      <c r="S203" s="2521"/>
      <c r="T203" s="2521"/>
      <c r="U203" s="2521"/>
      <c r="V203" s="2521"/>
      <c r="W203" s="2521"/>
      <c r="X203" s="2521"/>
      <c r="Y203" s="2521"/>
      <c r="Z203" s="2521"/>
    </row>
    <row r="204" spans="1:26" ht="16.5" customHeight="1">
      <c r="A204" s="2521"/>
      <c r="B204" s="2526"/>
      <c r="C204" s="2521"/>
      <c r="D204" s="2521"/>
      <c r="E204" s="2521"/>
      <c r="F204" s="2521"/>
      <c r="G204" s="2521"/>
      <c r="H204" s="2521"/>
      <c r="I204" s="2521"/>
      <c r="J204" s="2521"/>
      <c r="K204" s="2521"/>
      <c r="L204" s="2521"/>
      <c r="M204" s="2521"/>
      <c r="N204" s="2521"/>
      <c r="O204" s="2521"/>
      <c r="P204" s="2521"/>
      <c r="Q204" s="2521"/>
      <c r="R204" s="2521"/>
      <c r="S204" s="2521"/>
      <c r="T204" s="2521"/>
      <c r="U204" s="2521"/>
      <c r="V204" s="2521"/>
      <c r="W204" s="2521"/>
      <c r="X204" s="2521"/>
      <c r="Y204" s="2521"/>
      <c r="Z204" s="2521"/>
    </row>
    <row r="205" spans="1:26" ht="16.5" customHeight="1">
      <c r="A205" s="2521"/>
      <c r="B205" s="2526"/>
      <c r="C205" s="2521"/>
      <c r="D205" s="2521"/>
      <c r="E205" s="2521"/>
      <c r="F205" s="2521"/>
      <c r="G205" s="2521"/>
      <c r="H205" s="2521"/>
      <c r="I205" s="2521"/>
      <c r="J205" s="2521"/>
      <c r="K205" s="2521"/>
      <c r="L205" s="2521"/>
      <c r="M205" s="2521"/>
      <c r="N205" s="2521"/>
      <c r="O205" s="2521"/>
      <c r="P205" s="2521"/>
      <c r="Q205" s="2521"/>
      <c r="R205" s="2521"/>
      <c r="S205" s="2521"/>
      <c r="T205" s="2521"/>
      <c r="U205" s="2521"/>
      <c r="V205" s="2521"/>
      <c r="W205" s="2521"/>
      <c r="X205" s="2521"/>
      <c r="Y205" s="2521"/>
      <c r="Z205" s="2521"/>
    </row>
    <row r="206" spans="1:26" ht="16.5" customHeight="1">
      <c r="A206" s="2521"/>
      <c r="B206" s="2526"/>
      <c r="C206" s="2521"/>
      <c r="D206" s="2521"/>
      <c r="E206" s="2521"/>
      <c r="F206" s="2521"/>
      <c r="G206" s="2521"/>
      <c r="H206" s="2521"/>
      <c r="I206" s="2521"/>
      <c r="J206" s="2521"/>
      <c r="K206" s="2521"/>
      <c r="L206" s="2521"/>
      <c r="M206" s="2521"/>
      <c r="N206" s="2521"/>
      <c r="O206" s="2521"/>
      <c r="P206" s="2521"/>
      <c r="Q206" s="2521"/>
      <c r="R206" s="2521"/>
      <c r="S206" s="2521"/>
      <c r="T206" s="2521"/>
      <c r="U206" s="2521"/>
      <c r="V206" s="2521"/>
      <c r="W206" s="2521"/>
      <c r="X206" s="2521"/>
      <c r="Y206" s="2521"/>
      <c r="Z206" s="2521"/>
    </row>
    <row r="207" spans="1:26" ht="16.5" customHeight="1">
      <c r="A207" s="2521"/>
      <c r="B207" s="2526"/>
      <c r="C207" s="2521"/>
      <c r="D207" s="2521"/>
      <c r="E207" s="2521"/>
      <c r="F207" s="2521"/>
      <c r="G207" s="2521"/>
      <c r="H207" s="2521"/>
      <c r="I207" s="2521"/>
      <c r="J207" s="2521"/>
      <c r="K207" s="2521"/>
      <c r="L207" s="2521"/>
      <c r="M207" s="2521"/>
      <c r="N207" s="2521"/>
      <c r="O207" s="2521"/>
      <c r="P207" s="2521"/>
      <c r="Q207" s="2521"/>
      <c r="R207" s="2521"/>
      <c r="S207" s="2521"/>
      <c r="T207" s="2521"/>
      <c r="U207" s="2521"/>
      <c r="V207" s="2521"/>
      <c r="W207" s="2521"/>
      <c r="X207" s="2521"/>
      <c r="Y207" s="2521"/>
      <c r="Z207" s="2521"/>
    </row>
    <row r="208" spans="1:26" ht="16.5" customHeight="1">
      <c r="A208" s="2521"/>
      <c r="B208" s="2526"/>
      <c r="C208" s="2521"/>
      <c r="D208" s="2521"/>
      <c r="E208" s="2521"/>
      <c r="F208" s="2521"/>
      <c r="G208" s="2521"/>
      <c r="H208" s="2521"/>
      <c r="I208" s="2521"/>
      <c r="J208" s="2521"/>
      <c r="K208" s="2521"/>
      <c r="L208" s="2521"/>
      <c r="M208" s="2521"/>
      <c r="N208" s="2521"/>
      <c r="O208" s="2521"/>
      <c r="P208" s="2521"/>
      <c r="Q208" s="2521"/>
      <c r="R208" s="2521"/>
      <c r="S208" s="2521"/>
      <c r="T208" s="2521"/>
      <c r="U208" s="2521"/>
      <c r="V208" s="2521"/>
      <c r="W208" s="2521"/>
      <c r="X208" s="2521"/>
      <c r="Y208" s="2521"/>
      <c r="Z208" s="2521"/>
    </row>
    <row r="209" spans="1:26" ht="16.5" customHeight="1">
      <c r="A209" s="2521"/>
      <c r="B209" s="2526"/>
      <c r="C209" s="2521"/>
      <c r="D209" s="2521"/>
      <c r="E209" s="2521"/>
      <c r="F209" s="2521"/>
      <c r="G209" s="2521"/>
      <c r="H209" s="2521"/>
      <c r="I209" s="2521"/>
      <c r="J209" s="2521"/>
      <c r="K209" s="2521"/>
      <c r="L209" s="2521"/>
      <c r="M209" s="2521"/>
      <c r="N209" s="2521"/>
      <c r="O209" s="2521"/>
      <c r="P209" s="2521"/>
      <c r="Q209" s="2521"/>
      <c r="R209" s="2521"/>
      <c r="S209" s="2521"/>
      <c r="T209" s="2521"/>
      <c r="U209" s="2521"/>
      <c r="V209" s="2521"/>
      <c r="W209" s="2521"/>
      <c r="X209" s="2521"/>
      <c r="Y209" s="2521"/>
      <c r="Z209" s="2521"/>
    </row>
    <row r="210" spans="1:26" ht="16.5" customHeight="1">
      <c r="A210" s="2521"/>
      <c r="B210" s="2526"/>
      <c r="C210" s="2521"/>
      <c r="D210" s="2521"/>
      <c r="E210" s="2521"/>
      <c r="F210" s="2521"/>
      <c r="G210" s="2521"/>
      <c r="H210" s="2521"/>
      <c r="I210" s="2521"/>
      <c r="J210" s="2521"/>
      <c r="K210" s="2521"/>
      <c r="L210" s="2521"/>
      <c r="M210" s="2521"/>
      <c r="N210" s="2521"/>
      <c r="O210" s="2521"/>
      <c r="P210" s="2521"/>
      <c r="Q210" s="2521"/>
      <c r="R210" s="2521"/>
      <c r="S210" s="2521"/>
      <c r="T210" s="2521"/>
      <c r="U210" s="2521"/>
      <c r="V210" s="2521"/>
      <c r="W210" s="2521"/>
      <c r="X210" s="2521"/>
      <c r="Y210" s="2521"/>
      <c r="Z210" s="2521"/>
    </row>
    <row r="211" spans="1:26" ht="16.5" customHeight="1">
      <c r="A211" s="2521"/>
      <c r="B211" s="2526"/>
      <c r="C211" s="2521"/>
      <c r="D211" s="2521"/>
      <c r="E211" s="2521"/>
      <c r="F211" s="2521"/>
      <c r="G211" s="2521"/>
      <c r="H211" s="2521"/>
      <c r="I211" s="2521"/>
      <c r="J211" s="2521"/>
      <c r="K211" s="2521"/>
      <c r="L211" s="2521"/>
      <c r="M211" s="2521"/>
      <c r="N211" s="2521"/>
      <c r="O211" s="2521"/>
      <c r="P211" s="2521"/>
      <c r="Q211" s="2521"/>
      <c r="R211" s="2521"/>
      <c r="S211" s="2521"/>
      <c r="T211" s="2521"/>
      <c r="U211" s="2521"/>
      <c r="V211" s="2521"/>
      <c r="W211" s="2521"/>
      <c r="X211" s="2521"/>
      <c r="Y211" s="2521"/>
      <c r="Z211" s="2521"/>
    </row>
    <row r="212" spans="1:26" ht="16.5" customHeight="1">
      <c r="A212" s="2521"/>
      <c r="B212" s="2526"/>
      <c r="C212" s="2521"/>
      <c r="D212" s="2521"/>
      <c r="E212" s="2521"/>
      <c r="F212" s="2521"/>
      <c r="G212" s="2521"/>
      <c r="H212" s="2521"/>
      <c r="I212" s="2521"/>
      <c r="J212" s="2521"/>
      <c r="K212" s="2521"/>
      <c r="L212" s="2521"/>
      <c r="M212" s="2521"/>
      <c r="N212" s="2521"/>
      <c r="O212" s="2521"/>
      <c r="P212" s="2521"/>
      <c r="Q212" s="2521"/>
      <c r="R212" s="2521"/>
      <c r="S212" s="2521"/>
      <c r="T212" s="2521"/>
      <c r="U212" s="2521"/>
      <c r="V212" s="2521"/>
      <c r="W212" s="2521"/>
      <c r="X212" s="2521"/>
      <c r="Y212" s="2521"/>
      <c r="Z212" s="2521"/>
    </row>
    <row r="213" spans="1:26" ht="16.5" customHeight="1">
      <c r="A213" s="2521"/>
      <c r="B213" s="2526"/>
      <c r="C213" s="2521"/>
      <c r="D213" s="2521"/>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row>
    <row r="214" spans="1:26" ht="16.5" customHeight="1">
      <c r="A214" s="2521"/>
      <c r="B214" s="2526"/>
      <c r="C214" s="2521"/>
      <c r="D214" s="2521"/>
      <c r="E214" s="2521"/>
      <c r="F214" s="2521"/>
      <c r="G214" s="2521"/>
      <c r="H214" s="2521"/>
      <c r="I214" s="2521"/>
      <c r="J214" s="2521"/>
      <c r="K214" s="2521"/>
      <c r="L214" s="2521"/>
      <c r="M214" s="2521"/>
      <c r="N214" s="2521"/>
      <c r="O214" s="2521"/>
      <c r="P214" s="2521"/>
      <c r="Q214" s="2521"/>
      <c r="R214" s="2521"/>
      <c r="S214" s="2521"/>
      <c r="T214" s="2521"/>
      <c r="U214" s="2521"/>
      <c r="V214" s="2521"/>
      <c r="W214" s="2521"/>
      <c r="X214" s="2521"/>
      <c r="Y214" s="2521"/>
      <c r="Z214" s="2521"/>
    </row>
    <row r="215" spans="1:26" ht="16.5" customHeight="1">
      <c r="A215" s="2521"/>
      <c r="B215" s="2526"/>
      <c r="C215" s="2521"/>
      <c r="D215" s="2521"/>
      <c r="E215" s="2521"/>
      <c r="F215" s="2521"/>
      <c r="G215" s="2521"/>
      <c r="H215" s="2521"/>
      <c r="I215" s="2521"/>
      <c r="J215" s="2521"/>
      <c r="K215" s="2521"/>
      <c r="L215" s="2521"/>
      <c r="M215" s="2521"/>
      <c r="N215" s="2521"/>
      <c r="O215" s="2521"/>
      <c r="P215" s="2521"/>
      <c r="Q215" s="2521"/>
      <c r="R215" s="2521"/>
      <c r="S215" s="2521"/>
      <c r="T215" s="2521"/>
      <c r="U215" s="2521"/>
      <c r="V215" s="2521"/>
      <c r="W215" s="2521"/>
      <c r="X215" s="2521"/>
      <c r="Y215" s="2521"/>
      <c r="Z215" s="2521"/>
    </row>
    <row r="216" spans="1:26" ht="16.5" customHeight="1">
      <c r="A216" s="2521"/>
      <c r="B216" s="2526"/>
      <c r="C216" s="2521"/>
      <c r="D216" s="2521"/>
      <c r="E216" s="2521"/>
      <c r="F216" s="2521"/>
      <c r="G216" s="2521"/>
      <c r="H216" s="2521"/>
      <c r="I216" s="2521"/>
      <c r="J216" s="2521"/>
      <c r="K216" s="2521"/>
      <c r="L216" s="2521"/>
      <c r="M216" s="2521"/>
      <c r="N216" s="2521"/>
      <c r="O216" s="2521"/>
      <c r="P216" s="2521"/>
      <c r="Q216" s="2521"/>
      <c r="R216" s="2521"/>
      <c r="S216" s="2521"/>
      <c r="T216" s="2521"/>
      <c r="U216" s="2521"/>
      <c r="V216" s="2521"/>
      <c r="W216" s="2521"/>
      <c r="X216" s="2521"/>
      <c r="Y216" s="2521"/>
      <c r="Z216" s="2521"/>
    </row>
    <row r="217" spans="1:26" ht="16.5" customHeight="1">
      <c r="A217" s="2521"/>
      <c r="B217" s="2526"/>
      <c r="C217" s="2521"/>
      <c r="D217" s="2521"/>
      <c r="E217" s="2521"/>
      <c r="F217" s="2521"/>
      <c r="G217" s="2521"/>
      <c r="H217" s="2521"/>
      <c r="I217" s="2521"/>
      <c r="J217" s="2521"/>
      <c r="K217" s="2521"/>
      <c r="L217" s="2521"/>
      <c r="M217" s="2521"/>
      <c r="N217" s="2521"/>
      <c r="O217" s="2521"/>
      <c r="P217" s="2521"/>
      <c r="Q217" s="2521"/>
      <c r="R217" s="2521"/>
      <c r="S217" s="2521"/>
      <c r="T217" s="2521"/>
      <c r="U217" s="2521"/>
      <c r="V217" s="2521"/>
      <c r="W217" s="2521"/>
      <c r="X217" s="2521"/>
      <c r="Y217" s="2521"/>
      <c r="Z217" s="2521"/>
    </row>
    <row r="218" spans="1:26" ht="16.5" customHeight="1">
      <c r="A218" s="2521"/>
      <c r="B218" s="2526"/>
      <c r="C218" s="2521"/>
      <c r="D218" s="2521"/>
      <c r="E218" s="2521"/>
      <c r="F218" s="2521"/>
      <c r="G218" s="2521"/>
      <c r="H218" s="2521"/>
      <c r="I218" s="2521"/>
      <c r="J218" s="2521"/>
      <c r="K218" s="2521"/>
      <c r="L218" s="2521"/>
      <c r="M218" s="2521"/>
      <c r="N218" s="2521"/>
      <c r="O218" s="2521"/>
      <c r="P218" s="2521"/>
      <c r="Q218" s="2521"/>
      <c r="R218" s="2521"/>
      <c r="S218" s="2521"/>
      <c r="T218" s="2521"/>
      <c r="U218" s="2521"/>
      <c r="V218" s="2521"/>
      <c r="W218" s="2521"/>
      <c r="X218" s="2521"/>
      <c r="Y218" s="2521"/>
      <c r="Z218" s="2521"/>
    </row>
    <row r="219" spans="1:26" ht="16.5" customHeight="1">
      <c r="A219" s="2521"/>
      <c r="B219" s="2526"/>
      <c r="C219" s="2521"/>
      <c r="D219" s="2521"/>
      <c r="E219" s="2521"/>
      <c r="F219" s="2521"/>
      <c r="G219" s="2521"/>
      <c r="H219" s="2521"/>
      <c r="I219" s="2521"/>
      <c r="J219" s="2521"/>
      <c r="K219" s="2521"/>
      <c r="L219" s="2521"/>
      <c r="M219" s="2521"/>
      <c r="N219" s="2521"/>
      <c r="O219" s="2521"/>
      <c r="P219" s="2521"/>
      <c r="Q219" s="2521"/>
      <c r="R219" s="2521"/>
      <c r="S219" s="2521"/>
      <c r="T219" s="2521"/>
      <c r="U219" s="2521"/>
      <c r="V219" s="2521"/>
      <c r="W219" s="2521"/>
      <c r="X219" s="2521"/>
      <c r="Y219" s="2521"/>
      <c r="Z219" s="2521"/>
    </row>
    <row r="220" spans="1:26" ht="16.5" customHeight="1">
      <c r="A220" s="2521"/>
      <c r="B220" s="2526"/>
      <c r="C220" s="2521"/>
      <c r="D220" s="2521"/>
      <c r="E220" s="2521"/>
      <c r="F220" s="2521"/>
      <c r="G220" s="2521"/>
      <c r="H220" s="2521"/>
      <c r="I220" s="2521"/>
      <c r="J220" s="2521"/>
      <c r="K220" s="2521"/>
      <c r="L220" s="2521"/>
      <c r="M220" s="2521"/>
      <c r="N220" s="2521"/>
      <c r="O220" s="2521"/>
      <c r="P220" s="2521"/>
      <c r="Q220" s="2521"/>
      <c r="R220" s="2521"/>
      <c r="S220" s="2521"/>
      <c r="T220" s="2521"/>
      <c r="U220" s="2521"/>
      <c r="V220" s="2521"/>
      <c r="W220" s="2521"/>
      <c r="X220" s="2521"/>
      <c r="Y220" s="2521"/>
      <c r="Z220" s="2521"/>
    </row>
    <row r="221" spans="1:26" ht="16.5" customHeight="1">
      <c r="A221" s="2521"/>
      <c r="B221" s="2526"/>
      <c r="C221" s="2521"/>
      <c r="D221" s="2521"/>
      <c r="E221" s="2521"/>
      <c r="F221" s="2521"/>
      <c r="G221" s="2521"/>
      <c r="H221" s="2521"/>
      <c r="I221" s="2521"/>
      <c r="J221" s="2521"/>
      <c r="K221" s="2521"/>
      <c r="L221" s="2521"/>
      <c r="M221" s="2521"/>
      <c r="N221" s="2521"/>
      <c r="O221" s="2521"/>
      <c r="P221" s="2521"/>
      <c r="Q221" s="2521"/>
      <c r="R221" s="2521"/>
      <c r="S221" s="2521"/>
      <c r="T221" s="2521"/>
      <c r="U221" s="2521"/>
      <c r="V221" s="2521"/>
      <c r="W221" s="2521"/>
      <c r="X221" s="2521"/>
      <c r="Y221" s="2521"/>
      <c r="Z221" s="2521"/>
    </row>
    <row r="222" spans="1:26" ht="16.5" customHeight="1">
      <c r="A222" s="2521"/>
      <c r="B222" s="2526"/>
      <c r="C222" s="2521"/>
      <c r="D222" s="2521"/>
      <c r="E222" s="2521"/>
      <c r="F222" s="2521"/>
      <c r="G222" s="2521"/>
      <c r="H222" s="2521"/>
      <c r="I222" s="2521"/>
      <c r="J222" s="2521"/>
      <c r="K222" s="2521"/>
      <c r="L222" s="2521"/>
      <c r="M222" s="2521"/>
      <c r="N222" s="2521"/>
      <c r="O222" s="2521"/>
      <c r="P222" s="2521"/>
      <c r="Q222" s="2521"/>
      <c r="R222" s="2521"/>
      <c r="S222" s="2521"/>
      <c r="T222" s="2521"/>
      <c r="U222" s="2521"/>
      <c r="V222" s="2521"/>
      <c r="W222" s="2521"/>
      <c r="X222" s="2521"/>
      <c r="Y222" s="2521"/>
      <c r="Z222" s="2521"/>
    </row>
    <row r="223" spans="1:26" ht="16.5" customHeight="1">
      <c r="A223" s="2521"/>
      <c r="B223" s="2526"/>
      <c r="C223" s="2521"/>
      <c r="D223" s="2521"/>
      <c r="E223" s="2521"/>
      <c r="F223" s="2521"/>
      <c r="G223" s="2521"/>
      <c r="H223" s="2521"/>
      <c r="I223" s="2521"/>
      <c r="J223" s="2521"/>
      <c r="K223" s="2521"/>
      <c r="L223" s="2521"/>
      <c r="M223" s="2521"/>
      <c r="N223" s="2521"/>
      <c r="O223" s="2521"/>
      <c r="P223" s="2521"/>
      <c r="Q223" s="2521"/>
      <c r="R223" s="2521"/>
      <c r="S223" s="2521"/>
      <c r="T223" s="2521"/>
      <c r="U223" s="2521"/>
      <c r="V223" s="2521"/>
      <c r="W223" s="2521"/>
      <c r="X223" s="2521"/>
      <c r="Y223" s="2521"/>
      <c r="Z223" s="2521"/>
    </row>
    <row r="224" spans="1:26" ht="16.5" customHeight="1">
      <c r="A224" s="2521"/>
      <c r="B224" s="2526"/>
      <c r="C224" s="2521"/>
      <c r="D224" s="2521"/>
      <c r="E224" s="2521"/>
      <c r="F224" s="2521"/>
      <c r="G224" s="2521"/>
      <c r="H224" s="2521"/>
      <c r="I224" s="2521"/>
      <c r="J224" s="2521"/>
      <c r="K224" s="2521"/>
      <c r="L224" s="2521"/>
      <c r="M224" s="2521"/>
      <c r="N224" s="2521"/>
      <c r="O224" s="2521"/>
      <c r="P224" s="2521"/>
      <c r="Q224" s="2521"/>
      <c r="R224" s="2521"/>
      <c r="S224" s="2521"/>
      <c r="T224" s="2521"/>
      <c r="U224" s="2521"/>
      <c r="V224" s="2521"/>
      <c r="W224" s="2521"/>
      <c r="X224" s="2521"/>
      <c r="Y224" s="2521"/>
      <c r="Z224" s="2521"/>
    </row>
    <row r="225" spans="1:26" ht="16.5" customHeight="1">
      <c r="A225" s="2521"/>
      <c r="B225" s="2526"/>
      <c r="C225" s="2521"/>
      <c r="D225" s="2521"/>
      <c r="E225" s="2521"/>
      <c r="F225" s="2521"/>
      <c r="G225" s="2521"/>
      <c r="H225" s="2521"/>
      <c r="I225" s="2521"/>
      <c r="J225" s="2521"/>
      <c r="K225" s="2521"/>
      <c r="L225" s="2521"/>
      <c r="M225" s="2521"/>
      <c r="N225" s="2521"/>
      <c r="O225" s="2521"/>
      <c r="P225" s="2521"/>
      <c r="Q225" s="2521"/>
      <c r="R225" s="2521"/>
      <c r="S225" s="2521"/>
      <c r="T225" s="2521"/>
      <c r="U225" s="2521"/>
      <c r="V225" s="2521"/>
      <c r="W225" s="2521"/>
      <c r="X225" s="2521"/>
      <c r="Y225" s="2521"/>
      <c r="Z225" s="2521"/>
    </row>
    <row r="226" spans="1:26" ht="16.5" customHeight="1">
      <c r="A226" s="2521"/>
      <c r="B226" s="2526"/>
      <c r="C226" s="2521"/>
      <c r="D226" s="2521"/>
      <c r="E226" s="2521"/>
      <c r="F226" s="2521"/>
      <c r="G226" s="2521"/>
      <c r="H226" s="2521"/>
      <c r="I226" s="2521"/>
      <c r="J226" s="2521"/>
      <c r="K226" s="2521"/>
      <c r="L226" s="2521"/>
      <c r="M226" s="2521"/>
      <c r="N226" s="2521"/>
      <c r="O226" s="2521"/>
      <c r="P226" s="2521"/>
      <c r="Q226" s="2521"/>
      <c r="R226" s="2521"/>
      <c r="S226" s="2521"/>
      <c r="T226" s="2521"/>
      <c r="U226" s="2521"/>
      <c r="V226" s="2521"/>
      <c r="W226" s="2521"/>
      <c r="X226" s="2521"/>
      <c r="Y226" s="2521"/>
      <c r="Z226" s="2521"/>
    </row>
    <row r="227" spans="1:26" ht="16.5" customHeight="1">
      <c r="A227" s="2521"/>
      <c r="B227" s="2526"/>
      <c r="C227" s="2521"/>
      <c r="D227" s="2521"/>
      <c r="E227" s="2521"/>
      <c r="F227" s="2521"/>
      <c r="G227" s="2521"/>
      <c r="H227" s="2521"/>
      <c r="I227" s="2521"/>
      <c r="J227" s="2521"/>
      <c r="K227" s="2521"/>
      <c r="L227" s="2521"/>
      <c r="M227" s="2521"/>
      <c r="N227" s="2521"/>
      <c r="O227" s="2521"/>
      <c r="P227" s="2521"/>
      <c r="Q227" s="2521"/>
      <c r="R227" s="2521"/>
      <c r="S227" s="2521"/>
      <c r="T227" s="2521"/>
      <c r="U227" s="2521"/>
      <c r="V227" s="2521"/>
      <c r="W227" s="2521"/>
      <c r="X227" s="2521"/>
      <c r="Y227" s="2521"/>
      <c r="Z227" s="2521"/>
    </row>
    <row r="228" spans="1:26" ht="16.5" customHeight="1">
      <c r="A228" s="2521"/>
      <c r="B228" s="2526"/>
      <c r="C228" s="2521"/>
      <c r="D228" s="2521"/>
      <c r="E228" s="2521"/>
      <c r="F228" s="2521"/>
      <c r="G228" s="2521"/>
      <c r="H228" s="2521"/>
      <c r="I228" s="2521"/>
      <c r="J228" s="2521"/>
      <c r="K228" s="2521"/>
      <c r="L228" s="2521"/>
      <c r="M228" s="2521"/>
      <c r="N228" s="2521"/>
      <c r="O228" s="2521"/>
      <c r="P228" s="2521"/>
      <c r="Q228" s="2521"/>
      <c r="R228" s="2521"/>
      <c r="S228" s="2521"/>
      <c r="T228" s="2521"/>
      <c r="U228" s="2521"/>
      <c r="V228" s="2521"/>
      <c r="W228" s="2521"/>
      <c r="X228" s="2521"/>
      <c r="Y228" s="2521"/>
      <c r="Z228" s="2521"/>
    </row>
    <row r="229" spans="1:26" ht="16.5" customHeight="1">
      <c r="A229" s="2521"/>
      <c r="B229" s="2526"/>
      <c r="C229" s="2521"/>
      <c r="D229" s="2521"/>
      <c r="E229" s="2521"/>
      <c r="F229" s="2521"/>
      <c r="G229" s="2521"/>
      <c r="H229" s="2521"/>
      <c r="I229" s="2521"/>
      <c r="J229" s="2521"/>
      <c r="K229" s="2521"/>
      <c r="L229" s="2521"/>
      <c r="M229" s="2521"/>
      <c r="N229" s="2521"/>
      <c r="O229" s="2521"/>
      <c r="P229" s="2521"/>
      <c r="Q229" s="2521"/>
      <c r="R229" s="2521"/>
      <c r="S229" s="2521"/>
      <c r="T229" s="2521"/>
      <c r="U229" s="2521"/>
      <c r="V229" s="2521"/>
      <c r="W229" s="2521"/>
      <c r="X229" s="2521"/>
      <c r="Y229" s="2521"/>
      <c r="Z229" s="2521"/>
    </row>
    <row r="230" spans="1:26" ht="16.5" customHeight="1">
      <c r="A230" s="2521"/>
      <c r="B230" s="2526"/>
      <c r="C230" s="2521"/>
      <c r="D230" s="2521"/>
      <c r="E230" s="2521"/>
      <c r="F230" s="2521"/>
      <c r="G230" s="2521"/>
      <c r="H230" s="2521"/>
      <c r="I230" s="2521"/>
      <c r="J230" s="2521"/>
      <c r="K230" s="2521"/>
      <c r="L230" s="2521"/>
      <c r="M230" s="2521"/>
      <c r="N230" s="2521"/>
      <c r="O230" s="2521"/>
      <c r="P230" s="2521"/>
      <c r="Q230" s="2521"/>
      <c r="R230" s="2521"/>
      <c r="S230" s="2521"/>
      <c r="T230" s="2521"/>
      <c r="U230" s="2521"/>
      <c r="V230" s="2521"/>
      <c r="W230" s="2521"/>
      <c r="X230" s="2521"/>
      <c r="Y230" s="2521"/>
      <c r="Z230" s="2521"/>
    </row>
    <row r="231" spans="1:26" ht="16.5" customHeight="1">
      <c r="A231" s="2521"/>
      <c r="B231" s="2526"/>
      <c r="C231" s="2521"/>
      <c r="D231" s="2521"/>
      <c r="E231" s="2521"/>
      <c r="F231" s="2521"/>
      <c r="G231" s="2521"/>
      <c r="H231" s="2521"/>
      <c r="I231" s="2521"/>
      <c r="J231" s="2521"/>
      <c r="K231" s="2521"/>
      <c r="L231" s="2521"/>
      <c r="M231" s="2521"/>
      <c r="N231" s="2521"/>
      <c r="O231" s="2521"/>
      <c r="P231" s="2521"/>
      <c r="Q231" s="2521"/>
      <c r="R231" s="2521"/>
      <c r="S231" s="2521"/>
      <c r="T231" s="2521"/>
      <c r="U231" s="2521"/>
      <c r="V231" s="2521"/>
      <c r="W231" s="2521"/>
      <c r="X231" s="2521"/>
      <c r="Y231" s="2521"/>
      <c r="Z231" s="2521"/>
    </row>
    <row r="232" spans="1:26" ht="16.5" customHeight="1">
      <c r="A232" s="2521"/>
      <c r="B232" s="2526"/>
      <c r="C232" s="2521"/>
      <c r="D232" s="2521"/>
      <c r="E232" s="2521"/>
      <c r="F232" s="2521"/>
      <c r="G232" s="2521"/>
      <c r="H232" s="2521"/>
      <c r="I232" s="2521"/>
      <c r="J232" s="2521"/>
      <c r="K232" s="2521"/>
      <c r="L232" s="2521"/>
      <c r="M232" s="2521"/>
      <c r="N232" s="2521"/>
      <c r="O232" s="2521"/>
      <c r="P232" s="2521"/>
      <c r="Q232" s="2521"/>
      <c r="R232" s="2521"/>
      <c r="S232" s="2521"/>
      <c r="T232" s="2521"/>
      <c r="U232" s="2521"/>
      <c r="V232" s="2521"/>
      <c r="W232" s="2521"/>
      <c r="X232" s="2521"/>
      <c r="Y232" s="2521"/>
      <c r="Z232" s="2521"/>
    </row>
    <row r="233" spans="1:26" ht="16.5" customHeight="1">
      <c r="A233" s="2521"/>
      <c r="B233" s="2526"/>
      <c r="C233" s="2521"/>
      <c r="D233" s="2521"/>
      <c r="E233" s="2521"/>
      <c r="F233" s="2521"/>
      <c r="G233" s="2521"/>
      <c r="H233" s="2521"/>
      <c r="I233" s="2521"/>
      <c r="J233" s="2521"/>
      <c r="K233" s="2521"/>
      <c r="L233" s="2521"/>
      <c r="M233" s="2521"/>
      <c r="N233" s="2521"/>
      <c r="O233" s="2521"/>
      <c r="P233" s="2521"/>
      <c r="Q233" s="2521"/>
      <c r="R233" s="2521"/>
      <c r="S233" s="2521"/>
      <c r="T233" s="2521"/>
      <c r="U233" s="2521"/>
      <c r="V233" s="2521"/>
      <c r="W233" s="2521"/>
      <c r="X233" s="2521"/>
      <c r="Y233" s="2521"/>
      <c r="Z233" s="2521"/>
    </row>
    <row r="234" spans="1:26" ht="16.5" customHeight="1">
      <c r="A234" s="2521"/>
      <c r="B234" s="2526"/>
      <c r="C234" s="2521"/>
      <c r="D234" s="2521"/>
      <c r="E234" s="2521"/>
      <c r="F234" s="2521"/>
      <c r="G234" s="2521"/>
      <c r="H234" s="2521"/>
      <c r="I234" s="2521"/>
      <c r="J234" s="2521"/>
      <c r="K234" s="2521"/>
      <c r="L234" s="2521"/>
      <c r="M234" s="2521"/>
      <c r="N234" s="2521"/>
      <c r="O234" s="2521"/>
      <c r="P234" s="2521"/>
      <c r="Q234" s="2521"/>
      <c r="R234" s="2521"/>
      <c r="S234" s="2521"/>
      <c r="T234" s="2521"/>
      <c r="U234" s="2521"/>
      <c r="V234" s="2521"/>
      <c r="W234" s="2521"/>
      <c r="X234" s="2521"/>
      <c r="Y234" s="2521"/>
      <c r="Z234" s="2521"/>
    </row>
    <row r="235" spans="1:26" ht="16.5" customHeight="1">
      <c r="A235" s="2521"/>
      <c r="B235" s="2526"/>
      <c r="C235" s="2521"/>
      <c r="D235" s="2521"/>
      <c r="E235" s="2521"/>
      <c r="F235" s="2521"/>
      <c r="G235" s="2521"/>
      <c r="H235" s="2521"/>
      <c r="I235" s="2521"/>
      <c r="J235" s="2521"/>
      <c r="K235" s="2521"/>
      <c r="L235" s="2521"/>
      <c r="M235" s="2521"/>
      <c r="N235" s="2521"/>
      <c r="O235" s="2521"/>
      <c r="P235" s="2521"/>
      <c r="Q235" s="2521"/>
      <c r="R235" s="2521"/>
      <c r="S235" s="2521"/>
      <c r="T235" s="2521"/>
      <c r="U235" s="2521"/>
      <c r="V235" s="2521"/>
      <c r="W235" s="2521"/>
      <c r="X235" s="2521"/>
      <c r="Y235" s="2521"/>
      <c r="Z235" s="2521"/>
    </row>
    <row r="236" spans="1:26" ht="16.5" customHeight="1">
      <c r="A236" s="2521"/>
      <c r="B236" s="2526"/>
      <c r="C236" s="2521"/>
      <c r="D236" s="2521"/>
      <c r="E236" s="2521"/>
      <c r="F236" s="2521"/>
      <c r="G236" s="2521"/>
      <c r="H236" s="2521"/>
      <c r="I236" s="2521"/>
      <c r="J236" s="2521"/>
      <c r="K236" s="2521"/>
      <c r="L236" s="2521"/>
      <c r="M236" s="2521"/>
      <c r="N236" s="2521"/>
      <c r="O236" s="2521"/>
      <c r="P236" s="2521"/>
      <c r="Q236" s="2521"/>
      <c r="R236" s="2521"/>
      <c r="S236" s="2521"/>
      <c r="T236" s="2521"/>
      <c r="U236" s="2521"/>
      <c r="V236" s="2521"/>
      <c r="W236" s="2521"/>
      <c r="X236" s="2521"/>
      <c r="Y236" s="2521"/>
      <c r="Z236" s="2521"/>
    </row>
    <row r="237" spans="1:26" ht="16.5" customHeight="1">
      <c r="A237" s="2521"/>
      <c r="B237" s="2526"/>
      <c r="C237" s="2521"/>
      <c r="D237" s="2521"/>
      <c r="E237" s="2521"/>
      <c r="F237" s="2521"/>
      <c r="G237" s="2521"/>
      <c r="H237" s="2521"/>
      <c r="I237" s="2521"/>
      <c r="J237" s="2521"/>
      <c r="K237" s="2521"/>
      <c r="L237" s="2521"/>
      <c r="M237" s="2521"/>
      <c r="N237" s="2521"/>
      <c r="O237" s="2521"/>
      <c r="P237" s="2521"/>
      <c r="Q237" s="2521"/>
      <c r="R237" s="2521"/>
      <c r="S237" s="2521"/>
      <c r="T237" s="2521"/>
      <c r="U237" s="2521"/>
      <c r="V237" s="2521"/>
      <c r="W237" s="2521"/>
      <c r="X237" s="2521"/>
      <c r="Y237" s="2521"/>
      <c r="Z237" s="2521"/>
    </row>
    <row r="238" spans="1:26" ht="16.5" customHeight="1">
      <c r="A238" s="2521"/>
      <c r="B238" s="2526"/>
      <c r="C238" s="2521"/>
      <c r="D238" s="2521"/>
      <c r="E238" s="2521"/>
      <c r="F238" s="2521"/>
      <c r="G238" s="2521"/>
      <c r="H238" s="2521"/>
      <c r="I238" s="2521"/>
      <c r="J238" s="2521"/>
      <c r="K238" s="2521"/>
      <c r="L238" s="2521"/>
      <c r="M238" s="2521"/>
      <c r="N238" s="2521"/>
      <c r="O238" s="2521"/>
      <c r="P238" s="2521"/>
      <c r="Q238" s="2521"/>
      <c r="R238" s="2521"/>
      <c r="S238" s="2521"/>
      <c r="T238" s="2521"/>
      <c r="U238" s="2521"/>
      <c r="V238" s="2521"/>
      <c r="W238" s="2521"/>
      <c r="X238" s="2521"/>
      <c r="Y238" s="2521"/>
      <c r="Z238" s="2521"/>
    </row>
    <row r="239" spans="1:26" ht="16.5" customHeight="1">
      <c r="A239" s="2521"/>
      <c r="B239" s="2526"/>
      <c r="C239" s="2521"/>
      <c r="D239" s="2521"/>
      <c r="E239" s="2521"/>
      <c r="F239" s="2521"/>
      <c r="G239" s="2521"/>
      <c r="H239" s="2521"/>
      <c r="I239" s="2521"/>
      <c r="J239" s="2521"/>
      <c r="K239" s="2521"/>
      <c r="L239" s="2521"/>
      <c r="M239" s="2521"/>
      <c r="N239" s="2521"/>
      <c r="O239" s="2521"/>
      <c r="P239" s="2521"/>
      <c r="Q239" s="2521"/>
      <c r="R239" s="2521"/>
      <c r="S239" s="2521"/>
      <c r="T239" s="2521"/>
      <c r="U239" s="2521"/>
      <c r="V239" s="2521"/>
      <c r="W239" s="2521"/>
      <c r="X239" s="2521"/>
      <c r="Y239" s="2521"/>
      <c r="Z239" s="2521"/>
    </row>
    <row r="240" spans="1:26" ht="16.5" customHeight="1">
      <c r="A240" s="2521"/>
      <c r="B240" s="2526"/>
      <c r="C240" s="2521"/>
      <c r="D240" s="2521"/>
      <c r="E240" s="2521"/>
      <c r="F240" s="2521"/>
      <c r="G240" s="2521"/>
      <c r="H240" s="2521"/>
      <c r="I240" s="2521"/>
      <c r="J240" s="2521"/>
      <c r="K240" s="2521"/>
      <c r="L240" s="2521"/>
      <c r="M240" s="2521"/>
      <c r="N240" s="2521"/>
      <c r="O240" s="2521"/>
      <c r="P240" s="2521"/>
      <c r="Q240" s="2521"/>
      <c r="R240" s="2521"/>
      <c r="S240" s="2521"/>
      <c r="T240" s="2521"/>
      <c r="U240" s="2521"/>
      <c r="V240" s="2521"/>
      <c r="W240" s="2521"/>
      <c r="X240" s="2521"/>
      <c r="Y240" s="2521"/>
      <c r="Z240" s="2521"/>
    </row>
    <row r="241" spans="1:26" ht="16.5" customHeight="1">
      <c r="A241" s="2521"/>
      <c r="B241" s="2526"/>
      <c r="C241" s="2521"/>
      <c r="D241" s="2521"/>
      <c r="E241" s="2521"/>
      <c r="F241" s="2521"/>
      <c r="G241" s="2521"/>
      <c r="H241" s="2521"/>
      <c r="I241" s="2521"/>
      <c r="J241" s="2521"/>
      <c r="K241" s="2521"/>
      <c r="L241" s="2521"/>
      <c r="M241" s="2521"/>
      <c r="N241" s="2521"/>
      <c r="O241" s="2521"/>
      <c r="P241" s="2521"/>
      <c r="Q241" s="2521"/>
      <c r="R241" s="2521"/>
      <c r="S241" s="2521"/>
      <c r="T241" s="2521"/>
      <c r="U241" s="2521"/>
      <c r="V241" s="2521"/>
      <c r="W241" s="2521"/>
      <c r="X241" s="2521"/>
      <c r="Y241" s="2521"/>
      <c r="Z241" s="2521"/>
    </row>
    <row r="242" spans="1:26" ht="16.5" customHeight="1">
      <c r="A242" s="2521"/>
      <c r="B242" s="2526"/>
      <c r="C242" s="2521"/>
      <c r="D242" s="2521"/>
      <c r="E242" s="2521"/>
      <c r="F242" s="2521"/>
      <c r="G242" s="2521"/>
      <c r="H242" s="2521"/>
      <c r="I242" s="2521"/>
      <c r="J242" s="2521"/>
      <c r="K242" s="2521"/>
      <c r="L242" s="2521"/>
      <c r="M242" s="2521"/>
      <c r="N242" s="2521"/>
      <c r="O242" s="2521"/>
      <c r="P242" s="2521"/>
      <c r="Q242" s="2521"/>
      <c r="R242" s="2521"/>
      <c r="S242" s="2521"/>
      <c r="T242" s="2521"/>
      <c r="U242" s="2521"/>
      <c r="V242" s="2521"/>
      <c r="W242" s="2521"/>
      <c r="X242" s="2521"/>
      <c r="Y242" s="2521"/>
      <c r="Z242" s="2521"/>
    </row>
    <row r="243" spans="1:26" ht="16.5" customHeight="1">
      <c r="A243" s="2521"/>
      <c r="B243" s="2526"/>
      <c r="C243" s="2521"/>
      <c r="D243" s="2521"/>
      <c r="E243" s="2521"/>
      <c r="F243" s="2521"/>
      <c r="G243" s="2521"/>
      <c r="H243" s="2521"/>
      <c r="I243" s="2521"/>
      <c r="J243" s="2521"/>
      <c r="K243" s="2521"/>
      <c r="L243" s="2521"/>
      <c r="M243" s="2521"/>
      <c r="N243" s="2521"/>
      <c r="O243" s="2521"/>
      <c r="P243" s="2521"/>
      <c r="Q243" s="2521"/>
      <c r="R243" s="2521"/>
      <c r="S243" s="2521"/>
      <c r="T243" s="2521"/>
      <c r="U243" s="2521"/>
      <c r="V243" s="2521"/>
      <c r="W243" s="2521"/>
      <c r="X243" s="2521"/>
      <c r="Y243" s="2521"/>
      <c r="Z243" s="2521"/>
    </row>
    <row r="244" spans="1:26" ht="16.5" customHeight="1">
      <c r="A244" s="2521"/>
      <c r="B244" s="2526"/>
      <c r="C244" s="2521"/>
      <c r="D244" s="2521"/>
      <c r="E244" s="2521"/>
      <c r="F244" s="2521"/>
      <c r="G244" s="2521"/>
      <c r="H244" s="2521"/>
      <c r="I244" s="2521"/>
      <c r="J244" s="2521"/>
      <c r="K244" s="2521"/>
      <c r="L244" s="2521"/>
      <c r="M244" s="2521"/>
      <c r="N244" s="2521"/>
      <c r="O244" s="2521"/>
      <c r="P244" s="2521"/>
      <c r="Q244" s="2521"/>
      <c r="R244" s="2521"/>
      <c r="S244" s="2521"/>
      <c r="T244" s="2521"/>
      <c r="U244" s="2521"/>
      <c r="V244" s="2521"/>
      <c r="W244" s="2521"/>
      <c r="X244" s="2521"/>
      <c r="Y244" s="2521"/>
      <c r="Z244" s="2521"/>
    </row>
    <row r="245" spans="1:26" ht="16.5" customHeight="1">
      <c r="A245" s="2521"/>
      <c r="B245" s="2526"/>
      <c r="C245" s="2521"/>
      <c r="D245" s="2521"/>
      <c r="E245" s="2521"/>
      <c r="F245" s="2521"/>
      <c r="G245" s="2521"/>
      <c r="H245" s="2521"/>
      <c r="I245" s="2521"/>
      <c r="J245" s="2521"/>
      <c r="K245" s="2521"/>
      <c r="L245" s="2521"/>
      <c r="M245" s="2521"/>
      <c r="N245" s="2521"/>
      <c r="O245" s="2521"/>
      <c r="P245" s="2521"/>
      <c r="Q245" s="2521"/>
      <c r="R245" s="2521"/>
      <c r="S245" s="2521"/>
      <c r="T245" s="2521"/>
      <c r="U245" s="2521"/>
      <c r="V245" s="2521"/>
      <c r="W245" s="2521"/>
      <c r="X245" s="2521"/>
      <c r="Y245" s="2521"/>
      <c r="Z245" s="2521"/>
    </row>
    <row r="246" spans="1:26" ht="16.5" customHeight="1">
      <c r="A246" s="2521"/>
      <c r="B246" s="2526"/>
      <c r="C246" s="2521"/>
      <c r="D246" s="2521"/>
      <c r="E246" s="2521"/>
      <c r="F246" s="2521"/>
      <c r="G246" s="2521"/>
      <c r="H246" s="2521"/>
      <c r="I246" s="2521"/>
      <c r="J246" s="2521"/>
      <c r="K246" s="2521"/>
      <c r="L246" s="2521"/>
      <c r="M246" s="2521"/>
      <c r="N246" s="2521"/>
      <c r="O246" s="2521"/>
      <c r="P246" s="2521"/>
      <c r="Q246" s="2521"/>
      <c r="R246" s="2521"/>
      <c r="S246" s="2521"/>
      <c r="T246" s="2521"/>
      <c r="U246" s="2521"/>
      <c r="V246" s="2521"/>
      <c r="W246" s="2521"/>
      <c r="X246" s="2521"/>
      <c r="Y246" s="2521"/>
      <c r="Z246" s="2521"/>
    </row>
    <row r="247" spans="1:26" ht="16.5" customHeight="1">
      <c r="A247" s="2521"/>
      <c r="B247" s="2526"/>
      <c r="C247" s="2521"/>
      <c r="D247" s="2521"/>
      <c r="E247" s="2521"/>
      <c r="F247" s="2521"/>
      <c r="G247" s="2521"/>
      <c r="H247" s="2521"/>
      <c r="I247" s="2521"/>
      <c r="J247" s="2521"/>
      <c r="K247" s="2521"/>
      <c r="L247" s="2521"/>
      <c r="M247" s="2521"/>
      <c r="N247" s="2521"/>
      <c r="O247" s="2521"/>
      <c r="P247" s="2521"/>
      <c r="Q247" s="2521"/>
      <c r="R247" s="2521"/>
      <c r="S247" s="2521"/>
      <c r="T247" s="2521"/>
      <c r="U247" s="2521"/>
      <c r="V247" s="2521"/>
      <c r="W247" s="2521"/>
      <c r="X247" s="2521"/>
      <c r="Y247" s="2521"/>
      <c r="Z247" s="2521"/>
    </row>
    <row r="248" spans="1:26" ht="16.5" customHeight="1">
      <c r="A248" s="2521"/>
      <c r="B248" s="2526"/>
      <c r="C248" s="2521"/>
      <c r="D248" s="2521"/>
      <c r="E248" s="2521"/>
      <c r="F248" s="2521"/>
      <c r="G248" s="2521"/>
      <c r="H248" s="2521"/>
      <c r="I248" s="2521"/>
      <c r="J248" s="2521"/>
      <c r="K248" s="2521"/>
      <c r="L248" s="2521"/>
      <c r="M248" s="2521"/>
      <c r="N248" s="2521"/>
      <c r="O248" s="2521"/>
      <c r="P248" s="2521"/>
      <c r="Q248" s="2521"/>
      <c r="R248" s="2521"/>
      <c r="S248" s="2521"/>
      <c r="T248" s="2521"/>
      <c r="U248" s="2521"/>
      <c r="V248" s="2521"/>
      <c r="W248" s="2521"/>
      <c r="X248" s="2521"/>
      <c r="Y248" s="2521"/>
      <c r="Z248" s="2521"/>
    </row>
    <row r="249" spans="1:26" ht="16.5" customHeight="1">
      <c r="A249" s="2521"/>
      <c r="B249" s="2526"/>
      <c r="C249" s="2521"/>
      <c r="D249" s="2521"/>
      <c r="E249" s="2521"/>
      <c r="F249" s="2521"/>
      <c r="G249" s="2521"/>
      <c r="H249" s="2521"/>
      <c r="I249" s="2521"/>
      <c r="J249" s="2521"/>
      <c r="K249" s="2521"/>
      <c r="L249" s="2521"/>
      <c r="M249" s="2521"/>
      <c r="N249" s="2521"/>
      <c r="O249" s="2521"/>
      <c r="P249" s="2521"/>
      <c r="Q249" s="2521"/>
      <c r="R249" s="2521"/>
      <c r="S249" s="2521"/>
      <c r="T249" s="2521"/>
      <c r="U249" s="2521"/>
      <c r="V249" s="2521"/>
      <c r="W249" s="2521"/>
      <c r="X249" s="2521"/>
      <c r="Y249" s="2521"/>
      <c r="Z249" s="2521"/>
    </row>
    <row r="250" spans="1:26" ht="16.5" customHeight="1">
      <c r="A250" s="2521"/>
      <c r="B250" s="2526"/>
      <c r="C250" s="2521"/>
      <c r="D250" s="2521"/>
      <c r="E250" s="2521"/>
      <c r="F250" s="2521"/>
      <c r="G250" s="2521"/>
      <c r="H250" s="2521"/>
      <c r="I250" s="2521"/>
      <c r="J250" s="2521"/>
      <c r="K250" s="2521"/>
      <c r="L250" s="2521"/>
      <c r="M250" s="2521"/>
      <c r="N250" s="2521"/>
      <c r="O250" s="2521"/>
      <c r="P250" s="2521"/>
      <c r="Q250" s="2521"/>
      <c r="R250" s="2521"/>
      <c r="S250" s="2521"/>
      <c r="T250" s="2521"/>
      <c r="U250" s="2521"/>
      <c r="V250" s="2521"/>
      <c r="W250" s="2521"/>
      <c r="X250" s="2521"/>
      <c r="Y250" s="2521"/>
      <c r="Z250" s="2521"/>
    </row>
    <row r="251" spans="1:26" ht="16.5" customHeight="1">
      <c r="A251" s="2521"/>
      <c r="B251" s="2526"/>
      <c r="C251" s="2521"/>
      <c r="D251" s="2521"/>
      <c r="E251" s="2521"/>
      <c r="F251" s="2521"/>
      <c r="G251" s="2521"/>
      <c r="H251" s="2521"/>
      <c r="I251" s="2521"/>
      <c r="J251" s="2521"/>
      <c r="K251" s="2521"/>
      <c r="L251" s="2521"/>
      <c r="M251" s="2521"/>
      <c r="N251" s="2521"/>
      <c r="O251" s="2521"/>
      <c r="P251" s="2521"/>
      <c r="Q251" s="2521"/>
      <c r="R251" s="2521"/>
      <c r="S251" s="2521"/>
      <c r="T251" s="2521"/>
      <c r="U251" s="2521"/>
      <c r="V251" s="2521"/>
      <c r="W251" s="2521"/>
      <c r="X251" s="2521"/>
      <c r="Y251" s="2521"/>
      <c r="Z251" s="2521"/>
    </row>
    <row r="252" spans="1:26" ht="16.5" customHeight="1">
      <c r="A252" s="2521"/>
      <c r="B252" s="2526"/>
      <c r="C252" s="2521"/>
      <c r="D252" s="2521"/>
      <c r="E252" s="2521"/>
      <c r="F252" s="2521"/>
      <c r="G252" s="2521"/>
      <c r="H252" s="2521"/>
      <c r="I252" s="2521"/>
      <c r="J252" s="2521"/>
      <c r="K252" s="2521"/>
      <c r="L252" s="2521"/>
      <c r="M252" s="2521"/>
      <c r="N252" s="2521"/>
      <c r="O252" s="2521"/>
      <c r="P252" s="2521"/>
      <c r="Q252" s="2521"/>
      <c r="R252" s="2521"/>
      <c r="S252" s="2521"/>
      <c r="T252" s="2521"/>
      <c r="U252" s="2521"/>
      <c r="V252" s="2521"/>
      <c r="W252" s="2521"/>
      <c r="X252" s="2521"/>
      <c r="Y252" s="2521"/>
      <c r="Z252" s="2521"/>
    </row>
    <row r="253" spans="1:26" ht="16.5" customHeight="1">
      <c r="A253" s="2521"/>
      <c r="B253" s="2526"/>
      <c r="C253" s="2521"/>
      <c r="D253" s="2521"/>
      <c r="E253" s="2521"/>
      <c r="F253" s="2521"/>
      <c r="G253" s="2521"/>
      <c r="H253" s="2521"/>
      <c r="I253" s="2521"/>
      <c r="J253" s="2521"/>
      <c r="K253" s="2521"/>
      <c r="L253" s="2521"/>
      <c r="M253" s="2521"/>
      <c r="N253" s="2521"/>
      <c r="O253" s="2521"/>
      <c r="P253" s="2521"/>
      <c r="Q253" s="2521"/>
      <c r="R253" s="2521"/>
      <c r="S253" s="2521"/>
      <c r="T253" s="2521"/>
      <c r="U253" s="2521"/>
      <c r="V253" s="2521"/>
      <c r="W253" s="2521"/>
      <c r="X253" s="2521"/>
      <c r="Y253" s="2521"/>
      <c r="Z253" s="2521"/>
    </row>
    <row r="254" spans="1:26" ht="16.5" customHeight="1">
      <c r="A254" s="2521"/>
      <c r="B254" s="2526"/>
      <c r="C254" s="2521"/>
      <c r="D254" s="2521"/>
      <c r="E254" s="2521"/>
      <c r="F254" s="2521"/>
      <c r="G254" s="2521"/>
      <c r="H254" s="2521"/>
      <c r="I254" s="2521"/>
      <c r="J254" s="2521"/>
      <c r="K254" s="2521"/>
      <c r="L254" s="2521"/>
      <c r="M254" s="2521"/>
      <c r="N254" s="2521"/>
      <c r="O254" s="2521"/>
      <c r="P254" s="2521"/>
      <c r="Q254" s="2521"/>
      <c r="R254" s="2521"/>
      <c r="S254" s="2521"/>
      <c r="T254" s="2521"/>
      <c r="U254" s="2521"/>
      <c r="V254" s="2521"/>
      <c r="W254" s="2521"/>
      <c r="X254" s="2521"/>
      <c r="Y254" s="2521"/>
      <c r="Z254" s="2521"/>
    </row>
    <row r="255" spans="1:26" ht="16.5" customHeight="1">
      <c r="A255" s="2521"/>
      <c r="B255" s="2526"/>
      <c r="C255" s="2521"/>
      <c r="D255" s="2521"/>
      <c r="E255" s="2521"/>
      <c r="F255" s="2521"/>
      <c r="G255" s="2521"/>
      <c r="H255" s="2521"/>
      <c r="I255" s="2521"/>
      <c r="J255" s="2521"/>
      <c r="K255" s="2521"/>
      <c r="L255" s="2521"/>
      <c r="M255" s="2521"/>
      <c r="N255" s="2521"/>
      <c r="O255" s="2521"/>
      <c r="P255" s="2521"/>
      <c r="Q255" s="2521"/>
      <c r="R255" s="2521"/>
      <c r="S255" s="2521"/>
      <c r="T255" s="2521"/>
      <c r="U255" s="2521"/>
      <c r="V255" s="2521"/>
      <c r="W255" s="2521"/>
      <c r="X255" s="2521"/>
      <c r="Y255" s="2521"/>
      <c r="Z255" s="2521"/>
    </row>
    <row r="256" spans="1:26" ht="16.5" customHeight="1">
      <c r="A256" s="2521"/>
      <c r="B256" s="2526"/>
      <c r="C256" s="2521"/>
      <c r="D256" s="2521"/>
      <c r="E256" s="2521"/>
      <c r="F256" s="2521"/>
      <c r="G256" s="2521"/>
      <c r="H256" s="2521"/>
      <c r="I256" s="2521"/>
      <c r="J256" s="2521"/>
      <c r="K256" s="2521"/>
      <c r="L256" s="2521"/>
      <c r="M256" s="2521"/>
      <c r="N256" s="2521"/>
      <c r="O256" s="2521"/>
      <c r="P256" s="2521"/>
      <c r="Q256" s="2521"/>
      <c r="R256" s="2521"/>
      <c r="S256" s="2521"/>
      <c r="T256" s="2521"/>
      <c r="U256" s="2521"/>
      <c r="V256" s="2521"/>
      <c r="W256" s="2521"/>
      <c r="X256" s="2521"/>
      <c r="Y256" s="2521"/>
      <c r="Z256" s="2521"/>
    </row>
    <row r="257" spans="1:26" ht="16.5" customHeight="1">
      <c r="A257" s="2521"/>
      <c r="B257" s="2526"/>
      <c r="C257" s="2521"/>
      <c r="D257" s="2521"/>
      <c r="E257" s="2521"/>
      <c r="F257" s="2521"/>
      <c r="G257" s="2521"/>
      <c r="H257" s="2521"/>
      <c r="I257" s="2521"/>
      <c r="J257" s="2521"/>
      <c r="K257" s="2521"/>
      <c r="L257" s="2521"/>
      <c r="M257" s="2521"/>
      <c r="N257" s="2521"/>
      <c r="O257" s="2521"/>
      <c r="P257" s="2521"/>
      <c r="Q257" s="2521"/>
      <c r="R257" s="2521"/>
      <c r="S257" s="2521"/>
      <c r="T257" s="2521"/>
      <c r="U257" s="2521"/>
      <c r="V257" s="2521"/>
      <c r="W257" s="2521"/>
      <c r="X257" s="2521"/>
      <c r="Y257" s="2521"/>
      <c r="Z257" s="2521"/>
    </row>
    <row r="258" spans="1:26" ht="16.5" customHeight="1">
      <c r="A258" s="2521"/>
      <c r="B258" s="2526"/>
      <c r="C258" s="2521"/>
      <c r="D258" s="2521"/>
      <c r="E258" s="2521"/>
      <c r="F258" s="2521"/>
      <c r="G258" s="2521"/>
      <c r="H258" s="2521"/>
      <c r="I258" s="2521"/>
      <c r="J258" s="2521"/>
      <c r="K258" s="2521"/>
      <c r="L258" s="2521"/>
      <c r="M258" s="2521"/>
      <c r="N258" s="2521"/>
      <c r="O258" s="2521"/>
      <c r="P258" s="2521"/>
      <c r="Q258" s="2521"/>
      <c r="R258" s="2521"/>
      <c r="S258" s="2521"/>
      <c r="T258" s="2521"/>
      <c r="U258" s="2521"/>
      <c r="V258" s="2521"/>
      <c r="W258" s="2521"/>
      <c r="X258" s="2521"/>
      <c r="Y258" s="2521"/>
      <c r="Z258" s="2521"/>
    </row>
    <row r="259" spans="1:26" ht="16.5" customHeight="1">
      <c r="A259" s="2521"/>
      <c r="B259" s="2526"/>
      <c r="C259" s="2521"/>
      <c r="D259" s="2521"/>
      <c r="E259" s="2521"/>
      <c r="F259" s="2521"/>
      <c r="G259" s="2521"/>
      <c r="H259" s="2521"/>
      <c r="I259" s="2521"/>
      <c r="J259" s="2521"/>
      <c r="K259" s="2521"/>
      <c r="L259" s="2521"/>
      <c r="M259" s="2521"/>
      <c r="N259" s="2521"/>
      <c r="O259" s="2521"/>
      <c r="P259" s="2521"/>
      <c r="Q259" s="2521"/>
      <c r="R259" s="2521"/>
      <c r="S259" s="2521"/>
      <c r="T259" s="2521"/>
      <c r="U259" s="2521"/>
      <c r="V259" s="2521"/>
      <c r="W259" s="2521"/>
      <c r="X259" s="2521"/>
      <c r="Y259" s="2521"/>
      <c r="Z259" s="2521"/>
    </row>
    <row r="260" spans="1:26" ht="16.5" customHeight="1">
      <c r="A260" s="2521"/>
      <c r="B260" s="2526"/>
      <c r="C260" s="2521"/>
      <c r="D260" s="2521"/>
      <c r="E260" s="2521"/>
      <c r="F260" s="2521"/>
      <c r="G260" s="2521"/>
      <c r="H260" s="2521"/>
      <c r="I260" s="2521"/>
      <c r="J260" s="2521"/>
      <c r="K260" s="2521"/>
      <c r="L260" s="2521"/>
      <c r="M260" s="2521"/>
      <c r="N260" s="2521"/>
      <c r="O260" s="2521"/>
      <c r="P260" s="2521"/>
      <c r="Q260" s="2521"/>
      <c r="R260" s="2521"/>
      <c r="S260" s="2521"/>
      <c r="T260" s="2521"/>
      <c r="U260" s="2521"/>
      <c r="V260" s="2521"/>
      <c r="W260" s="2521"/>
      <c r="X260" s="2521"/>
      <c r="Y260" s="2521"/>
      <c r="Z260" s="2521"/>
    </row>
    <row r="261" spans="1:26" ht="16.5" customHeight="1">
      <c r="A261" s="2521"/>
      <c r="B261" s="2526"/>
      <c r="C261" s="2521"/>
      <c r="D261" s="2521"/>
      <c r="E261" s="2521"/>
      <c r="F261" s="2521"/>
      <c r="G261" s="2521"/>
      <c r="H261" s="2521"/>
      <c r="I261" s="2521"/>
      <c r="J261" s="2521"/>
      <c r="K261" s="2521"/>
      <c r="L261" s="2521"/>
      <c r="M261" s="2521"/>
      <c r="N261" s="2521"/>
      <c r="O261" s="2521"/>
      <c r="P261" s="2521"/>
      <c r="Q261" s="2521"/>
      <c r="R261" s="2521"/>
      <c r="S261" s="2521"/>
      <c r="T261" s="2521"/>
      <c r="U261" s="2521"/>
      <c r="V261" s="2521"/>
      <c r="W261" s="2521"/>
      <c r="X261" s="2521"/>
      <c r="Y261" s="2521"/>
      <c r="Z261" s="2521"/>
    </row>
    <row r="262" spans="1:26" ht="16.5" customHeight="1">
      <c r="A262" s="2521"/>
      <c r="B262" s="2526"/>
      <c r="C262" s="2521"/>
      <c r="D262" s="2521"/>
      <c r="E262" s="2521"/>
      <c r="F262" s="2521"/>
      <c r="G262" s="2521"/>
      <c r="H262" s="2521"/>
      <c r="I262" s="2521"/>
      <c r="J262" s="2521"/>
      <c r="K262" s="2521"/>
      <c r="L262" s="2521"/>
      <c r="M262" s="2521"/>
      <c r="N262" s="2521"/>
      <c r="O262" s="2521"/>
      <c r="P262" s="2521"/>
      <c r="Q262" s="2521"/>
      <c r="R262" s="2521"/>
      <c r="S262" s="2521"/>
      <c r="T262" s="2521"/>
      <c r="U262" s="2521"/>
      <c r="V262" s="2521"/>
      <c r="W262" s="2521"/>
      <c r="X262" s="2521"/>
      <c r="Y262" s="2521"/>
      <c r="Z262" s="2521"/>
    </row>
    <row r="263" spans="1:26" ht="16.5" customHeight="1">
      <c r="A263" s="2521"/>
      <c r="B263" s="2526"/>
      <c r="C263" s="2521"/>
      <c r="D263" s="2521"/>
      <c r="E263" s="2521"/>
      <c r="F263" s="2521"/>
      <c r="G263" s="2521"/>
      <c r="H263" s="2521"/>
      <c r="I263" s="2521"/>
      <c r="J263" s="2521"/>
      <c r="K263" s="2521"/>
      <c r="L263" s="2521"/>
      <c r="M263" s="2521"/>
      <c r="N263" s="2521"/>
      <c r="O263" s="2521"/>
      <c r="P263" s="2521"/>
      <c r="Q263" s="2521"/>
      <c r="R263" s="2521"/>
      <c r="S263" s="2521"/>
      <c r="T263" s="2521"/>
      <c r="U263" s="2521"/>
      <c r="V263" s="2521"/>
      <c r="W263" s="2521"/>
      <c r="X263" s="2521"/>
      <c r="Y263" s="2521"/>
      <c r="Z263" s="2521"/>
    </row>
    <row r="264" spans="1:26" ht="16.5" customHeight="1">
      <c r="A264" s="2521"/>
      <c r="B264" s="2526"/>
      <c r="C264" s="2521"/>
      <c r="D264" s="2521"/>
      <c r="E264" s="2521"/>
      <c r="F264" s="2521"/>
      <c r="G264" s="2521"/>
      <c r="H264" s="2521"/>
      <c r="I264" s="2521"/>
      <c r="J264" s="2521"/>
      <c r="K264" s="2521"/>
      <c r="L264" s="2521"/>
      <c r="M264" s="2521"/>
      <c r="N264" s="2521"/>
      <c r="O264" s="2521"/>
      <c r="P264" s="2521"/>
      <c r="Q264" s="2521"/>
      <c r="R264" s="2521"/>
      <c r="S264" s="2521"/>
      <c r="T264" s="2521"/>
      <c r="U264" s="2521"/>
      <c r="V264" s="2521"/>
      <c r="W264" s="2521"/>
      <c r="X264" s="2521"/>
      <c r="Y264" s="2521"/>
      <c r="Z264" s="2521"/>
    </row>
    <row r="265" spans="1:26" ht="16.5" customHeight="1">
      <c r="A265" s="2521"/>
      <c r="B265" s="2526"/>
      <c r="C265" s="2521"/>
      <c r="D265" s="2521"/>
      <c r="E265" s="2521"/>
      <c r="F265" s="2521"/>
      <c r="G265" s="2521"/>
      <c r="H265" s="2521"/>
      <c r="I265" s="2521"/>
      <c r="J265" s="2521"/>
      <c r="K265" s="2521"/>
      <c r="L265" s="2521"/>
      <c r="M265" s="2521"/>
      <c r="N265" s="2521"/>
      <c r="O265" s="2521"/>
      <c r="P265" s="2521"/>
      <c r="Q265" s="2521"/>
      <c r="R265" s="2521"/>
      <c r="S265" s="2521"/>
      <c r="T265" s="2521"/>
      <c r="U265" s="2521"/>
      <c r="V265" s="2521"/>
      <c r="W265" s="2521"/>
      <c r="X265" s="2521"/>
      <c r="Y265" s="2521"/>
      <c r="Z265" s="2521"/>
    </row>
    <row r="266" spans="1:26" ht="16.5" customHeight="1">
      <c r="A266" s="2521"/>
      <c r="B266" s="2526"/>
      <c r="C266" s="2521"/>
      <c r="D266" s="2521"/>
      <c r="E266" s="2521"/>
      <c r="F266" s="2521"/>
      <c r="G266" s="2521"/>
      <c r="H266" s="2521"/>
      <c r="I266" s="2521"/>
      <c r="J266" s="2521"/>
      <c r="K266" s="2521"/>
      <c r="L266" s="2521"/>
      <c r="M266" s="2521"/>
      <c r="N266" s="2521"/>
      <c r="O266" s="2521"/>
      <c r="P266" s="2521"/>
      <c r="Q266" s="2521"/>
      <c r="R266" s="2521"/>
      <c r="S266" s="2521"/>
      <c r="T266" s="2521"/>
      <c r="U266" s="2521"/>
      <c r="V266" s="2521"/>
      <c r="W266" s="2521"/>
      <c r="X266" s="2521"/>
      <c r="Y266" s="2521"/>
      <c r="Z266" s="2521"/>
    </row>
    <row r="267" spans="1:26" ht="16.5" customHeight="1">
      <c r="A267" s="2521"/>
      <c r="B267" s="2526"/>
      <c r="C267" s="2521"/>
      <c r="D267" s="2521"/>
      <c r="E267" s="2521"/>
      <c r="F267" s="2521"/>
      <c r="G267" s="2521"/>
      <c r="H267" s="2521"/>
      <c r="I267" s="2521"/>
      <c r="J267" s="2521"/>
      <c r="K267" s="2521"/>
      <c r="L267" s="2521"/>
      <c r="M267" s="2521"/>
      <c r="N267" s="2521"/>
      <c r="O267" s="2521"/>
      <c r="P267" s="2521"/>
      <c r="Q267" s="2521"/>
      <c r="R267" s="2521"/>
      <c r="S267" s="2521"/>
      <c r="T267" s="2521"/>
      <c r="U267" s="2521"/>
      <c r="V267" s="2521"/>
      <c r="W267" s="2521"/>
      <c r="X267" s="2521"/>
      <c r="Y267" s="2521"/>
      <c r="Z267" s="2521"/>
    </row>
    <row r="268" spans="1:26" ht="16.5" customHeight="1">
      <c r="A268" s="2521"/>
      <c r="B268" s="2526"/>
      <c r="C268" s="2521"/>
      <c r="D268" s="2521"/>
      <c r="E268" s="2521"/>
      <c r="F268" s="2521"/>
      <c r="G268" s="2521"/>
      <c r="H268" s="2521"/>
      <c r="I268" s="2521"/>
      <c r="J268" s="2521"/>
      <c r="K268" s="2521"/>
      <c r="L268" s="2521"/>
      <c r="M268" s="2521"/>
      <c r="N268" s="2521"/>
      <c r="O268" s="2521"/>
      <c r="P268" s="2521"/>
      <c r="Q268" s="2521"/>
      <c r="R268" s="2521"/>
      <c r="S268" s="2521"/>
      <c r="T268" s="2521"/>
      <c r="U268" s="2521"/>
      <c r="V268" s="2521"/>
      <c r="W268" s="2521"/>
      <c r="X268" s="2521"/>
      <c r="Y268" s="2521"/>
      <c r="Z268" s="2521"/>
    </row>
    <row r="269" spans="1:26" ht="16.5" customHeight="1">
      <c r="A269" s="2521"/>
      <c r="B269" s="2526"/>
      <c r="C269" s="2521"/>
      <c r="D269" s="2521"/>
      <c r="E269" s="2521"/>
      <c r="F269" s="2521"/>
      <c r="G269" s="2521"/>
      <c r="H269" s="2521"/>
      <c r="I269" s="2521"/>
      <c r="J269" s="2521"/>
      <c r="K269" s="2521"/>
      <c r="L269" s="2521"/>
      <c r="M269" s="2521"/>
      <c r="N269" s="2521"/>
      <c r="O269" s="2521"/>
      <c r="P269" s="2521"/>
      <c r="Q269" s="2521"/>
      <c r="R269" s="2521"/>
      <c r="S269" s="2521"/>
      <c r="T269" s="2521"/>
      <c r="U269" s="2521"/>
      <c r="V269" s="2521"/>
      <c r="W269" s="2521"/>
      <c r="X269" s="2521"/>
      <c r="Y269" s="2521"/>
      <c r="Z269" s="2521"/>
    </row>
    <row r="270" spans="1:26" ht="16.5" customHeight="1">
      <c r="A270" s="2521"/>
      <c r="B270" s="2526"/>
      <c r="C270" s="2521"/>
      <c r="D270" s="2521"/>
      <c r="E270" s="2521"/>
      <c r="F270" s="2521"/>
      <c r="G270" s="2521"/>
      <c r="H270" s="2521"/>
      <c r="I270" s="2521"/>
      <c r="J270" s="2521"/>
      <c r="K270" s="2521"/>
      <c r="L270" s="2521"/>
      <c r="M270" s="2521"/>
      <c r="N270" s="2521"/>
      <c r="O270" s="2521"/>
      <c r="P270" s="2521"/>
      <c r="Q270" s="2521"/>
      <c r="R270" s="2521"/>
      <c r="S270" s="2521"/>
      <c r="T270" s="2521"/>
      <c r="U270" s="2521"/>
      <c r="V270" s="2521"/>
      <c r="W270" s="2521"/>
      <c r="X270" s="2521"/>
      <c r="Y270" s="2521"/>
      <c r="Z270" s="2521"/>
    </row>
    <row r="271" spans="1:26" ht="16.5" customHeight="1">
      <c r="A271" s="2521"/>
      <c r="B271" s="2526"/>
      <c r="C271" s="2521"/>
      <c r="D271" s="2521"/>
      <c r="E271" s="2521"/>
      <c r="F271" s="2521"/>
      <c r="G271" s="2521"/>
      <c r="H271" s="2521"/>
      <c r="I271" s="2521"/>
      <c r="J271" s="2521"/>
      <c r="K271" s="2521"/>
      <c r="L271" s="2521"/>
      <c r="M271" s="2521"/>
      <c r="N271" s="2521"/>
      <c r="O271" s="2521"/>
      <c r="P271" s="2521"/>
      <c r="Q271" s="2521"/>
      <c r="R271" s="2521"/>
      <c r="S271" s="2521"/>
      <c r="T271" s="2521"/>
      <c r="U271" s="2521"/>
      <c r="V271" s="2521"/>
      <c r="W271" s="2521"/>
      <c r="X271" s="2521"/>
      <c r="Y271" s="2521"/>
      <c r="Z271" s="2521"/>
    </row>
    <row r="272" spans="1:26" ht="16.5" customHeight="1">
      <c r="A272" s="2521"/>
      <c r="B272" s="2526"/>
      <c r="C272" s="2521"/>
      <c r="D272" s="2521"/>
      <c r="E272" s="2521"/>
      <c r="F272" s="2521"/>
      <c r="G272" s="2521"/>
      <c r="H272" s="2521"/>
      <c r="I272" s="2521"/>
      <c r="J272" s="2521"/>
      <c r="K272" s="2521"/>
      <c r="L272" s="2521"/>
      <c r="M272" s="2521"/>
      <c r="N272" s="2521"/>
      <c r="O272" s="2521"/>
      <c r="P272" s="2521"/>
      <c r="Q272" s="2521"/>
      <c r="R272" s="2521"/>
      <c r="S272" s="2521"/>
      <c r="T272" s="2521"/>
      <c r="U272" s="2521"/>
      <c r="V272" s="2521"/>
      <c r="W272" s="2521"/>
      <c r="X272" s="2521"/>
      <c r="Y272" s="2521"/>
      <c r="Z272" s="2521"/>
    </row>
    <row r="273" spans="1:26" ht="16.5" customHeight="1">
      <c r="A273" s="2521"/>
      <c r="B273" s="2526"/>
      <c r="C273" s="2521"/>
      <c r="D273" s="2521"/>
      <c r="E273" s="2521"/>
      <c r="F273" s="2521"/>
      <c r="G273" s="2521"/>
      <c r="H273" s="2521"/>
      <c r="I273" s="2521"/>
      <c r="J273" s="2521"/>
      <c r="K273" s="2521"/>
      <c r="L273" s="2521"/>
      <c r="M273" s="2521"/>
      <c r="N273" s="2521"/>
      <c r="O273" s="2521"/>
      <c r="P273" s="2521"/>
      <c r="Q273" s="2521"/>
      <c r="R273" s="2521"/>
      <c r="S273" s="2521"/>
      <c r="T273" s="2521"/>
      <c r="U273" s="2521"/>
      <c r="V273" s="2521"/>
      <c r="W273" s="2521"/>
      <c r="X273" s="2521"/>
      <c r="Y273" s="2521"/>
      <c r="Z273" s="2521"/>
    </row>
    <row r="274" spans="1:26" ht="16.5" customHeight="1">
      <c r="A274" s="2521"/>
      <c r="B274" s="2526"/>
      <c r="C274" s="2521"/>
      <c r="D274" s="2521"/>
      <c r="E274" s="2521"/>
      <c r="F274" s="2521"/>
      <c r="G274" s="2521"/>
      <c r="H274" s="2521"/>
      <c r="I274" s="2521"/>
      <c r="J274" s="2521"/>
      <c r="K274" s="2521"/>
      <c r="L274" s="2521"/>
      <c r="M274" s="2521"/>
      <c r="N274" s="2521"/>
      <c r="O274" s="2521"/>
      <c r="P274" s="2521"/>
      <c r="Q274" s="2521"/>
      <c r="R274" s="2521"/>
      <c r="S274" s="2521"/>
      <c r="T274" s="2521"/>
      <c r="U274" s="2521"/>
      <c r="V274" s="2521"/>
      <c r="W274" s="2521"/>
      <c r="X274" s="2521"/>
      <c r="Y274" s="2521"/>
      <c r="Z274" s="2521"/>
    </row>
    <row r="275" spans="1:26" ht="16.5" customHeight="1">
      <c r="A275" s="2521"/>
      <c r="B275" s="2526"/>
      <c r="C275" s="2521"/>
      <c r="D275" s="2521"/>
      <c r="E275" s="2521"/>
      <c r="F275" s="2521"/>
      <c r="G275" s="2521"/>
      <c r="H275" s="2521"/>
      <c r="I275" s="2521"/>
      <c r="J275" s="2521"/>
      <c r="K275" s="2521"/>
      <c r="L275" s="2521"/>
      <c r="M275" s="2521"/>
      <c r="N275" s="2521"/>
      <c r="O275" s="2521"/>
      <c r="P275" s="2521"/>
      <c r="Q275" s="2521"/>
      <c r="R275" s="2521"/>
      <c r="S275" s="2521"/>
      <c r="T275" s="2521"/>
      <c r="U275" s="2521"/>
      <c r="V275" s="2521"/>
      <c r="W275" s="2521"/>
      <c r="X275" s="2521"/>
      <c r="Y275" s="2521"/>
      <c r="Z275" s="2521"/>
    </row>
    <row r="276" spans="1:26" ht="16.5" customHeight="1">
      <c r="A276" s="2521"/>
      <c r="B276" s="2526"/>
      <c r="C276" s="2521"/>
      <c r="D276" s="2521"/>
      <c r="E276" s="2521"/>
      <c r="F276" s="2521"/>
      <c r="G276" s="2521"/>
      <c r="H276" s="2521"/>
      <c r="I276" s="2521"/>
      <c r="J276" s="2521"/>
      <c r="K276" s="2521"/>
      <c r="L276" s="2521"/>
      <c r="M276" s="2521"/>
      <c r="N276" s="2521"/>
      <c r="O276" s="2521"/>
      <c r="P276" s="2521"/>
      <c r="Q276" s="2521"/>
      <c r="R276" s="2521"/>
      <c r="S276" s="2521"/>
      <c r="T276" s="2521"/>
      <c r="U276" s="2521"/>
      <c r="V276" s="2521"/>
      <c r="W276" s="2521"/>
      <c r="X276" s="2521"/>
      <c r="Y276" s="2521"/>
      <c r="Z276" s="2521"/>
    </row>
    <row r="277" spans="1:26" ht="16.5" customHeight="1">
      <c r="A277" s="2521"/>
      <c r="B277" s="2526"/>
      <c r="C277" s="2521"/>
      <c r="D277" s="2521"/>
      <c r="E277" s="2521"/>
      <c r="F277" s="2521"/>
      <c r="G277" s="2521"/>
      <c r="H277" s="2521"/>
      <c r="I277" s="2521"/>
      <c r="J277" s="2521"/>
      <c r="K277" s="2521"/>
      <c r="L277" s="2521"/>
      <c r="M277" s="2521"/>
      <c r="N277" s="2521"/>
      <c r="O277" s="2521"/>
      <c r="P277" s="2521"/>
      <c r="Q277" s="2521"/>
      <c r="R277" s="2521"/>
      <c r="S277" s="2521"/>
      <c r="T277" s="2521"/>
      <c r="U277" s="2521"/>
      <c r="V277" s="2521"/>
      <c r="W277" s="2521"/>
      <c r="X277" s="2521"/>
      <c r="Y277" s="2521"/>
      <c r="Z277" s="2521"/>
    </row>
    <row r="278" spans="1:26" ht="16.5" customHeight="1">
      <c r="A278" s="2521"/>
      <c r="B278" s="2526"/>
      <c r="C278" s="2521"/>
      <c r="D278" s="2521"/>
      <c r="E278" s="2521"/>
      <c r="F278" s="2521"/>
      <c r="G278" s="2521"/>
      <c r="H278" s="2521"/>
      <c r="I278" s="2521"/>
      <c r="J278" s="2521"/>
      <c r="K278" s="2521"/>
      <c r="L278" s="2521"/>
      <c r="M278" s="2521"/>
      <c r="N278" s="2521"/>
      <c r="O278" s="2521"/>
      <c r="P278" s="2521"/>
      <c r="Q278" s="2521"/>
      <c r="R278" s="2521"/>
      <c r="S278" s="2521"/>
      <c r="T278" s="2521"/>
      <c r="U278" s="2521"/>
      <c r="V278" s="2521"/>
      <c r="W278" s="2521"/>
      <c r="X278" s="2521"/>
      <c r="Y278" s="2521"/>
      <c r="Z278" s="2521"/>
    </row>
    <row r="279" spans="1:26" ht="16.5" customHeight="1">
      <c r="A279" s="2521"/>
      <c r="B279" s="2526"/>
      <c r="C279" s="2521"/>
      <c r="D279" s="2521"/>
      <c r="E279" s="2521"/>
      <c r="F279" s="2521"/>
      <c r="G279" s="2521"/>
      <c r="H279" s="2521"/>
      <c r="I279" s="2521"/>
      <c r="J279" s="2521"/>
      <c r="K279" s="2521"/>
      <c r="L279" s="2521"/>
      <c r="M279" s="2521"/>
      <c r="N279" s="2521"/>
      <c r="O279" s="2521"/>
      <c r="P279" s="2521"/>
      <c r="Q279" s="2521"/>
      <c r="R279" s="2521"/>
      <c r="S279" s="2521"/>
      <c r="T279" s="2521"/>
      <c r="U279" s="2521"/>
      <c r="V279" s="2521"/>
      <c r="W279" s="2521"/>
      <c r="X279" s="2521"/>
      <c r="Y279" s="2521"/>
      <c r="Z279" s="2521"/>
    </row>
    <row r="280" spans="1:26" ht="16.5" customHeight="1">
      <c r="A280" s="2521"/>
      <c r="B280" s="2526"/>
      <c r="C280" s="2521"/>
      <c r="D280" s="2521"/>
      <c r="E280" s="2521"/>
      <c r="F280" s="2521"/>
      <c r="G280" s="2521"/>
      <c r="H280" s="2521"/>
      <c r="I280" s="2521"/>
      <c r="J280" s="2521"/>
      <c r="K280" s="2521"/>
      <c r="L280" s="2521"/>
      <c r="M280" s="2521"/>
      <c r="N280" s="2521"/>
      <c r="O280" s="2521"/>
      <c r="P280" s="2521"/>
      <c r="Q280" s="2521"/>
      <c r="R280" s="2521"/>
      <c r="S280" s="2521"/>
      <c r="T280" s="2521"/>
      <c r="U280" s="2521"/>
      <c r="V280" s="2521"/>
      <c r="W280" s="2521"/>
      <c r="X280" s="2521"/>
      <c r="Y280" s="2521"/>
      <c r="Z280" s="2521"/>
    </row>
    <row r="281" spans="1:26" ht="16.5" customHeight="1">
      <c r="A281" s="2521"/>
      <c r="B281" s="2526"/>
      <c r="C281" s="2521"/>
      <c r="D281" s="2521"/>
      <c r="E281" s="2521"/>
      <c r="F281" s="2521"/>
      <c r="G281" s="2521"/>
      <c r="H281" s="2521"/>
      <c r="I281" s="2521"/>
      <c r="J281" s="2521"/>
      <c r="K281" s="2521"/>
      <c r="L281" s="2521"/>
      <c r="M281" s="2521"/>
      <c r="N281" s="2521"/>
      <c r="O281" s="2521"/>
      <c r="P281" s="2521"/>
      <c r="Q281" s="2521"/>
      <c r="R281" s="2521"/>
      <c r="S281" s="2521"/>
      <c r="T281" s="2521"/>
      <c r="U281" s="2521"/>
      <c r="V281" s="2521"/>
      <c r="W281" s="2521"/>
      <c r="X281" s="2521"/>
      <c r="Y281" s="2521"/>
      <c r="Z281" s="2521"/>
    </row>
    <row r="282" spans="1:26" ht="16.5" customHeight="1">
      <c r="A282" s="2521"/>
      <c r="B282" s="2526"/>
      <c r="C282" s="2521"/>
      <c r="D282" s="2521"/>
      <c r="E282" s="2521"/>
      <c r="F282" s="2521"/>
      <c r="G282" s="2521"/>
      <c r="H282" s="2521"/>
      <c r="I282" s="2521"/>
      <c r="J282" s="2521"/>
      <c r="K282" s="2521"/>
      <c r="L282" s="2521"/>
      <c r="M282" s="2521"/>
      <c r="N282" s="2521"/>
      <c r="O282" s="2521"/>
      <c r="P282" s="2521"/>
      <c r="Q282" s="2521"/>
      <c r="R282" s="2521"/>
      <c r="S282" s="2521"/>
      <c r="T282" s="2521"/>
      <c r="U282" s="2521"/>
      <c r="V282" s="2521"/>
      <c r="W282" s="2521"/>
      <c r="X282" s="2521"/>
      <c r="Y282" s="2521"/>
      <c r="Z282" s="2521"/>
    </row>
    <row r="283" spans="1:26" ht="16.5" customHeight="1">
      <c r="A283" s="2521"/>
      <c r="B283" s="2526"/>
      <c r="C283" s="2521"/>
      <c r="D283" s="2521"/>
      <c r="E283" s="2521"/>
      <c r="F283" s="2521"/>
      <c r="G283" s="2521"/>
      <c r="H283" s="2521"/>
      <c r="I283" s="2521"/>
      <c r="J283" s="2521"/>
      <c r="K283" s="2521"/>
      <c r="L283" s="2521"/>
      <c r="M283" s="2521"/>
      <c r="N283" s="2521"/>
      <c r="O283" s="2521"/>
      <c r="P283" s="2521"/>
      <c r="Q283" s="2521"/>
      <c r="R283" s="2521"/>
      <c r="S283" s="2521"/>
      <c r="T283" s="2521"/>
      <c r="U283" s="2521"/>
      <c r="V283" s="2521"/>
      <c r="W283" s="2521"/>
      <c r="X283" s="2521"/>
      <c r="Y283" s="2521"/>
      <c r="Z283" s="2521"/>
    </row>
    <row r="284" spans="1:26" ht="16.5" customHeight="1">
      <c r="A284" s="2521"/>
      <c r="B284" s="2526"/>
      <c r="C284" s="2521"/>
      <c r="D284" s="2521"/>
      <c r="E284" s="2521"/>
      <c r="F284" s="2521"/>
      <c r="G284" s="2521"/>
      <c r="H284" s="2521"/>
      <c r="I284" s="2521"/>
      <c r="J284" s="2521"/>
      <c r="K284" s="2521"/>
      <c r="L284" s="2521"/>
      <c r="M284" s="2521"/>
      <c r="N284" s="2521"/>
      <c r="O284" s="2521"/>
      <c r="P284" s="2521"/>
      <c r="Q284" s="2521"/>
      <c r="R284" s="2521"/>
      <c r="S284" s="2521"/>
      <c r="T284" s="2521"/>
      <c r="U284" s="2521"/>
      <c r="V284" s="2521"/>
      <c r="W284" s="2521"/>
      <c r="X284" s="2521"/>
      <c r="Y284" s="2521"/>
      <c r="Z284" s="2521"/>
    </row>
    <row r="285" spans="1:26" ht="16.5" customHeight="1">
      <c r="A285" s="2521"/>
      <c r="B285" s="2526"/>
      <c r="C285" s="2521"/>
      <c r="D285" s="2521"/>
      <c r="E285" s="2521"/>
      <c r="F285" s="2521"/>
      <c r="G285" s="2521"/>
      <c r="H285" s="2521"/>
      <c r="I285" s="2521"/>
      <c r="J285" s="2521"/>
      <c r="K285" s="2521"/>
      <c r="L285" s="2521"/>
      <c r="M285" s="2521"/>
      <c r="N285" s="2521"/>
      <c r="O285" s="2521"/>
      <c r="P285" s="2521"/>
      <c r="Q285" s="2521"/>
      <c r="R285" s="2521"/>
      <c r="S285" s="2521"/>
      <c r="T285" s="2521"/>
      <c r="U285" s="2521"/>
      <c r="V285" s="2521"/>
      <c r="W285" s="2521"/>
      <c r="X285" s="2521"/>
      <c r="Y285" s="2521"/>
      <c r="Z285" s="2521"/>
    </row>
    <row r="286" spans="1:26" ht="16.5" customHeight="1">
      <c r="A286" s="2521"/>
      <c r="B286" s="2526"/>
      <c r="C286" s="2521"/>
      <c r="D286" s="2521"/>
      <c r="E286" s="2521"/>
      <c r="F286" s="2521"/>
      <c r="G286" s="2521"/>
      <c r="H286" s="2521"/>
      <c r="I286" s="2521"/>
      <c r="J286" s="2521"/>
      <c r="K286" s="2521"/>
      <c r="L286" s="2521"/>
      <c r="M286" s="2521"/>
      <c r="N286" s="2521"/>
      <c r="O286" s="2521"/>
      <c r="P286" s="2521"/>
      <c r="Q286" s="2521"/>
      <c r="R286" s="2521"/>
      <c r="S286" s="2521"/>
      <c r="T286" s="2521"/>
      <c r="U286" s="2521"/>
      <c r="V286" s="2521"/>
      <c r="W286" s="2521"/>
      <c r="X286" s="2521"/>
      <c r="Y286" s="2521"/>
      <c r="Z286" s="2521"/>
    </row>
    <row r="287" spans="1:26" ht="16.5" customHeight="1">
      <c r="A287" s="2521"/>
      <c r="B287" s="2526"/>
      <c r="C287" s="2521"/>
      <c r="D287" s="2521"/>
      <c r="E287" s="2521"/>
      <c r="F287" s="2521"/>
      <c r="G287" s="2521"/>
      <c r="H287" s="2521"/>
      <c r="I287" s="2521"/>
      <c r="J287" s="2521"/>
      <c r="K287" s="2521"/>
      <c r="L287" s="2521"/>
      <c r="M287" s="2521"/>
      <c r="N287" s="2521"/>
      <c r="O287" s="2521"/>
      <c r="P287" s="2521"/>
      <c r="Q287" s="2521"/>
      <c r="R287" s="2521"/>
      <c r="S287" s="2521"/>
      <c r="T287" s="2521"/>
      <c r="U287" s="2521"/>
      <c r="V287" s="2521"/>
      <c r="W287" s="2521"/>
      <c r="X287" s="2521"/>
      <c r="Y287" s="2521"/>
      <c r="Z287" s="2521"/>
    </row>
    <row r="288" spans="1:26" ht="16.5" customHeight="1">
      <c r="A288" s="2521"/>
      <c r="B288" s="2526"/>
      <c r="C288" s="2521"/>
      <c r="D288" s="2521"/>
      <c r="E288" s="2521"/>
      <c r="F288" s="2521"/>
      <c r="G288" s="2521"/>
      <c r="H288" s="2521"/>
      <c r="I288" s="2521"/>
      <c r="J288" s="2521"/>
      <c r="K288" s="2521"/>
      <c r="L288" s="2521"/>
      <c r="M288" s="2521"/>
      <c r="N288" s="2521"/>
      <c r="O288" s="2521"/>
      <c r="P288" s="2521"/>
      <c r="Q288" s="2521"/>
      <c r="R288" s="2521"/>
      <c r="S288" s="2521"/>
      <c r="T288" s="2521"/>
      <c r="U288" s="2521"/>
      <c r="V288" s="2521"/>
      <c r="W288" s="2521"/>
      <c r="X288" s="2521"/>
      <c r="Y288" s="2521"/>
      <c r="Z288" s="2521"/>
    </row>
    <row r="289" spans="1:26" ht="16.5" customHeight="1">
      <c r="A289" s="2521"/>
      <c r="B289" s="2526"/>
      <c r="C289" s="2521"/>
      <c r="D289" s="2521"/>
      <c r="E289" s="2521"/>
      <c r="F289" s="2521"/>
      <c r="G289" s="2521"/>
      <c r="H289" s="2521"/>
      <c r="I289" s="2521"/>
      <c r="J289" s="2521"/>
      <c r="K289" s="2521"/>
      <c r="L289" s="2521"/>
      <c r="M289" s="2521"/>
      <c r="N289" s="2521"/>
      <c r="O289" s="2521"/>
      <c r="P289" s="2521"/>
      <c r="Q289" s="2521"/>
      <c r="R289" s="2521"/>
      <c r="S289" s="2521"/>
      <c r="T289" s="2521"/>
      <c r="U289" s="2521"/>
      <c r="V289" s="2521"/>
      <c r="W289" s="2521"/>
      <c r="X289" s="2521"/>
      <c r="Y289" s="2521"/>
      <c r="Z289" s="2521"/>
    </row>
    <row r="290" spans="1:26" ht="16.5" customHeight="1">
      <c r="A290" s="2521"/>
      <c r="B290" s="2526"/>
      <c r="C290" s="2521"/>
      <c r="D290" s="2521"/>
      <c r="E290" s="2521"/>
      <c r="F290" s="2521"/>
      <c r="G290" s="2521"/>
      <c r="H290" s="2521"/>
      <c r="I290" s="2521"/>
      <c r="J290" s="2521"/>
      <c r="K290" s="2521"/>
      <c r="L290" s="2521"/>
      <c r="M290" s="2521"/>
      <c r="N290" s="2521"/>
      <c r="O290" s="2521"/>
      <c r="P290" s="2521"/>
      <c r="Q290" s="2521"/>
      <c r="R290" s="2521"/>
      <c r="S290" s="2521"/>
      <c r="T290" s="2521"/>
      <c r="U290" s="2521"/>
      <c r="V290" s="2521"/>
      <c r="W290" s="2521"/>
      <c r="X290" s="2521"/>
      <c r="Y290" s="2521"/>
      <c r="Z290" s="2521"/>
    </row>
    <row r="291" spans="1:26" ht="16.5" customHeight="1">
      <c r="A291" s="2521"/>
      <c r="B291" s="2526"/>
      <c r="C291" s="2521"/>
      <c r="D291" s="2521"/>
      <c r="E291" s="2521"/>
      <c r="F291" s="2521"/>
      <c r="G291" s="2521"/>
      <c r="H291" s="2521"/>
      <c r="I291" s="2521"/>
      <c r="J291" s="2521"/>
      <c r="K291" s="2521"/>
      <c r="L291" s="2521"/>
      <c r="M291" s="2521"/>
      <c r="N291" s="2521"/>
      <c r="O291" s="2521"/>
      <c r="P291" s="2521"/>
      <c r="Q291" s="2521"/>
      <c r="R291" s="2521"/>
      <c r="S291" s="2521"/>
      <c r="T291" s="2521"/>
      <c r="U291" s="2521"/>
      <c r="V291" s="2521"/>
      <c r="W291" s="2521"/>
      <c r="X291" s="2521"/>
      <c r="Y291" s="2521"/>
      <c r="Z291" s="2521"/>
    </row>
    <row r="292" spans="1:26" ht="16.5" customHeight="1">
      <c r="A292" s="2521"/>
      <c r="B292" s="2526"/>
      <c r="C292" s="2521"/>
      <c r="D292" s="2521"/>
      <c r="E292" s="2521"/>
      <c r="F292" s="2521"/>
      <c r="G292" s="2521"/>
      <c r="H292" s="2521"/>
      <c r="I292" s="2521"/>
      <c r="J292" s="2521"/>
      <c r="K292" s="2521"/>
      <c r="L292" s="2521"/>
      <c r="M292" s="2521"/>
      <c r="N292" s="2521"/>
      <c r="O292" s="2521"/>
      <c r="P292" s="2521"/>
      <c r="Q292" s="2521"/>
      <c r="R292" s="2521"/>
      <c r="S292" s="2521"/>
      <c r="T292" s="2521"/>
      <c r="U292" s="2521"/>
      <c r="V292" s="2521"/>
      <c r="W292" s="2521"/>
      <c r="X292" s="2521"/>
      <c r="Y292" s="2521"/>
      <c r="Z292" s="2521"/>
    </row>
    <row r="293" spans="1:26" ht="16.5" customHeight="1">
      <c r="A293" s="2521"/>
      <c r="B293" s="2526"/>
      <c r="C293" s="2521"/>
      <c r="D293" s="2521"/>
      <c r="E293" s="2521"/>
      <c r="F293" s="2521"/>
      <c r="G293" s="2521"/>
      <c r="H293" s="2521"/>
      <c r="I293" s="2521"/>
      <c r="J293" s="2521"/>
      <c r="K293" s="2521"/>
      <c r="L293" s="2521"/>
      <c r="M293" s="2521"/>
      <c r="N293" s="2521"/>
      <c r="O293" s="2521"/>
      <c r="P293" s="2521"/>
      <c r="Q293" s="2521"/>
      <c r="R293" s="2521"/>
      <c r="S293" s="2521"/>
      <c r="T293" s="2521"/>
      <c r="U293" s="2521"/>
      <c r="V293" s="2521"/>
      <c r="W293" s="2521"/>
      <c r="X293" s="2521"/>
      <c r="Y293" s="2521"/>
      <c r="Z293" s="2521"/>
    </row>
    <row r="294" spans="1:26" ht="16.5" customHeight="1">
      <c r="A294" s="2521"/>
      <c r="B294" s="2526"/>
      <c r="C294" s="2521"/>
      <c r="D294" s="2521"/>
      <c r="E294" s="2521"/>
      <c r="F294" s="2521"/>
      <c r="G294" s="2521"/>
      <c r="H294" s="2521"/>
      <c r="I294" s="2521"/>
      <c r="J294" s="2521"/>
      <c r="K294" s="2521"/>
      <c r="L294" s="2521"/>
      <c r="M294" s="2521"/>
      <c r="N294" s="2521"/>
      <c r="O294" s="2521"/>
      <c r="P294" s="2521"/>
      <c r="Q294" s="2521"/>
      <c r="R294" s="2521"/>
      <c r="S294" s="2521"/>
      <c r="T294" s="2521"/>
      <c r="U294" s="2521"/>
      <c r="V294" s="2521"/>
      <c r="W294" s="2521"/>
      <c r="X294" s="2521"/>
      <c r="Y294" s="2521"/>
      <c r="Z294" s="2521"/>
    </row>
    <row r="295" spans="1:26" ht="16.5" customHeight="1">
      <c r="A295" s="2521"/>
      <c r="B295" s="2526"/>
      <c r="C295" s="2521"/>
      <c r="D295" s="2521"/>
      <c r="E295" s="2521"/>
      <c r="F295" s="2521"/>
      <c r="G295" s="2521"/>
      <c r="H295" s="2521"/>
      <c r="I295" s="2521"/>
      <c r="J295" s="2521"/>
      <c r="K295" s="2521"/>
      <c r="L295" s="2521"/>
      <c r="M295" s="2521"/>
      <c r="N295" s="2521"/>
      <c r="O295" s="2521"/>
      <c r="P295" s="2521"/>
      <c r="Q295" s="2521"/>
      <c r="R295" s="2521"/>
      <c r="S295" s="2521"/>
      <c r="T295" s="2521"/>
      <c r="U295" s="2521"/>
      <c r="V295" s="2521"/>
      <c r="W295" s="2521"/>
      <c r="X295" s="2521"/>
      <c r="Y295" s="2521"/>
      <c r="Z295" s="2521"/>
    </row>
    <row r="296" spans="1:26" ht="16.5" customHeight="1">
      <c r="A296" s="2521"/>
      <c r="B296" s="2526"/>
      <c r="C296" s="2521"/>
      <c r="D296" s="2521"/>
      <c r="E296" s="2521"/>
      <c r="F296" s="2521"/>
      <c r="G296" s="2521"/>
      <c r="H296" s="2521"/>
      <c r="I296" s="2521"/>
      <c r="J296" s="2521"/>
      <c r="K296" s="2521"/>
      <c r="L296" s="2521"/>
      <c r="M296" s="2521"/>
      <c r="N296" s="2521"/>
      <c r="O296" s="2521"/>
      <c r="P296" s="2521"/>
      <c r="Q296" s="2521"/>
      <c r="R296" s="2521"/>
      <c r="S296" s="2521"/>
      <c r="T296" s="2521"/>
      <c r="U296" s="2521"/>
      <c r="V296" s="2521"/>
      <c r="W296" s="2521"/>
      <c r="X296" s="2521"/>
      <c r="Y296" s="2521"/>
      <c r="Z296" s="2521"/>
    </row>
    <row r="297" spans="1:26" ht="16.5" customHeight="1">
      <c r="A297" s="2521"/>
      <c r="B297" s="2526"/>
      <c r="C297" s="2521"/>
      <c r="D297" s="2521"/>
      <c r="E297" s="2521"/>
      <c r="F297" s="2521"/>
      <c r="G297" s="2521"/>
      <c r="H297" s="2521"/>
      <c r="I297" s="2521"/>
      <c r="J297" s="2521"/>
      <c r="K297" s="2521"/>
      <c r="L297" s="2521"/>
      <c r="M297" s="2521"/>
      <c r="N297" s="2521"/>
      <c r="O297" s="2521"/>
      <c r="P297" s="2521"/>
      <c r="Q297" s="2521"/>
      <c r="R297" s="2521"/>
      <c r="S297" s="2521"/>
      <c r="T297" s="2521"/>
      <c r="U297" s="2521"/>
      <c r="V297" s="2521"/>
      <c r="W297" s="2521"/>
      <c r="X297" s="2521"/>
      <c r="Y297" s="2521"/>
      <c r="Z297" s="2521"/>
    </row>
    <row r="298" spans="1:26" ht="16.5" customHeight="1">
      <c r="A298" s="2521"/>
      <c r="B298" s="2526"/>
      <c r="C298" s="2521"/>
      <c r="D298" s="2521"/>
      <c r="E298" s="2521"/>
      <c r="F298" s="2521"/>
      <c r="G298" s="2521"/>
      <c r="H298" s="2521"/>
      <c r="I298" s="2521"/>
      <c r="J298" s="2521"/>
      <c r="K298" s="2521"/>
      <c r="L298" s="2521"/>
      <c r="M298" s="2521"/>
      <c r="N298" s="2521"/>
      <c r="O298" s="2521"/>
      <c r="P298" s="2521"/>
      <c r="Q298" s="2521"/>
      <c r="R298" s="2521"/>
      <c r="S298" s="2521"/>
      <c r="T298" s="2521"/>
      <c r="U298" s="2521"/>
      <c r="V298" s="2521"/>
      <c r="W298" s="2521"/>
      <c r="X298" s="2521"/>
      <c r="Y298" s="2521"/>
      <c r="Z298" s="2521"/>
    </row>
    <row r="299" spans="1:26" ht="16.5" customHeight="1">
      <c r="A299" s="2521"/>
      <c r="B299" s="2526"/>
      <c r="C299" s="2521"/>
      <c r="D299" s="2521"/>
      <c r="E299" s="2521"/>
      <c r="F299" s="2521"/>
      <c r="G299" s="2521"/>
      <c r="H299" s="2521"/>
      <c r="I299" s="2521"/>
      <c r="J299" s="2521"/>
      <c r="K299" s="2521"/>
      <c r="L299" s="2521"/>
      <c r="M299" s="2521"/>
      <c r="N299" s="2521"/>
      <c r="O299" s="2521"/>
      <c r="P299" s="2521"/>
      <c r="Q299" s="2521"/>
      <c r="R299" s="2521"/>
      <c r="S299" s="2521"/>
      <c r="T299" s="2521"/>
      <c r="U299" s="2521"/>
      <c r="V299" s="2521"/>
      <c r="W299" s="2521"/>
      <c r="X299" s="2521"/>
      <c r="Y299" s="2521"/>
      <c r="Z299" s="2521"/>
    </row>
    <row r="300" spans="1:26" ht="16.5" customHeight="1">
      <c r="A300" s="2521"/>
      <c r="B300" s="2526"/>
      <c r="C300" s="2521"/>
      <c r="D300" s="2521"/>
      <c r="E300" s="2521"/>
      <c r="F300" s="2521"/>
      <c r="G300" s="2521"/>
      <c r="H300" s="2521"/>
      <c r="I300" s="2521"/>
      <c r="J300" s="2521"/>
      <c r="K300" s="2521"/>
      <c r="L300" s="2521"/>
      <c r="M300" s="2521"/>
      <c r="N300" s="2521"/>
      <c r="O300" s="2521"/>
      <c r="P300" s="2521"/>
      <c r="Q300" s="2521"/>
      <c r="R300" s="2521"/>
      <c r="S300" s="2521"/>
      <c r="T300" s="2521"/>
      <c r="U300" s="2521"/>
      <c r="V300" s="2521"/>
      <c r="W300" s="2521"/>
      <c r="X300" s="2521"/>
      <c r="Y300" s="2521"/>
      <c r="Z300" s="2521"/>
    </row>
    <row r="301" spans="1:26" ht="16.5" customHeight="1">
      <c r="A301" s="2521"/>
      <c r="B301" s="2526"/>
      <c r="C301" s="2521"/>
      <c r="D301" s="2521"/>
      <c r="E301" s="2521"/>
      <c r="F301" s="2521"/>
      <c r="G301" s="2521"/>
      <c r="H301" s="2521"/>
      <c r="I301" s="2521"/>
      <c r="J301" s="2521"/>
      <c r="K301" s="2521"/>
      <c r="L301" s="2521"/>
      <c r="M301" s="2521"/>
      <c r="N301" s="2521"/>
      <c r="O301" s="2521"/>
      <c r="P301" s="2521"/>
      <c r="Q301" s="2521"/>
      <c r="R301" s="2521"/>
      <c r="S301" s="2521"/>
      <c r="T301" s="2521"/>
      <c r="U301" s="2521"/>
      <c r="V301" s="2521"/>
      <c r="W301" s="2521"/>
      <c r="X301" s="2521"/>
      <c r="Y301" s="2521"/>
      <c r="Z301" s="2521"/>
    </row>
    <row r="302" spans="1:26" ht="16.5" customHeight="1">
      <c r="A302" s="2521"/>
      <c r="B302" s="2526"/>
      <c r="C302" s="2521"/>
      <c r="D302" s="2521"/>
      <c r="E302" s="2521"/>
      <c r="F302" s="2521"/>
      <c r="G302" s="2521"/>
      <c r="H302" s="2521"/>
      <c r="I302" s="2521"/>
      <c r="J302" s="2521"/>
      <c r="K302" s="2521"/>
      <c r="L302" s="2521"/>
      <c r="M302" s="2521"/>
      <c r="N302" s="2521"/>
      <c r="O302" s="2521"/>
      <c r="P302" s="2521"/>
      <c r="Q302" s="2521"/>
      <c r="R302" s="2521"/>
      <c r="S302" s="2521"/>
      <c r="T302" s="2521"/>
      <c r="U302" s="2521"/>
      <c r="V302" s="2521"/>
      <c r="W302" s="2521"/>
      <c r="X302" s="2521"/>
      <c r="Y302" s="2521"/>
      <c r="Z302" s="2521"/>
    </row>
    <row r="303" spans="1:26" ht="16.5" customHeight="1">
      <c r="A303" s="2521"/>
      <c r="B303" s="2526"/>
      <c r="C303" s="2521"/>
      <c r="D303" s="2521"/>
      <c r="E303" s="2521"/>
      <c r="F303" s="2521"/>
      <c r="G303" s="2521"/>
      <c r="H303" s="2521"/>
      <c r="I303" s="2521"/>
      <c r="J303" s="2521"/>
      <c r="K303" s="2521"/>
      <c r="L303" s="2521"/>
      <c r="M303" s="2521"/>
      <c r="N303" s="2521"/>
      <c r="O303" s="2521"/>
      <c r="P303" s="2521"/>
      <c r="Q303" s="2521"/>
      <c r="R303" s="2521"/>
      <c r="S303" s="2521"/>
      <c r="T303" s="2521"/>
      <c r="U303" s="2521"/>
      <c r="V303" s="2521"/>
      <c r="W303" s="2521"/>
      <c r="X303" s="2521"/>
      <c r="Y303" s="2521"/>
      <c r="Z303" s="2521"/>
    </row>
    <row r="304" spans="1:26" ht="16.5" customHeight="1">
      <c r="A304" s="2521"/>
      <c r="B304" s="2526"/>
      <c r="C304" s="2521"/>
      <c r="D304" s="2521"/>
      <c r="E304" s="2521"/>
      <c r="F304" s="2521"/>
      <c r="G304" s="2521"/>
      <c r="H304" s="2521"/>
      <c r="I304" s="2521"/>
      <c r="J304" s="2521"/>
      <c r="K304" s="2521"/>
      <c r="L304" s="2521"/>
      <c r="M304" s="2521"/>
      <c r="N304" s="2521"/>
      <c r="O304" s="2521"/>
      <c r="P304" s="2521"/>
      <c r="Q304" s="2521"/>
      <c r="R304" s="2521"/>
      <c r="S304" s="2521"/>
      <c r="T304" s="2521"/>
      <c r="U304" s="2521"/>
      <c r="V304" s="2521"/>
      <c r="W304" s="2521"/>
      <c r="X304" s="2521"/>
      <c r="Y304" s="2521"/>
      <c r="Z304" s="2521"/>
    </row>
    <row r="305" spans="1:26" ht="16.5" customHeight="1">
      <c r="A305" s="2521"/>
      <c r="B305" s="2526"/>
      <c r="C305" s="2521"/>
      <c r="D305" s="2521"/>
      <c r="E305" s="2521"/>
      <c r="F305" s="2521"/>
      <c r="G305" s="2521"/>
      <c r="H305" s="2521"/>
      <c r="I305" s="2521"/>
      <c r="J305" s="2521"/>
      <c r="K305" s="2521"/>
      <c r="L305" s="2521"/>
      <c r="M305" s="2521"/>
      <c r="N305" s="2521"/>
      <c r="O305" s="2521"/>
      <c r="P305" s="2521"/>
      <c r="Q305" s="2521"/>
      <c r="R305" s="2521"/>
      <c r="S305" s="2521"/>
      <c r="T305" s="2521"/>
      <c r="U305" s="2521"/>
      <c r="V305" s="2521"/>
      <c r="W305" s="2521"/>
      <c r="X305" s="2521"/>
      <c r="Y305" s="2521"/>
      <c r="Z305" s="2521"/>
    </row>
    <row r="306" spans="1:26" ht="16.5" customHeight="1">
      <c r="A306" s="2521"/>
      <c r="B306" s="2526"/>
      <c r="C306" s="2521"/>
      <c r="D306" s="2521"/>
      <c r="E306" s="2521"/>
      <c r="F306" s="2521"/>
      <c r="G306" s="2521"/>
      <c r="H306" s="2521"/>
      <c r="I306" s="2521"/>
      <c r="J306" s="2521"/>
      <c r="K306" s="2521"/>
      <c r="L306" s="2521"/>
      <c r="M306" s="2521"/>
      <c r="N306" s="2521"/>
      <c r="O306" s="2521"/>
      <c r="P306" s="2521"/>
      <c r="Q306" s="2521"/>
      <c r="R306" s="2521"/>
      <c r="S306" s="2521"/>
      <c r="T306" s="2521"/>
      <c r="U306" s="2521"/>
      <c r="V306" s="2521"/>
      <c r="W306" s="2521"/>
      <c r="X306" s="2521"/>
      <c r="Y306" s="2521"/>
      <c r="Z306" s="2521"/>
    </row>
    <row r="307" spans="1:26" ht="16.5" customHeight="1">
      <c r="A307" s="2521"/>
      <c r="B307" s="2526"/>
      <c r="C307" s="2521"/>
      <c r="D307" s="2521"/>
      <c r="E307" s="2521"/>
      <c r="F307" s="2521"/>
      <c r="G307" s="2521"/>
      <c r="H307" s="2521"/>
      <c r="I307" s="2521"/>
      <c r="J307" s="2521"/>
      <c r="K307" s="2521"/>
      <c r="L307" s="2521"/>
      <c r="M307" s="2521"/>
      <c r="N307" s="2521"/>
      <c r="O307" s="2521"/>
      <c r="P307" s="2521"/>
      <c r="Q307" s="2521"/>
      <c r="R307" s="2521"/>
      <c r="S307" s="2521"/>
      <c r="T307" s="2521"/>
      <c r="U307" s="2521"/>
      <c r="V307" s="2521"/>
      <c r="W307" s="2521"/>
      <c r="X307" s="2521"/>
      <c r="Y307" s="2521"/>
      <c r="Z307" s="2521"/>
    </row>
    <row r="308" spans="1:26" ht="16.5" customHeight="1">
      <c r="A308" s="2521"/>
      <c r="B308" s="2526"/>
      <c r="C308" s="2521"/>
      <c r="D308" s="2521"/>
      <c r="E308" s="2521"/>
      <c r="F308" s="2521"/>
      <c r="G308" s="2521"/>
      <c r="H308" s="2521"/>
      <c r="I308" s="2521"/>
      <c r="J308" s="2521"/>
      <c r="K308" s="2521"/>
      <c r="L308" s="2521"/>
      <c r="M308" s="2521"/>
      <c r="N308" s="2521"/>
      <c r="O308" s="2521"/>
      <c r="P308" s="2521"/>
      <c r="Q308" s="2521"/>
      <c r="R308" s="2521"/>
      <c r="S308" s="2521"/>
      <c r="T308" s="2521"/>
      <c r="U308" s="2521"/>
      <c r="V308" s="2521"/>
      <c r="W308" s="2521"/>
      <c r="X308" s="2521"/>
      <c r="Y308" s="2521"/>
      <c r="Z308" s="2521"/>
    </row>
    <row r="309" spans="1:26" ht="16.5" customHeight="1">
      <c r="A309" s="2521"/>
      <c r="B309" s="2526"/>
      <c r="C309" s="2521"/>
      <c r="D309" s="2521"/>
      <c r="E309" s="2521"/>
      <c r="F309" s="2521"/>
      <c r="G309" s="2521"/>
      <c r="H309" s="2521"/>
      <c r="I309" s="2521"/>
      <c r="J309" s="2521"/>
      <c r="K309" s="2521"/>
      <c r="L309" s="2521"/>
      <c r="M309" s="2521"/>
      <c r="N309" s="2521"/>
      <c r="O309" s="2521"/>
      <c r="P309" s="2521"/>
      <c r="Q309" s="2521"/>
      <c r="R309" s="2521"/>
      <c r="S309" s="2521"/>
      <c r="T309" s="2521"/>
      <c r="U309" s="2521"/>
      <c r="V309" s="2521"/>
      <c r="W309" s="2521"/>
      <c r="X309" s="2521"/>
      <c r="Y309" s="2521"/>
      <c r="Z309" s="2521"/>
    </row>
    <row r="310" spans="1:26" ht="16.5" customHeight="1">
      <c r="A310" s="2521"/>
      <c r="B310" s="2526"/>
      <c r="C310" s="2521"/>
      <c r="D310" s="2521"/>
      <c r="E310" s="2521"/>
      <c r="F310" s="2521"/>
      <c r="G310" s="2521"/>
      <c r="H310" s="2521"/>
      <c r="I310" s="2521"/>
      <c r="J310" s="2521"/>
      <c r="K310" s="2521"/>
      <c r="L310" s="2521"/>
      <c r="M310" s="2521"/>
      <c r="N310" s="2521"/>
      <c r="O310" s="2521"/>
      <c r="P310" s="2521"/>
      <c r="Q310" s="2521"/>
      <c r="R310" s="2521"/>
      <c r="S310" s="2521"/>
      <c r="T310" s="2521"/>
      <c r="U310" s="2521"/>
      <c r="V310" s="2521"/>
      <c r="W310" s="2521"/>
      <c r="X310" s="2521"/>
      <c r="Y310" s="2521"/>
      <c r="Z310" s="2521"/>
    </row>
    <row r="311" spans="1:26" ht="16.5" customHeight="1">
      <c r="A311" s="2521"/>
      <c r="B311" s="2526"/>
      <c r="C311" s="2521"/>
      <c r="D311" s="2521"/>
      <c r="E311" s="2521"/>
      <c r="F311" s="2521"/>
      <c r="G311" s="2521"/>
      <c r="H311" s="2521"/>
      <c r="I311" s="2521"/>
      <c r="J311" s="2521"/>
      <c r="K311" s="2521"/>
      <c r="L311" s="2521"/>
      <c r="M311" s="2521"/>
      <c r="N311" s="2521"/>
      <c r="O311" s="2521"/>
      <c r="P311" s="2521"/>
      <c r="Q311" s="2521"/>
      <c r="R311" s="2521"/>
      <c r="S311" s="2521"/>
      <c r="T311" s="2521"/>
      <c r="U311" s="2521"/>
      <c r="V311" s="2521"/>
      <c r="W311" s="2521"/>
      <c r="X311" s="2521"/>
      <c r="Y311" s="2521"/>
      <c r="Z311" s="2521"/>
    </row>
    <row r="312" spans="1:26" ht="16.5" customHeight="1">
      <c r="A312" s="2521"/>
      <c r="B312" s="2526"/>
      <c r="C312" s="2521"/>
      <c r="D312" s="2521"/>
      <c r="E312" s="2521"/>
      <c r="F312" s="2521"/>
      <c r="G312" s="2521"/>
      <c r="H312" s="2521"/>
      <c r="I312" s="2521"/>
      <c r="J312" s="2521"/>
      <c r="K312" s="2521"/>
      <c r="L312" s="2521"/>
      <c r="M312" s="2521"/>
      <c r="N312" s="2521"/>
      <c r="O312" s="2521"/>
      <c r="P312" s="2521"/>
      <c r="Q312" s="2521"/>
      <c r="R312" s="2521"/>
      <c r="S312" s="2521"/>
      <c r="T312" s="2521"/>
      <c r="U312" s="2521"/>
      <c r="V312" s="2521"/>
      <c r="W312" s="2521"/>
      <c r="X312" s="2521"/>
      <c r="Y312" s="2521"/>
      <c r="Z312" s="2521"/>
    </row>
    <row r="313" spans="1:26" ht="16.5" customHeight="1">
      <c r="A313" s="2521"/>
      <c r="B313" s="2526"/>
      <c r="C313" s="2521"/>
      <c r="D313" s="2521"/>
      <c r="E313" s="2521"/>
      <c r="F313" s="2521"/>
      <c r="G313" s="2521"/>
      <c r="H313" s="2521"/>
      <c r="I313" s="2521"/>
      <c r="J313" s="2521"/>
      <c r="K313" s="2521"/>
      <c r="L313" s="2521"/>
      <c r="M313" s="2521"/>
      <c r="N313" s="2521"/>
      <c r="O313" s="2521"/>
      <c r="P313" s="2521"/>
      <c r="Q313" s="2521"/>
      <c r="R313" s="2521"/>
      <c r="S313" s="2521"/>
      <c r="T313" s="2521"/>
      <c r="U313" s="2521"/>
      <c r="V313" s="2521"/>
      <c r="W313" s="2521"/>
      <c r="X313" s="2521"/>
      <c r="Y313" s="2521"/>
      <c r="Z313" s="2521"/>
    </row>
    <row r="314" spans="1:26" ht="16.5" customHeight="1">
      <c r="A314" s="2521"/>
      <c r="B314" s="2526"/>
      <c r="C314" s="2521"/>
      <c r="D314" s="2521"/>
      <c r="E314" s="2521"/>
      <c r="F314" s="2521"/>
      <c r="G314" s="2521"/>
      <c r="H314" s="2521"/>
      <c r="I314" s="2521"/>
      <c r="J314" s="2521"/>
      <c r="K314" s="2521"/>
      <c r="L314" s="2521"/>
      <c r="M314" s="2521"/>
      <c r="N314" s="2521"/>
      <c r="O314" s="2521"/>
      <c r="P314" s="2521"/>
      <c r="Q314" s="2521"/>
      <c r="R314" s="2521"/>
      <c r="S314" s="2521"/>
      <c r="T314" s="2521"/>
      <c r="U314" s="2521"/>
      <c r="V314" s="2521"/>
      <c r="W314" s="2521"/>
      <c r="X314" s="2521"/>
      <c r="Y314" s="2521"/>
      <c r="Z314" s="2521"/>
    </row>
    <row r="315" spans="1:26" ht="16.5" customHeight="1">
      <c r="A315" s="2521"/>
      <c r="B315" s="2526"/>
      <c r="C315" s="2521"/>
      <c r="D315" s="2521"/>
      <c r="E315" s="2521"/>
      <c r="F315" s="2521"/>
      <c r="G315" s="2521"/>
      <c r="H315" s="2521"/>
      <c r="I315" s="2521"/>
      <c r="J315" s="2521"/>
      <c r="K315" s="2521"/>
      <c r="L315" s="2521"/>
      <c r="M315" s="2521"/>
      <c r="N315" s="2521"/>
      <c r="O315" s="2521"/>
      <c r="P315" s="2521"/>
      <c r="Q315" s="2521"/>
      <c r="R315" s="2521"/>
      <c r="S315" s="2521"/>
      <c r="T315" s="2521"/>
      <c r="U315" s="2521"/>
      <c r="V315" s="2521"/>
      <c r="W315" s="2521"/>
      <c r="X315" s="2521"/>
      <c r="Y315" s="2521"/>
      <c r="Z315" s="2521"/>
    </row>
    <row r="316" spans="1:26" ht="16.5" customHeight="1">
      <c r="A316" s="2521"/>
      <c r="B316" s="2526"/>
      <c r="C316" s="2521"/>
      <c r="D316" s="2521"/>
      <c r="E316" s="2521"/>
      <c r="F316" s="2521"/>
      <c r="G316" s="2521"/>
      <c r="H316" s="2521"/>
      <c r="I316" s="2521"/>
      <c r="J316" s="2521"/>
      <c r="K316" s="2521"/>
      <c r="L316" s="2521"/>
      <c r="M316" s="2521"/>
      <c r="N316" s="2521"/>
      <c r="O316" s="2521"/>
      <c r="P316" s="2521"/>
      <c r="Q316" s="2521"/>
      <c r="R316" s="2521"/>
      <c r="S316" s="2521"/>
      <c r="T316" s="2521"/>
      <c r="U316" s="2521"/>
      <c r="V316" s="2521"/>
      <c r="W316" s="2521"/>
      <c r="X316" s="2521"/>
      <c r="Y316" s="2521"/>
      <c r="Z316" s="2521"/>
    </row>
    <row r="317" spans="1:26" ht="16.5" customHeight="1">
      <c r="A317" s="2521"/>
      <c r="B317" s="2526"/>
      <c r="C317" s="2521"/>
      <c r="D317" s="2521"/>
      <c r="E317" s="2521"/>
      <c r="F317" s="2521"/>
      <c r="G317" s="2521"/>
      <c r="H317" s="2521"/>
      <c r="I317" s="2521"/>
      <c r="J317" s="2521"/>
      <c r="K317" s="2521"/>
      <c r="L317" s="2521"/>
      <c r="M317" s="2521"/>
      <c r="N317" s="2521"/>
      <c r="O317" s="2521"/>
      <c r="P317" s="2521"/>
      <c r="Q317" s="2521"/>
      <c r="R317" s="2521"/>
      <c r="S317" s="2521"/>
      <c r="T317" s="2521"/>
      <c r="U317" s="2521"/>
      <c r="V317" s="2521"/>
      <c r="W317" s="2521"/>
      <c r="X317" s="2521"/>
      <c r="Y317" s="2521"/>
      <c r="Z317" s="2521"/>
    </row>
    <row r="318" spans="1:26" ht="16.5" customHeight="1">
      <c r="A318" s="2521"/>
      <c r="B318" s="2526"/>
      <c r="C318" s="2521"/>
      <c r="D318" s="2521"/>
      <c r="E318" s="2521"/>
      <c r="F318" s="2521"/>
      <c r="G318" s="2521"/>
      <c r="H318" s="2521"/>
      <c r="I318" s="2521"/>
      <c r="J318" s="2521"/>
      <c r="K318" s="2521"/>
      <c r="L318" s="2521"/>
      <c r="M318" s="2521"/>
      <c r="N318" s="2521"/>
      <c r="O318" s="2521"/>
      <c r="P318" s="2521"/>
      <c r="Q318" s="2521"/>
      <c r="R318" s="2521"/>
      <c r="S318" s="2521"/>
      <c r="T318" s="2521"/>
      <c r="U318" s="2521"/>
      <c r="V318" s="2521"/>
      <c r="W318" s="2521"/>
      <c r="X318" s="2521"/>
      <c r="Y318" s="2521"/>
      <c r="Z318" s="2521"/>
    </row>
    <row r="319" spans="1:26" ht="16.5" customHeight="1">
      <c r="A319" s="2521"/>
      <c r="B319" s="2526"/>
      <c r="C319" s="2521"/>
      <c r="D319" s="2521"/>
      <c r="E319" s="2521"/>
      <c r="F319" s="2521"/>
      <c r="G319" s="2521"/>
      <c r="H319" s="2521"/>
      <c r="I319" s="2521"/>
      <c r="J319" s="2521"/>
      <c r="K319" s="2521"/>
      <c r="L319" s="2521"/>
      <c r="M319" s="2521"/>
      <c r="N319" s="2521"/>
      <c r="O319" s="2521"/>
      <c r="P319" s="2521"/>
      <c r="Q319" s="2521"/>
      <c r="R319" s="2521"/>
      <c r="S319" s="2521"/>
      <c r="T319" s="2521"/>
      <c r="U319" s="2521"/>
      <c r="V319" s="2521"/>
      <c r="W319" s="2521"/>
      <c r="X319" s="2521"/>
      <c r="Y319" s="2521"/>
      <c r="Z319" s="2521"/>
    </row>
    <row r="320" spans="1:26" ht="16.5" customHeight="1">
      <c r="A320" s="2521"/>
      <c r="B320" s="2526"/>
      <c r="C320" s="2521"/>
      <c r="D320" s="2521"/>
      <c r="E320" s="2521"/>
      <c r="F320" s="2521"/>
      <c r="G320" s="2521"/>
      <c r="H320" s="2521"/>
      <c r="I320" s="2521"/>
      <c r="J320" s="2521"/>
      <c r="K320" s="2521"/>
      <c r="L320" s="2521"/>
      <c r="M320" s="2521"/>
      <c r="N320" s="2521"/>
      <c r="O320" s="2521"/>
      <c r="P320" s="2521"/>
      <c r="Q320" s="2521"/>
      <c r="R320" s="2521"/>
      <c r="S320" s="2521"/>
      <c r="T320" s="2521"/>
      <c r="U320" s="2521"/>
      <c r="V320" s="2521"/>
      <c r="W320" s="2521"/>
      <c r="X320" s="2521"/>
      <c r="Y320" s="2521"/>
      <c r="Z320" s="2521"/>
    </row>
    <row r="321" spans="1:26" ht="16.5" customHeight="1">
      <c r="A321" s="2521"/>
      <c r="B321" s="2526"/>
      <c r="C321" s="2521"/>
      <c r="D321" s="2521"/>
      <c r="E321" s="2521"/>
      <c r="F321" s="2521"/>
      <c r="G321" s="2521"/>
      <c r="H321" s="2521"/>
      <c r="I321" s="2521"/>
      <c r="J321" s="2521"/>
      <c r="K321" s="2521"/>
      <c r="L321" s="2521"/>
      <c r="M321" s="2521"/>
      <c r="N321" s="2521"/>
      <c r="O321" s="2521"/>
      <c r="P321" s="2521"/>
      <c r="Q321" s="2521"/>
      <c r="R321" s="2521"/>
      <c r="S321" s="2521"/>
      <c r="T321" s="2521"/>
      <c r="U321" s="2521"/>
      <c r="V321" s="2521"/>
      <c r="W321" s="2521"/>
      <c r="X321" s="2521"/>
      <c r="Y321" s="2521"/>
      <c r="Z321" s="2521"/>
    </row>
    <row r="322" spans="1:26" ht="16.5" customHeight="1">
      <c r="A322" s="2521"/>
      <c r="B322" s="2526"/>
      <c r="C322" s="2521"/>
      <c r="D322" s="2521"/>
      <c r="E322" s="2521"/>
      <c r="F322" s="2521"/>
      <c r="G322" s="2521"/>
      <c r="H322" s="2521"/>
      <c r="I322" s="2521"/>
      <c r="J322" s="2521"/>
      <c r="K322" s="2521"/>
      <c r="L322" s="2521"/>
      <c r="M322" s="2521"/>
      <c r="N322" s="2521"/>
      <c r="O322" s="2521"/>
      <c r="P322" s="2521"/>
      <c r="Q322" s="2521"/>
      <c r="R322" s="2521"/>
      <c r="S322" s="2521"/>
      <c r="T322" s="2521"/>
      <c r="U322" s="2521"/>
      <c r="V322" s="2521"/>
      <c r="W322" s="2521"/>
      <c r="X322" s="2521"/>
      <c r="Y322" s="2521"/>
      <c r="Z322" s="2521"/>
    </row>
    <row r="323" spans="1:26" ht="16.5" customHeight="1">
      <c r="A323" s="2521"/>
      <c r="B323" s="2526"/>
      <c r="C323" s="2521"/>
      <c r="D323" s="2521"/>
      <c r="E323" s="2521"/>
      <c r="F323" s="2521"/>
      <c r="G323" s="2521"/>
      <c r="H323" s="2521"/>
      <c r="I323" s="2521"/>
      <c r="J323" s="2521"/>
      <c r="K323" s="2521"/>
      <c r="L323" s="2521"/>
      <c r="M323" s="2521"/>
      <c r="N323" s="2521"/>
      <c r="O323" s="2521"/>
      <c r="P323" s="2521"/>
      <c r="Q323" s="2521"/>
      <c r="R323" s="2521"/>
      <c r="S323" s="2521"/>
      <c r="T323" s="2521"/>
      <c r="U323" s="2521"/>
      <c r="V323" s="2521"/>
      <c r="W323" s="2521"/>
      <c r="X323" s="2521"/>
      <c r="Y323" s="2521"/>
      <c r="Z323" s="2521"/>
    </row>
    <row r="324" spans="1:26" ht="16.5" customHeight="1">
      <c r="A324" s="2521"/>
      <c r="B324" s="2526"/>
      <c r="C324" s="2521"/>
      <c r="D324" s="2521"/>
      <c r="E324" s="2521"/>
      <c r="F324" s="2521"/>
      <c r="G324" s="2521"/>
      <c r="H324" s="2521"/>
      <c r="I324" s="2521"/>
      <c r="J324" s="2521"/>
      <c r="K324" s="2521"/>
      <c r="L324" s="2521"/>
      <c r="M324" s="2521"/>
      <c r="N324" s="2521"/>
      <c r="O324" s="2521"/>
      <c r="P324" s="2521"/>
      <c r="Q324" s="2521"/>
      <c r="R324" s="2521"/>
      <c r="S324" s="2521"/>
      <c r="T324" s="2521"/>
      <c r="U324" s="2521"/>
      <c r="V324" s="2521"/>
      <c r="W324" s="2521"/>
      <c r="X324" s="2521"/>
      <c r="Y324" s="2521"/>
      <c r="Z324" s="2521"/>
    </row>
    <row r="325" spans="1:26" ht="16.5" customHeight="1">
      <c r="A325" s="2521"/>
      <c r="B325" s="2526"/>
      <c r="C325" s="2521"/>
      <c r="D325" s="2521"/>
      <c r="E325" s="2521"/>
      <c r="F325" s="2521"/>
      <c r="G325" s="2521"/>
      <c r="H325" s="2521"/>
      <c r="I325" s="2521"/>
      <c r="J325" s="2521"/>
      <c r="K325" s="2521"/>
      <c r="L325" s="2521"/>
      <c r="M325" s="2521"/>
      <c r="N325" s="2521"/>
      <c r="O325" s="2521"/>
      <c r="P325" s="2521"/>
      <c r="Q325" s="2521"/>
      <c r="R325" s="2521"/>
      <c r="S325" s="2521"/>
      <c r="T325" s="2521"/>
      <c r="U325" s="2521"/>
      <c r="V325" s="2521"/>
      <c r="W325" s="2521"/>
      <c r="X325" s="2521"/>
      <c r="Y325" s="2521"/>
      <c r="Z325" s="2521"/>
    </row>
    <row r="326" spans="1:26" ht="16.5" customHeight="1">
      <c r="A326" s="2521"/>
      <c r="B326" s="2526"/>
      <c r="C326" s="2521"/>
      <c r="D326" s="2521"/>
      <c r="E326" s="2521"/>
      <c r="F326" s="2521"/>
      <c r="G326" s="2521"/>
      <c r="H326" s="2521"/>
      <c r="I326" s="2521"/>
      <c r="J326" s="2521"/>
      <c r="K326" s="2521"/>
      <c r="L326" s="2521"/>
      <c r="M326" s="2521"/>
      <c r="N326" s="2521"/>
      <c r="O326" s="2521"/>
      <c r="P326" s="2521"/>
      <c r="Q326" s="2521"/>
      <c r="R326" s="2521"/>
      <c r="S326" s="2521"/>
      <c r="T326" s="2521"/>
      <c r="U326" s="2521"/>
      <c r="V326" s="2521"/>
      <c r="W326" s="2521"/>
      <c r="X326" s="2521"/>
      <c r="Y326" s="2521"/>
      <c r="Z326" s="2521"/>
    </row>
    <row r="327" spans="1:26" ht="16.5" customHeight="1">
      <c r="A327" s="2521"/>
      <c r="B327" s="2526"/>
      <c r="C327" s="2521"/>
      <c r="D327" s="2521"/>
      <c r="E327" s="2521"/>
      <c r="F327" s="2521"/>
      <c r="G327" s="2521"/>
      <c r="H327" s="2521"/>
      <c r="I327" s="2521"/>
      <c r="J327" s="2521"/>
      <c r="K327" s="2521"/>
      <c r="L327" s="2521"/>
      <c r="M327" s="2521"/>
      <c r="N327" s="2521"/>
      <c r="O327" s="2521"/>
      <c r="P327" s="2521"/>
      <c r="Q327" s="2521"/>
      <c r="R327" s="2521"/>
      <c r="S327" s="2521"/>
      <c r="T327" s="2521"/>
      <c r="U327" s="2521"/>
      <c r="V327" s="2521"/>
      <c r="W327" s="2521"/>
      <c r="X327" s="2521"/>
      <c r="Y327" s="2521"/>
      <c r="Z327" s="2521"/>
    </row>
    <row r="328" spans="1:26" ht="16.5" customHeight="1">
      <c r="A328" s="2521"/>
      <c r="B328" s="2526"/>
      <c r="C328" s="2521"/>
      <c r="D328" s="2521"/>
      <c r="E328" s="2521"/>
      <c r="F328" s="2521"/>
      <c r="G328" s="2521"/>
      <c r="H328" s="2521"/>
      <c r="I328" s="2521"/>
      <c r="J328" s="2521"/>
      <c r="K328" s="2521"/>
      <c r="L328" s="2521"/>
      <c r="M328" s="2521"/>
      <c r="N328" s="2521"/>
      <c r="O328" s="2521"/>
      <c r="P328" s="2521"/>
      <c r="Q328" s="2521"/>
      <c r="R328" s="2521"/>
      <c r="S328" s="2521"/>
      <c r="T328" s="2521"/>
      <c r="U328" s="2521"/>
      <c r="V328" s="2521"/>
      <c r="W328" s="2521"/>
      <c r="X328" s="2521"/>
      <c r="Y328" s="2521"/>
      <c r="Z328" s="2521"/>
    </row>
    <row r="329" spans="1:26" ht="16.5" customHeight="1">
      <c r="A329" s="2521"/>
      <c r="B329" s="2526"/>
      <c r="C329" s="2521"/>
      <c r="D329" s="2521"/>
      <c r="E329" s="2521"/>
      <c r="F329" s="2521"/>
      <c r="G329" s="2521"/>
      <c r="H329" s="2521"/>
      <c r="I329" s="2521"/>
      <c r="J329" s="2521"/>
      <c r="K329" s="2521"/>
      <c r="L329" s="2521"/>
      <c r="M329" s="2521"/>
      <c r="N329" s="2521"/>
      <c r="O329" s="2521"/>
      <c r="P329" s="2521"/>
      <c r="Q329" s="2521"/>
      <c r="R329" s="2521"/>
      <c r="S329" s="2521"/>
      <c r="T329" s="2521"/>
      <c r="U329" s="2521"/>
      <c r="V329" s="2521"/>
      <c r="W329" s="2521"/>
      <c r="X329" s="2521"/>
      <c r="Y329" s="2521"/>
      <c r="Z329" s="2521"/>
    </row>
    <row r="330" spans="1:26" ht="16.5" customHeight="1">
      <c r="A330" s="2521"/>
      <c r="B330" s="2526"/>
      <c r="C330" s="2521"/>
      <c r="D330" s="2521"/>
      <c r="E330" s="2521"/>
      <c r="F330" s="2521"/>
      <c r="G330" s="2521"/>
      <c r="H330" s="2521"/>
      <c r="I330" s="2521"/>
      <c r="J330" s="2521"/>
      <c r="K330" s="2521"/>
      <c r="L330" s="2521"/>
      <c r="M330" s="2521"/>
      <c r="N330" s="2521"/>
      <c r="O330" s="2521"/>
      <c r="P330" s="2521"/>
      <c r="Q330" s="2521"/>
      <c r="R330" s="2521"/>
      <c r="S330" s="2521"/>
      <c r="T330" s="2521"/>
      <c r="U330" s="2521"/>
      <c r="V330" s="2521"/>
      <c r="W330" s="2521"/>
      <c r="X330" s="2521"/>
      <c r="Y330" s="2521"/>
      <c r="Z330" s="2521"/>
    </row>
    <row r="331" spans="1:26" ht="16.5" customHeight="1">
      <c r="A331" s="2521"/>
      <c r="B331" s="2526"/>
      <c r="C331" s="2521"/>
      <c r="D331" s="2521"/>
      <c r="E331" s="2521"/>
      <c r="F331" s="2521"/>
      <c r="G331" s="2521"/>
      <c r="H331" s="2521"/>
      <c r="I331" s="2521"/>
      <c r="J331" s="2521"/>
      <c r="K331" s="2521"/>
      <c r="L331" s="2521"/>
      <c r="M331" s="2521"/>
      <c r="N331" s="2521"/>
      <c r="O331" s="2521"/>
      <c r="P331" s="2521"/>
      <c r="Q331" s="2521"/>
      <c r="R331" s="2521"/>
      <c r="S331" s="2521"/>
      <c r="T331" s="2521"/>
      <c r="U331" s="2521"/>
      <c r="V331" s="2521"/>
      <c r="W331" s="2521"/>
      <c r="X331" s="2521"/>
      <c r="Y331" s="2521"/>
      <c r="Z331" s="2521"/>
    </row>
    <row r="332" spans="1:26" ht="16.5" customHeight="1">
      <c r="A332" s="2521"/>
      <c r="B332" s="2526"/>
      <c r="C332" s="2521"/>
      <c r="D332" s="2521"/>
      <c r="E332" s="2521"/>
      <c r="F332" s="2521"/>
      <c r="G332" s="2521"/>
      <c r="H332" s="2521"/>
      <c r="I332" s="2521"/>
      <c r="J332" s="2521"/>
      <c r="K332" s="2521"/>
      <c r="L332" s="2521"/>
      <c r="M332" s="2521"/>
      <c r="N332" s="2521"/>
      <c r="O332" s="2521"/>
      <c r="P332" s="2521"/>
      <c r="Q332" s="2521"/>
      <c r="R332" s="2521"/>
      <c r="S332" s="2521"/>
      <c r="T332" s="2521"/>
      <c r="U332" s="2521"/>
      <c r="V332" s="2521"/>
      <c r="W332" s="2521"/>
      <c r="X332" s="2521"/>
      <c r="Y332" s="2521"/>
      <c r="Z332" s="2521"/>
    </row>
    <row r="333" spans="1:26" ht="16.5" customHeight="1">
      <c r="A333" s="2521"/>
      <c r="B333" s="2526"/>
      <c r="C333" s="2521"/>
      <c r="D333" s="2521"/>
      <c r="E333" s="2521"/>
      <c r="F333" s="2521"/>
      <c r="G333" s="2521"/>
      <c r="H333" s="2521"/>
      <c r="I333" s="2521"/>
      <c r="J333" s="2521"/>
      <c r="K333" s="2521"/>
      <c r="L333" s="2521"/>
      <c r="M333" s="2521"/>
      <c r="N333" s="2521"/>
      <c r="O333" s="2521"/>
      <c r="P333" s="2521"/>
      <c r="Q333" s="2521"/>
      <c r="R333" s="2521"/>
      <c r="S333" s="2521"/>
      <c r="T333" s="2521"/>
      <c r="U333" s="2521"/>
      <c r="V333" s="2521"/>
      <c r="W333" s="2521"/>
      <c r="X333" s="2521"/>
      <c r="Y333" s="2521"/>
      <c r="Z333" s="2521"/>
    </row>
    <row r="334" spans="1:26" ht="16.5" customHeight="1">
      <c r="A334" s="2521"/>
      <c r="B334" s="2526"/>
      <c r="C334" s="2521"/>
      <c r="D334" s="2521"/>
      <c r="E334" s="2521"/>
      <c r="F334" s="2521"/>
      <c r="G334" s="2521"/>
      <c r="H334" s="2521"/>
      <c r="I334" s="2521"/>
      <c r="J334" s="2521"/>
      <c r="K334" s="2521"/>
      <c r="L334" s="2521"/>
      <c r="M334" s="2521"/>
      <c r="N334" s="2521"/>
      <c r="O334" s="2521"/>
      <c r="P334" s="2521"/>
      <c r="Q334" s="2521"/>
      <c r="R334" s="2521"/>
      <c r="S334" s="2521"/>
      <c r="T334" s="2521"/>
      <c r="U334" s="2521"/>
      <c r="V334" s="2521"/>
      <c r="W334" s="2521"/>
      <c r="X334" s="2521"/>
      <c r="Y334" s="2521"/>
      <c r="Z334" s="2521"/>
    </row>
    <row r="335" spans="1:26" ht="16.5" customHeight="1">
      <c r="A335" s="2521"/>
      <c r="B335" s="2526"/>
      <c r="C335" s="2521"/>
      <c r="D335" s="2521"/>
      <c r="E335" s="2521"/>
      <c r="F335" s="2521"/>
      <c r="G335" s="2521"/>
      <c r="H335" s="2521"/>
      <c r="I335" s="2521"/>
      <c r="J335" s="2521"/>
      <c r="K335" s="2521"/>
      <c r="L335" s="2521"/>
      <c r="M335" s="2521"/>
      <c r="N335" s="2521"/>
      <c r="O335" s="2521"/>
      <c r="P335" s="2521"/>
      <c r="Q335" s="2521"/>
      <c r="R335" s="2521"/>
      <c r="S335" s="2521"/>
      <c r="T335" s="2521"/>
      <c r="U335" s="2521"/>
      <c r="V335" s="2521"/>
      <c r="W335" s="2521"/>
      <c r="X335" s="2521"/>
      <c r="Y335" s="2521"/>
      <c r="Z335" s="2521"/>
    </row>
    <row r="336" spans="1:26" ht="16.5" customHeight="1">
      <c r="A336" s="2521"/>
      <c r="B336" s="2526"/>
      <c r="C336" s="2521"/>
      <c r="D336" s="2521"/>
      <c r="E336" s="2521"/>
      <c r="F336" s="2521"/>
      <c r="G336" s="2521"/>
      <c r="H336" s="2521"/>
      <c r="I336" s="2521"/>
      <c r="J336" s="2521"/>
      <c r="K336" s="2521"/>
      <c r="L336" s="2521"/>
      <c r="M336" s="2521"/>
      <c r="N336" s="2521"/>
      <c r="O336" s="2521"/>
      <c r="P336" s="2521"/>
      <c r="Q336" s="2521"/>
      <c r="R336" s="2521"/>
      <c r="S336" s="2521"/>
      <c r="T336" s="2521"/>
      <c r="U336" s="2521"/>
      <c r="V336" s="2521"/>
      <c r="W336" s="2521"/>
      <c r="X336" s="2521"/>
      <c r="Y336" s="2521"/>
      <c r="Z336" s="2521"/>
    </row>
    <row r="337" spans="1:26" ht="16.5" customHeight="1">
      <c r="A337" s="2521"/>
      <c r="B337" s="2526"/>
      <c r="C337" s="2521"/>
      <c r="D337" s="2521"/>
      <c r="E337" s="2521"/>
      <c r="F337" s="2521"/>
      <c r="G337" s="2521"/>
      <c r="H337" s="2521"/>
      <c r="I337" s="2521"/>
      <c r="J337" s="2521"/>
      <c r="K337" s="2521"/>
      <c r="L337" s="2521"/>
      <c r="M337" s="2521"/>
      <c r="N337" s="2521"/>
      <c r="O337" s="2521"/>
      <c r="P337" s="2521"/>
      <c r="Q337" s="2521"/>
      <c r="R337" s="2521"/>
      <c r="S337" s="2521"/>
      <c r="T337" s="2521"/>
      <c r="U337" s="2521"/>
      <c r="V337" s="2521"/>
      <c r="W337" s="2521"/>
      <c r="X337" s="2521"/>
      <c r="Y337" s="2521"/>
      <c r="Z337" s="2521"/>
    </row>
    <row r="338" spans="1:26" ht="16.5" customHeight="1">
      <c r="A338" s="2521"/>
      <c r="B338" s="2526"/>
      <c r="C338" s="2521"/>
      <c r="D338" s="2521"/>
      <c r="E338" s="2521"/>
      <c r="F338" s="2521"/>
      <c r="G338" s="2521"/>
      <c r="H338" s="2521"/>
      <c r="I338" s="2521"/>
      <c r="J338" s="2521"/>
      <c r="K338" s="2521"/>
      <c r="L338" s="2521"/>
      <c r="M338" s="2521"/>
      <c r="N338" s="2521"/>
      <c r="O338" s="2521"/>
      <c r="P338" s="2521"/>
      <c r="Q338" s="2521"/>
      <c r="R338" s="2521"/>
      <c r="S338" s="2521"/>
      <c r="T338" s="2521"/>
      <c r="U338" s="2521"/>
      <c r="V338" s="2521"/>
      <c r="W338" s="2521"/>
      <c r="X338" s="2521"/>
      <c r="Y338" s="2521"/>
      <c r="Z338" s="2521"/>
    </row>
    <row r="339" spans="1:26" ht="16.5" customHeight="1">
      <c r="A339" s="2521"/>
      <c r="B339" s="2526"/>
      <c r="C339" s="2521"/>
      <c r="D339" s="2521"/>
      <c r="E339" s="2521"/>
      <c r="F339" s="2521"/>
      <c r="G339" s="2521"/>
      <c r="H339" s="2521"/>
      <c r="I339" s="2521"/>
      <c r="J339" s="2521"/>
      <c r="K339" s="2521"/>
      <c r="L339" s="2521"/>
      <c r="M339" s="2521"/>
      <c r="N339" s="2521"/>
      <c r="O339" s="2521"/>
      <c r="P339" s="2521"/>
      <c r="Q339" s="2521"/>
      <c r="R339" s="2521"/>
      <c r="S339" s="2521"/>
      <c r="T339" s="2521"/>
      <c r="U339" s="2521"/>
      <c r="V339" s="2521"/>
      <c r="W339" s="2521"/>
      <c r="X339" s="2521"/>
      <c r="Y339" s="2521"/>
      <c r="Z339" s="2521"/>
    </row>
    <row r="340" spans="1:26" ht="16.5" customHeight="1">
      <c r="A340" s="2521"/>
      <c r="B340" s="2526"/>
      <c r="C340" s="2521"/>
      <c r="D340" s="2521"/>
      <c r="E340" s="2521"/>
      <c r="F340" s="2521"/>
      <c r="G340" s="2521"/>
      <c r="H340" s="2521"/>
      <c r="I340" s="2521"/>
      <c r="J340" s="2521"/>
      <c r="K340" s="2521"/>
      <c r="L340" s="2521"/>
      <c r="M340" s="2521"/>
      <c r="N340" s="2521"/>
      <c r="O340" s="2521"/>
      <c r="P340" s="2521"/>
      <c r="Q340" s="2521"/>
      <c r="R340" s="2521"/>
      <c r="S340" s="2521"/>
      <c r="T340" s="2521"/>
      <c r="U340" s="2521"/>
      <c r="V340" s="2521"/>
      <c r="W340" s="2521"/>
      <c r="X340" s="2521"/>
      <c r="Y340" s="2521"/>
      <c r="Z340" s="2521"/>
    </row>
    <row r="341" spans="1:26" ht="16.5" customHeight="1">
      <c r="A341" s="2521"/>
      <c r="B341" s="2526"/>
      <c r="C341" s="2521"/>
      <c r="D341" s="2521"/>
      <c r="E341" s="2521"/>
      <c r="F341" s="2521"/>
      <c r="G341" s="2521"/>
      <c r="H341" s="2521"/>
      <c r="I341" s="2521"/>
      <c r="J341" s="2521"/>
      <c r="K341" s="2521"/>
      <c r="L341" s="2521"/>
      <c r="M341" s="2521"/>
      <c r="N341" s="2521"/>
      <c r="O341" s="2521"/>
      <c r="P341" s="2521"/>
      <c r="Q341" s="2521"/>
      <c r="R341" s="2521"/>
      <c r="S341" s="2521"/>
      <c r="T341" s="2521"/>
      <c r="U341" s="2521"/>
      <c r="V341" s="2521"/>
      <c r="W341" s="2521"/>
      <c r="X341" s="2521"/>
      <c r="Y341" s="2521"/>
      <c r="Z341" s="2521"/>
    </row>
    <row r="342" spans="1:26" ht="16.5" customHeight="1">
      <c r="A342" s="2521"/>
      <c r="B342" s="2526"/>
      <c r="C342" s="2521"/>
      <c r="D342" s="2521"/>
      <c r="E342" s="2521"/>
      <c r="F342" s="2521"/>
      <c r="G342" s="2521"/>
      <c r="H342" s="2521"/>
      <c r="I342" s="2521"/>
      <c r="J342" s="2521"/>
      <c r="K342" s="2521"/>
      <c r="L342" s="2521"/>
      <c r="M342" s="2521"/>
      <c r="N342" s="2521"/>
      <c r="O342" s="2521"/>
      <c r="P342" s="2521"/>
      <c r="Q342" s="2521"/>
      <c r="R342" s="2521"/>
      <c r="S342" s="2521"/>
      <c r="T342" s="2521"/>
      <c r="U342" s="2521"/>
      <c r="V342" s="2521"/>
      <c r="W342" s="2521"/>
      <c r="X342" s="2521"/>
      <c r="Y342" s="2521"/>
      <c r="Z342" s="2521"/>
    </row>
    <row r="343" spans="1:26" ht="16.5" customHeight="1">
      <c r="A343" s="2521"/>
      <c r="B343" s="2526"/>
      <c r="C343" s="2521"/>
      <c r="D343" s="2521"/>
      <c r="E343" s="2521"/>
      <c r="F343" s="2521"/>
      <c r="G343" s="2521"/>
      <c r="H343" s="2521"/>
      <c r="I343" s="2521"/>
      <c r="J343" s="2521"/>
      <c r="K343" s="2521"/>
      <c r="L343" s="2521"/>
      <c r="M343" s="2521"/>
      <c r="N343" s="2521"/>
      <c r="O343" s="2521"/>
      <c r="P343" s="2521"/>
      <c r="Q343" s="2521"/>
      <c r="R343" s="2521"/>
      <c r="S343" s="2521"/>
      <c r="T343" s="2521"/>
      <c r="U343" s="2521"/>
      <c r="V343" s="2521"/>
      <c r="W343" s="2521"/>
      <c r="X343" s="2521"/>
      <c r="Y343" s="2521"/>
      <c r="Z343" s="2521"/>
    </row>
    <row r="344" spans="1:26" ht="16.5" customHeight="1">
      <c r="A344" s="2521"/>
      <c r="B344" s="2526"/>
      <c r="C344" s="2521"/>
      <c r="D344" s="2521"/>
      <c r="E344" s="2521"/>
      <c r="F344" s="2521"/>
      <c r="G344" s="2521"/>
      <c r="H344" s="2521"/>
      <c r="I344" s="2521"/>
      <c r="J344" s="2521"/>
      <c r="K344" s="2521"/>
      <c r="L344" s="2521"/>
      <c r="M344" s="2521"/>
      <c r="N344" s="2521"/>
      <c r="O344" s="2521"/>
      <c r="P344" s="2521"/>
      <c r="Q344" s="2521"/>
      <c r="R344" s="2521"/>
      <c r="S344" s="2521"/>
      <c r="T344" s="2521"/>
      <c r="U344" s="2521"/>
      <c r="V344" s="2521"/>
      <c r="W344" s="2521"/>
      <c r="X344" s="2521"/>
      <c r="Y344" s="2521"/>
      <c r="Z344" s="2521"/>
    </row>
    <row r="345" spans="1:26" ht="16.5" customHeight="1">
      <c r="A345" s="2521"/>
      <c r="B345" s="2526"/>
      <c r="C345" s="2521"/>
      <c r="D345" s="2521"/>
      <c r="E345" s="2521"/>
      <c r="F345" s="2521"/>
      <c r="G345" s="2521"/>
      <c r="H345" s="2521"/>
      <c r="I345" s="2521"/>
      <c r="J345" s="2521"/>
      <c r="K345" s="2521"/>
      <c r="L345" s="2521"/>
      <c r="M345" s="2521"/>
      <c r="N345" s="2521"/>
      <c r="O345" s="2521"/>
      <c r="P345" s="2521"/>
      <c r="Q345" s="2521"/>
      <c r="R345" s="2521"/>
      <c r="S345" s="2521"/>
      <c r="T345" s="2521"/>
      <c r="U345" s="2521"/>
      <c r="V345" s="2521"/>
      <c r="W345" s="2521"/>
      <c r="X345" s="2521"/>
      <c r="Y345" s="2521"/>
      <c r="Z345" s="2521"/>
    </row>
    <row r="346" spans="1:26" ht="16.5" customHeight="1">
      <c r="A346" s="2521"/>
      <c r="B346" s="2526"/>
      <c r="C346" s="2521"/>
      <c r="D346" s="2521"/>
      <c r="E346" s="2521"/>
      <c r="F346" s="2521"/>
      <c r="G346" s="2521"/>
      <c r="H346" s="2521"/>
      <c r="I346" s="2521"/>
      <c r="J346" s="2521"/>
      <c r="K346" s="2521"/>
      <c r="L346" s="2521"/>
      <c r="M346" s="2521"/>
      <c r="N346" s="2521"/>
      <c r="O346" s="2521"/>
      <c r="P346" s="2521"/>
      <c r="Q346" s="2521"/>
      <c r="R346" s="2521"/>
      <c r="S346" s="2521"/>
      <c r="T346" s="2521"/>
      <c r="U346" s="2521"/>
      <c r="V346" s="2521"/>
      <c r="W346" s="2521"/>
      <c r="X346" s="2521"/>
      <c r="Y346" s="2521"/>
      <c r="Z346" s="2521"/>
    </row>
    <row r="347" spans="1:26" ht="16.5" customHeight="1">
      <c r="A347" s="2521"/>
      <c r="B347" s="2526"/>
      <c r="C347" s="2521"/>
      <c r="D347" s="2521"/>
      <c r="E347" s="2521"/>
      <c r="F347" s="2521"/>
      <c r="G347" s="2521"/>
      <c r="H347" s="2521"/>
      <c r="I347" s="2521"/>
      <c r="J347" s="2521"/>
      <c r="K347" s="2521"/>
      <c r="L347" s="2521"/>
      <c r="M347" s="2521"/>
      <c r="N347" s="2521"/>
      <c r="O347" s="2521"/>
      <c r="P347" s="2521"/>
      <c r="Q347" s="2521"/>
      <c r="R347" s="2521"/>
      <c r="S347" s="2521"/>
      <c r="T347" s="2521"/>
      <c r="U347" s="2521"/>
      <c r="V347" s="2521"/>
      <c r="W347" s="2521"/>
      <c r="X347" s="2521"/>
      <c r="Y347" s="2521"/>
      <c r="Z347" s="2521"/>
    </row>
    <row r="348" spans="1:26" ht="16.5" customHeight="1">
      <c r="A348" s="2521"/>
      <c r="B348" s="2526"/>
      <c r="C348" s="2521"/>
      <c r="D348" s="2521"/>
      <c r="E348" s="2521"/>
      <c r="F348" s="2521"/>
      <c r="G348" s="2521"/>
      <c r="H348" s="2521"/>
      <c r="I348" s="2521"/>
      <c r="J348" s="2521"/>
      <c r="K348" s="2521"/>
      <c r="L348" s="2521"/>
      <c r="M348" s="2521"/>
      <c r="N348" s="2521"/>
      <c r="O348" s="2521"/>
      <c r="P348" s="2521"/>
      <c r="Q348" s="2521"/>
      <c r="R348" s="2521"/>
      <c r="S348" s="2521"/>
      <c r="T348" s="2521"/>
      <c r="U348" s="2521"/>
      <c r="V348" s="2521"/>
      <c r="W348" s="2521"/>
      <c r="X348" s="2521"/>
      <c r="Y348" s="2521"/>
      <c r="Z348" s="2521"/>
    </row>
    <row r="349" spans="1:26" ht="16.5" customHeight="1">
      <c r="A349" s="2521"/>
      <c r="B349" s="2526"/>
      <c r="C349" s="2521"/>
      <c r="D349" s="2521"/>
      <c r="E349" s="2521"/>
      <c r="F349" s="2521"/>
      <c r="G349" s="2521"/>
      <c r="H349" s="2521"/>
      <c r="I349" s="2521"/>
      <c r="J349" s="2521"/>
      <c r="K349" s="2521"/>
      <c r="L349" s="2521"/>
      <c r="M349" s="2521"/>
      <c r="N349" s="2521"/>
      <c r="O349" s="2521"/>
      <c r="P349" s="2521"/>
      <c r="Q349" s="2521"/>
      <c r="R349" s="2521"/>
      <c r="S349" s="2521"/>
      <c r="T349" s="2521"/>
      <c r="U349" s="2521"/>
      <c r="V349" s="2521"/>
      <c r="W349" s="2521"/>
      <c r="X349" s="2521"/>
      <c r="Y349" s="2521"/>
      <c r="Z349" s="2521"/>
    </row>
    <row r="350" spans="1:26" ht="16.5" customHeight="1">
      <c r="A350" s="2521"/>
      <c r="B350" s="2526"/>
      <c r="C350" s="2521"/>
      <c r="D350" s="2521"/>
      <c r="E350" s="2521"/>
      <c r="F350" s="2521"/>
      <c r="G350" s="2521"/>
      <c r="H350" s="2521"/>
      <c r="I350" s="2521"/>
      <c r="J350" s="2521"/>
      <c r="K350" s="2521"/>
      <c r="L350" s="2521"/>
      <c r="M350" s="2521"/>
      <c r="N350" s="2521"/>
      <c r="O350" s="2521"/>
      <c r="P350" s="2521"/>
      <c r="Q350" s="2521"/>
      <c r="R350" s="2521"/>
      <c r="S350" s="2521"/>
      <c r="T350" s="2521"/>
      <c r="U350" s="2521"/>
      <c r="V350" s="2521"/>
      <c r="W350" s="2521"/>
      <c r="X350" s="2521"/>
      <c r="Y350" s="2521"/>
      <c r="Z350" s="2521"/>
    </row>
    <row r="351" spans="1:26" ht="16.5" customHeight="1">
      <c r="A351" s="2521"/>
      <c r="B351" s="2526"/>
      <c r="C351" s="2521"/>
      <c r="D351" s="2521"/>
      <c r="E351" s="2521"/>
      <c r="F351" s="2521"/>
      <c r="G351" s="2521"/>
      <c r="H351" s="2521"/>
      <c r="I351" s="2521"/>
      <c r="J351" s="2521"/>
      <c r="K351" s="2521"/>
      <c r="L351" s="2521"/>
      <c r="M351" s="2521"/>
      <c r="N351" s="2521"/>
      <c r="O351" s="2521"/>
      <c r="P351" s="2521"/>
      <c r="Q351" s="2521"/>
      <c r="R351" s="2521"/>
      <c r="S351" s="2521"/>
      <c r="T351" s="2521"/>
      <c r="U351" s="2521"/>
      <c r="V351" s="2521"/>
      <c r="W351" s="2521"/>
      <c r="X351" s="2521"/>
      <c r="Y351" s="2521"/>
      <c r="Z351" s="2521"/>
    </row>
    <row r="352" spans="1:26" ht="16.5" customHeight="1">
      <c r="A352" s="2521"/>
      <c r="B352" s="2526"/>
      <c r="C352" s="2521"/>
      <c r="D352" s="2521"/>
      <c r="E352" s="2521"/>
      <c r="F352" s="2521"/>
      <c r="G352" s="2521"/>
      <c r="H352" s="2521"/>
      <c r="I352" s="2521"/>
      <c r="J352" s="2521"/>
      <c r="K352" s="2521"/>
      <c r="L352" s="2521"/>
      <c r="M352" s="2521"/>
      <c r="N352" s="2521"/>
      <c r="O352" s="2521"/>
      <c r="P352" s="2521"/>
      <c r="Q352" s="2521"/>
      <c r="R352" s="2521"/>
      <c r="S352" s="2521"/>
      <c r="T352" s="2521"/>
      <c r="U352" s="2521"/>
      <c r="V352" s="2521"/>
      <c r="W352" s="2521"/>
      <c r="X352" s="2521"/>
      <c r="Y352" s="2521"/>
      <c r="Z352" s="2521"/>
    </row>
    <row r="353" spans="1:26" ht="16.5" customHeight="1">
      <c r="A353" s="2521"/>
      <c r="B353" s="2526"/>
      <c r="C353" s="2521"/>
      <c r="D353" s="2521"/>
      <c r="E353" s="2521"/>
      <c r="F353" s="2521"/>
      <c r="G353" s="2521"/>
      <c r="H353" s="2521"/>
      <c r="I353" s="2521"/>
      <c r="J353" s="2521"/>
      <c r="K353" s="2521"/>
      <c r="L353" s="2521"/>
      <c r="M353" s="2521"/>
      <c r="N353" s="2521"/>
      <c r="O353" s="2521"/>
      <c r="P353" s="2521"/>
      <c r="Q353" s="2521"/>
      <c r="R353" s="2521"/>
      <c r="S353" s="2521"/>
      <c r="T353" s="2521"/>
      <c r="U353" s="2521"/>
      <c r="V353" s="2521"/>
      <c r="W353" s="2521"/>
      <c r="X353" s="2521"/>
      <c r="Y353" s="2521"/>
      <c r="Z353" s="2521"/>
    </row>
    <row r="354" spans="1:26" ht="16.5" customHeight="1">
      <c r="A354" s="2521"/>
      <c r="B354" s="2526"/>
      <c r="C354" s="2521"/>
      <c r="D354" s="2521"/>
      <c r="E354" s="2521"/>
      <c r="F354" s="2521"/>
      <c r="G354" s="2521"/>
      <c r="H354" s="2521"/>
      <c r="I354" s="2521"/>
      <c r="J354" s="2521"/>
      <c r="K354" s="2521"/>
      <c r="L354" s="2521"/>
      <c r="M354" s="2521"/>
      <c r="N354" s="2521"/>
      <c r="O354" s="2521"/>
      <c r="P354" s="2521"/>
      <c r="Q354" s="2521"/>
      <c r="R354" s="2521"/>
      <c r="S354" s="2521"/>
      <c r="T354" s="2521"/>
      <c r="U354" s="2521"/>
      <c r="V354" s="2521"/>
      <c r="W354" s="2521"/>
      <c r="X354" s="2521"/>
      <c r="Y354" s="2521"/>
      <c r="Z354" s="2521"/>
    </row>
    <row r="355" spans="1:26" ht="16.5" customHeight="1">
      <c r="A355" s="2521"/>
      <c r="B355" s="2526"/>
      <c r="C355" s="2521"/>
      <c r="D355" s="2521"/>
      <c r="E355" s="2521"/>
      <c r="F355" s="2521"/>
      <c r="G355" s="2521"/>
      <c r="H355" s="2521"/>
      <c r="I355" s="2521"/>
      <c r="J355" s="2521"/>
      <c r="K355" s="2521"/>
      <c r="L355" s="2521"/>
      <c r="M355" s="2521"/>
      <c r="N355" s="2521"/>
      <c r="O355" s="2521"/>
      <c r="P355" s="2521"/>
      <c r="Q355" s="2521"/>
      <c r="R355" s="2521"/>
      <c r="S355" s="2521"/>
      <c r="T355" s="2521"/>
      <c r="U355" s="2521"/>
      <c r="V355" s="2521"/>
      <c r="W355" s="2521"/>
      <c r="X355" s="2521"/>
      <c r="Y355" s="2521"/>
      <c r="Z355" s="2521"/>
    </row>
    <row r="356" spans="1:26" ht="16.5" customHeight="1">
      <c r="A356" s="2521"/>
      <c r="B356" s="2526"/>
      <c r="C356" s="2521"/>
      <c r="D356" s="2521"/>
      <c r="E356" s="2521"/>
      <c r="F356" s="2521"/>
      <c r="G356" s="2521"/>
      <c r="H356" s="2521"/>
      <c r="I356" s="2521"/>
      <c r="J356" s="2521"/>
      <c r="K356" s="2521"/>
      <c r="L356" s="2521"/>
      <c r="M356" s="2521"/>
      <c r="N356" s="2521"/>
      <c r="O356" s="2521"/>
      <c r="P356" s="2521"/>
      <c r="Q356" s="2521"/>
      <c r="R356" s="2521"/>
      <c r="S356" s="2521"/>
      <c r="T356" s="2521"/>
      <c r="U356" s="2521"/>
      <c r="V356" s="2521"/>
      <c r="W356" s="2521"/>
      <c r="X356" s="2521"/>
      <c r="Y356" s="2521"/>
      <c r="Z356" s="2521"/>
    </row>
    <row r="357" spans="1:26" ht="16.5" customHeight="1">
      <c r="A357" s="2521"/>
      <c r="B357" s="2526"/>
      <c r="C357" s="2521"/>
      <c r="D357" s="2521"/>
      <c r="E357" s="2521"/>
      <c r="F357" s="2521"/>
      <c r="G357" s="2521"/>
      <c r="H357" s="2521"/>
      <c r="I357" s="2521"/>
      <c r="J357" s="2521"/>
      <c r="K357" s="2521"/>
      <c r="L357" s="2521"/>
      <c r="M357" s="2521"/>
      <c r="N357" s="2521"/>
      <c r="O357" s="2521"/>
      <c r="P357" s="2521"/>
      <c r="Q357" s="2521"/>
      <c r="R357" s="2521"/>
      <c r="S357" s="2521"/>
      <c r="T357" s="2521"/>
      <c r="U357" s="2521"/>
      <c r="V357" s="2521"/>
      <c r="W357" s="2521"/>
      <c r="X357" s="2521"/>
      <c r="Y357" s="2521"/>
      <c r="Z357" s="2521"/>
    </row>
    <row r="358" spans="1:26" ht="16.5" customHeight="1">
      <c r="A358" s="2521"/>
      <c r="B358" s="2526"/>
      <c r="C358" s="2521"/>
      <c r="D358" s="2521"/>
      <c r="E358" s="2521"/>
      <c r="F358" s="2521"/>
      <c r="G358" s="2521"/>
      <c r="H358" s="2521"/>
      <c r="I358" s="2521"/>
      <c r="J358" s="2521"/>
      <c r="K358" s="2521"/>
      <c r="L358" s="2521"/>
      <c r="M358" s="2521"/>
      <c r="N358" s="2521"/>
      <c r="O358" s="2521"/>
      <c r="P358" s="2521"/>
      <c r="Q358" s="2521"/>
      <c r="R358" s="2521"/>
      <c r="S358" s="2521"/>
      <c r="T358" s="2521"/>
      <c r="U358" s="2521"/>
      <c r="V358" s="2521"/>
      <c r="W358" s="2521"/>
      <c r="X358" s="2521"/>
      <c r="Y358" s="2521"/>
      <c r="Z358" s="2521"/>
    </row>
    <row r="359" spans="1:26" ht="16.5" customHeight="1">
      <c r="A359" s="2521"/>
      <c r="B359" s="2526"/>
      <c r="C359" s="2521"/>
      <c r="D359" s="2521"/>
      <c r="E359" s="2521"/>
      <c r="F359" s="2521"/>
      <c r="G359" s="2521"/>
      <c r="H359" s="2521"/>
      <c r="I359" s="2521"/>
      <c r="J359" s="2521"/>
      <c r="K359" s="2521"/>
      <c r="L359" s="2521"/>
      <c r="M359" s="2521"/>
      <c r="N359" s="2521"/>
      <c r="O359" s="2521"/>
      <c r="P359" s="2521"/>
      <c r="Q359" s="2521"/>
      <c r="R359" s="2521"/>
      <c r="S359" s="2521"/>
      <c r="T359" s="2521"/>
      <c r="U359" s="2521"/>
      <c r="V359" s="2521"/>
      <c r="W359" s="2521"/>
      <c r="X359" s="2521"/>
      <c r="Y359" s="2521"/>
      <c r="Z359" s="2521"/>
    </row>
    <row r="360" spans="1:26" ht="16.5" customHeight="1">
      <c r="A360" s="2521"/>
      <c r="B360" s="2526"/>
      <c r="C360" s="2521"/>
      <c r="D360" s="2521"/>
      <c r="E360" s="2521"/>
      <c r="F360" s="2521"/>
      <c r="G360" s="2521"/>
      <c r="H360" s="2521"/>
      <c r="I360" s="2521"/>
      <c r="J360" s="2521"/>
      <c r="K360" s="2521"/>
      <c r="L360" s="2521"/>
      <c r="M360" s="2521"/>
      <c r="N360" s="2521"/>
      <c r="O360" s="2521"/>
      <c r="P360" s="2521"/>
      <c r="Q360" s="2521"/>
      <c r="R360" s="2521"/>
      <c r="S360" s="2521"/>
      <c r="T360" s="2521"/>
      <c r="U360" s="2521"/>
      <c r="V360" s="2521"/>
      <c r="W360" s="2521"/>
      <c r="X360" s="2521"/>
      <c r="Y360" s="2521"/>
      <c r="Z360" s="2521"/>
    </row>
    <row r="361" spans="1:26" ht="16.5" customHeight="1">
      <c r="A361" s="2521"/>
      <c r="B361" s="2526"/>
      <c r="C361" s="2521"/>
      <c r="D361" s="2521"/>
      <c r="E361" s="2521"/>
      <c r="F361" s="2521"/>
      <c r="G361" s="2521"/>
      <c r="H361" s="2521"/>
      <c r="I361" s="2521"/>
      <c r="J361" s="2521"/>
      <c r="K361" s="2521"/>
      <c r="L361" s="2521"/>
      <c r="M361" s="2521"/>
      <c r="N361" s="2521"/>
      <c r="O361" s="2521"/>
      <c r="P361" s="2521"/>
      <c r="Q361" s="2521"/>
      <c r="R361" s="2521"/>
      <c r="S361" s="2521"/>
      <c r="T361" s="2521"/>
      <c r="U361" s="2521"/>
      <c r="V361" s="2521"/>
      <c r="W361" s="2521"/>
      <c r="X361" s="2521"/>
      <c r="Y361" s="2521"/>
      <c r="Z361" s="2521"/>
    </row>
    <row r="362" spans="1:26" ht="16.5" customHeight="1">
      <c r="A362" s="2521"/>
      <c r="B362" s="2526"/>
      <c r="C362" s="2521"/>
      <c r="D362" s="2521"/>
      <c r="E362" s="2521"/>
      <c r="F362" s="2521"/>
      <c r="G362" s="2521"/>
      <c r="H362" s="2521"/>
      <c r="I362" s="2521"/>
      <c r="J362" s="2521"/>
      <c r="K362" s="2521"/>
      <c r="L362" s="2521"/>
      <c r="M362" s="2521"/>
      <c r="N362" s="2521"/>
      <c r="O362" s="2521"/>
      <c r="P362" s="2521"/>
      <c r="Q362" s="2521"/>
      <c r="R362" s="2521"/>
      <c r="S362" s="2521"/>
      <c r="T362" s="2521"/>
      <c r="U362" s="2521"/>
      <c r="V362" s="2521"/>
      <c r="W362" s="2521"/>
      <c r="X362" s="2521"/>
      <c r="Y362" s="2521"/>
      <c r="Z362" s="2521"/>
    </row>
    <row r="363" spans="1:26" ht="16.5" customHeight="1">
      <c r="A363" s="2521"/>
      <c r="B363" s="2526"/>
      <c r="C363" s="2521"/>
      <c r="D363" s="2521"/>
      <c r="E363" s="2521"/>
      <c r="F363" s="2521"/>
      <c r="G363" s="2521"/>
      <c r="H363" s="2521"/>
      <c r="I363" s="2521"/>
      <c r="J363" s="2521"/>
      <c r="K363" s="2521"/>
      <c r="L363" s="2521"/>
      <c r="M363" s="2521"/>
      <c r="N363" s="2521"/>
      <c r="O363" s="2521"/>
      <c r="P363" s="2521"/>
      <c r="Q363" s="2521"/>
      <c r="R363" s="2521"/>
      <c r="S363" s="2521"/>
      <c r="T363" s="2521"/>
      <c r="U363" s="2521"/>
      <c r="V363" s="2521"/>
      <c r="W363" s="2521"/>
      <c r="X363" s="2521"/>
      <c r="Y363" s="2521"/>
      <c r="Z363" s="2521"/>
    </row>
    <row r="364" spans="1:26" ht="16.5" customHeight="1">
      <c r="A364" s="2521"/>
      <c r="B364" s="2526"/>
      <c r="C364" s="2521"/>
      <c r="D364" s="2521"/>
      <c r="E364" s="2521"/>
      <c r="F364" s="2521"/>
      <c r="G364" s="2521"/>
      <c r="H364" s="2521"/>
      <c r="I364" s="2521"/>
      <c r="J364" s="2521"/>
      <c r="K364" s="2521"/>
      <c r="L364" s="2521"/>
      <c r="M364" s="2521"/>
      <c r="N364" s="2521"/>
      <c r="O364" s="2521"/>
      <c r="P364" s="2521"/>
      <c r="Q364" s="2521"/>
      <c r="R364" s="2521"/>
      <c r="S364" s="2521"/>
      <c r="T364" s="2521"/>
      <c r="U364" s="2521"/>
      <c r="V364" s="2521"/>
      <c r="W364" s="2521"/>
      <c r="X364" s="2521"/>
      <c r="Y364" s="2521"/>
      <c r="Z364" s="2521"/>
    </row>
    <row r="365" spans="1:26" ht="16.5" customHeight="1">
      <c r="A365" s="2521"/>
      <c r="B365" s="2526"/>
      <c r="C365" s="2521"/>
      <c r="D365" s="2521"/>
      <c r="E365" s="2521"/>
      <c r="F365" s="2521"/>
      <c r="G365" s="2521"/>
      <c r="H365" s="2521"/>
      <c r="I365" s="2521"/>
      <c r="J365" s="2521"/>
      <c r="K365" s="2521"/>
      <c r="L365" s="2521"/>
      <c r="M365" s="2521"/>
      <c r="N365" s="2521"/>
      <c r="O365" s="2521"/>
      <c r="P365" s="2521"/>
      <c r="Q365" s="2521"/>
      <c r="R365" s="2521"/>
      <c r="S365" s="2521"/>
      <c r="T365" s="2521"/>
      <c r="U365" s="2521"/>
      <c r="V365" s="2521"/>
      <c r="W365" s="2521"/>
      <c r="X365" s="2521"/>
      <c r="Y365" s="2521"/>
      <c r="Z365" s="2521"/>
    </row>
    <row r="366" spans="1:26" ht="16.5" customHeight="1">
      <c r="A366" s="2521"/>
      <c r="B366" s="2526"/>
      <c r="C366" s="2521"/>
      <c r="D366" s="2521"/>
      <c r="E366" s="2521"/>
      <c r="F366" s="2521"/>
      <c r="G366" s="2521"/>
      <c r="H366" s="2521"/>
      <c r="I366" s="2521"/>
      <c r="J366" s="2521"/>
      <c r="K366" s="2521"/>
      <c r="L366" s="2521"/>
      <c r="M366" s="2521"/>
      <c r="N366" s="2521"/>
      <c r="O366" s="2521"/>
      <c r="P366" s="2521"/>
      <c r="Q366" s="2521"/>
      <c r="R366" s="2521"/>
      <c r="S366" s="2521"/>
      <c r="T366" s="2521"/>
      <c r="U366" s="2521"/>
      <c r="V366" s="2521"/>
      <c r="W366" s="2521"/>
      <c r="X366" s="2521"/>
      <c r="Y366" s="2521"/>
      <c r="Z366" s="2521"/>
    </row>
    <row r="367" spans="1:26" ht="16.5" customHeight="1">
      <c r="A367" s="2521"/>
      <c r="B367" s="2526"/>
      <c r="C367" s="2521"/>
      <c r="D367" s="2521"/>
      <c r="E367" s="2521"/>
      <c r="F367" s="2521"/>
      <c r="G367" s="2521"/>
      <c r="H367" s="2521"/>
      <c r="I367" s="2521"/>
      <c r="J367" s="2521"/>
      <c r="K367" s="2521"/>
      <c r="L367" s="2521"/>
      <c r="M367" s="2521"/>
      <c r="N367" s="2521"/>
      <c r="O367" s="2521"/>
      <c r="P367" s="2521"/>
      <c r="Q367" s="2521"/>
      <c r="R367" s="2521"/>
      <c r="S367" s="2521"/>
      <c r="T367" s="2521"/>
      <c r="U367" s="2521"/>
      <c r="V367" s="2521"/>
      <c r="W367" s="2521"/>
      <c r="X367" s="2521"/>
      <c r="Y367" s="2521"/>
      <c r="Z367" s="2521"/>
    </row>
    <row r="368" spans="1:26" ht="16.5" customHeight="1">
      <c r="A368" s="2521"/>
      <c r="B368" s="2526"/>
      <c r="C368" s="2521"/>
      <c r="D368" s="2521"/>
      <c r="E368" s="2521"/>
      <c r="F368" s="2521"/>
      <c r="G368" s="2521"/>
      <c r="H368" s="2521"/>
      <c r="I368" s="2521"/>
      <c r="J368" s="2521"/>
      <c r="K368" s="2521"/>
      <c r="L368" s="2521"/>
      <c r="M368" s="2521"/>
      <c r="N368" s="2521"/>
      <c r="O368" s="2521"/>
      <c r="P368" s="2521"/>
      <c r="Q368" s="2521"/>
      <c r="R368" s="2521"/>
      <c r="S368" s="2521"/>
      <c r="T368" s="2521"/>
      <c r="U368" s="2521"/>
      <c r="V368" s="2521"/>
      <c r="W368" s="2521"/>
      <c r="X368" s="2521"/>
      <c r="Y368" s="2521"/>
      <c r="Z368" s="2521"/>
    </row>
    <row r="369" spans="1:26" ht="16.5" customHeight="1">
      <c r="A369" s="2521"/>
      <c r="B369" s="2526"/>
      <c r="C369" s="2521"/>
      <c r="D369" s="2521"/>
      <c r="E369" s="2521"/>
      <c r="F369" s="2521"/>
      <c r="G369" s="2521"/>
      <c r="H369" s="2521"/>
      <c r="I369" s="2521"/>
      <c r="J369" s="2521"/>
      <c r="K369" s="2521"/>
      <c r="L369" s="2521"/>
      <c r="M369" s="2521"/>
      <c r="N369" s="2521"/>
      <c r="O369" s="2521"/>
      <c r="P369" s="2521"/>
      <c r="Q369" s="2521"/>
      <c r="R369" s="2521"/>
      <c r="S369" s="2521"/>
      <c r="T369" s="2521"/>
      <c r="U369" s="2521"/>
      <c r="V369" s="2521"/>
      <c r="W369" s="2521"/>
      <c r="X369" s="2521"/>
      <c r="Y369" s="2521"/>
      <c r="Z369" s="2521"/>
    </row>
    <row r="370" spans="1:26" ht="16.5" customHeight="1">
      <c r="A370" s="2521"/>
      <c r="B370" s="2526"/>
      <c r="C370" s="2521"/>
      <c r="D370" s="2521"/>
      <c r="E370" s="2521"/>
      <c r="F370" s="2521"/>
      <c r="G370" s="2521"/>
      <c r="H370" s="2521"/>
      <c r="I370" s="2521"/>
      <c r="J370" s="2521"/>
      <c r="K370" s="2521"/>
      <c r="L370" s="2521"/>
      <c r="M370" s="2521"/>
      <c r="N370" s="2521"/>
      <c r="O370" s="2521"/>
      <c r="P370" s="2521"/>
      <c r="Q370" s="2521"/>
      <c r="R370" s="2521"/>
      <c r="S370" s="2521"/>
      <c r="T370" s="2521"/>
      <c r="U370" s="2521"/>
      <c r="V370" s="2521"/>
      <c r="W370" s="2521"/>
      <c r="X370" s="2521"/>
      <c r="Y370" s="2521"/>
      <c r="Z370" s="2521"/>
    </row>
    <row r="371" spans="1:26" ht="16.5" customHeight="1">
      <c r="A371" s="2521"/>
      <c r="B371" s="2526"/>
      <c r="C371" s="2521"/>
      <c r="D371" s="2521"/>
      <c r="E371" s="2521"/>
      <c r="F371" s="2521"/>
      <c r="G371" s="2521"/>
      <c r="H371" s="2521"/>
      <c r="I371" s="2521"/>
      <c r="J371" s="2521"/>
      <c r="K371" s="2521"/>
      <c r="L371" s="2521"/>
      <c r="M371" s="2521"/>
      <c r="N371" s="2521"/>
      <c r="O371" s="2521"/>
      <c r="P371" s="2521"/>
      <c r="Q371" s="2521"/>
      <c r="R371" s="2521"/>
      <c r="S371" s="2521"/>
      <c r="T371" s="2521"/>
      <c r="U371" s="2521"/>
      <c r="V371" s="2521"/>
      <c r="W371" s="2521"/>
      <c r="X371" s="2521"/>
      <c r="Y371" s="2521"/>
      <c r="Z371" s="2521"/>
    </row>
    <row r="372" spans="1:26" ht="16.5" customHeight="1">
      <c r="A372" s="2521"/>
      <c r="B372" s="2526"/>
      <c r="C372" s="2521"/>
      <c r="D372" s="2521"/>
      <c r="E372" s="2521"/>
      <c r="F372" s="2521"/>
      <c r="G372" s="2521"/>
      <c r="H372" s="2521"/>
      <c r="I372" s="2521"/>
      <c r="J372" s="2521"/>
      <c r="K372" s="2521"/>
      <c r="L372" s="2521"/>
      <c r="M372" s="2521"/>
      <c r="N372" s="2521"/>
      <c r="O372" s="2521"/>
      <c r="P372" s="2521"/>
      <c r="Q372" s="2521"/>
      <c r="R372" s="2521"/>
      <c r="S372" s="2521"/>
      <c r="T372" s="2521"/>
      <c r="U372" s="2521"/>
      <c r="V372" s="2521"/>
      <c r="W372" s="2521"/>
      <c r="X372" s="2521"/>
      <c r="Y372" s="2521"/>
      <c r="Z372" s="2521"/>
    </row>
    <row r="373" spans="1:26" ht="16.5" customHeight="1">
      <c r="A373" s="2521"/>
      <c r="B373" s="2526"/>
      <c r="C373" s="2521"/>
      <c r="D373" s="2521"/>
      <c r="E373" s="2521"/>
      <c r="F373" s="2521"/>
      <c r="G373" s="2521"/>
      <c r="H373" s="2521"/>
      <c r="I373" s="2521"/>
      <c r="J373" s="2521"/>
      <c r="K373" s="2521"/>
      <c r="L373" s="2521"/>
      <c r="M373" s="2521"/>
      <c r="N373" s="2521"/>
      <c r="O373" s="2521"/>
      <c r="P373" s="2521"/>
      <c r="Q373" s="2521"/>
      <c r="R373" s="2521"/>
      <c r="S373" s="2521"/>
      <c r="T373" s="2521"/>
      <c r="U373" s="2521"/>
      <c r="V373" s="2521"/>
      <c r="W373" s="2521"/>
      <c r="X373" s="2521"/>
      <c r="Y373" s="2521"/>
      <c r="Z373" s="2521"/>
    </row>
    <row r="374" spans="1:26" ht="16.5" customHeight="1">
      <c r="A374" s="2521"/>
      <c r="B374" s="2526"/>
      <c r="C374" s="2521"/>
      <c r="D374" s="2521"/>
      <c r="E374" s="2521"/>
      <c r="F374" s="2521"/>
      <c r="G374" s="2521"/>
      <c r="H374" s="2521"/>
      <c r="I374" s="2521"/>
      <c r="J374" s="2521"/>
      <c r="K374" s="2521"/>
      <c r="L374" s="2521"/>
      <c r="M374" s="2521"/>
      <c r="N374" s="2521"/>
      <c r="O374" s="2521"/>
      <c r="P374" s="2521"/>
      <c r="Q374" s="2521"/>
      <c r="R374" s="2521"/>
      <c r="S374" s="2521"/>
      <c r="T374" s="2521"/>
      <c r="U374" s="2521"/>
      <c r="V374" s="2521"/>
      <c r="W374" s="2521"/>
      <c r="X374" s="2521"/>
      <c r="Y374" s="2521"/>
      <c r="Z374" s="2521"/>
    </row>
    <row r="375" spans="1:26" ht="16.5" customHeight="1">
      <c r="A375" s="2521"/>
      <c r="B375" s="2526"/>
      <c r="C375" s="2521"/>
      <c r="D375" s="2521"/>
      <c r="E375" s="2521"/>
      <c r="F375" s="2521"/>
      <c r="G375" s="2521"/>
      <c r="H375" s="2521"/>
      <c r="I375" s="2521"/>
      <c r="J375" s="2521"/>
      <c r="K375" s="2521"/>
      <c r="L375" s="2521"/>
      <c r="M375" s="2521"/>
      <c r="N375" s="2521"/>
      <c r="O375" s="2521"/>
      <c r="P375" s="2521"/>
      <c r="Q375" s="2521"/>
      <c r="R375" s="2521"/>
      <c r="S375" s="2521"/>
      <c r="T375" s="2521"/>
      <c r="U375" s="2521"/>
      <c r="V375" s="2521"/>
      <c r="W375" s="2521"/>
      <c r="X375" s="2521"/>
      <c r="Y375" s="2521"/>
      <c r="Z375" s="2521"/>
    </row>
    <row r="376" spans="1:26" ht="16.5" customHeight="1">
      <c r="A376" s="2521"/>
      <c r="B376" s="2526"/>
      <c r="C376" s="2521"/>
      <c r="D376" s="2521"/>
      <c r="E376" s="2521"/>
      <c r="F376" s="2521"/>
      <c r="G376" s="2521"/>
      <c r="H376" s="2521"/>
      <c r="I376" s="2521"/>
      <c r="J376" s="2521"/>
      <c r="K376" s="2521"/>
      <c r="L376" s="2521"/>
      <c r="M376" s="2521"/>
      <c r="N376" s="2521"/>
      <c r="O376" s="2521"/>
      <c r="P376" s="2521"/>
      <c r="Q376" s="2521"/>
      <c r="R376" s="2521"/>
      <c r="S376" s="2521"/>
      <c r="T376" s="2521"/>
      <c r="U376" s="2521"/>
      <c r="V376" s="2521"/>
      <c r="W376" s="2521"/>
      <c r="X376" s="2521"/>
      <c r="Y376" s="2521"/>
      <c r="Z376" s="2521"/>
    </row>
    <row r="377" spans="1:26" ht="16.5" customHeight="1">
      <c r="A377" s="2521"/>
      <c r="B377" s="2526"/>
      <c r="C377" s="2521"/>
      <c r="D377" s="2521"/>
      <c r="E377" s="2521"/>
      <c r="F377" s="2521"/>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row>
    <row r="378" spans="1:26" ht="16.5" customHeight="1">
      <c r="A378" s="2521"/>
      <c r="B378" s="2526"/>
      <c r="C378" s="2521"/>
      <c r="D378" s="2521"/>
      <c r="E378" s="2521"/>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row>
    <row r="379" spans="1:26" ht="16.5" customHeight="1">
      <c r="A379" s="2521"/>
      <c r="B379" s="2526"/>
      <c r="C379" s="2521"/>
      <c r="D379" s="2521"/>
      <c r="E379" s="2521"/>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row>
    <row r="380" spans="1:26" ht="16.5" customHeight="1">
      <c r="A380" s="2521"/>
      <c r="B380" s="2526"/>
      <c r="C380" s="2521"/>
      <c r="D380" s="2521"/>
      <c r="E380" s="2521"/>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row>
    <row r="381" spans="1:26" ht="16.5" customHeight="1">
      <c r="A381" s="2521"/>
      <c r="B381" s="2526"/>
      <c r="C381" s="2521"/>
      <c r="D381" s="2521"/>
      <c r="E381" s="2521"/>
      <c r="F381" s="2521"/>
      <c r="G381" s="2521"/>
      <c r="H381" s="2521"/>
      <c r="I381" s="2521"/>
      <c r="J381" s="2521"/>
      <c r="K381" s="2521"/>
      <c r="L381" s="2521"/>
      <c r="M381" s="2521"/>
      <c r="N381" s="2521"/>
      <c r="O381" s="2521"/>
      <c r="P381" s="2521"/>
      <c r="Q381" s="2521"/>
      <c r="R381" s="2521"/>
      <c r="S381" s="2521"/>
      <c r="T381" s="2521"/>
      <c r="U381" s="2521"/>
      <c r="V381" s="2521"/>
      <c r="W381" s="2521"/>
      <c r="X381" s="2521"/>
      <c r="Y381" s="2521"/>
      <c r="Z381" s="2521"/>
    </row>
    <row r="382" spans="1:26" ht="16.5" customHeight="1">
      <c r="A382" s="2521"/>
      <c r="B382" s="2526"/>
      <c r="C382" s="2521"/>
      <c r="D382" s="2521"/>
      <c r="E382" s="2521"/>
      <c r="F382" s="2521"/>
      <c r="G382" s="2521"/>
      <c r="H382" s="2521"/>
      <c r="I382" s="2521"/>
      <c r="J382" s="2521"/>
      <c r="K382" s="2521"/>
      <c r="L382" s="2521"/>
      <c r="M382" s="2521"/>
      <c r="N382" s="2521"/>
      <c r="O382" s="2521"/>
      <c r="P382" s="2521"/>
      <c r="Q382" s="2521"/>
      <c r="R382" s="2521"/>
      <c r="S382" s="2521"/>
      <c r="T382" s="2521"/>
      <c r="U382" s="2521"/>
      <c r="V382" s="2521"/>
      <c r="W382" s="2521"/>
      <c r="X382" s="2521"/>
      <c r="Y382" s="2521"/>
      <c r="Z382" s="2521"/>
    </row>
    <row r="383" spans="1:26" ht="16.5" customHeight="1">
      <c r="A383" s="2521"/>
      <c r="B383" s="2526"/>
      <c r="C383" s="2521"/>
      <c r="D383" s="2521"/>
      <c r="E383" s="2521"/>
      <c r="F383" s="2521"/>
      <c r="G383" s="2521"/>
      <c r="H383" s="2521"/>
      <c r="I383" s="2521"/>
      <c r="J383" s="2521"/>
      <c r="K383" s="2521"/>
      <c r="L383" s="2521"/>
      <c r="M383" s="2521"/>
      <c r="N383" s="2521"/>
      <c r="O383" s="2521"/>
      <c r="P383" s="2521"/>
      <c r="Q383" s="2521"/>
      <c r="R383" s="2521"/>
      <c r="S383" s="2521"/>
      <c r="T383" s="2521"/>
      <c r="U383" s="2521"/>
      <c r="V383" s="2521"/>
      <c r="W383" s="2521"/>
      <c r="X383" s="2521"/>
      <c r="Y383" s="2521"/>
      <c r="Z383" s="2521"/>
    </row>
    <row r="384" spans="1:26" ht="16.5" customHeight="1">
      <c r="A384" s="2521"/>
      <c r="B384" s="2526"/>
      <c r="C384" s="2521"/>
      <c r="D384" s="2521"/>
      <c r="E384" s="2521"/>
      <c r="F384" s="2521"/>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row>
    <row r="385" spans="1:26" ht="16.5" customHeight="1">
      <c r="A385" s="2521"/>
      <c r="B385" s="2526"/>
      <c r="C385" s="2521"/>
      <c r="D385" s="2521"/>
      <c r="E385" s="252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row>
    <row r="386" spans="1:26" ht="16.5" customHeight="1">
      <c r="A386" s="2521"/>
      <c r="B386" s="2526"/>
      <c r="C386" s="2521"/>
      <c r="D386" s="2521"/>
      <c r="E386" s="252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row>
    <row r="387" spans="1:26" ht="16.5" customHeight="1">
      <c r="A387" s="2521"/>
      <c r="B387" s="2526"/>
      <c r="C387" s="2521"/>
      <c r="D387" s="2521"/>
      <c r="E387" s="252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row>
    <row r="388" spans="1:26" ht="16.5" customHeight="1">
      <c r="A388" s="2521"/>
      <c r="B388" s="2526"/>
      <c r="C388" s="2521"/>
      <c r="D388" s="2521"/>
      <c r="E388" s="252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row>
    <row r="389" spans="1:26" ht="16.5" customHeight="1">
      <c r="A389" s="2521"/>
      <c r="B389" s="2526"/>
      <c r="C389" s="2521"/>
      <c r="D389" s="2521"/>
      <c r="E389" s="2521"/>
      <c r="F389" s="2521"/>
      <c r="G389" s="2521"/>
      <c r="H389" s="2521"/>
      <c r="I389" s="2521"/>
      <c r="J389" s="2521"/>
      <c r="K389" s="2521"/>
      <c r="L389" s="2521"/>
      <c r="M389" s="2521"/>
      <c r="N389" s="2521"/>
      <c r="O389" s="2521"/>
      <c r="P389" s="2521"/>
      <c r="Q389" s="2521"/>
      <c r="R389" s="2521"/>
      <c r="S389" s="2521"/>
      <c r="T389" s="2521"/>
      <c r="U389" s="2521"/>
      <c r="V389" s="2521"/>
      <c r="W389" s="2521"/>
      <c r="X389" s="2521"/>
      <c r="Y389" s="2521"/>
      <c r="Z389" s="2521"/>
    </row>
    <row r="390" spans="1:26" ht="16.5" customHeight="1">
      <c r="A390" s="2521"/>
      <c r="B390" s="2526"/>
      <c r="C390" s="2521"/>
      <c r="D390" s="2521"/>
      <c r="E390" s="2521"/>
      <c r="F390" s="2521"/>
      <c r="G390" s="2521"/>
      <c r="H390" s="2521"/>
      <c r="I390" s="2521"/>
      <c r="J390" s="2521"/>
      <c r="K390" s="2521"/>
      <c r="L390" s="2521"/>
      <c r="M390" s="2521"/>
      <c r="N390" s="2521"/>
      <c r="O390" s="2521"/>
      <c r="P390" s="2521"/>
      <c r="Q390" s="2521"/>
      <c r="R390" s="2521"/>
      <c r="S390" s="2521"/>
      <c r="T390" s="2521"/>
      <c r="U390" s="2521"/>
      <c r="V390" s="2521"/>
      <c r="W390" s="2521"/>
      <c r="X390" s="2521"/>
      <c r="Y390" s="2521"/>
      <c r="Z390" s="2521"/>
    </row>
    <row r="391" spans="1:26" ht="16.5" customHeight="1">
      <c r="A391" s="2521"/>
      <c r="B391" s="2526"/>
      <c r="C391" s="2521"/>
      <c r="D391" s="2521"/>
      <c r="E391" s="2521"/>
      <c r="F391" s="2521"/>
      <c r="G391" s="2521"/>
      <c r="H391" s="2521"/>
      <c r="I391" s="2521"/>
      <c r="J391" s="2521"/>
      <c r="K391" s="2521"/>
      <c r="L391" s="2521"/>
      <c r="M391" s="2521"/>
      <c r="N391" s="2521"/>
      <c r="O391" s="2521"/>
      <c r="P391" s="2521"/>
      <c r="Q391" s="2521"/>
      <c r="R391" s="2521"/>
      <c r="S391" s="2521"/>
      <c r="T391" s="2521"/>
      <c r="U391" s="2521"/>
      <c r="V391" s="2521"/>
      <c r="W391" s="2521"/>
      <c r="X391" s="2521"/>
      <c r="Y391" s="2521"/>
      <c r="Z391" s="2521"/>
    </row>
    <row r="392" spans="1:26" ht="16.5" customHeight="1">
      <c r="A392" s="2521"/>
      <c r="B392" s="2526"/>
      <c r="C392" s="2521"/>
      <c r="D392" s="2521"/>
      <c r="E392" s="2521"/>
      <c r="F392" s="2521"/>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row>
    <row r="393" spans="1:26" ht="16.5" customHeight="1">
      <c r="A393" s="2521"/>
      <c r="B393" s="2526"/>
      <c r="C393" s="2521"/>
      <c r="D393" s="2521"/>
      <c r="E393" s="252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row>
    <row r="394" spans="1:26" ht="16.5" customHeight="1">
      <c r="A394" s="2521"/>
      <c r="B394" s="2526"/>
      <c r="C394" s="2521"/>
      <c r="D394" s="2521"/>
      <c r="E394" s="252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row>
    <row r="395" spans="1:26" ht="16.5" customHeight="1">
      <c r="A395" s="2521"/>
      <c r="B395" s="2526"/>
      <c r="C395" s="2521"/>
      <c r="D395" s="2521"/>
      <c r="E395" s="252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row>
    <row r="396" spans="1:26" ht="16.5" customHeight="1">
      <c r="A396" s="2521"/>
      <c r="B396" s="2526"/>
      <c r="C396" s="2521"/>
      <c r="D396" s="2521"/>
      <c r="E396" s="252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row>
    <row r="397" spans="1:26" ht="16.5" customHeight="1">
      <c r="A397" s="2521"/>
      <c r="B397" s="2526"/>
      <c r="C397" s="2521"/>
      <c r="D397" s="2521"/>
      <c r="E397" s="2521"/>
      <c r="F397" s="2521"/>
      <c r="G397" s="2521"/>
      <c r="H397" s="2521"/>
      <c r="I397" s="2521"/>
      <c r="J397" s="2521"/>
      <c r="K397" s="2521"/>
      <c r="L397" s="2521"/>
      <c r="M397" s="2521"/>
      <c r="N397" s="2521"/>
      <c r="O397" s="2521"/>
      <c r="P397" s="2521"/>
      <c r="Q397" s="2521"/>
      <c r="R397" s="2521"/>
      <c r="S397" s="2521"/>
      <c r="T397" s="2521"/>
      <c r="U397" s="2521"/>
      <c r="V397" s="2521"/>
      <c r="W397" s="2521"/>
      <c r="X397" s="2521"/>
      <c r="Y397" s="2521"/>
      <c r="Z397" s="2521"/>
    </row>
    <row r="398" spans="1:26" ht="16.5" customHeight="1">
      <c r="A398" s="2521"/>
      <c r="B398" s="2526"/>
      <c r="C398" s="2521"/>
      <c r="D398" s="2521"/>
      <c r="E398" s="2521"/>
      <c r="F398" s="2521"/>
      <c r="G398" s="2521"/>
      <c r="H398" s="2521"/>
      <c r="I398" s="2521"/>
      <c r="J398" s="2521"/>
      <c r="K398" s="2521"/>
      <c r="L398" s="2521"/>
      <c r="M398" s="2521"/>
      <c r="N398" s="2521"/>
      <c r="O398" s="2521"/>
      <c r="P398" s="2521"/>
      <c r="Q398" s="2521"/>
      <c r="R398" s="2521"/>
      <c r="S398" s="2521"/>
      <c r="T398" s="2521"/>
      <c r="U398" s="2521"/>
      <c r="V398" s="2521"/>
      <c r="W398" s="2521"/>
      <c r="X398" s="2521"/>
      <c r="Y398" s="2521"/>
      <c r="Z398" s="2521"/>
    </row>
    <row r="399" spans="1:26" ht="16.5" customHeight="1">
      <c r="A399" s="2521"/>
      <c r="B399" s="2526"/>
      <c r="C399" s="2521"/>
      <c r="D399" s="2521"/>
      <c r="E399" s="2521"/>
      <c r="F399" s="2521"/>
      <c r="G399" s="2521"/>
      <c r="H399" s="2521"/>
      <c r="I399" s="2521"/>
      <c r="J399" s="2521"/>
      <c r="K399" s="2521"/>
      <c r="L399" s="2521"/>
      <c r="M399" s="2521"/>
      <c r="N399" s="2521"/>
      <c r="O399" s="2521"/>
      <c r="P399" s="2521"/>
      <c r="Q399" s="2521"/>
      <c r="R399" s="2521"/>
      <c r="S399" s="2521"/>
      <c r="T399" s="2521"/>
      <c r="U399" s="2521"/>
      <c r="V399" s="2521"/>
      <c r="W399" s="2521"/>
      <c r="X399" s="2521"/>
      <c r="Y399" s="2521"/>
      <c r="Z399" s="2521"/>
    </row>
    <row r="400" spans="1:26" ht="16.5" customHeight="1">
      <c r="A400" s="2521"/>
      <c r="B400" s="2526"/>
      <c r="C400" s="2521"/>
      <c r="D400" s="2521"/>
      <c r="E400" s="2521"/>
      <c r="F400" s="2521"/>
      <c r="G400" s="2521"/>
      <c r="H400" s="2521"/>
      <c r="I400" s="2521"/>
      <c r="J400" s="2521"/>
      <c r="K400" s="2521"/>
      <c r="L400" s="2521"/>
      <c r="M400" s="2521"/>
      <c r="N400" s="2521"/>
      <c r="O400" s="2521"/>
      <c r="P400" s="2521"/>
      <c r="Q400" s="2521"/>
      <c r="R400" s="2521"/>
      <c r="S400" s="2521"/>
      <c r="T400" s="2521"/>
      <c r="U400" s="2521"/>
      <c r="V400" s="2521"/>
      <c r="W400" s="2521"/>
      <c r="X400" s="2521"/>
      <c r="Y400" s="2521"/>
      <c r="Z400" s="2521"/>
    </row>
    <row r="401" spans="1:26" ht="16.5" customHeight="1">
      <c r="A401" s="2521"/>
      <c r="B401" s="2526"/>
      <c r="C401" s="2521"/>
      <c r="D401" s="2521"/>
      <c r="E401" s="2521"/>
      <c r="F401" s="2521"/>
      <c r="G401" s="2521"/>
      <c r="H401" s="2521"/>
      <c r="I401" s="2521"/>
      <c r="J401" s="2521"/>
      <c r="K401" s="2521"/>
      <c r="L401" s="2521"/>
      <c r="M401" s="2521"/>
      <c r="N401" s="2521"/>
      <c r="O401" s="2521"/>
      <c r="P401" s="2521"/>
      <c r="Q401" s="2521"/>
      <c r="R401" s="2521"/>
      <c r="S401" s="2521"/>
      <c r="T401" s="2521"/>
      <c r="U401" s="2521"/>
      <c r="V401" s="2521"/>
      <c r="W401" s="2521"/>
      <c r="X401" s="2521"/>
      <c r="Y401" s="2521"/>
      <c r="Z401" s="2521"/>
    </row>
    <row r="402" spans="1:26" ht="16.5" customHeight="1">
      <c r="A402" s="2521"/>
      <c r="B402" s="2526"/>
      <c r="C402" s="2521"/>
      <c r="D402" s="2521"/>
      <c r="E402" s="2521"/>
      <c r="F402" s="2521"/>
      <c r="G402" s="2521"/>
      <c r="H402" s="2521"/>
      <c r="I402" s="2521"/>
      <c r="J402" s="2521"/>
      <c r="K402" s="2521"/>
      <c r="L402" s="2521"/>
      <c r="M402" s="2521"/>
      <c r="N402" s="2521"/>
      <c r="O402" s="2521"/>
      <c r="P402" s="2521"/>
      <c r="Q402" s="2521"/>
      <c r="R402" s="2521"/>
      <c r="S402" s="2521"/>
      <c r="T402" s="2521"/>
      <c r="U402" s="2521"/>
      <c r="V402" s="2521"/>
      <c r="W402" s="2521"/>
      <c r="X402" s="2521"/>
      <c r="Y402" s="2521"/>
      <c r="Z402" s="2521"/>
    </row>
    <row r="403" spans="1:26" ht="16.5" customHeight="1">
      <c r="A403" s="2521"/>
      <c r="B403" s="2526"/>
      <c r="C403" s="2521"/>
      <c r="D403" s="2521"/>
      <c r="E403" s="2521"/>
      <c r="F403" s="2521"/>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row>
    <row r="404" spans="1:26" ht="16.5" customHeight="1">
      <c r="A404" s="2521"/>
      <c r="B404" s="2526"/>
      <c r="C404" s="2521"/>
      <c r="D404" s="2521"/>
      <c r="E404" s="252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row>
    <row r="405" spans="1:26" ht="16.5" customHeight="1">
      <c r="A405" s="2521"/>
      <c r="B405" s="2526"/>
      <c r="C405" s="2521"/>
      <c r="D405" s="2521"/>
      <c r="E405" s="252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row>
    <row r="406" spans="1:26" ht="16.5" customHeight="1">
      <c r="A406" s="2521"/>
      <c r="B406" s="2526"/>
      <c r="C406" s="2521"/>
      <c r="D406" s="2521"/>
      <c r="E406" s="252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row>
    <row r="407" spans="1:26" ht="16.5" customHeight="1">
      <c r="A407" s="2521"/>
      <c r="B407" s="2526"/>
      <c r="C407" s="2521"/>
      <c r="D407" s="2521"/>
      <c r="E407" s="2521"/>
      <c r="F407" s="2521"/>
      <c r="G407" s="2521"/>
      <c r="H407" s="2521"/>
      <c r="I407" s="2521"/>
      <c r="J407" s="2521"/>
      <c r="K407" s="2521"/>
      <c r="L407" s="2521"/>
      <c r="M407" s="2521"/>
      <c r="N407" s="2521"/>
      <c r="O407" s="2521"/>
      <c r="P407" s="2521"/>
      <c r="Q407" s="2521"/>
      <c r="R407" s="2521"/>
      <c r="S407" s="2521"/>
      <c r="T407" s="2521"/>
      <c r="U407" s="2521"/>
      <c r="V407" s="2521"/>
      <c r="W407" s="2521"/>
      <c r="X407" s="2521"/>
      <c r="Y407" s="2521"/>
      <c r="Z407" s="2521"/>
    </row>
    <row r="408" spans="1:26" ht="16.5" customHeight="1">
      <c r="A408" s="2521"/>
      <c r="B408" s="2526"/>
      <c r="C408" s="2521"/>
      <c r="D408" s="2521"/>
      <c r="E408" s="2521"/>
      <c r="F408" s="2521"/>
      <c r="G408" s="2521"/>
      <c r="H408" s="2521"/>
      <c r="I408" s="2521"/>
      <c r="J408" s="2521"/>
      <c r="K408" s="2521"/>
      <c r="L408" s="2521"/>
      <c r="M408" s="2521"/>
      <c r="N408" s="2521"/>
      <c r="O408" s="2521"/>
      <c r="P408" s="2521"/>
      <c r="Q408" s="2521"/>
      <c r="R408" s="2521"/>
      <c r="S408" s="2521"/>
      <c r="T408" s="2521"/>
      <c r="U408" s="2521"/>
      <c r="V408" s="2521"/>
      <c r="W408" s="2521"/>
      <c r="X408" s="2521"/>
      <c r="Y408" s="2521"/>
      <c r="Z408" s="2521"/>
    </row>
    <row r="409" spans="1:26" ht="16.5" customHeight="1">
      <c r="A409" s="2521"/>
      <c r="B409" s="2526"/>
      <c r="C409" s="2521"/>
      <c r="D409" s="2521"/>
      <c r="E409" s="2521"/>
      <c r="F409" s="2521"/>
      <c r="G409" s="2521"/>
      <c r="H409" s="2521"/>
      <c r="I409" s="2521"/>
      <c r="J409" s="2521"/>
      <c r="K409" s="2521"/>
      <c r="L409" s="2521"/>
      <c r="M409" s="2521"/>
      <c r="N409" s="2521"/>
      <c r="O409" s="2521"/>
      <c r="P409" s="2521"/>
      <c r="Q409" s="2521"/>
      <c r="R409" s="2521"/>
      <c r="S409" s="2521"/>
      <c r="T409" s="2521"/>
      <c r="U409" s="2521"/>
      <c r="V409" s="2521"/>
      <c r="W409" s="2521"/>
      <c r="X409" s="2521"/>
      <c r="Y409" s="2521"/>
      <c r="Z409" s="2521"/>
    </row>
    <row r="410" spans="1:26" ht="16.5" customHeight="1">
      <c r="A410" s="2521"/>
      <c r="B410" s="2526"/>
      <c r="C410" s="2521"/>
      <c r="D410" s="2521"/>
      <c r="E410" s="2521"/>
      <c r="F410" s="2521"/>
      <c r="G410" s="2521"/>
      <c r="H410" s="2521"/>
      <c r="I410" s="2521"/>
      <c r="J410" s="2521"/>
      <c r="K410" s="2521"/>
      <c r="L410" s="2521"/>
      <c r="M410" s="2521"/>
      <c r="N410" s="2521"/>
      <c r="O410" s="2521"/>
      <c r="P410" s="2521"/>
      <c r="Q410" s="2521"/>
      <c r="R410" s="2521"/>
      <c r="S410" s="2521"/>
      <c r="T410" s="2521"/>
      <c r="U410" s="2521"/>
      <c r="V410" s="2521"/>
      <c r="W410" s="2521"/>
      <c r="X410" s="2521"/>
      <c r="Y410" s="2521"/>
      <c r="Z410" s="2521"/>
    </row>
    <row r="411" spans="1:26" ht="16.5" customHeight="1">
      <c r="A411" s="2521"/>
      <c r="B411" s="2526"/>
      <c r="C411" s="2521"/>
      <c r="D411" s="2521"/>
      <c r="E411" s="2521"/>
      <c r="F411" s="2521"/>
      <c r="G411" s="2521"/>
      <c r="H411" s="2521"/>
      <c r="I411" s="2521"/>
      <c r="J411" s="2521"/>
      <c r="K411" s="2521"/>
      <c r="L411" s="2521"/>
      <c r="M411" s="2521"/>
      <c r="N411" s="2521"/>
      <c r="O411" s="2521"/>
      <c r="P411" s="2521"/>
      <c r="Q411" s="2521"/>
      <c r="R411" s="2521"/>
      <c r="S411" s="2521"/>
      <c r="T411" s="2521"/>
      <c r="U411" s="2521"/>
      <c r="V411" s="2521"/>
      <c r="W411" s="2521"/>
      <c r="X411" s="2521"/>
      <c r="Y411" s="2521"/>
      <c r="Z411" s="2521"/>
    </row>
    <row r="412" spans="1:26" ht="16.5" customHeight="1">
      <c r="A412" s="2521"/>
      <c r="B412" s="2526"/>
      <c r="C412" s="2521"/>
      <c r="D412" s="2521"/>
      <c r="E412" s="2521"/>
      <c r="F412" s="2521"/>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row>
    <row r="413" spans="1:26" ht="16.5" customHeight="1">
      <c r="A413" s="2521"/>
      <c r="B413" s="2526"/>
      <c r="C413" s="2521"/>
      <c r="D413" s="2521"/>
      <c r="E413" s="2521"/>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row>
    <row r="414" spans="1:26" ht="16.5" customHeight="1">
      <c r="A414" s="2521"/>
      <c r="B414" s="2526"/>
      <c r="C414" s="2521"/>
      <c r="D414" s="2521"/>
      <c r="E414" s="252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row>
    <row r="415" spans="1:26" ht="16.5" customHeight="1">
      <c r="A415" s="2521"/>
      <c r="B415" s="2526"/>
      <c r="C415" s="2521"/>
      <c r="D415" s="2521"/>
      <c r="E415" s="2521"/>
      <c r="F415" s="2521"/>
      <c r="G415" s="2521"/>
      <c r="H415" s="2521"/>
      <c r="I415" s="2521"/>
      <c r="J415" s="2521"/>
      <c r="K415" s="2521"/>
      <c r="L415" s="2521"/>
      <c r="M415" s="2521"/>
      <c r="N415" s="2521"/>
      <c r="O415" s="2521"/>
      <c r="P415" s="2521"/>
      <c r="Q415" s="2521"/>
      <c r="R415" s="2521"/>
      <c r="S415" s="2521"/>
      <c r="T415" s="2521"/>
      <c r="U415" s="2521"/>
      <c r="V415" s="2521"/>
      <c r="W415" s="2521"/>
      <c r="X415" s="2521"/>
      <c r="Y415" s="2521"/>
      <c r="Z415" s="2521"/>
    </row>
    <row r="416" spans="1:26" ht="16.5" customHeight="1">
      <c r="A416" s="2521"/>
      <c r="B416" s="2526"/>
      <c r="C416" s="2521"/>
      <c r="D416" s="2521"/>
      <c r="E416" s="2521"/>
      <c r="F416" s="2521"/>
      <c r="G416" s="2521"/>
      <c r="H416" s="2521"/>
      <c r="I416" s="2521"/>
      <c r="J416" s="2521"/>
      <c r="K416" s="2521"/>
      <c r="L416" s="2521"/>
      <c r="M416" s="2521"/>
      <c r="N416" s="2521"/>
      <c r="O416" s="2521"/>
      <c r="P416" s="2521"/>
      <c r="Q416" s="2521"/>
      <c r="R416" s="2521"/>
      <c r="S416" s="2521"/>
      <c r="T416" s="2521"/>
      <c r="U416" s="2521"/>
      <c r="V416" s="2521"/>
      <c r="W416" s="2521"/>
      <c r="X416" s="2521"/>
      <c r="Y416" s="2521"/>
      <c r="Z416" s="2521"/>
    </row>
    <row r="417" spans="1:26" ht="16.5" customHeight="1">
      <c r="A417" s="2521"/>
      <c r="B417" s="2526"/>
      <c r="C417" s="2521"/>
      <c r="D417" s="2521"/>
      <c r="E417" s="2521"/>
      <c r="F417" s="2521"/>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row>
    <row r="418" spans="1:26" ht="16.5" customHeight="1">
      <c r="A418" s="2521"/>
      <c r="B418" s="2526"/>
      <c r="C418" s="2521"/>
      <c r="D418" s="2521"/>
      <c r="E418" s="252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row>
    <row r="419" spans="1:26" ht="16.5" customHeight="1">
      <c r="A419" s="2521"/>
      <c r="B419" s="2526"/>
      <c r="C419" s="2521"/>
      <c r="D419" s="2521"/>
      <c r="E419" s="252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row>
    <row r="420" spans="1:26" ht="16.5" customHeight="1">
      <c r="A420" s="2521"/>
      <c r="B420" s="2526"/>
      <c r="C420" s="2521"/>
      <c r="D420" s="2521"/>
      <c r="E420" s="2521"/>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row>
    <row r="421" spans="1:26" ht="16.5" customHeight="1">
      <c r="A421" s="2521"/>
      <c r="B421" s="2526"/>
      <c r="C421" s="2521"/>
      <c r="D421" s="2521"/>
      <c r="E421" s="2521"/>
      <c r="F421" s="2521"/>
      <c r="G421" s="2521"/>
      <c r="H421" s="2521"/>
      <c r="I421" s="2521"/>
      <c r="J421" s="2521"/>
      <c r="K421" s="2521"/>
      <c r="L421" s="2521"/>
      <c r="M421" s="2521"/>
      <c r="N421" s="2521"/>
      <c r="O421" s="2521"/>
      <c r="P421" s="2521"/>
      <c r="Q421" s="2521"/>
      <c r="R421" s="2521"/>
      <c r="S421" s="2521"/>
      <c r="T421" s="2521"/>
      <c r="U421" s="2521"/>
      <c r="V421" s="2521"/>
      <c r="W421" s="2521"/>
      <c r="X421" s="2521"/>
      <c r="Y421" s="2521"/>
      <c r="Z421" s="2521"/>
    </row>
    <row r="422" spans="1:26" ht="16.5" customHeight="1">
      <c r="A422" s="2521"/>
      <c r="B422" s="2526"/>
      <c r="C422" s="2521"/>
      <c r="D422" s="2521"/>
      <c r="E422" s="2521"/>
      <c r="F422" s="2521"/>
      <c r="G422" s="2521"/>
      <c r="H422" s="2521"/>
      <c r="I422" s="2521"/>
      <c r="J422" s="2521"/>
      <c r="K422" s="2521"/>
      <c r="L422" s="2521"/>
      <c r="M422" s="2521"/>
      <c r="N422" s="2521"/>
      <c r="O422" s="2521"/>
      <c r="P422" s="2521"/>
      <c r="Q422" s="2521"/>
      <c r="R422" s="2521"/>
      <c r="S422" s="2521"/>
      <c r="T422" s="2521"/>
      <c r="U422" s="2521"/>
      <c r="V422" s="2521"/>
      <c r="W422" s="2521"/>
      <c r="X422" s="2521"/>
      <c r="Y422" s="2521"/>
      <c r="Z422" s="2521"/>
    </row>
    <row r="423" spans="1:26" ht="16.5" customHeight="1">
      <c r="A423" s="2521"/>
      <c r="B423" s="2526"/>
      <c r="C423" s="2521"/>
      <c r="D423" s="2521"/>
      <c r="E423" s="2521"/>
      <c r="F423" s="2521"/>
      <c r="G423" s="2521"/>
      <c r="H423" s="2521"/>
      <c r="I423" s="2521"/>
      <c r="J423" s="2521"/>
      <c r="K423" s="2521"/>
      <c r="L423" s="2521"/>
      <c r="M423" s="2521"/>
      <c r="N423" s="2521"/>
      <c r="O423" s="2521"/>
      <c r="P423" s="2521"/>
      <c r="Q423" s="2521"/>
      <c r="R423" s="2521"/>
      <c r="S423" s="2521"/>
      <c r="T423" s="2521"/>
      <c r="U423" s="2521"/>
      <c r="V423" s="2521"/>
      <c r="W423" s="2521"/>
      <c r="X423" s="2521"/>
      <c r="Y423" s="2521"/>
      <c r="Z423" s="2521"/>
    </row>
    <row r="424" spans="1:26" ht="16.5" customHeight="1">
      <c r="A424" s="2521"/>
      <c r="B424" s="2526"/>
      <c r="C424" s="2521"/>
      <c r="D424" s="2521"/>
      <c r="E424" s="2521"/>
      <c r="F424" s="2521"/>
      <c r="G424" s="2521"/>
      <c r="H424" s="2521"/>
      <c r="I424" s="2521"/>
      <c r="J424" s="2521"/>
      <c r="K424" s="2521"/>
      <c r="L424" s="2521"/>
      <c r="M424" s="2521"/>
      <c r="N424" s="2521"/>
      <c r="O424" s="2521"/>
      <c r="P424" s="2521"/>
      <c r="Q424" s="2521"/>
      <c r="R424" s="2521"/>
      <c r="S424" s="2521"/>
      <c r="T424" s="2521"/>
      <c r="U424" s="2521"/>
      <c r="V424" s="2521"/>
      <c r="W424" s="2521"/>
      <c r="X424" s="2521"/>
      <c r="Y424" s="2521"/>
      <c r="Z424" s="2521"/>
    </row>
    <row r="425" spans="1:26" ht="16.5" customHeight="1">
      <c r="A425" s="2521"/>
      <c r="B425" s="2526"/>
      <c r="C425" s="2521"/>
      <c r="D425" s="2521"/>
      <c r="E425" s="2521"/>
      <c r="F425" s="2521"/>
      <c r="G425" s="2521"/>
      <c r="H425" s="2521"/>
      <c r="I425" s="2521"/>
      <c r="J425" s="2521"/>
      <c r="K425" s="2521"/>
      <c r="L425" s="2521"/>
      <c r="M425" s="2521"/>
      <c r="N425" s="2521"/>
      <c r="O425" s="2521"/>
      <c r="P425" s="2521"/>
      <c r="Q425" s="2521"/>
      <c r="R425" s="2521"/>
      <c r="S425" s="2521"/>
      <c r="T425" s="2521"/>
      <c r="U425" s="2521"/>
      <c r="V425" s="2521"/>
      <c r="W425" s="2521"/>
      <c r="X425" s="2521"/>
      <c r="Y425" s="2521"/>
      <c r="Z425" s="2521"/>
    </row>
    <row r="426" spans="1:26" ht="16.5" customHeight="1">
      <c r="A426" s="2521"/>
      <c r="B426" s="2526"/>
      <c r="C426" s="2521"/>
      <c r="D426" s="2521"/>
      <c r="E426" s="2521"/>
      <c r="F426" s="2521"/>
      <c r="G426" s="2521"/>
      <c r="H426" s="2521"/>
      <c r="I426" s="2521"/>
      <c r="J426" s="2521"/>
      <c r="K426" s="2521"/>
      <c r="L426" s="2521"/>
      <c r="M426" s="2521"/>
      <c r="N426" s="2521"/>
      <c r="O426" s="2521"/>
      <c r="P426" s="2521"/>
      <c r="Q426" s="2521"/>
      <c r="R426" s="2521"/>
      <c r="S426" s="2521"/>
      <c r="T426" s="2521"/>
      <c r="U426" s="2521"/>
      <c r="V426" s="2521"/>
      <c r="W426" s="2521"/>
      <c r="X426" s="2521"/>
      <c r="Y426" s="2521"/>
      <c r="Z426" s="2521"/>
    </row>
    <row r="427" spans="1:26" ht="16.5" customHeight="1">
      <c r="A427" s="2521"/>
      <c r="B427" s="2526"/>
      <c r="C427" s="2521"/>
      <c r="D427" s="2521"/>
      <c r="E427" s="2521"/>
      <c r="F427" s="2521"/>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row>
    <row r="428" spans="1:26" ht="16.5" customHeight="1">
      <c r="A428" s="2521"/>
      <c r="B428" s="2526"/>
      <c r="C428" s="2521"/>
      <c r="D428" s="2521"/>
      <c r="E428" s="252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row>
    <row r="429" spans="1:26" ht="16.5" customHeight="1">
      <c r="A429" s="2521"/>
      <c r="B429" s="2526"/>
      <c r="C429" s="2521"/>
      <c r="D429" s="2521"/>
      <c r="E429" s="252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row>
    <row r="430" spans="1:26" ht="16.5" customHeight="1">
      <c r="A430" s="2521"/>
      <c r="B430" s="2526"/>
      <c r="C430" s="2521"/>
      <c r="D430" s="2521"/>
      <c r="E430" s="2521"/>
      <c r="F430" s="2521"/>
      <c r="G430" s="2521"/>
      <c r="H430" s="2521"/>
      <c r="I430" s="2521"/>
      <c r="J430" s="2521"/>
      <c r="K430" s="2521"/>
      <c r="L430" s="2521"/>
      <c r="M430" s="2521"/>
      <c r="N430" s="2521"/>
      <c r="O430" s="2521"/>
      <c r="P430" s="2521"/>
      <c r="Q430" s="2521"/>
      <c r="R430" s="2521"/>
      <c r="S430" s="2521"/>
      <c r="T430" s="2521"/>
      <c r="U430" s="2521"/>
      <c r="V430" s="2521"/>
      <c r="W430" s="2521"/>
      <c r="X430" s="2521"/>
      <c r="Y430" s="2521"/>
      <c r="Z430" s="2521"/>
    </row>
    <row r="431" spans="1:26" ht="16.5" customHeight="1">
      <c r="A431" s="2521"/>
      <c r="B431" s="2526"/>
      <c r="C431" s="2521"/>
      <c r="D431" s="2521"/>
      <c r="E431" s="2521"/>
      <c r="F431" s="2521"/>
      <c r="G431" s="2521"/>
      <c r="H431" s="2521"/>
      <c r="I431" s="2521"/>
      <c r="J431" s="2521"/>
      <c r="K431" s="2521"/>
      <c r="L431" s="2521"/>
      <c r="M431" s="2521"/>
      <c r="N431" s="2521"/>
      <c r="O431" s="2521"/>
      <c r="P431" s="2521"/>
      <c r="Q431" s="2521"/>
      <c r="R431" s="2521"/>
      <c r="S431" s="2521"/>
      <c r="T431" s="2521"/>
      <c r="U431" s="2521"/>
      <c r="V431" s="2521"/>
      <c r="W431" s="2521"/>
      <c r="X431" s="2521"/>
      <c r="Y431" s="2521"/>
      <c r="Z431" s="2521"/>
    </row>
    <row r="432" spans="1:26" ht="16.5" customHeight="1">
      <c r="A432" s="2521"/>
      <c r="B432" s="2526"/>
      <c r="C432" s="2521"/>
      <c r="D432" s="2521"/>
      <c r="E432" s="2521"/>
      <c r="F432" s="2521"/>
      <c r="G432" s="2521"/>
      <c r="H432" s="2521"/>
      <c r="I432" s="2521"/>
      <c r="J432" s="2521"/>
      <c r="K432" s="2521"/>
      <c r="L432" s="2521"/>
      <c r="M432" s="2521"/>
      <c r="N432" s="2521"/>
      <c r="O432" s="2521"/>
      <c r="P432" s="2521"/>
      <c r="Q432" s="2521"/>
      <c r="R432" s="2521"/>
      <c r="S432" s="2521"/>
      <c r="T432" s="2521"/>
      <c r="U432" s="2521"/>
      <c r="V432" s="2521"/>
      <c r="W432" s="2521"/>
      <c r="X432" s="2521"/>
      <c r="Y432" s="2521"/>
      <c r="Z432" s="2521"/>
    </row>
    <row r="433" spans="1:26" ht="16.5" customHeight="1">
      <c r="A433" s="2521"/>
      <c r="B433" s="2526"/>
      <c r="C433" s="2521"/>
      <c r="D433" s="2521"/>
      <c r="E433" s="2521"/>
      <c r="F433" s="2521"/>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row>
    <row r="434" spans="1:26" ht="16.5" customHeight="1">
      <c r="A434" s="2521"/>
      <c r="B434" s="2526"/>
      <c r="C434" s="2521"/>
      <c r="D434" s="2521"/>
      <c r="E434" s="252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row>
    <row r="435" spans="1:26" ht="16.5" customHeight="1">
      <c r="A435" s="2521"/>
      <c r="B435" s="2526"/>
      <c r="C435" s="2521"/>
      <c r="D435" s="2521"/>
      <c r="E435" s="252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row>
    <row r="436" spans="1:26" ht="16.5" customHeight="1">
      <c r="A436" s="2521"/>
      <c r="B436" s="2526"/>
      <c r="C436" s="2521"/>
      <c r="D436" s="2521"/>
      <c r="E436" s="2521"/>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row>
    <row r="437" spans="1:26" ht="16.5" customHeight="1">
      <c r="A437" s="2521"/>
      <c r="B437" s="2526"/>
      <c r="C437" s="2521"/>
      <c r="D437" s="2521"/>
      <c r="E437" s="2521"/>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row>
    <row r="438" spans="1:26" ht="16.5" customHeight="1">
      <c r="A438" s="2521"/>
      <c r="B438" s="2526"/>
      <c r="C438" s="2521"/>
      <c r="D438" s="2521"/>
      <c r="E438" s="2521"/>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row>
    <row r="439" spans="1:26" ht="16.5" customHeight="1">
      <c r="A439" s="2521"/>
      <c r="B439" s="2526"/>
      <c r="C439" s="2521"/>
      <c r="D439" s="2521"/>
      <c r="E439" s="2521"/>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row>
    <row r="440" spans="1:26" ht="16.5" customHeight="1">
      <c r="A440" s="2521"/>
      <c r="B440" s="2526"/>
      <c r="C440" s="2521"/>
      <c r="D440" s="2521"/>
      <c r="E440" s="2521"/>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row>
    <row r="441" spans="1:26" ht="16.5" customHeight="1">
      <c r="A441" s="2521"/>
      <c r="B441" s="2526"/>
      <c r="C441" s="2521"/>
      <c r="D441" s="2521"/>
      <c r="E441" s="2521"/>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row>
    <row r="442" spans="1:26" ht="16.5" customHeight="1">
      <c r="A442" s="2521"/>
      <c r="B442" s="2526"/>
      <c r="C442" s="2521"/>
      <c r="D442" s="2521"/>
      <c r="E442" s="2521"/>
      <c r="F442" s="2521"/>
      <c r="G442" s="2521"/>
      <c r="H442" s="2521"/>
      <c r="I442" s="2521"/>
      <c r="J442" s="2521"/>
      <c r="K442" s="2521"/>
      <c r="L442" s="2521"/>
      <c r="M442" s="2521"/>
      <c r="N442" s="2521"/>
      <c r="O442" s="2521"/>
      <c r="P442" s="2521"/>
      <c r="Q442" s="2521"/>
      <c r="R442" s="2521"/>
      <c r="S442" s="2521"/>
      <c r="T442" s="2521"/>
      <c r="U442" s="2521"/>
      <c r="V442" s="2521"/>
      <c r="W442" s="2521"/>
      <c r="X442" s="2521"/>
      <c r="Y442" s="2521"/>
      <c r="Z442" s="2521"/>
    </row>
    <row r="443" spans="1:26" ht="16.5" customHeight="1">
      <c r="A443" s="2521"/>
      <c r="B443" s="2526"/>
      <c r="C443" s="2521"/>
      <c r="D443" s="2521"/>
      <c r="E443" s="2521"/>
      <c r="F443" s="2521"/>
      <c r="G443" s="2521"/>
      <c r="H443" s="2521"/>
      <c r="I443" s="2521"/>
      <c r="J443" s="2521"/>
      <c r="K443" s="2521"/>
      <c r="L443" s="2521"/>
      <c r="M443" s="2521"/>
      <c r="N443" s="2521"/>
      <c r="O443" s="2521"/>
      <c r="P443" s="2521"/>
      <c r="Q443" s="2521"/>
      <c r="R443" s="2521"/>
      <c r="S443" s="2521"/>
      <c r="T443" s="2521"/>
      <c r="U443" s="2521"/>
      <c r="V443" s="2521"/>
      <c r="W443" s="2521"/>
      <c r="X443" s="2521"/>
      <c r="Y443" s="2521"/>
      <c r="Z443" s="2521"/>
    </row>
    <row r="444" spans="1:26" ht="16.5" customHeight="1">
      <c r="A444" s="2521"/>
      <c r="B444" s="2526"/>
      <c r="C444" s="2521"/>
      <c r="D444" s="2521"/>
      <c r="E444" s="2521"/>
      <c r="F444" s="2521"/>
      <c r="G444" s="2521"/>
      <c r="H444" s="2521"/>
      <c r="I444" s="2521"/>
      <c r="J444" s="2521"/>
      <c r="K444" s="2521"/>
      <c r="L444" s="2521"/>
      <c r="M444" s="2521"/>
      <c r="N444" s="2521"/>
      <c r="O444" s="2521"/>
      <c r="P444" s="2521"/>
      <c r="Q444" s="2521"/>
      <c r="R444" s="2521"/>
      <c r="S444" s="2521"/>
      <c r="T444" s="2521"/>
      <c r="U444" s="2521"/>
      <c r="V444" s="2521"/>
      <c r="W444" s="2521"/>
      <c r="X444" s="2521"/>
      <c r="Y444" s="2521"/>
      <c r="Z444" s="2521"/>
    </row>
    <row r="445" spans="1:26" ht="16.5" customHeight="1">
      <c r="A445" s="2521"/>
      <c r="B445" s="2526"/>
      <c r="C445" s="2521"/>
      <c r="D445" s="2521"/>
      <c r="E445" s="2521"/>
      <c r="F445" s="2521"/>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row>
    <row r="446" spans="1:26" ht="16.5" customHeight="1">
      <c r="A446" s="2521"/>
      <c r="B446" s="2526"/>
      <c r="C446" s="2521"/>
      <c r="D446" s="2521"/>
      <c r="E446" s="2521"/>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row>
    <row r="447" spans="1:26" ht="16.5" customHeight="1">
      <c r="A447" s="2521"/>
      <c r="B447" s="2526"/>
      <c r="C447" s="2521"/>
      <c r="D447" s="2521"/>
      <c r="E447" s="2521"/>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row>
    <row r="448" spans="1:26" ht="16.5" customHeight="1">
      <c r="A448" s="2521"/>
      <c r="B448" s="2526"/>
      <c r="C448" s="2521"/>
      <c r="D448" s="2521"/>
      <c r="E448" s="2521"/>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row>
    <row r="449" spans="1:26" ht="16.5" customHeight="1">
      <c r="A449" s="2521"/>
      <c r="B449" s="2526"/>
      <c r="C449" s="2521"/>
      <c r="D449" s="2521"/>
      <c r="E449" s="2521"/>
      <c r="F449" s="2521"/>
      <c r="G449" s="2521"/>
      <c r="H449" s="2521"/>
      <c r="I449" s="2521"/>
      <c r="J449" s="2521"/>
      <c r="K449" s="2521"/>
      <c r="L449" s="2521"/>
      <c r="M449" s="2521"/>
      <c r="N449" s="2521"/>
      <c r="O449" s="2521"/>
      <c r="P449" s="2521"/>
      <c r="Q449" s="2521"/>
      <c r="R449" s="2521"/>
      <c r="S449" s="2521"/>
      <c r="T449" s="2521"/>
      <c r="U449" s="2521"/>
      <c r="V449" s="2521"/>
      <c r="W449" s="2521"/>
      <c r="X449" s="2521"/>
      <c r="Y449" s="2521"/>
      <c r="Z449" s="2521"/>
    </row>
    <row r="450" spans="1:26" ht="16.5" customHeight="1">
      <c r="A450" s="2521"/>
      <c r="B450" s="2526"/>
      <c r="C450" s="2521"/>
      <c r="D450" s="2521"/>
      <c r="E450" s="2521"/>
      <c r="F450" s="2521"/>
      <c r="G450" s="2521"/>
      <c r="H450" s="2521"/>
      <c r="I450" s="2521"/>
      <c r="J450" s="2521"/>
      <c r="K450" s="2521"/>
      <c r="L450" s="2521"/>
      <c r="M450" s="2521"/>
      <c r="N450" s="2521"/>
      <c r="O450" s="2521"/>
      <c r="P450" s="2521"/>
      <c r="Q450" s="2521"/>
      <c r="R450" s="2521"/>
      <c r="S450" s="2521"/>
      <c r="T450" s="2521"/>
      <c r="U450" s="2521"/>
      <c r="V450" s="2521"/>
      <c r="W450" s="2521"/>
      <c r="X450" s="2521"/>
      <c r="Y450" s="2521"/>
      <c r="Z450" s="2521"/>
    </row>
    <row r="451" spans="1:26" ht="16.5" customHeight="1">
      <c r="A451" s="2521"/>
      <c r="B451" s="2526"/>
      <c r="C451" s="2521"/>
      <c r="D451" s="2521"/>
      <c r="E451" s="2521"/>
      <c r="F451" s="2521"/>
      <c r="G451" s="2521"/>
      <c r="H451" s="2521"/>
      <c r="I451" s="2521"/>
      <c r="J451" s="2521"/>
      <c r="K451" s="2521"/>
      <c r="L451" s="2521"/>
      <c r="M451" s="2521"/>
      <c r="N451" s="2521"/>
      <c r="O451" s="2521"/>
      <c r="P451" s="2521"/>
      <c r="Q451" s="2521"/>
      <c r="R451" s="2521"/>
      <c r="S451" s="2521"/>
      <c r="T451" s="2521"/>
      <c r="U451" s="2521"/>
      <c r="V451" s="2521"/>
      <c r="W451" s="2521"/>
      <c r="X451" s="2521"/>
      <c r="Y451" s="2521"/>
      <c r="Z451" s="2521"/>
    </row>
    <row r="452" spans="1:26" ht="16.5" customHeight="1">
      <c r="A452" s="2521"/>
      <c r="B452" s="2526"/>
      <c r="C452" s="2521"/>
      <c r="D452" s="2521"/>
      <c r="E452" s="2521"/>
      <c r="F452" s="2521"/>
      <c r="G452" s="2521"/>
      <c r="H452" s="2521"/>
      <c r="I452" s="2521"/>
      <c r="J452" s="2521"/>
      <c r="K452" s="2521"/>
      <c r="L452" s="2521"/>
      <c r="M452" s="2521"/>
      <c r="N452" s="2521"/>
      <c r="O452" s="2521"/>
      <c r="P452" s="2521"/>
      <c r="Q452" s="2521"/>
      <c r="R452" s="2521"/>
      <c r="S452" s="2521"/>
      <c r="T452" s="2521"/>
      <c r="U452" s="2521"/>
      <c r="V452" s="2521"/>
      <c r="W452" s="2521"/>
      <c r="X452" s="2521"/>
      <c r="Y452" s="2521"/>
      <c r="Z452" s="2521"/>
    </row>
    <row r="453" spans="1:26" ht="16.5" customHeight="1">
      <c r="A453" s="2521"/>
      <c r="B453" s="2526"/>
      <c r="C453" s="2521"/>
      <c r="D453" s="2521"/>
      <c r="E453" s="2521"/>
      <c r="F453" s="2521"/>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row>
    <row r="454" spans="1:26" ht="16.5" customHeight="1">
      <c r="A454" s="2521"/>
      <c r="B454" s="2526"/>
      <c r="C454" s="2521"/>
      <c r="D454" s="2521"/>
      <c r="E454" s="2521"/>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row>
    <row r="455" spans="1:26" ht="16.5" customHeight="1">
      <c r="A455" s="2521"/>
      <c r="B455" s="2526"/>
      <c r="C455" s="2521"/>
      <c r="D455" s="2521"/>
      <c r="E455" s="2521"/>
      <c r="F455" s="2521"/>
      <c r="G455" s="2521"/>
      <c r="H455" s="2521"/>
      <c r="I455" s="2521"/>
      <c r="J455" s="2521"/>
      <c r="K455" s="2521"/>
      <c r="L455" s="2521"/>
      <c r="M455" s="2521"/>
      <c r="N455" s="2521"/>
      <c r="O455" s="2521"/>
      <c r="P455" s="2521"/>
      <c r="Q455" s="2521"/>
      <c r="R455" s="2521"/>
      <c r="S455" s="2521"/>
      <c r="T455" s="2521"/>
      <c r="U455" s="2521"/>
      <c r="V455" s="2521"/>
      <c r="W455" s="2521"/>
      <c r="X455" s="2521"/>
      <c r="Y455" s="2521"/>
      <c r="Z455" s="2521"/>
    </row>
    <row r="456" spans="1:26" ht="16.5" customHeight="1">
      <c r="A456" s="2521"/>
      <c r="B456" s="2526"/>
      <c r="C456" s="2521"/>
      <c r="D456" s="2521"/>
      <c r="E456" s="2521"/>
      <c r="F456" s="2521"/>
      <c r="G456" s="2521"/>
      <c r="H456" s="2521"/>
      <c r="I456" s="2521"/>
      <c r="J456" s="2521"/>
      <c r="K456" s="2521"/>
      <c r="L456" s="2521"/>
      <c r="M456" s="2521"/>
      <c r="N456" s="2521"/>
      <c r="O456" s="2521"/>
      <c r="P456" s="2521"/>
      <c r="Q456" s="2521"/>
      <c r="R456" s="2521"/>
      <c r="S456" s="2521"/>
      <c r="T456" s="2521"/>
      <c r="U456" s="2521"/>
      <c r="V456" s="2521"/>
      <c r="W456" s="2521"/>
      <c r="X456" s="2521"/>
      <c r="Y456" s="2521"/>
      <c r="Z456" s="2521"/>
    </row>
    <row r="457" spans="1:26" ht="16.5" customHeight="1">
      <c r="A457" s="2521"/>
      <c r="B457" s="2526"/>
      <c r="C457" s="2521"/>
      <c r="D457" s="2521"/>
      <c r="E457" s="2521"/>
      <c r="F457" s="2521"/>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row>
    <row r="458" spans="1:26" ht="16.5" customHeight="1">
      <c r="A458" s="2521"/>
      <c r="B458" s="2526"/>
      <c r="C458" s="2521"/>
      <c r="D458" s="2521"/>
      <c r="E458" s="252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row>
    <row r="459" spans="1:26" ht="16.5" customHeight="1">
      <c r="A459" s="2521"/>
      <c r="B459" s="2526"/>
      <c r="C459" s="2521"/>
      <c r="D459" s="2521"/>
      <c r="E459" s="252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row>
    <row r="460" spans="1:26" ht="16.5" customHeight="1">
      <c r="A460" s="2521"/>
      <c r="B460" s="2526"/>
      <c r="C460" s="2521"/>
      <c r="D460" s="2521"/>
      <c r="E460" s="2521"/>
      <c r="F460" s="2521"/>
      <c r="G460" s="2521"/>
      <c r="H460" s="2521"/>
      <c r="I460" s="2521"/>
      <c r="J460" s="2521"/>
      <c r="K460" s="2521"/>
      <c r="L460" s="2521"/>
      <c r="M460" s="2521"/>
      <c r="N460" s="2521"/>
      <c r="O460" s="2521"/>
      <c r="P460" s="2521"/>
      <c r="Q460" s="2521"/>
      <c r="R460" s="2521"/>
      <c r="S460" s="2521"/>
      <c r="T460" s="2521"/>
      <c r="U460" s="2521"/>
      <c r="V460" s="2521"/>
      <c r="W460" s="2521"/>
      <c r="X460" s="2521"/>
      <c r="Y460" s="2521"/>
      <c r="Z460" s="2521"/>
    </row>
    <row r="461" spans="1:26" ht="16.5" customHeight="1">
      <c r="A461" s="2521"/>
      <c r="B461" s="2526"/>
      <c r="C461" s="2521"/>
      <c r="D461" s="2521"/>
      <c r="E461" s="2521"/>
      <c r="F461" s="2521"/>
      <c r="G461" s="2521"/>
      <c r="H461" s="2521"/>
      <c r="I461" s="2521"/>
      <c r="J461" s="2521"/>
      <c r="K461" s="2521"/>
      <c r="L461" s="2521"/>
      <c r="M461" s="2521"/>
      <c r="N461" s="2521"/>
      <c r="O461" s="2521"/>
      <c r="P461" s="2521"/>
      <c r="Q461" s="2521"/>
      <c r="R461" s="2521"/>
      <c r="S461" s="2521"/>
      <c r="T461" s="2521"/>
      <c r="U461" s="2521"/>
      <c r="V461" s="2521"/>
      <c r="W461" s="2521"/>
      <c r="X461" s="2521"/>
      <c r="Y461" s="2521"/>
      <c r="Z461" s="2521"/>
    </row>
    <row r="462" spans="1:26" ht="16.5" customHeight="1">
      <c r="A462" s="2521"/>
      <c r="B462" s="2526"/>
      <c r="C462" s="2521"/>
      <c r="D462" s="2521"/>
      <c r="E462" s="2521"/>
      <c r="F462" s="2521"/>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row>
    <row r="463" spans="1:26" ht="16.5" customHeight="1">
      <c r="A463" s="2521"/>
      <c r="B463" s="2526"/>
      <c r="C463" s="2521"/>
      <c r="D463" s="2521"/>
      <c r="E463" s="252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row>
    <row r="464" spans="1:26" ht="16.5" customHeight="1">
      <c r="A464" s="2521"/>
      <c r="B464" s="2526"/>
      <c r="C464" s="2521"/>
      <c r="D464" s="2521"/>
      <c r="E464" s="2521"/>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row>
    <row r="465" spans="1:26" ht="16.5" customHeight="1">
      <c r="A465" s="2521"/>
      <c r="B465" s="2526"/>
      <c r="C465" s="2521"/>
      <c r="D465" s="2521"/>
      <c r="E465" s="2521"/>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row>
    <row r="466" spans="1:26" ht="16.5" customHeight="1">
      <c r="A466" s="2521"/>
      <c r="B466" s="2526"/>
      <c r="C466" s="2521"/>
      <c r="D466" s="2521"/>
      <c r="E466" s="2521"/>
      <c r="F466" s="2521"/>
      <c r="G466" s="2521"/>
      <c r="H466" s="2521"/>
      <c r="I466" s="2521"/>
      <c r="J466" s="2521"/>
      <c r="K466" s="2521"/>
      <c r="L466" s="2521"/>
      <c r="M466" s="2521"/>
      <c r="N466" s="2521"/>
      <c r="O466" s="2521"/>
      <c r="P466" s="2521"/>
      <c r="Q466" s="2521"/>
      <c r="R466" s="2521"/>
      <c r="S466" s="2521"/>
      <c r="T466" s="2521"/>
      <c r="U466" s="2521"/>
      <c r="V466" s="2521"/>
      <c r="W466" s="2521"/>
      <c r="X466" s="2521"/>
      <c r="Y466" s="2521"/>
      <c r="Z466" s="2521"/>
    </row>
    <row r="467" spans="1:26" ht="16.5" customHeight="1">
      <c r="A467" s="2521"/>
      <c r="B467" s="2526"/>
      <c r="C467" s="2521"/>
      <c r="D467" s="2521"/>
      <c r="E467" s="2521"/>
      <c r="F467" s="2521"/>
      <c r="G467" s="2521"/>
      <c r="H467" s="2521"/>
      <c r="I467" s="2521"/>
      <c r="J467" s="2521"/>
      <c r="K467" s="2521"/>
      <c r="L467" s="2521"/>
      <c r="M467" s="2521"/>
      <c r="N467" s="2521"/>
      <c r="O467" s="2521"/>
      <c r="P467" s="2521"/>
      <c r="Q467" s="2521"/>
      <c r="R467" s="2521"/>
      <c r="S467" s="2521"/>
      <c r="T467" s="2521"/>
      <c r="U467" s="2521"/>
      <c r="V467" s="2521"/>
      <c r="W467" s="2521"/>
      <c r="X467" s="2521"/>
      <c r="Y467" s="2521"/>
      <c r="Z467" s="2521"/>
    </row>
    <row r="468" spans="1:26" ht="16.5" customHeight="1">
      <c r="A468" s="2521"/>
      <c r="B468" s="2526"/>
      <c r="C468" s="2521"/>
      <c r="D468" s="2521"/>
      <c r="E468" s="2521"/>
      <c r="F468" s="2521"/>
      <c r="G468" s="2521"/>
      <c r="H468" s="2521"/>
      <c r="I468" s="2521"/>
      <c r="J468" s="2521"/>
      <c r="K468" s="2521"/>
      <c r="L468" s="2521"/>
      <c r="M468" s="2521"/>
      <c r="N468" s="2521"/>
      <c r="O468" s="2521"/>
      <c r="P468" s="2521"/>
      <c r="Q468" s="2521"/>
      <c r="R468" s="2521"/>
      <c r="S468" s="2521"/>
      <c r="T468" s="2521"/>
      <c r="U468" s="2521"/>
      <c r="V468" s="2521"/>
      <c r="W468" s="2521"/>
      <c r="X468" s="2521"/>
      <c r="Y468" s="2521"/>
      <c r="Z468" s="2521"/>
    </row>
    <row r="469" spans="1:26" ht="16.5" customHeight="1">
      <c r="A469" s="2521"/>
      <c r="B469" s="2526"/>
      <c r="C469" s="2521"/>
      <c r="D469" s="2521"/>
      <c r="E469" s="2521"/>
      <c r="F469" s="2521"/>
      <c r="G469" s="2521"/>
      <c r="H469" s="2521"/>
      <c r="I469" s="2521"/>
      <c r="J469" s="2521"/>
      <c r="K469" s="2521"/>
      <c r="L469" s="2521"/>
      <c r="M469" s="2521"/>
      <c r="N469" s="2521"/>
      <c r="O469" s="2521"/>
      <c r="P469" s="2521"/>
      <c r="Q469" s="2521"/>
      <c r="R469" s="2521"/>
      <c r="S469" s="2521"/>
      <c r="T469" s="2521"/>
      <c r="U469" s="2521"/>
      <c r="V469" s="2521"/>
      <c r="W469" s="2521"/>
      <c r="X469" s="2521"/>
      <c r="Y469" s="2521"/>
      <c r="Z469" s="2521"/>
    </row>
    <row r="470" spans="1:26" ht="16.5" customHeight="1">
      <c r="A470" s="2521"/>
      <c r="B470" s="2526"/>
      <c r="C470" s="2521"/>
      <c r="D470" s="2521"/>
      <c r="E470" s="2521"/>
      <c r="F470" s="2521"/>
      <c r="G470" s="2521"/>
      <c r="H470" s="2521"/>
      <c r="I470" s="2521"/>
      <c r="J470" s="2521"/>
      <c r="K470" s="2521"/>
      <c r="L470" s="2521"/>
      <c r="M470" s="2521"/>
      <c r="N470" s="2521"/>
      <c r="O470" s="2521"/>
      <c r="P470" s="2521"/>
      <c r="Q470" s="2521"/>
      <c r="R470" s="2521"/>
      <c r="S470" s="2521"/>
      <c r="T470" s="2521"/>
      <c r="U470" s="2521"/>
      <c r="V470" s="2521"/>
      <c r="W470" s="2521"/>
      <c r="X470" s="2521"/>
      <c r="Y470" s="2521"/>
      <c r="Z470" s="2521"/>
    </row>
    <row r="471" spans="1:26" ht="16.5" customHeight="1">
      <c r="A471" s="2521"/>
      <c r="B471" s="2526"/>
      <c r="C471" s="2521"/>
      <c r="D471" s="2521"/>
      <c r="E471" s="2521"/>
      <c r="F471" s="2521"/>
      <c r="G471" s="2521"/>
      <c r="H471" s="2521"/>
      <c r="I471" s="2521"/>
      <c r="J471" s="2521"/>
      <c r="K471" s="2521"/>
      <c r="L471" s="2521"/>
      <c r="M471" s="2521"/>
      <c r="N471" s="2521"/>
      <c r="O471" s="2521"/>
      <c r="P471" s="2521"/>
      <c r="Q471" s="2521"/>
      <c r="R471" s="2521"/>
      <c r="S471" s="2521"/>
      <c r="T471" s="2521"/>
      <c r="U471" s="2521"/>
      <c r="V471" s="2521"/>
      <c r="W471" s="2521"/>
      <c r="X471" s="2521"/>
      <c r="Y471" s="2521"/>
      <c r="Z471" s="2521"/>
    </row>
    <row r="472" spans="1:26" ht="16.5" customHeight="1">
      <c r="A472" s="2521"/>
      <c r="B472" s="2526"/>
      <c r="C472" s="2521"/>
      <c r="D472" s="2521"/>
      <c r="E472" s="2521"/>
      <c r="F472" s="2521"/>
      <c r="G472" s="2521"/>
      <c r="H472" s="2521"/>
      <c r="I472" s="2521"/>
      <c r="J472" s="2521"/>
      <c r="K472" s="2521"/>
      <c r="L472" s="2521"/>
      <c r="M472" s="2521"/>
      <c r="N472" s="2521"/>
      <c r="O472" s="2521"/>
      <c r="P472" s="2521"/>
      <c r="Q472" s="2521"/>
      <c r="R472" s="2521"/>
      <c r="S472" s="2521"/>
      <c r="T472" s="2521"/>
      <c r="U472" s="2521"/>
      <c r="V472" s="2521"/>
      <c r="W472" s="2521"/>
      <c r="X472" s="2521"/>
      <c r="Y472" s="2521"/>
      <c r="Z472" s="2521"/>
    </row>
    <row r="473" spans="1:26" ht="16.5" customHeight="1">
      <c r="A473" s="2521"/>
      <c r="B473" s="2526"/>
      <c r="C473" s="2521"/>
      <c r="D473" s="2521"/>
      <c r="E473" s="2521"/>
      <c r="F473" s="2521"/>
      <c r="G473" s="2521"/>
      <c r="H473" s="2521"/>
      <c r="I473" s="2521"/>
      <c r="J473" s="2521"/>
      <c r="K473" s="2521"/>
      <c r="L473" s="2521"/>
      <c r="M473" s="2521"/>
      <c r="N473" s="2521"/>
      <c r="O473" s="2521"/>
      <c r="P473" s="2521"/>
      <c r="Q473" s="2521"/>
      <c r="R473" s="2521"/>
      <c r="S473" s="2521"/>
      <c r="T473" s="2521"/>
      <c r="U473" s="2521"/>
      <c r="V473" s="2521"/>
      <c r="W473" s="2521"/>
      <c r="X473" s="2521"/>
      <c r="Y473" s="2521"/>
      <c r="Z473" s="2521"/>
    </row>
    <row r="474" spans="1:26" ht="16.5" customHeight="1">
      <c r="A474" s="2521"/>
      <c r="B474" s="2526"/>
      <c r="C474" s="2521"/>
      <c r="D474" s="2521"/>
      <c r="E474" s="2521"/>
      <c r="F474" s="2521"/>
      <c r="G474" s="2521"/>
      <c r="H474" s="2521"/>
      <c r="I474" s="2521"/>
      <c r="J474" s="2521"/>
      <c r="K474" s="2521"/>
      <c r="L474" s="2521"/>
      <c r="M474" s="2521"/>
      <c r="N474" s="2521"/>
      <c r="O474" s="2521"/>
      <c r="P474" s="2521"/>
      <c r="Q474" s="2521"/>
      <c r="R474" s="2521"/>
      <c r="S474" s="2521"/>
      <c r="T474" s="2521"/>
      <c r="U474" s="2521"/>
      <c r="V474" s="2521"/>
      <c r="W474" s="2521"/>
      <c r="X474" s="2521"/>
      <c r="Y474" s="2521"/>
      <c r="Z474" s="2521"/>
    </row>
    <row r="475" spans="1:26" ht="16.5" customHeight="1">
      <c r="A475" s="2521"/>
      <c r="B475" s="2526"/>
      <c r="C475" s="2521"/>
      <c r="D475" s="2521"/>
      <c r="E475" s="2521"/>
      <c r="F475" s="2521"/>
      <c r="G475" s="2521"/>
      <c r="H475" s="2521"/>
      <c r="I475" s="2521"/>
      <c r="J475" s="2521"/>
      <c r="K475" s="2521"/>
      <c r="L475" s="2521"/>
      <c r="M475" s="2521"/>
      <c r="N475" s="2521"/>
      <c r="O475" s="2521"/>
      <c r="P475" s="2521"/>
      <c r="Q475" s="2521"/>
      <c r="R475" s="2521"/>
      <c r="S475" s="2521"/>
      <c r="T475" s="2521"/>
      <c r="U475" s="2521"/>
      <c r="V475" s="2521"/>
      <c r="W475" s="2521"/>
      <c r="X475" s="2521"/>
      <c r="Y475" s="2521"/>
      <c r="Z475" s="2521"/>
    </row>
    <row r="476" spans="1:26" ht="16.5" customHeight="1">
      <c r="A476" s="2521"/>
      <c r="B476" s="2526"/>
      <c r="C476" s="2521"/>
      <c r="D476" s="2521"/>
      <c r="E476" s="2521"/>
      <c r="F476" s="2521"/>
      <c r="G476" s="2521"/>
      <c r="H476" s="2521"/>
      <c r="I476" s="2521"/>
      <c r="J476" s="2521"/>
      <c r="K476" s="2521"/>
      <c r="L476" s="2521"/>
      <c r="M476" s="2521"/>
      <c r="N476" s="2521"/>
      <c r="O476" s="2521"/>
      <c r="P476" s="2521"/>
      <c r="Q476" s="2521"/>
      <c r="R476" s="2521"/>
      <c r="S476" s="2521"/>
      <c r="T476" s="2521"/>
      <c r="U476" s="2521"/>
      <c r="V476" s="2521"/>
      <c r="W476" s="2521"/>
      <c r="X476" s="2521"/>
      <c r="Y476" s="2521"/>
      <c r="Z476" s="2521"/>
    </row>
    <row r="477" spans="1:26" ht="16.5" customHeight="1">
      <c r="A477" s="2521"/>
      <c r="B477" s="2526"/>
      <c r="C477" s="2521"/>
      <c r="D477" s="2521"/>
      <c r="E477" s="2521"/>
      <c r="F477" s="2521"/>
      <c r="G477" s="2521"/>
      <c r="H477" s="2521"/>
      <c r="I477" s="2521"/>
      <c r="J477" s="2521"/>
      <c r="K477" s="2521"/>
      <c r="L477" s="2521"/>
      <c r="M477" s="2521"/>
      <c r="N477" s="2521"/>
      <c r="O477" s="2521"/>
      <c r="P477" s="2521"/>
      <c r="Q477" s="2521"/>
      <c r="R477" s="2521"/>
      <c r="S477" s="2521"/>
      <c r="T477" s="2521"/>
      <c r="U477" s="2521"/>
      <c r="V477" s="2521"/>
      <c r="W477" s="2521"/>
      <c r="X477" s="2521"/>
      <c r="Y477" s="2521"/>
      <c r="Z477" s="2521"/>
    </row>
    <row r="478" spans="1:26" ht="16.5" customHeight="1">
      <c r="A478" s="2521"/>
      <c r="B478" s="2526"/>
      <c r="C478" s="2521"/>
      <c r="D478" s="2521"/>
      <c r="E478" s="2521"/>
      <c r="F478" s="2521"/>
      <c r="G478" s="2521"/>
      <c r="H478" s="2521"/>
      <c r="I478" s="2521"/>
      <c r="J478" s="2521"/>
      <c r="K478" s="2521"/>
      <c r="L478" s="2521"/>
      <c r="M478" s="2521"/>
      <c r="N478" s="2521"/>
      <c r="O478" s="2521"/>
      <c r="P478" s="2521"/>
      <c r="Q478" s="2521"/>
      <c r="R478" s="2521"/>
      <c r="S478" s="2521"/>
      <c r="T478" s="2521"/>
      <c r="U478" s="2521"/>
      <c r="V478" s="2521"/>
      <c r="W478" s="2521"/>
      <c r="X478" s="2521"/>
      <c r="Y478" s="2521"/>
      <c r="Z478" s="2521"/>
    </row>
    <row r="479" spans="1:26" ht="16.5" customHeight="1">
      <c r="A479" s="2521"/>
      <c r="B479" s="2526"/>
      <c r="C479" s="2521"/>
      <c r="D479" s="2521"/>
      <c r="E479" s="2521"/>
      <c r="F479" s="2521"/>
      <c r="G479" s="2521"/>
      <c r="H479" s="2521"/>
      <c r="I479" s="2521"/>
      <c r="J479" s="2521"/>
      <c r="K479" s="2521"/>
      <c r="L479" s="2521"/>
      <c r="M479" s="2521"/>
      <c r="N479" s="2521"/>
      <c r="O479" s="2521"/>
      <c r="P479" s="2521"/>
      <c r="Q479" s="2521"/>
      <c r="R479" s="2521"/>
      <c r="S479" s="2521"/>
      <c r="T479" s="2521"/>
      <c r="U479" s="2521"/>
      <c r="V479" s="2521"/>
      <c r="W479" s="2521"/>
      <c r="X479" s="2521"/>
      <c r="Y479" s="2521"/>
      <c r="Z479" s="2521"/>
    </row>
    <row r="480" spans="1:26" ht="16.5" customHeight="1">
      <c r="A480" s="2521"/>
      <c r="B480" s="2526"/>
      <c r="C480" s="2521"/>
      <c r="D480" s="2521"/>
      <c r="E480" s="2521"/>
      <c r="F480" s="2521"/>
      <c r="G480" s="2521"/>
      <c r="H480" s="2521"/>
      <c r="I480" s="2521"/>
      <c r="J480" s="2521"/>
      <c r="K480" s="2521"/>
      <c r="L480" s="2521"/>
      <c r="M480" s="2521"/>
      <c r="N480" s="2521"/>
      <c r="O480" s="2521"/>
      <c r="P480" s="2521"/>
      <c r="Q480" s="2521"/>
      <c r="R480" s="2521"/>
      <c r="S480" s="2521"/>
      <c r="T480" s="2521"/>
      <c r="U480" s="2521"/>
      <c r="V480" s="2521"/>
      <c r="W480" s="2521"/>
      <c r="X480" s="2521"/>
      <c r="Y480" s="2521"/>
      <c r="Z480" s="2521"/>
    </row>
    <row r="481" spans="1:26" ht="16.5" customHeight="1">
      <c r="A481" s="2521"/>
      <c r="B481" s="2526"/>
      <c r="C481" s="2521"/>
      <c r="D481" s="2521"/>
      <c r="E481" s="2521"/>
      <c r="F481" s="2521"/>
      <c r="G481" s="2521"/>
      <c r="H481" s="2521"/>
      <c r="I481" s="2521"/>
      <c r="J481" s="2521"/>
      <c r="K481" s="2521"/>
      <c r="L481" s="2521"/>
      <c r="M481" s="2521"/>
      <c r="N481" s="2521"/>
      <c r="O481" s="2521"/>
      <c r="P481" s="2521"/>
      <c r="Q481" s="2521"/>
      <c r="R481" s="2521"/>
      <c r="S481" s="2521"/>
      <c r="T481" s="2521"/>
      <c r="U481" s="2521"/>
      <c r="V481" s="2521"/>
      <c r="W481" s="2521"/>
      <c r="X481" s="2521"/>
      <c r="Y481" s="2521"/>
      <c r="Z481" s="2521"/>
    </row>
    <row r="482" spans="1:26" ht="16.5" customHeight="1">
      <c r="A482" s="2521"/>
      <c r="B482" s="2526"/>
      <c r="C482" s="2521"/>
      <c r="D482" s="2521"/>
      <c r="E482" s="2521"/>
      <c r="F482" s="2521"/>
      <c r="G482" s="2521"/>
      <c r="H482" s="2521"/>
      <c r="I482" s="2521"/>
      <c r="J482" s="2521"/>
      <c r="K482" s="2521"/>
      <c r="L482" s="2521"/>
      <c r="M482" s="2521"/>
      <c r="N482" s="2521"/>
      <c r="O482" s="2521"/>
      <c r="P482" s="2521"/>
      <c r="Q482" s="2521"/>
      <c r="R482" s="2521"/>
      <c r="S482" s="2521"/>
      <c r="T482" s="2521"/>
      <c r="U482" s="2521"/>
      <c r="V482" s="2521"/>
      <c r="W482" s="2521"/>
      <c r="X482" s="2521"/>
      <c r="Y482" s="2521"/>
      <c r="Z482" s="2521"/>
    </row>
    <row r="483" spans="1:26" ht="16.5" customHeight="1">
      <c r="A483" s="2521"/>
      <c r="B483" s="2526"/>
      <c r="C483" s="2521"/>
      <c r="D483" s="2521"/>
      <c r="E483" s="2521"/>
      <c r="F483" s="2521"/>
      <c r="G483" s="2521"/>
      <c r="H483" s="2521"/>
      <c r="I483" s="2521"/>
      <c r="J483" s="2521"/>
      <c r="K483" s="2521"/>
      <c r="L483" s="2521"/>
      <c r="M483" s="2521"/>
      <c r="N483" s="2521"/>
      <c r="O483" s="2521"/>
      <c r="P483" s="2521"/>
      <c r="Q483" s="2521"/>
      <c r="R483" s="2521"/>
      <c r="S483" s="2521"/>
      <c r="T483" s="2521"/>
      <c r="U483" s="2521"/>
      <c r="V483" s="2521"/>
      <c r="W483" s="2521"/>
      <c r="X483" s="2521"/>
      <c r="Y483" s="2521"/>
      <c r="Z483" s="2521"/>
    </row>
    <row r="484" spans="1:26" ht="16.5" customHeight="1">
      <c r="A484" s="2521"/>
      <c r="B484" s="2526"/>
      <c r="C484" s="2521"/>
      <c r="D484" s="2521"/>
      <c r="E484" s="2521"/>
      <c r="F484" s="2521"/>
      <c r="G484" s="2521"/>
      <c r="H484" s="2521"/>
      <c r="I484" s="2521"/>
      <c r="J484" s="2521"/>
      <c r="K484" s="2521"/>
      <c r="L484" s="2521"/>
      <c r="M484" s="2521"/>
      <c r="N484" s="2521"/>
      <c r="O484" s="2521"/>
      <c r="P484" s="2521"/>
      <c r="Q484" s="2521"/>
      <c r="R484" s="2521"/>
      <c r="S484" s="2521"/>
      <c r="T484" s="2521"/>
      <c r="U484" s="2521"/>
      <c r="V484" s="2521"/>
      <c r="W484" s="2521"/>
      <c r="X484" s="2521"/>
      <c r="Y484" s="2521"/>
      <c r="Z484" s="2521"/>
    </row>
    <row r="485" spans="1:26" ht="16.5" customHeight="1">
      <c r="A485" s="2521"/>
      <c r="B485" s="2526"/>
      <c r="C485" s="2521"/>
      <c r="D485" s="2521"/>
      <c r="E485" s="2521"/>
      <c r="F485" s="2521"/>
      <c r="G485" s="2521"/>
      <c r="H485" s="2521"/>
      <c r="I485" s="2521"/>
      <c r="J485" s="2521"/>
      <c r="K485" s="2521"/>
      <c r="L485" s="2521"/>
      <c r="M485" s="2521"/>
      <c r="N485" s="2521"/>
      <c r="O485" s="2521"/>
      <c r="P485" s="2521"/>
      <c r="Q485" s="2521"/>
      <c r="R485" s="2521"/>
      <c r="S485" s="2521"/>
      <c r="T485" s="2521"/>
      <c r="U485" s="2521"/>
      <c r="V485" s="2521"/>
      <c r="W485" s="2521"/>
      <c r="X485" s="2521"/>
      <c r="Y485" s="2521"/>
      <c r="Z485" s="2521"/>
    </row>
    <row r="486" spans="1:26" ht="16.5" customHeight="1">
      <c r="A486" s="2521"/>
      <c r="B486" s="2526"/>
      <c r="C486" s="2521"/>
      <c r="D486" s="2521"/>
      <c r="E486" s="2521"/>
      <c r="F486" s="2521"/>
      <c r="G486" s="2521"/>
      <c r="H486" s="2521"/>
      <c r="I486" s="2521"/>
      <c r="J486" s="2521"/>
      <c r="K486" s="2521"/>
      <c r="L486" s="2521"/>
      <c r="M486" s="2521"/>
      <c r="N486" s="2521"/>
      <c r="O486" s="2521"/>
      <c r="P486" s="2521"/>
      <c r="Q486" s="2521"/>
      <c r="R486" s="2521"/>
      <c r="S486" s="2521"/>
      <c r="T486" s="2521"/>
      <c r="U486" s="2521"/>
      <c r="V486" s="2521"/>
      <c r="W486" s="2521"/>
      <c r="X486" s="2521"/>
      <c r="Y486" s="2521"/>
      <c r="Z486" s="2521"/>
    </row>
    <row r="487" spans="1:26" ht="16.5" customHeight="1">
      <c r="A487" s="2521"/>
      <c r="B487" s="2526"/>
      <c r="C487" s="2521"/>
      <c r="D487" s="2521"/>
      <c r="E487" s="2521"/>
      <c r="F487" s="2521"/>
      <c r="G487" s="2521"/>
      <c r="H487" s="2521"/>
      <c r="I487" s="2521"/>
      <c r="J487" s="2521"/>
      <c r="K487" s="2521"/>
      <c r="L487" s="2521"/>
      <c r="M487" s="2521"/>
      <c r="N487" s="2521"/>
      <c r="O487" s="2521"/>
      <c r="P487" s="2521"/>
      <c r="Q487" s="2521"/>
      <c r="R487" s="2521"/>
      <c r="S487" s="2521"/>
      <c r="T487" s="2521"/>
      <c r="U487" s="2521"/>
      <c r="V487" s="2521"/>
      <c r="W487" s="2521"/>
      <c r="X487" s="2521"/>
      <c r="Y487" s="2521"/>
      <c r="Z487" s="2521"/>
    </row>
    <row r="488" spans="1:26" ht="16.5" customHeight="1">
      <c r="A488" s="2521"/>
      <c r="B488" s="2526"/>
      <c r="C488" s="2521"/>
      <c r="D488" s="2521"/>
      <c r="E488" s="2521"/>
      <c r="F488" s="2521"/>
      <c r="G488" s="2521"/>
      <c r="H488" s="2521"/>
      <c r="I488" s="2521"/>
      <c r="J488" s="2521"/>
      <c r="K488" s="2521"/>
      <c r="L488" s="2521"/>
      <c r="M488" s="2521"/>
      <c r="N488" s="2521"/>
      <c r="O488" s="2521"/>
      <c r="P488" s="2521"/>
      <c r="Q488" s="2521"/>
      <c r="R488" s="2521"/>
      <c r="S488" s="2521"/>
      <c r="T488" s="2521"/>
      <c r="U488" s="2521"/>
      <c r="V488" s="2521"/>
      <c r="W488" s="2521"/>
      <c r="X488" s="2521"/>
      <c r="Y488" s="2521"/>
      <c r="Z488" s="2521"/>
    </row>
    <row r="489" spans="1:26" ht="16.5" customHeight="1">
      <c r="A489" s="2521"/>
      <c r="B489" s="2526"/>
      <c r="C489" s="2521"/>
      <c r="D489" s="2521"/>
      <c r="E489" s="2521"/>
      <c r="F489" s="2521"/>
      <c r="G489" s="2521"/>
      <c r="H489" s="2521"/>
      <c r="I489" s="2521"/>
      <c r="J489" s="2521"/>
      <c r="K489" s="2521"/>
      <c r="L489" s="2521"/>
      <c r="M489" s="2521"/>
      <c r="N489" s="2521"/>
      <c r="O489" s="2521"/>
      <c r="P489" s="2521"/>
      <c r="Q489" s="2521"/>
      <c r="R489" s="2521"/>
      <c r="S489" s="2521"/>
      <c r="T489" s="2521"/>
      <c r="U489" s="2521"/>
      <c r="V489" s="2521"/>
      <c r="W489" s="2521"/>
      <c r="X489" s="2521"/>
      <c r="Y489" s="2521"/>
      <c r="Z489" s="2521"/>
    </row>
    <row r="490" spans="1:26" ht="16.5" customHeight="1">
      <c r="A490" s="2521"/>
      <c r="B490" s="2526"/>
      <c r="C490" s="2521"/>
      <c r="D490" s="2521"/>
      <c r="E490" s="2521"/>
      <c r="F490" s="2521"/>
      <c r="G490" s="2521"/>
      <c r="H490" s="2521"/>
      <c r="I490" s="2521"/>
      <c r="J490" s="2521"/>
      <c r="K490" s="2521"/>
      <c r="L490" s="2521"/>
      <c r="M490" s="2521"/>
      <c r="N490" s="2521"/>
      <c r="O490" s="2521"/>
      <c r="P490" s="2521"/>
      <c r="Q490" s="2521"/>
      <c r="R490" s="2521"/>
      <c r="S490" s="2521"/>
      <c r="T490" s="2521"/>
      <c r="U490" s="2521"/>
      <c r="V490" s="2521"/>
      <c r="W490" s="2521"/>
      <c r="X490" s="2521"/>
      <c r="Y490" s="2521"/>
      <c r="Z490" s="2521"/>
    </row>
    <row r="491" spans="1:26" ht="16.5" customHeight="1">
      <c r="A491" s="2521"/>
      <c r="B491" s="2526"/>
      <c r="C491" s="2521"/>
      <c r="D491" s="2521"/>
      <c r="E491" s="2521"/>
      <c r="F491" s="2521"/>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row>
    <row r="492" spans="1:26" ht="16.5" customHeight="1">
      <c r="A492" s="2521"/>
      <c r="B492" s="2526"/>
      <c r="C492" s="2521"/>
      <c r="D492" s="2521"/>
      <c r="E492" s="2521"/>
      <c r="F492" s="2521"/>
      <c r="G492" s="2521"/>
      <c r="H492" s="2521"/>
      <c r="I492" s="2521"/>
      <c r="J492" s="2521"/>
      <c r="K492" s="2521"/>
      <c r="L492" s="2521"/>
      <c r="M492" s="2521"/>
      <c r="N492" s="2521"/>
      <c r="O492" s="2521"/>
      <c r="P492" s="2521"/>
      <c r="Q492" s="2521"/>
      <c r="R492" s="2521"/>
      <c r="S492" s="2521"/>
      <c r="T492" s="2521"/>
      <c r="U492" s="2521"/>
      <c r="V492" s="2521"/>
      <c r="W492" s="2521"/>
      <c r="X492" s="2521"/>
      <c r="Y492" s="2521"/>
      <c r="Z492" s="2521"/>
    </row>
    <row r="493" spans="1:26" ht="16.5" customHeight="1">
      <c r="A493" s="2521"/>
      <c r="B493" s="2526"/>
      <c r="C493" s="2521"/>
      <c r="D493" s="2521"/>
      <c r="E493" s="2521"/>
      <c r="F493" s="2521"/>
      <c r="G493" s="2521"/>
      <c r="H493" s="2521"/>
      <c r="I493" s="2521"/>
      <c r="J493" s="2521"/>
      <c r="K493" s="2521"/>
      <c r="L493" s="2521"/>
      <c r="M493" s="2521"/>
      <c r="N493" s="2521"/>
      <c r="O493" s="2521"/>
      <c r="P493" s="2521"/>
      <c r="Q493" s="2521"/>
      <c r="R493" s="2521"/>
      <c r="S493" s="2521"/>
      <c r="T493" s="2521"/>
      <c r="U493" s="2521"/>
      <c r="V493" s="2521"/>
      <c r="W493" s="2521"/>
      <c r="X493" s="2521"/>
      <c r="Y493" s="2521"/>
      <c r="Z493" s="2521"/>
    </row>
    <row r="494" spans="1:26" ht="16.5" customHeight="1">
      <c r="A494" s="2521"/>
      <c r="B494" s="2526"/>
      <c r="C494" s="2521"/>
      <c r="D494" s="2521"/>
      <c r="E494" s="2521"/>
      <c r="F494" s="2521"/>
      <c r="G494" s="2521"/>
      <c r="H494" s="2521"/>
      <c r="I494" s="2521"/>
      <c r="J494" s="2521"/>
      <c r="K494" s="2521"/>
      <c r="L494" s="2521"/>
      <c r="M494" s="2521"/>
      <c r="N494" s="2521"/>
      <c r="O494" s="2521"/>
      <c r="P494" s="2521"/>
      <c r="Q494" s="2521"/>
      <c r="R494" s="2521"/>
      <c r="S494" s="2521"/>
      <c r="T494" s="2521"/>
      <c r="U494" s="2521"/>
      <c r="V494" s="2521"/>
      <c r="W494" s="2521"/>
      <c r="X494" s="2521"/>
      <c r="Y494" s="2521"/>
      <c r="Z494" s="2521"/>
    </row>
    <row r="495" spans="1:26" ht="16.5" customHeight="1">
      <c r="A495" s="2521"/>
      <c r="B495" s="2526"/>
      <c r="C495" s="2521"/>
      <c r="D495" s="2521"/>
      <c r="E495" s="2521"/>
      <c r="F495" s="2521"/>
      <c r="G495" s="2521"/>
      <c r="H495" s="2521"/>
      <c r="I495" s="2521"/>
      <c r="J495" s="2521"/>
      <c r="K495" s="2521"/>
      <c r="L495" s="2521"/>
      <c r="M495" s="2521"/>
      <c r="N495" s="2521"/>
      <c r="O495" s="2521"/>
      <c r="P495" s="2521"/>
      <c r="Q495" s="2521"/>
      <c r="R495" s="2521"/>
      <c r="S495" s="2521"/>
      <c r="T495" s="2521"/>
      <c r="U495" s="2521"/>
      <c r="V495" s="2521"/>
      <c r="W495" s="2521"/>
      <c r="X495" s="2521"/>
      <c r="Y495" s="2521"/>
      <c r="Z495" s="2521"/>
    </row>
    <row r="496" spans="1:26" ht="16.5" customHeight="1">
      <c r="A496" s="2521"/>
      <c r="B496" s="2526"/>
      <c r="C496" s="2521"/>
      <c r="D496" s="2521"/>
      <c r="E496" s="2521"/>
      <c r="F496" s="2521"/>
      <c r="G496" s="2521"/>
      <c r="H496" s="2521"/>
      <c r="I496" s="2521"/>
      <c r="J496" s="2521"/>
      <c r="K496" s="2521"/>
      <c r="L496" s="2521"/>
      <c r="M496" s="2521"/>
      <c r="N496" s="2521"/>
      <c r="O496" s="2521"/>
      <c r="P496" s="2521"/>
      <c r="Q496" s="2521"/>
      <c r="R496" s="2521"/>
      <c r="S496" s="2521"/>
      <c r="T496" s="2521"/>
      <c r="U496" s="2521"/>
      <c r="V496" s="2521"/>
      <c r="W496" s="2521"/>
      <c r="X496" s="2521"/>
      <c r="Y496" s="2521"/>
      <c r="Z496" s="2521"/>
    </row>
    <row r="497" spans="1:26" ht="16.5" customHeight="1">
      <c r="A497" s="2521"/>
      <c r="B497" s="2526"/>
      <c r="C497" s="2521"/>
      <c r="D497" s="2521"/>
      <c r="E497" s="2521"/>
      <c r="F497" s="2521"/>
      <c r="G497" s="2521"/>
      <c r="H497" s="2521"/>
      <c r="I497" s="2521"/>
      <c r="J497" s="2521"/>
      <c r="K497" s="2521"/>
      <c r="L497" s="2521"/>
      <c r="M497" s="2521"/>
      <c r="N497" s="2521"/>
      <c r="O497" s="2521"/>
      <c r="P497" s="2521"/>
      <c r="Q497" s="2521"/>
      <c r="R497" s="2521"/>
      <c r="S497" s="2521"/>
      <c r="T497" s="2521"/>
      <c r="U497" s="2521"/>
      <c r="V497" s="2521"/>
      <c r="W497" s="2521"/>
      <c r="X497" s="2521"/>
      <c r="Y497" s="2521"/>
      <c r="Z497" s="2521"/>
    </row>
    <row r="498" spans="1:26" ht="16.5" customHeight="1">
      <c r="A498" s="2521"/>
      <c r="B498" s="2526"/>
      <c r="C498" s="2521"/>
      <c r="D498" s="2521"/>
      <c r="E498" s="2521"/>
      <c r="F498" s="2521"/>
      <c r="G498" s="2521"/>
      <c r="H498" s="2521"/>
      <c r="I498" s="2521"/>
      <c r="J498" s="2521"/>
      <c r="K498" s="2521"/>
      <c r="L498" s="2521"/>
      <c r="M498" s="2521"/>
      <c r="N498" s="2521"/>
      <c r="O498" s="2521"/>
      <c r="P498" s="2521"/>
      <c r="Q498" s="2521"/>
      <c r="R498" s="2521"/>
      <c r="S498" s="2521"/>
      <c r="T498" s="2521"/>
      <c r="U498" s="2521"/>
      <c r="V498" s="2521"/>
      <c r="W498" s="2521"/>
      <c r="X498" s="2521"/>
      <c r="Y498" s="2521"/>
      <c r="Z498" s="2521"/>
    </row>
    <row r="499" spans="1:26" ht="16.5" customHeight="1">
      <c r="A499" s="2521"/>
      <c r="B499" s="2526"/>
      <c r="C499" s="2521"/>
      <c r="D499" s="2521"/>
      <c r="E499" s="2521"/>
      <c r="F499" s="2521"/>
      <c r="G499" s="2521"/>
      <c r="H499" s="2521"/>
      <c r="I499" s="2521"/>
      <c r="J499" s="2521"/>
      <c r="K499" s="2521"/>
      <c r="L499" s="2521"/>
      <c r="M499" s="2521"/>
      <c r="N499" s="2521"/>
      <c r="O499" s="2521"/>
      <c r="P499" s="2521"/>
      <c r="Q499" s="2521"/>
      <c r="R499" s="2521"/>
      <c r="S499" s="2521"/>
      <c r="T499" s="2521"/>
      <c r="U499" s="2521"/>
      <c r="V499" s="2521"/>
      <c r="W499" s="2521"/>
      <c r="X499" s="2521"/>
      <c r="Y499" s="2521"/>
      <c r="Z499" s="2521"/>
    </row>
    <row r="500" spans="1:26" ht="16.5" customHeight="1">
      <c r="A500" s="2521"/>
      <c r="B500" s="2526"/>
      <c r="C500" s="2521"/>
      <c r="D500" s="2521"/>
      <c r="E500" s="2521"/>
      <c r="F500" s="2521"/>
      <c r="G500" s="2521"/>
      <c r="H500" s="2521"/>
      <c r="I500" s="2521"/>
      <c r="J500" s="2521"/>
      <c r="K500" s="2521"/>
      <c r="L500" s="2521"/>
      <c r="M500" s="2521"/>
      <c r="N500" s="2521"/>
      <c r="O500" s="2521"/>
      <c r="P500" s="2521"/>
      <c r="Q500" s="2521"/>
      <c r="R500" s="2521"/>
      <c r="S500" s="2521"/>
      <c r="T500" s="2521"/>
      <c r="U500" s="2521"/>
      <c r="V500" s="2521"/>
      <c r="W500" s="2521"/>
      <c r="X500" s="2521"/>
      <c r="Y500" s="2521"/>
      <c r="Z500" s="2521"/>
    </row>
    <row r="501" spans="1:26" ht="16.5" customHeight="1">
      <c r="A501" s="2521"/>
      <c r="B501" s="2526"/>
      <c r="C501" s="2521"/>
      <c r="D501" s="2521"/>
      <c r="E501" s="2521"/>
      <c r="F501" s="2521"/>
      <c r="G501" s="2521"/>
      <c r="H501" s="2521"/>
      <c r="I501" s="2521"/>
      <c r="J501" s="2521"/>
      <c r="K501" s="2521"/>
      <c r="L501" s="2521"/>
      <c r="M501" s="2521"/>
      <c r="N501" s="2521"/>
      <c r="O501" s="2521"/>
      <c r="P501" s="2521"/>
      <c r="Q501" s="2521"/>
      <c r="R501" s="2521"/>
      <c r="S501" s="2521"/>
      <c r="T501" s="2521"/>
      <c r="U501" s="2521"/>
      <c r="V501" s="2521"/>
      <c r="W501" s="2521"/>
      <c r="X501" s="2521"/>
      <c r="Y501" s="2521"/>
      <c r="Z501" s="2521"/>
    </row>
    <row r="502" spans="1:26" ht="16.5" customHeight="1">
      <c r="A502" s="2521"/>
      <c r="B502" s="2526"/>
      <c r="C502" s="2521"/>
      <c r="D502" s="2521"/>
      <c r="E502" s="2521"/>
      <c r="F502" s="2521"/>
      <c r="G502" s="2521"/>
      <c r="H502" s="2521"/>
      <c r="I502" s="2521"/>
      <c r="J502" s="2521"/>
      <c r="K502" s="2521"/>
      <c r="L502" s="2521"/>
      <c r="M502" s="2521"/>
      <c r="N502" s="2521"/>
      <c r="O502" s="2521"/>
      <c r="P502" s="2521"/>
      <c r="Q502" s="2521"/>
      <c r="R502" s="2521"/>
      <c r="S502" s="2521"/>
      <c r="T502" s="2521"/>
      <c r="U502" s="2521"/>
      <c r="V502" s="2521"/>
      <c r="W502" s="2521"/>
      <c r="X502" s="2521"/>
      <c r="Y502" s="2521"/>
      <c r="Z502" s="2521"/>
    </row>
    <row r="503" spans="1:26" ht="16.5" customHeight="1">
      <c r="A503" s="2521"/>
      <c r="B503" s="2526"/>
      <c r="C503" s="2521"/>
      <c r="D503" s="2521"/>
      <c r="E503" s="2521"/>
      <c r="F503" s="2521"/>
      <c r="G503" s="2521"/>
      <c r="H503" s="2521"/>
      <c r="I503" s="2521"/>
      <c r="J503" s="2521"/>
      <c r="K503" s="2521"/>
      <c r="L503" s="2521"/>
      <c r="M503" s="2521"/>
      <c r="N503" s="2521"/>
      <c r="O503" s="2521"/>
      <c r="P503" s="2521"/>
      <c r="Q503" s="2521"/>
      <c r="R503" s="2521"/>
      <c r="S503" s="2521"/>
      <c r="T503" s="2521"/>
      <c r="U503" s="2521"/>
      <c r="V503" s="2521"/>
      <c r="W503" s="2521"/>
      <c r="X503" s="2521"/>
      <c r="Y503" s="2521"/>
      <c r="Z503" s="2521"/>
    </row>
    <row r="504" spans="1:26" ht="16.5" customHeight="1">
      <c r="A504" s="2521"/>
      <c r="B504" s="2526"/>
      <c r="C504" s="2521"/>
      <c r="D504" s="2521"/>
      <c r="E504" s="2521"/>
      <c r="F504" s="2521"/>
      <c r="G504" s="2521"/>
      <c r="H504" s="2521"/>
      <c r="I504" s="2521"/>
      <c r="J504" s="2521"/>
      <c r="K504" s="2521"/>
      <c r="L504" s="2521"/>
      <c r="M504" s="2521"/>
      <c r="N504" s="2521"/>
      <c r="O504" s="2521"/>
      <c r="P504" s="2521"/>
      <c r="Q504" s="2521"/>
      <c r="R504" s="2521"/>
      <c r="S504" s="2521"/>
      <c r="T504" s="2521"/>
      <c r="U504" s="2521"/>
      <c r="V504" s="2521"/>
      <c r="W504" s="2521"/>
      <c r="X504" s="2521"/>
      <c r="Y504" s="2521"/>
      <c r="Z504" s="2521"/>
    </row>
    <row r="505" spans="1:26" ht="16.5" customHeight="1">
      <c r="A505" s="2521"/>
      <c r="B505" s="2526"/>
      <c r="C505" s="2521"/>
      <c r="D505" s="2521"/>
      <c r="E505" s="2521"/>
      <c r="F505" s="2521"/>
      <c r="G505" s="2521"/>
      <c r="H505" s="2521"/>
      <c r="I505" s="2521"/>
      <c r="J505" s="2521"/>
      <c r="K505" s="2521"/>
      <c r="L505" s="2521"/>
      <c r="M505" s="2521"/>
      <c r="N505" s="2521"/>
      <c r="O505" s="2521"/>
      <c r="P505" s="2521"/>
      <c r="Q505" s="2521"/>
      <c r="R505" s="2521"/>
      <c r="S505" s="2521"/>
      <c r="T505" s="2521"/>
      <c r="U505" s="2521"/>
      <c r="V505" s="2521"/>
      <c r="W505" s="2521"/>
      <c r="X505" s="2521"/>
      <c r="Y505" s="2521"/>
      <c r="Z505" s="2521"/>
    </row>
    <row r="506" spans="1:26" ht="16.5" customHeight="1">
      <c r="A506" s="2521"/>
      <c r="B506" s="2526"/>
      <c r="C506" s="2521"/>
      <c r="D506" s="2521"/>
      <c r="E506" s="2521"/>
      <c r="F506" s="2521"/>
      <c r="G506" s="2521"/>
      <c r="H506" s="2521"/>
      <c r="I506" s="2521"/>
      <c r="J506" s="2521"/>
      <c r="K506" s="2521"/>
      <c r="L506" s="2521"/>
      <c r="M506" s="2521"/>
      <c r="N506" s="2521"/>
      <c r="O506" s="2521"/>
      <c r="P506" s="2521"/>
      <c r="Q506" s="2521"/>
      <c r="R506" s="2521"/>
      <c r="S506" s="2521"/>
      <c r="T506" s="2521"/>
      <c r="U506" s="2521"/>
      <c r="V506" s="2521"/>
      <c r="W506" s="2521"/>
      <c r="X506" s="2521"/>
      <c r="Y506" s="2521"/>
      <c r="Z506" s="2521"/>
    </row>
    <row r="507" spans="1:26" ht="16.5" customHeight="1">
      <c r="A507" s="2521"/>
      <c r="B507" s="2526"/>
      <c r="C507" s="2521"/>
      <c r="D507" s="2521"/>
      <c r="E507" s="2521"/>
      <c r="F507" s="2521"/>
      <c r="G507" s="2521"/>
      <c r="H507" s="2521"/>
      <c r="I507" s="2521"/>
      <c r="J507" s="2521"/>
      <c r="K507" s="2521"/>
      <c r="L507" s="2521"/>
      <c r="M507" s="2521"/>
      <c r="N507" s="2521"/>
      <c r="O507" s="2521"/>
      <c r="P507" s="2521"/>
      <c r="Q507" s="2521"/>
      <c r="R507" s="2521"/>
      <c r="S507" s="2521"/>
      <c r="T507" s="2521"/>
      <c r="U507" s="2521"/>
      <c r="V507" s="2521"/>
      <c r="W507" s="2521"/>
      <c r="X507" s="2521"/>
      <c r="Y507" s="2521"/>
      <c r="Z507" s="2521"/>
    </row>
    <row r="508" spans="1:26" ht="16.5" customHeight="1">
      <c r="A508" s="2521"/>
      <c r="B508" s="2526"/>
      <c r="C508" s="2521"/>
      <c r="D508" s="2521"/>
      <c r="E508" s="2521"/>
      <c r="F508" s="2521"/>
      <c r="G508" s="2521"/>
      <c r="H508" s="2521"/>
      <c r="I508" s="2521"/>
      <c r="J508" s="2521"/>
      <c r="K508" s="2521"/>
      <c r="L508" s="2521"/>
      <c r="M508" s="2521"/>
      <c r="N508" s="2521"/>
      <c r="O508" s="2521"/>
      <c r="P508" s="2521"/>
      <c r="Q508" s="2521"/>
      <c r="R508" s="2521"/>
      <c r="S508" s="2521"/>
      <c r="T508" s="2521"/>
      <c r="U508" s="2521"/>
      <c r="V508" s="2521"/>
      <c r="W508" s="2521"/>
      <c r="X508" s="2521"/>
      <c r="Y508" s="2521"/>
      <c r="Z508" s="2521"/>
    </row>
    <row r="509" spans="1:26" ht="16.5" customHeight="1">
      <c r="A509" s="2521"/>
      <c r="B509" s="2526"/>
      <c r="C509" s="2521"/>
      <c r="D509" s="2521"/>
      <c r="E509" s="2521"/>
      <c r="F509" s="2521"/>
      <c r="G509" s="2521"/>
      <c r="H509" s="2521"/>
      <c r="I509" s="2521"/>
      <c r="J509" s="2521"/>
      <c r="K509" s="2521"/>
      <c r="L509" s="2521"/>
      <c r="M509" s="2521"/>
      <c r="N509" s="2521"/>
      <c r="O509" s="2521"/>
      <c r="P509" s="2521"/>
      <c r="Q509" s="2521"/>
      <c r="R509" s="2521"/>
      <c r="S509" s="2521"/>
      <c r="T509" s="2521"/>
      <c r="U509" s="2521"/>
      <c r="V509" s="2521"/>
      <c r="W509" s="2521"/>
      <c r="X509" s="2521"/>
      <c r="Y509" s="2521"/>
      <c r="Z509" s="2521"/>
    </row>
    <row r="510" spans="1:26" ht="16.5" customHeight="1">
      <c r="A510" s="2521"/>
      <c r="B510" s="2526"/>
      <c r="C510" s="2521"/>
      <c r="D510" s="2521"/>
      <c r="E510" s="2521"/>
      <c r="F510" s="2521"/>
      <c r="G510" s="2521"/>
      <c r="H510" s="2521"/>
      <c r="I510" s="2521"/>
      <c r="J510" s="2521"/>
      <c r="K510" s="2521"/>
      <c r="L510" s="2521"/>
      <c r="M510" s="2521"/>
      <c r="N510" s="2521"/>
      <c r="O510" s="2521"/>
      <c r="P510" s="2521"/>
      <c r="Q510" s="2521"/>
      <c r="R510" s="2521"/>
      <c r="S510" s="2521"/>
      <c r="T510" s="2521"/>
      <c r="U510" s="2521"/>
      <c r="V510" s="2521"/>
      <c r="W510" s="2521"/>
      <c r="X510" s="2521"/>
      <c r="Y510" s="2521"/>
      <c r="Z510" s="2521"/>
    </row>
    <row r="511" spans="1:26" ht="16.5" customHeight="1">
      <c r="A511" s="2521"/>
      <c r="B511" s="2526"/>
      <c r="C511" s="2521"/>
      <c r="D511" s="2521"/>
      <c r="E511" s="2521"/>
      <c r="F511" s="2521"/>
      <c r="G511" s="2521"/>
      <c r="H511" s="2521"/>
      <c r="I511" s="2521"/>
      <c r="J511" s="2521"/>
      <c r="K511" s="2521"/>
      <c r="L511" s="2521"/>
      <c r="M511" s="2521"/>
      <c r="N511" s="2521"/>
      <c r="O511" s="2521"/>
      <c r="P511" s="2521"/>
      <c r="Q511" s="2521"/>
      <c r="R511" s="2521"/>
      <c r="S511" s="2521"/>
      <c r="T511" s="2521"/>
      <c r="U511" s="2521"/>
      <c r="V511" s="2521"/>
      <c r="W511" s="2521"/>
      <c r="X511" s="2521"/>
      <c r="Y511" s="2521"/>
      <c r="Z511" s="2521"/>
    </row>
    <row r="512" spans="1:26" ht="16.5" customHeight="1">
      <c r="A512" s="2521"/>
      <c r="B512" s="2526"/>
      <c r="C512" s="2521"/>
      <c r="D512" s="2521"/>
      <c r="E512" s="2521"/>
      <c r="F512" s="2521"/>
      <c r="G512" s="2521"/>
      <c r="H512" s="2521"/>
      <c r="I512" s="2521"/>
      <c r="J512" s="2521"/>
      <c r="K512" s="2521"/>
      <c r="L512" s="2521"/>
      <c r="M512" s="2521"/>
      <c r="N512" s="2521"/>
      <c r="O512" s="2521"/>
      <c r="P512" s="2521"/>
      <c r="Q512" s="2521"/>
      <c r="R512" s="2521"/>
      <c r="S512" s="2521"/>
      <c r="T512" s="2521"/>
      <c r="U512" s="2521"/>
      <c r="V512" s="2521"/>
      <c r="W512" s="2521"/>
      <c r="X512" s="2521"/>
      <c r="Y512" s="2521"/>
      <c r="Z512" s="2521"/>
    </row>
    <row r="513" spans="1:26" ht="16.5" customHeight="1">
      <c r="A513" s="2521"/>
      <c r="B513" s="2526"/>
      <c r="C513" s="2521"/>
      <c r="D513" s="2521"/>
      <c r="E513" s="2521"/>
      <c r="F513" s="2521"/>
      <c r="G513" s="2521"/>
      <c r="H513" s="2521"/>
      <c r="I513" s="2521"/>
      <c r="J513" s="2521"/>
      <c r="K513" s="2521"/>
      <c r="L513" s="2521"/>
      <c r="M513" s="2521"/>
      <c r="N513" s="2521"/>
      <c r="O513" s="2521"/>
      <c r="P513" s="2521"/>
      <c r="Q513" s="2521"/>
      <c r="R513" s="2521"/>
      <c r="S513" s="2521"/>
      <c r="T513" s="2521"/>
      <c r="U513" s="2521"/>
      <c r="V513" s="2521"/>
      <c r="W513" s="2521"/>
      <c r="X513" s="2521"/>
      <c r="Y513" s="2521"/>
      <c r="Z513" s="2521"/>
    </row>
    <row r="514" spans="1:26" ht="16.5" customHeight="1">
      <c r="A514" s="2521"/>
      <c r="B514" s="2526"/>
      <c r="C514" s="2521"/>
      <c r="D514" s="2521"/>
      <c r="E514" s="2521"/>
      <c r="F514" s="2521"/>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row>
    <row r="515" spans="1:26" ht="16.5" customHeight="1">
      <c r="A515" s="2521"/>
      <c r="B515" s="2526"/>
      <c r="C515" s="2521"/>
      <c r="D515" s="2521"/>
      <c r="E515" s="2521"/>
      <c r="F515" s="2521"/>
      <c r="G515" s="2521"/>
      <c r="H515" s="2521"/>
      <c r="I515" s="2521"/>
      <c r="J515" s="2521"/>
      <c r="K515" s="2521"/>
      <c r="L515" s="2521"/>
      <c r="M515" s="2521"/>
      <c r="N515" s="2521"/>
      <c r="O515" s="2521"/>
      <c r="P515" s="2521"/>
      <c r="Q515" s="2521"/>
      <c r="R515" s="2521"/>
      <c r="S515" s="2521"/>
      <c r="T515" s="2521"/>
      <c r="U515" s="2521"/>
      <c r="V515" s="2521"/>
      <c r="W515" s="2521"/>
      <c r="X515" s="2521"/>
      <c r="Y515" s="2521"/>
      <c r="Z515" s="2521"/>
    </row>
    <row r="516" spans="1:26" ht="16.5" customHeight="1">
      <c r="A516" s="2521"/>
      <c r="B516" s="2526"/>
      <c r="C516" s="2521"/>
      <c r="D516" s="2521"/>
      <c r="E516" s="2521"/>
      <c r="F516" s="2521"/>
      <c r="G516" s="2521"/>
      <c r="H516" s="2521"/>
      <c r="I516" s="2521"/>
      <c r="J516" s="2521"/>
      <c r="K516" s="2521"/>
      <c r="L516" s="2521"/>
      <c r="M516" s="2521"/>
      <c r="N516" s="2521"/>
      <c r="O516" s="2521"/>
      <c r="P516" s="2521"/>
      <c r="Q516" s="2521"/>
      <c r="R516" s="2521"/>
      <c r="S516" s="2521"/>
      <c r="T516" s="2521"/>
      <c r="U516" s="2521"/>
      <c r="V516" s="2521"/>
      <c r="W516" s="2521"/>
      <c r="X516" s="2521"/>
      <c r="Y516" s="2521"/>
      <c r="Z516" s="2521"/>
    </row>
    <row r="517" spans="1:26" ht="16.5" customHeight="1">
      <c r="A517" s="2521"/>
      <c r="B517" s="2526"/>
      <c r="C517" s="2521"/>
      <c r="D517" s="2521"/>
      <c r="E517" s="2521"/>
      <c r="F517" s="2521"/>
      <c r="G517" s="2521"/>
      <c r="H517" s="2521"/>
      <c r="I517" s="2521"/>
      <c r="J517" s="2521"/>
      <c r="K517" s="2521"/>
      <c r="L517" s="2521"/>
      <c r="M517" s="2521"/>
      <c r="N517" s="2521"/>
      <c r="O517" s="2521"/>
      <c r="P517" s="2521"/>
      <c r="Q517" s="2521"/>
      <c r="R517" s="2521"/>
      <c r="S517" s="2521"/>
      <c r="T517" s="2521"/>
      <c r="U517" s="2521"/>
      <c r="V517" s="2521"/>
      <c r="W517" s="2521"/>
      <c r="X517" s="2521"/>
      <c r="Y517" s="2521"/>
      <c r="Z517" s="2521"/>
    </row>
    <row r="518" spans="1:26" ht="16.5" customHeight="1">
      <c r="A518" s="2521"/>
      <c r="B518" s="2526"/>
      <c r="C518" s="2521"/>
      <c r="D518" s="2521"/>
      <c r="E518" s="2521"/>
      <c r="F518" s="2521"/>
      <c r="G518" s="2521"/>
      <c r="H518" s="2521"/>
      <c r="I518" s="2521"/>
      <c r="J518" s="2521"/>
      <c r="K518" s="2521"/>
      <c r="L518" s="2521"/>
      <c r="M518" s="2521"/>
      <c r="N518" s="2521"/>
      <c r="O518" s="2521"/>
      <c r="P518" s="2521"/>
      <c r="Q518" s="2521"/>
      <c r="R518" s="2521"/>
      <c r="S518" s="2521"/>
      <c r="T518" s="2521"/>
      <c r="U518" s="2521"/>
      <c r="V518" s="2521"/>
      <c r="W518" s="2521"/>
      <c r="X518" s="2521"/>
      <c r="Y518" s="2521"/>
      <c r="Z518" s="2521"/>
    </row>
    <row r="519" spans="1:26" ht="16.5" customHeight="1">
      <c r="A519" s="2521"/>
      <c r="B519" s="2526"/>
      <c r="C519" s="2521"/>
      <c r="D519" s="2521"/>
      <c r="E519" s="2521"/>
      <c r="F519" s="2521"/>
      <c r="G519" s="2521"/>
      <c r="H519" s="2521"/>
      <c r="I519" s="2521"/>
      <c r="J519" s="2521"/>
      <c r="K519" s="2521"/>
      <c r="L519" s="2521"/>
      <c r="M519" s="2521"/>
      <c r="N519" s="2521"/>
      <c r="O519" s="2521"/>
      <c r="P519" s="2521"/>
      <c r="Q519" s="2521"/>
      <c r="R519" s="2521"/>
      <c r="S519" s="2521"/>
      <c r="T519" s="2521"/>
      <c r="U519" s="2521"/>
      <c r="V519" s="2521"/>
      <c r="W519" s="2521"/>
      <c r="X519" s="2521"/>
      <c r="Y519" s="2521"/>
      <c r="Z519" s="2521"/>
    </row>
    <row r="520" spans="1:26" ht="16.5" customHeight="1">
      <c r="A520" s="2521"/>
      <c r="B520" s="2526"/>
      <c r="C520" s="2521"/>
      <c r="D520" s="2521"/>
      <c r="E520" s="2521"/>
      <c r="F520" s="2521"/>
      <c r="G520" s="2521"/>
      <c r="H520" s="2521"/>
      <c r="I520" s="2521"/>
      <c r="J520" s="2521"/>
      <c r="K520" s="2521"/>
      <c r="L520" s="2521"/>
      <c r="M520" s="2521"/>
      <c r="N520" s="2521"/>
      <c r="O520" s="2521"/>
      <c r="P520" s="2521"/>
      <c r="Q520" s="2521"/>
      <c r="R520" s="2521"/>
      <c r="S520" s="2521"/>
      <c r="T520" s="2521"/>
      <c r="U520" s="2521"/>
      <c r="V520" s="2521"/>
      <c r="W520" s="2521"/>
      <c r="X520" s="2521"/>
      <c r="Y520" s="2521"/>
      <c r="Z520" s="2521"/>
    </row>
    <row r="521" spans="1:26" ht="16.5" customHeight="1">
      <c r="A521" s="2521"/>
      <c r="B521" s="2526"/>
      <c r="C521" s="2521"/>
      <c r="D521" s="2521"/>
      <c r="E521" s="2521"/>
      <c r="F521" s="2521"/>
      <c r="G521" s="2521"/>
      <c r="H521" s="2521"/>
      <c r="I521" s="2521"/>
      <c r="J521" s="2521"/>
      <c r="K521" s="2521"/>
      <c r="L521" s="2521"/>
      <c r="M521" s="2521"/>
      <c r="N521" s="2521"/>
      <c r="O521" s="2521"/>
      <c r="P521" s="2521"/>
      <c r="Q521" s="2521"/>
      <c r="R521" s="2521"/>
      <c r="S521" s="2521"/>
      <c r="T521" s="2521"/>
      <c r="U521" s="2521"/>
      <c r="V521" s="2521"/>
      <c r="W521" s="2521"/>
      <c r="X521" s="2521"/>
      <c r="Y521" s="2521"/>
      <c r="Z521" s="2521"/>
    </row>
    <row r="522" spans="1:26" ht="16.5" customHeight="1">
      <c r="A522" s="2521"/>
      <c r="B522" s="2526"/>
      <c r="C522" s="2521"/>
      <c r="D522" s="2521"/>
      <c r="E522" s="2521"/>
      <c r="F522" s="2521"/>
      <c r="G522" s="2521"/>
      <c r="H522" s="2521"/>
      <c r="I522" s="2521"/>
      <c r="J522" s="2521"/>
      <c r="K522" s="2521"/>
      <c r="L522" s="2521"/>
      <c r="M522" s="2521"/>
      <c r="N522" s="2521"/>
      <c r="O522" s="2521"/>
      <c r="P522" s="2521"/>
      <c r="Q522" s="2521"/>
      <c r="R522" s="2521"/>
      <c r="S522" s="2521"/>
      <c r="T522" s="2521"/>
      <c r="U522" s="2521"/>
      <c r="V522" s="2521"/>
      <c r="W522" s="2521"/>
      <c r="X522" s="2521"/>
      <c r="Y522" s="2521"/>
      <c r="Z522" s="2521"/>
    </row>
    <row r="523" spans="1:26" ht="16.5" customHeight="1">
      <c r="A523" s="2521"/>
      <c r="B523" s="2526"/>
      <c r="C523" s="2521"/>
      <c r="D523" s="2521"/>
      <c r="E523" s="2521"/>
      <c r="F523" s="2521"/>
      <c r="G523" s="2521"/>
      <c r="H523" s="2521"/>
      <c r="I523" s="2521"/>
      <c r="J523" s="2521"/>
      <c r="K523" s="2521"/>
      <c r="L523" s="2521"/>
      <c r="M523" s="2521"/>
      <c r="N523" s="2521"/>
      <c r="O523" s="2521"/>
      <c r="P523" s="2521"/>
      <c r="Q523" s="2521"/>
      <c r="R523" s="2521"/>
      <c r="S523" s="2521"/>
      <c r="T523" s="2521"/>
      <c r="U523" s="2521"/>
      <c r="V523" s="2521"/>
      <c r="W523" s="2521"/>
      <c r="X523" s="2521"/>
      <c r="Y523" s="2521"/>
      <c r="Z523" s="2521"/>
    </row>
    <row r="524" spans="1:26" ht="16.5" customHeight="1">
      <c r="A524" s="2521"/>
      <c r="B524" s="2526"/>
      <c r="C524" s="2521"/>
      <c r="D524" s="2521"/>
      <c r="E524" s="2521"/>
      <c r="F524" s="2521"/>
      <c r="G524" s="2521"/>
      <c r="H524" s="2521"/>
      <c r="I524" s="2521"/>
      <c r="J524" s="2521"/>
      <c r="K524" s="2521"/>
      <c r="L524" s="2521"/>
      <c r="M524" s="2521"/>
      <c r="N524" s="2521"/>
      <c r="O524" s="2521"/>
      <c r="P524" s="2521"/>
      <c r="Q524" s="2521"/>
      <c r="R524" s="2521"/>
      <c r="S524" s="2521"/>
      <c r="T524" s="2521"/>
      <c r="U524" s="2521"/>
      <c r="V524" s="2521"/>
      <c r="W524" s="2521"/>
      <c r="X524" s="2521"/>
      <c r="Y524" s="2521"/>
      <c r="Z524" s="2521"/>
    </row>
    <row r="525" spans="1:26" ht="16.5" customHeight="1">
      <c r="A525" s="2521"/>
      <c r="B525" s="2526"/>
      <c r="C525" s="2521"/>
      <c r="D525" s="2521"/>
      <c r="E525" s="2521"/>
      <c r="F525" s="2521"/>
      <c r="G525" s="2521"/>
      <c r="H525" s="2521"/>
      <c r="I525" s="2521"/>
      <c r="J525" s="2521"/>
      <c r="K525" s="2521"/>
      <c r="L525" s="2521"/>
      <c r="M525" s="2521"/>
      <c r="N525" s="2521"/>
      <c r="O525" s="2521"/>
      <c r="P525" s="2521"/>
      <c r="Q525" s="2521"/>
      <c r="R525" s="2521"/>
      <c r="S525" s="2521"/>
      <c r="T525" s="2521"/>
      <c r="U525" s="2521"/>
      <c r="V525" s="2521"/>
      <c r="W525" s="2521"/>
      <c r="X525" s="2521"/>
      <c r="Y525" s="2521"/>
      <c r="Z525" s="2521"/>
    </row>
    <row r="526" spans="1:26" ht="16.5" customHeight="1">
      <c r="A526" s="2521"/>
      <c r="B526" s="2526"/>
      <c r="C526" s="2521"/>
      <c r="D526" s="2521"/>
      <c r="E526" s="2521"/>
      <c r="F526" s="2521"/>
      <c r="G526" s="2521"/>
      <c r="H526" s="2521"/>
      <c r="I526" s="2521"/>
      <c r="J526" s="2521"/>
      <c r="K526" s="2521"/>
      <c r="L526" s="2521"/>
      <c r="M526" s="2521"/>
      <c r="N526" s="2521"/>
      <c r="O526" s="2521"/>
      <c r="P526" s="2521"/>
      <c r="Q526" s="2521"/>
      <c r="R526" s="2521"/>
      <c r="S526" s="2521"/>
      <c r="T526" s="2521"/>
      <c r="U526" s="2521"/>
      <c r="V526" s="2521"/>
      <c r="W526" s="2521"/>
      <c r="X526" s="2521"/>
      <c r="Y526" s="2521"/>
      <c r="Z526" s="2521"/>
    </row>
    <row r="527" spans="1:26" ht="16.5" customHeight="1">
      <c r="A527" s="2521"/>
      <c r="B527" s="2526"/>
      <c r="C527" s="2521"/>
      <c r="D527" s="2521"/>
      <c r="E527" s="2521"/>
      <c r="F527" s="2521"/>
      <c r="G527" s="2521"/>
      <c r="H527" s="2521"/>
      <c r="I527" s="2521"/>
      <c r="J527" s="2521"/>
      <c r="K527" s="2521"/>
      <c r="L527" s="2521"/>
      <c r="M527" s="2521"/>
      <c r="N527" s="2521"/>
      <c r="O527" s="2521"/>
      <c r="P527" s="2521"/>
      <c r="Q527" s="2521"/>
      <c r="R527" s="2521"/>
      <c r="S527" s="2521"/>
      <c r="T527" s="2521"/>
      <c r="U527" s="2521"/>
      <c r="V527" s="2521"/>
      <c r="W527" s="2521"/>
      <c r="X527" s="2521"/>
      <c r="Y527" s="2521"/>
      <c r="Z527" s="2521"/>
    </row>
    <row r="528" spans="1:26" ht="16.5" customHeight="1">
      <c r="A528" s="2521"/>
      <c r="B528" s="2526"/>
      <c r="C528" s="2521"/>
      <c r="D528" s="2521"/>
      <c r="E528" s="2521"/>
      <c r="F528" s="2521"/>
      <c r="G528" s="2521"/>
      <c r="H528" s="2521"/>
      <c r="I528" s="2521"/>
      <c r="J528" s="2521"/>
      <c r="K528" s="2521"/>
      <c r="L528" s="2521"/>
      <c r="M528" s="2521"/>
      <c r="N528" s="2521"/>
      <c r="O528" s="2521"/>
      <c r="P528" s="2521"/>
      <c r="Q528" s="2521"/>
      <c r="R528" s="2521"/>
      <c r="S528" s="2521"/>
      <c r="T528" s="2521"/>
      <c r="U528" s="2521"/>
      <c r="V528" s="2521"/>
      <c r="W528" s="2521"/>
      <c r="X528" s="2521"/>
      <c r="Y528" s="2521"/>
      <c r="Z528" s="2521"/>
    </row>
    <row r="529" spans="1:26" ht="16.5" customHeight="1">
      <c r="A529" s="2521"/>
      <c r="B529" s="2526"/>
      <c r="C529" s="2521"/>
      <c r="D529" s="2521"/>
      <c r="E529" s="2521"/>
      <c r="F529" s="2521"/>
      <c r="G529" s="2521"/>
      <c r="H529" s="2521"/>
      <c r="I529" s="2521"/>
      <c r="J529" s="2521"/>
      <c r="K529" s="2521"/>
      <c r="L529" s="2521"/>
      <c r="M529" s="2521"/>
      <c r="N529" s="2521"/>
      <c r="O529" s="2521"/>
      <c r="P529" s="2521"/>
      <c r="Q529" s="2521"/>
      <c r="R529" s="2521"/>
      <c r="S529" s="2521"/>
      <c r="T529" s="2521"/>
      <c r="U529" s="2521"/>
      <c r="V529" s="2521"/>
      <c r="W529" s="2521"/>
      <c r="X529" s="2521"/>
      <c r="Y529" s="2521"/>
      <c r="Z529" s="2521"/>
    </row>
    <row r="530" spans="1:26" ht="16.5" customHeight="1">
      <c r="A530" s="2521"/>
      <c r="B530" s="2526"/>
      <c r="C530" s="2521"/>
      <c r="D530" s="2521"/>
      <c r="E530" s="2521"/>
      <c r="F530" s="2521"/>
      <c r="G530" s="2521"/>
      <c r="H530" s="2521"/>
      <c r="I530" s="2521"/>
      <c r="J530" s="2521"/>
      <c r="K530" s="2521"/>
      <c r="L530" s="2521"/>
      <c r="M530" s="2521"/>
      <c r="N530" s="2521"/>
      <c r="O530" s="2521"/>
      <c r="P530" s="2521"/>
      <c r="Q530" s="2521"/>
      <c r="R530" s="2521"/>
      <c r="S530" s="2521"/>
      <c r="T530" s="2521"/>
      <c r="U530" s="2521"/>
      <c r="V530" s="2521"/>
      <c r="W530" s="2521"/>
      <c r="X530" s="2521"/>
      <c r="Y530" s="2521"/>
      <c r="Z530" s="2521"/>
    </row>
    <row r="531" spans="1:26" ht="16.5" customHeight="1">
      <c r="A531" s="2521"/>
      <c r="B531" s="2526"/>
      <c r="C531" s="2521"/>
      <c r="D531" s="2521"/>
      <c r="E531" s="2521"/>
      <c r="F531" s="2521"/>
      <c r="G531" s="2521"/>
      <c r="H531" s="2521"/>
      <c r="I531" s="2521"/>
      <c r="J531" s="2521"/>
      <c r="K531" s="2521"/>
      <c r="L531" s="2521"/>
      <c r="M531" s="2521"/>
      <c r="N531" s="2521"/>
      <c r="O531" s="2521"/>
      <c r="P531" s="2521"/>
      <c r="Q531" s="2521"/>
      <c r="R531" s="2521"/>
      <c r="S531" s="2521"/>
      <c r="T531" s="2521"/>
      <c r="U531" s="2521"/>
      <c r="V531" s="2521"/>
      <c r="W531" s="2521"/>
      <c r="X531" s="2521"/>
      <c r="Y531" s="2521"/>
      <c r="Z531" s="2521"/>
    </row>
    <row r="532" spans="1:26" ht="16.5" customHeight="1">
      <c r="A532" s="2521"/>
      <c r="B532" s="2526"/>
      <c r="C532" s="2521"/>
      <c r="D532" s="2521"/>
      <c r="E532" s="2521"/>
      <c r="F532" s="2521"/>
      <c r="G532" s="2521"/>
      <c r="H532" s="2521"/>
      <c r="I532" s="2521"/>
      <c r="J532" s="2521"/>
      <c r="K532" s="2521"/>
      <c r="L532" s="2521"/>
      <c r="M532" s="2521"/>
      <c r="N532" s="2521"/>
      <c r="O532" s="2521"/>
      <c r="P532" s="2521"/>
      <c r="Q532" s="2521"/>
      <c r="R532" s="2521"/>
      <c r="S532" s="2521"/>
      <c r="T532" s="2521"/>
      <c r="U532" s="2521"/>
      <c r="V532" s="2521"/>
      <c r="W532" s="2521"/>
      <c r="X532" s="2521"/>
      <c r="Y532" s="2521"/>
      <c r="Z532" s="2521"/>
    </row>
    <row r="533" spans="1:26" ht="16.5" customHeight="1">
      <c r="A533" s="2521"/>
      <c r="B533" s="2526"/>
      <c r="C533" s="2521"/>
      <c r="D533" s="2521"/>
      <c r="E533" s="2521"/>
      <c r="F533" s="2521"/>
      <c r="G533" s="2521"/>
      <c r="H533" s="2521"/>
      <c r="I533" s="2521"/>
      <c r="J533" s="2521"/>
      <c r="K533" s="2521"/>
      <c r="L533" s="2521"/>
      <c r="M533" s="2521"/>
      <c r="N533" s="2521"/>
      <c r="O533" s="2521"/>
      <c r="P533" s="2521"/>
      <c r="Q533" s="2521"/>
      <c r="R533" s="2521"/>
      <c r="S533" s="2521"/>
      <c r="T533" s="2521"/>
      <c r="U533" s="2521"/>
      <c r="V533" s="2521"/>
      <c r="W533" s="2521"/>
      <c r="X533" s="2521"/>
      <c r="Y533" s="2521"/>
      <c r="Z533" s="2521"/>
    </row>
    <row r="534" spans="1:26" ht="16.5" customHeight="1">
      <c r="A534" s="2521"/>
      <c r="B534" s="2526"/>
      <c r="C534" s="2521"/>
      <c r="D534" s="2521"/>
      <c r="E534" s="2521"/>
      <c r="F534" s="2521"/>
      <c r="G534" s="2521"/>
      <c r="H534" s="2521"/>
      <c r="I534" s="2521"/>
      <c r="J534" s="2521"/>
      <c r="K534" s="2521"/>
      <c r="L534" s="2521"/>
      <c r="M534" s="2521"/>
      <c r="N534" s="2521"/>
      <c r="O534" s="2521"/>
      <c r="P534" s="2521"/>
      <c r="Q534" s="2521"/>
      <c r="R534" s="2521"/>
      <c r="S534" s="2521"/>
      <c r="T534" s="2521"/>
      <c r="U534" s="2521"/>
      <c r="V534" s="2521"/>
      <c r="W534" s="2521"/>
      <c r="X534" s="2521"/>
      <c r="Y534" s="2521"/>
      <c r="Z534" s="2521"/>
    </row>
    <row r="535" spans="1:26" ht="16.5" customHeight="1">
      <c r="A535" s="2521"/>
      <c r="B535" s="2526"/>
      <c r="C535" s="2521"/>
      <c r="D535" s="2521"/>
      <c r="E535" s="2521"/>
      <c r="F535" s="2521"/>
      <c r="G535" s="2521"/>
      <c r="H535" s="2521"/>
      <c r="I535" s="2521"/>
      <c r="J535" s="2521"/>
      <c r="K535" s="2521"/>
      <c r="L535" s="2521"/>
      <c r="M535" s="2521"/>
      <c r="N535" s="2521"/>
      <c r="O535" s="2521"/>
      <c r="P535" s="2521"/>
      <c r="Q535" s="2521"/>
      <c r="R535" s="2521"/>
      <c r="S535" s="2521"/>
      <c r="T535" s="2521"/>
      <c r="U535" s="2521"/>
      <c r="V535" s="2521"/>
      <c r="W535" s="2521"/>
      <c r="X535" s="2521"/>
      <c r="Y535" s="2521"/>
      <c r="Z535" s="2521"/>
    </row>
    <row r="536" spans="1:26" ht="16.5" customHeight="1">
      <c r="A536" s="2521"/>
      <c r="B536" s="2526"/>
      <c r="C536" s="2521"/>
      <c r="D536" s="2521"/>
      <c r="E536" s="2521"/>
      <c r="F536" s="2521"/>
      <c r="G536" s="2521"/>
      <c r="H536" s="2521"/>
      <c r="I536" s="2521"/>
      <c r="J536" s="2521"/>
      <c r="K536" s="2521"/>
      <c r="L536" s="2521"/>
      <c r="M536" s="2521"/>
      <c r="N536" s="2521"/>
      <c r="O536" s="2521"/>
      <c r="P536" s="2521"/>
      <c r="Q536" s="2521"/>
      <c r="R536" s="2521"/>
      <c r="S536" s="2521"/>
      <c r="T536" s="2521"/>
      <c r="U536" s="2521"/>
      <c r="V536" s="2521"/>
      <c r="W536" s="2521"/>
      <c r="X536" s="2521"/>
      <c r="Y536" s="2521"/>
      <c r="Z536" s="2521"/>
    </row>
    <row r="537" spans="1:26" ht="16.5" customHeight="1">
      <c r="A537" s="2521"/>
      <c r="B537" s="2526"/>
      <c r="C537" s="2521"/>
      <c r="D537" s="2521"/>
      <c r="E537" s="2521"/>
      <c r="F537" s="2521"/>
      <c r="G537" s="2521"/>
      <c r="H537" s="2521"/>
      <c r="I537" s="2521"/>
      <c r="J537" s="2521"/>
      <c r="K537" s="2521"/>
      <c r="L537" s="2521"/>
      <c r="M537" s="2521"/>
      <c r="N537" s="2521"/>
      <c r="O537" s="2521"/>
      <c r="P537" s="2521"/>
      <c r="Q537" s="2521"/>
      <c r="R537" s="2521"/>
      <c r="S537" s="2521"/>
      <c r="T537" s="2521"/>
      <c r="U537" s="2521"/>
      <c r="V537" s="2521"/>
      <c r="W537" s="2521"/>
      <c r="X537" s="2521"/>
      <c r="Y537" s="2521"/>
      <c r="Z537" s="2521"/>
    </row>
    <row r="538" spans="1:26" ht="16.5" customHeight="1">
      <c r="A538" s="2521"/>
      <c r="B538" s="2526"/>
      <c r="C538" s="2521"/>
      <c r="D538" s="2521"/>
      <c r="E538" s="2521"/>
      <c r="F538" s="2521"/>
      <c r="G538" s="2521"/>
      <c r="H538" s="2521"/>
      <c r="I538" s="2521"/>
      <c r="J538" s="2521"/>
      <c r="K538" s="2521"/>
      <c r="L538" s="2521"/>
      <c r="M538" s="2521"/>
      <c r="N538" s="2521"/>
      <c r="O538" s="2521"/>
      <c r="P538" s="2521"/>
      <c r="Q538" s="2521"/>
      <c r="R538" s="2521"/>
      <c r="S538" s="2521"/>
      <c r="T538" s="2521"/>
      <c r="U538" s="2521"/>
      <c r="V538" s="2521"/>
      <c r="W538" s="2521"/>
      <c r="X538" s="2521"/>
      <c r="Y538" s="2521"/>
      <c r="Z538" s="2521"/>
    </row>
    <row r="539" spans="1:26" ht="16.5" customHeight="1">
      <c r="A539" s="2521"/>
      <c r="B539" s="2526"/>
      <c r="C539" s="2521"/>
      <c r="D539" s="2521"/>
      <c r="E539" s="2521"/>
      <c r="F539" s="2521"/>
      <c r="G539" s="2521"/>
      <c r="H539" s="2521"/>
      <c r="I539" s="2521"/>
      <c r="J539" s="2521"/>
      <c r="K539" s="2521"/>
      <c r="L539" s="2521"/>
      <c r="M539" s="2521"/>
      <c r="N539" s="2521"/>
      <c r="O539" s="2521"/>
      <c r="P539" s="2521"/>
      <c r="Q539" s="2521"/>
      <c r="R539" s="2521"/>
      <c r="S539" s="2521"/>
      <c r="T539" s="2521"/>
      <c r="U539" s="2521"/>
      <c r="V539" s="2521"/>
      <c r="W539" s="2521"/>
      <c r="X539" s="2521"/>
      <c r="Y539" s="2521"/>
      <c r="Z539" s="2521"/>
    </row>
    <row r="540" spans="1:26" ht="16.5" customHeight="1">
      <c r="A540" s="2521"/>
      <c r="B540" s="2526"/>
      <c r="C540" s="2521"/>
      <c r="D540" s="2521"/>
      <c r="E540" s="2521"/>
      <c r="F540" s="2521"/>
      <c r="G540" s="2521"/>
      <c r="H540" s="2521"/>
      <c r="I540" s="2521"/>
      <c r="J540" s="2521"/>
      <c r="K540" s="2521"/>
      <c r="L540" s="2521"/>
      <c r="M540" s="2521"/>
      <c r="N540" s="2521"/>
      <c r="O540" s="2521"/>
      <c r="P540" s="2521"/>
      <c r="Q540" s="2521"/>
      <c r="R540" s="2521"/>
      <c r="S540" s="2521"/>
      <c r="T540" s="2521"/>
      <c r="U540" s="2521"/>
      <c r="V540" s="2521"/>
      <c r="W540" s="2521"/>
      <c r="X540" s="2521"/>
      <c r="Y540" s="2521"/>
      <c r="Z540" s="2521"/>
    </row>
    <row r="541" spans="1:26" ht="16.5" customHeight="1">
      <c r="A541" s="2521"/>
      <c r="B541" s="2526"/>
      <c r="C541" s="2521"/>
      <c r="D541" s="2521"/>
      <c r="E541" s="2521"/>
      <c r="F541" s="2521"/>
      <c r="G541" s="2521"/>
      <c r="H541" s="2521"/>
      <c r="I541" s="2521"/>
      <c r="J541" s="2521"/>
      <c r="K541" s="2521"/>
      <c r="L541" s="2521"/>
      <c r="M541" s="2521"/>
      <c r="N541" s="2521"/>
      <c r="O541" s="2521"/>
      <c r="P541" s="2521"/>
      <c r="Q541" s="2521"/>
      <c r="R541" s="2521"/>
      <c r="S541" s="2521"/>
      <c r="T541" s="2521"/>
      <c r="U541" s="2521"/>
      <c r="V541" s="2521"/>
      <c r="W541" s="2521"/>
      <c r="X541" s="2521"/>
      <c r="Y541" s="2521"/>
      <c r="Z541" s="2521"/>
    </row>
    <row r="542" spans="1:26" ht="16.5" customHeight="1">
      <c r="A542" s="2521"/>
      <c r="B542" s="2526"/>
      <c r="C542" s="2521"/>
      <c r="D542" s="2521"/>
      <c r="E542" s="2521"/>
      <c r="F542" s="2521"/>
      <c r="G542" s="2521"/>
      <c r="H542" s="2521"/>
      <c r="I542" s="2521"/>
      <c r="J542" s="2521"/>
      <c r="K542" s="2521"/>
      <c r="L542" s="2521"/>
      <c r="M542" s="2521"/>
      <c r="N542" s="2521"/>
      <c r="O542" s="2521"/>
      <c r="P542" s="2521"/>
      <c r="Q542" s="2521"/>
      <c r="R542" s="2521"/>
      <c r="S542" s="2521"/>
      <c r="T542" s="2521"/>
      <c r="U542" s="2521"/>
      <c r="V542" s="2521"/>
      <c r="W542" s="2521"/>
      <c r="X542" s="2521"/>
      <c r="Y542" s="2521"/>
      <c r="Z542" s="2521"/>
    </row>
    <row r="543" spans="1:26" ht="16.5" customHeight="1">
      <c r="A543" s="2521"/>
      <c r="B543" s="2526"/>
      <c r="C543" s="2521"/>
      <c r="D543" s="2521"/>
      <c r="E543" s="2521"/>
      <c r="F543" s="2521"/>
      <c r="G543" s="2521"/>
      <c r="H543" s="2521"/>
      <c r="I543" s="2521"/>
      <c r="J543" s="2521"/>
      <c r="K543" s="2521"/>
      <c r="L543" s="2521"/>
      <c r="M543" s="2521"/>
      <c r="N543" s="2521"/>
      <c r="O543" s="2521"/>
      <c r="P543" s="2521"/>
      <c r="Q543" s="2521"/>
      <c r="R543" s="2521"/>
      <c r="S543" s="2521"/>
      <c r="T543" s="2521"/>
      <c r="U543" s="2521"/>
      <c r="V543" s="2521"/>
      <c r="W543" s="2521"/>
      <c r="X543" s="2521"/>
      <c r="Y543" s="2521"/>
      <c r="Z543" s="2521"/>
    </row>
    <row r="544" spans="1:26" ht="16.5" customHeight="1">
      <c r="A544" s="2521"/>
      <c r="B544" s="2526"/>
      <c r="C544" s="2521"/>
      <c r="D544" s="2521"/>
      <c r="E544" s="2521"/>
      <c r="F544" s="2521"/>
      <c r="G544" s="2521"/>
      <c r="H544" s="2521"/>
      <c r="I544" s="2521"/>
      <c r="J544" s="2521"/>
      <c r="K544" s="2521"/>
      <c r="L544" s="2521"/>
      <c r="M544" s="2521"/>
      <c r="N544" s="2521"/>
      <c r="O544" s="2521"/>
      <c r="P544" s="2521"/>
      <c r="Q544" s="2521"/>
      <c r="R544" s="2521"/>
      <c r="S544" s="2521"/>
      <c r="T544" s="2521"/>
      <c r="U544" s="2521"/>
      <c r="V544" s="2521"/>
      <c r="W544" s="2521"/>
      <c r="X544" s="2521"/>
      <c r="Y544" s="2521"/>
      <c r="Z544" s="2521"/>
    </row>
    <row r="545" spans="1:26" ht="16.5" customHeight="1">
      <c r="A545" s="2521"/>
      <c r="B545" s="2526"/>
      <c r="C545" s="2521"/>
      <c r="D545" s="2521"/>
      <c r="E545" s="2521"/>
      <c r="F545" s="2521"/>
      <c r="G545" s="2521"/>
      <c r="H545" s="2521"/>
      <c r="I545" s="2521"/>
      <c r="J545" s="2521"/>
      <c r="K545" s="2521"/>
      <c r="L545" s="2521"/>
      <c r="M545" s="2521"/>
      <c r="N545" s="2521"/>
      <c r="O545" s="2521"/>
      <c r="P545" s="2521"/>
      <c r="Q545" s="2521"/>
      <c r="R545" s="2521"/>
      <c r="S545" s="2521"/>
      <c r="T545" s="2521"/>
      <c r="U545" s="2521"/>
      <c r="V545" s="2521"/>
      <c r="W545" s="2521"/>
      <c r="X545" s="2521"/>
      <c r="Y545" s="2521"/>
      <c r="Z545" s="2521"/>
    </row>
    <row r="546" spans="1:26" ht="16.5" customHeight="1">
      <c r="A546" s="2521"/>
      <c r="B546" s="2526"/>
      <c r="C546" s="2521"/>
      <c r="D546" s="2521"/>
      <c r="E546" s="2521"/>
      <c r="F546" s="2521"/>
      <c r="G546" s="2521"/>
      <c r="H546" s="2521"/>
      <c r="I546" s="2521"/>
      <c r="J546" s="2521"/>
      <c r="K546" s="2521"/>
      <c r="L546" s="2521"/>
      <c r="M546" s="2521"/>
      <c r="N546" s="2521"/>
      <c r="O546" s="2521"/>
      <c r="P546" s="2521"/>
      <c r="Q546" s="2521"/>
      <c r="R546" s="2521"/>
      <c r="S546" s="2521"/>
      <c r="T546" s="2521"/>
      <c r="U546" s="2521"/>
      <c r="V546" s="2521"/>
      <c r="W546" s="2521"/>
      <c r="X546" s="2521"/>
      <c r="Y546" s="2521"/>
      <c r="Z546" s="2521"/>
    </row>
    <row r="547" spans="1:26" ht="16.5" customHeight="1">
      <c r="A547" s="2521"/>
      <c r="B547" s="2526"/>
      <c r="C547" s="2521"/>
      <c r="D547" s="2521"/>
      <c r="E547" s="2521"/>
      <c r="F547" s="2521"/>
      <c r="G547" s="2521"/>
      <c r="H547" s="2521"/>
      <c r="I547" s="2521"/>
      <c r="J547" s="2521"/>
      <c r="K547" s="2521"/>
      <c r="L547" s="2521"/>
      <c r="M547" s="2521"/>
      <c r="N547" s="2521"/>
      <c r="O547" s="2521"/>
      <c r="P547" s="2521"/>
      <c r="Q547" s="2521"/>
      <c r="R547" s="2521"/>
      <c r="S547" s="2521"/>
      <c r="T547" s="2521"/>
      <c r="U547" s="2521"/>
      <c r="V547" s="2521"/>
      <c r="W547" s="2521"/>
      <c r="X547" s="2521"/>
      <c r="Y547" s="2521"/>
      <c r="Z547" s="2521"/>
    </row>
    <row r="548" spans="1:26" ht="16.5" customHeight="1">
      <c r="A548" s="2521"/>
      <c r="B548" s="2526"/>
      <c r="C548" s="2521"/>
      <c r="D548" s="2521"/>
      <c r="E548" s="2521"/>
      <c r="F548" s="2521"/>
      <c r="G548" s="2521"/>
      <c r="H548" s="2521"/>
      <c r="I548" s="2521"/>
      <c r="J548" s="2521"/>
      <c r="K548" s="2521"/>
      <c r="L548" s="2521"/>
      <c r="M548" s="2521"/>
      <c r="N548" s="2521"/>
      <c r="O548" s="2521"/>
      <c r="P548" s="2521"/>
      <c r="Q548" s="2521"/>
      <c r="R548" s="2521"/>
      <c r="S548" s="2521"/>
      <c r="T548" s="2521"/>
      <c r="U548" s="2521"/>
      <c r="V548" s="2521"/>
      <c r="W548" s="2521"/>
      <c r="X548" s="2521"/>
      <c r="Y548" s="2521"/>
      <c r="Z548" s="2521"/>
    </row>
    <row r="549" spans="1:26" ht="16.5" customHeight="1">
      <c r="A549" s="2521"/>
      <c r="B549" s="2526"/>
      <c r="C549" s="2521"/>
      <c r="D549" s="2521"/>
      <c r="E549" s="2521"/>
      <c r="F549" s="2521"/>
      <c r="G549" s="2521"/>
      <c r="H549" s="2521"/>
      <c r="I549" s="2521"/>
      <c r="J549" s="2521"/>
      <c r="K549" s="2521"/>
      <c r="L549" s="2521"/>
      <c r="M549" s="2521"/>
      <c r="N549" s="2521"/>
      <c r="O549" s="2521"/>
      <c r="P549" s="2521"/>
      <c r="Q549" s="2521"/>
      <c r="R549" s="2521"/>
      <c r="S549" s="2521"/>
      <c r="T549" s="2521"/>
      <c r="U549" s="2521"/>
      <c r="V549" s="2521"/>
      <c r="W549" s="2521"/>
      <c r="X549" s="2521"/>
      <c r="Y549" s="2521"/>
      <c r="Z549" s="2521"/>
    </row>
    <row r="550" spans="1:26" ht="16.5" customHeight="1">
      <c r="A550" s="2521"/>
      <c r="B550" s="2526"/>
      <c r="C550" s="2521"/>
      <c r="D550" s="2521"/>
      <c r="E550" s="2521"/>
      <c r="F550" s="2521"/>
      <c r="G550" s="2521"/>
      <c r="H550" s="2521"/>
      <c r="I550" s="2521"/>
      <c r="J550" s="2521"/>
      <c r="K550" s="2521"/>
      <c r="L550" s="2521"/>
      <c r="M550" s="2521"/>
      <c r="N550" s="2521"/>
      <c r="O550" s="2521"/>
      <c r="P550" s="2521"/>
      <c r="Q550" s="2521"/>
      <c r="R550" s="2521"/>
      <c r="S550" s="2521"/>
      <c r="T550" s="2521"/>
      <c r="U550" s="2521"/>
      <c r="V550" s="2521"/>
      <c r="W550" s="2521"/>
      <c r="X550" s="2521"/>
      <c r="Y550" s="2521"/>
      <c r="Z550" s="2521"/>
    </row>
    <row r="551" spans="1:26" ht="16.5" customHeight="1">
      <c r="A551" s="2521"/>
      <c r="B551" s="2526"/>
      <c r="C551" s="2521"/>
      <c r="D551" s="2521"/>
      <c r="E551" s="2521"/>
      <c r="F551" s="2521"/>
      <c r="G551" s="2521"/>
      <c r="H551" s="2521"/>
      <c r="I551" s="2521"/>
      <c r="J551" s="2521"/>
      <c r="K551" s="2521"/>
      <c r="L551" s="2521"/>
      <c r="M551" s="2521"/>
      <c r="N551" s="2521"/>
      <c r="O551" s="2521"/>
      <c r="P551" s="2521"/>
      <c r="Q551" s="2521"/>
      <c r="R551" s="2521"/>
      <c r="S551" s="2521"/>
      <c r="T551" s="2521"/>
      <c r="U551" s="2521"/>
      <c r="V551" s="2521"/>
      <c r="W551" s="2521"/>
      <c r="X551" s="2521"/>
      <c r="Y551" s="2521"/>
      <c r="Z551" s="2521"/>
    </row>
    <row r="552" spans="1:26" ht="16.5" customHeight="1">
      <c r="A552" s="2521"/>
      <c r="B552" s="2526"/>
      <c r="C552" s="2521"/>
      <c r="D552" s="2521"/>
      <c r="E552" s="2521"/>
      <c r="F552" s="2521"/>
      <c r="G552" s="2521"/>
      <c r="H552" s="2521"/>
      <c r="I552" s="2521"/>
      <c r="J552" s="2521"/>
      <c r="K552" s="2521"/>
      <c r="L552" s="2521"/>
      <c r="M552" s="2521"/>
      <c r="N552" s="2521"/>
      <c r="O552" s="2521"/>
      <c r="P552" s="2521"/>
      <c r="Q552" s="2521"/>
      <c r="R552" s="2521"/>
      <c r="S552" s="2521"/>
      <c r="T552" s="2521"/>
      <c r="U552" s="2521"/>
      <c r="V552" s="2521"/>
      <c r="W552" s="2521"/>
      <c r="X552" s="2521"/>
      <c r="Y552" s="2521"/>
      <c r="Z552" s="2521"/>
    </row>
    <row r="553" spans="1:26" ht="16.5" customHeight="1">
      <c r="A553" s="2521"/>
      <c r="B553" s="2526"/>
      <c r="C553" s="2521"/>
      <c r="D553" s="2521"/>
      <c r="E553" s="2521"/>
      <c r="F553" s="2521"/>
      <c r="G553" s="2521"/>
      <c r="H553" s="2521"/>
      <c r="I553" s="2521"/>
      <c r="J553" s="2521"/>
      <c r="K553" s="2521"/>
      <c r="L553" s="2521"/>
      <c r="M553" s="2521"/>
      <c r="N553" s="2521"/>
      <c r="O553" s="2521"/>
      <c r="P553" s="2521"/>
      <c r="Q553" s="2521"/>
      <c r="R553" s="2521"/>
      <c r="S553" s="2521"/>
      <c r="T553" s="2521"/>
      <c r="U553" s="2521"/>
      <c r="V553" s="2521"/>
      <c r="W553" s="2521"/>
      <c r="X553" s="2521"/>
      <c r="Y553" s="2521"/>
      <c r="Z553" s="2521"/>
    </row>
    <row r="554" spans="1:26" ht="16.5" customHeight="1">
      <c r="A554" s="2521"/>
      <c r="B554" s="2526"/>
      <c r="C554" s="2521"/>
      <c r="D554" s="2521"/>
      <c r="E554" s="2521"/>
      <c r="F554" s="2521"/>
      <c r="G554" s="2521"/>
      <c r="H554" s="2521"/>
      <c r="I554" s="2521"/>
      <c r="J554" s="2521"/>
      <c r="K554" s="2521"/>
      <c r="L554" s="2521"/>
      <c r="M554" s="2521"/>
      <c r="N554" s="2521"/>
      <c r="O554" s="2521"/>
      <c r="P554" s="2521"/>
      <c r="Q554" s="2521"/>
      <c r="R554" s="2521"/>
      <c r="S554" s="2521"/>
      <c r="T554" s="2521"/>
      <c r="U554" s="2521"/>
      <c r="V554" s="2521"/>
      <c r="W554" s="2521"/>
      <c r="X554" s="2521"/>
      <c r="Y554" s="2521"/>
      <c r="Z554" s="2521"/>
    </row>
    <row r="555" spans="1:26" ht="16.5" customHeight="1">
      <c r="A555" s="2521"/>
      <c r="B555" s="2526"/>
      <c r="C555" s="2521"/>
      <c r="D555" s="2521"/>
      <c r="E555" s="2521"/>
      <c r="F555" s="2521"/>
      <c r="G555" s="2521"/>
      <c r="H555" s="2521"/>
      <c r="I555" s="2521"/>
      <c r="J555" s="2521"/>
      <c r="K555" s="2521"/>
      <c r="L555" s="2521"/>
      <c r="M555" s="2521"/>
      <c r="N555" s="2521"/>
      <c r="O555" s="2521"/>
      <c r="P555" s="2521"/>
      <c r="Q555" s="2521"/>
      <c r="R555" s="2521"/>
      <c r="S555" s="2521"/>
      <c r="T555" s="2521"/>
      <c r="U555" s="2521"/>
      <c r="V555" s="2521"/>
      <c r="W555" s="2521"/>
      <c r="X555" s="2521"/>
      <c r="Y555" s="2521"/>
      <c r="Z555" s="2521"/>
    </row>
    <row r="556" spans="1:26" ht="16.5" customHeight="1">
      <c r="A556" s="2521"/>
      <c r="B556" s="2526"/>
      <c r="C556" s="2521"/>
      <c r="D556" s="2521"/>
      <c r="E556" s="2521"/>
      <c r="F556" s="2521"/>
      <c r="G556" s="2521"/>
      <c r="H556" s="2521"/>
      <c r="I556" s="2521"/>
      <c r="J556" s="2521"/>
      <c r="K556" s="2521"/>
      <c r="L556" s="2521"/>
      <c r="M556" s="2521"/>
      <c r="N556" s="2521"/>
      <c r="O556" s="2521"/>
      <c r="P556" s="2521"/>
      <c r="Q556" s="2521"/>
      <c r="R556" s="2521"/>
      <c r="S556" s="2521"/>
      <c r="T556" s="2521"/>
      <c r="U556" s="2521"/>
      <c r="V556" s="2521"/>
      <c r="W556" s="2521"/>
      <c r="X556" s="2521"/>
      <c r="Y556" s="2521"/>
      <c r="Z556" s="2521"/>
    </row>
    <row r="557" spans="1:26" ht="16.5" customHeight="1">
      <c r="A557" s="2521"/>
      <c r="B557" s="2526"/>
      <c r="C557" s="2521"/>
      <c r="D557" s="2521"/>
      <c r="E557" s="2521"/>
      <c r="F557" s="2521"/>
      <c r="G557" s="2521"/>
      <c r="H557" s="2521"/>
      <c r="I557" s="2521"/>
      <c r="J557" s="2521"/>
      <c r="K557" s="2521"/>
      <c r="L557" s="2521"/>
      <c r="M557" s="2521"/>
      <c r="N557" s="2521"/>
      <c r="O557" s="2521"/>
      <c r="P557" s="2521"/>
      <c r="Q557" s="2521"/>
      <c r="R557" s="2521"/>
      <c r="S557" s="2521"/>
      <c r="T557" s="2521"/>
      <c r="U557" s="2521"/>
      <c r="V557" s="2521"/>
      <c r="W557" s="2521"/>
      <c r="X557" s="2521"/>
      <c r="Y557" s="2521"/>
      <c r="Z557" s="2521"/>
    </row>
    <row r="558" spans="1:26" ht="16.5" customHeight="1">
      <c r="A558" s="2521"/>
      <c r="B558" s="2526"/>
      <c r="C558" s="2521"/>
      <c r="D558" s="2521"/>
      <c r="E558" s="2521"/>
      <c r="F558" s="2521"/>
      <c r="G558" s="2521"/>
      <c r="H558" s="2521"/>
      <c r="I558" s="2521"/>
      <c r="J558" s="2521"/>
      <c r="K558" s="2521"/>
      <c r="L558" s="2521"/>
      <c r="M558" s="2521"/>
      <c r="N558" s="2521"/>
      <c r="O558" s="2521"/>
      <c r="P558" s="2521"/>
      <c r="Q558" s="2521"/>
      <c r="R558" s="2521"/>
      <c r="S558" s="2521"/>
      <c r="T558" s="2521"/>
      <c r="U558" s="2521"/>
      <c r="V558" s="2521"/>
      <c r="W558" s="2521"/>
      <c r="X558" s="2521"/>
      <c r="Y558" s="2521"/>
      <c r="Z558" s="2521"/>
    </row>
    <row r="559" spans="1:26" ht="16.5" customHeight="1">
      <c r="A559" s="2521"/>
      <c r="B559" s="2526"/>
      <c r="C559" s="2521"/>
      <c r="D559" s="2521"/>
      <c r="E559" s="2521"/>
      <c r="F559" s="2521"/>
      <c r="G559" s="2521"/>
      <c r="H559" s="2521"/>
      <c r="I559" s="2521"/>
      <c r="J559" s="2521"/>
      <c r="K559" s="2521"/>
      <c r="L559" s="2521"/>
      <c r="M559" s="2521"/>
      <c r="N559" s="2521"/>
      <c r="O559" s="2521"/>
      <c r="P559" s="2521"/>
      <c r="Q559" s="2521"/>
      <c r="R559" s="2521"/>
      <c r="S559" s="2521"/>
      <c r="T559" s="2521"/>
      <c r="U559" s="2521"/>
      <c r="V559" s="2521"/>
      <c r="W559" s="2521"/>
      <c r="X559" s="2521"/>
      <c r="Y559" s="2521"/>
      <c r="Z559" s="2521"/>
    </row>
    <row r="560" spans="1:26" ht="16.5" customHeight="1">
      <c r="A560" s="2521"/>
      <c r="B560" s="2526"/>
      <c r="C560" s="2521"/>
      <c r="D560" s="2521"/>
      <c r="E560" s="2521"/>
      <c r="F560" s="2521"/>
      <c r="G560" s="2521"/>
      <c r="H560" s="2521"/>
      <c r="I560" s="2521"/>
      <c r="J560" s="2521"/>
      <c r="K560" s="2521"/>
      <c r="L560" s="2521"/>
      <c r="M560" s="2521"/>
      <c r="N560" s="2521"/>
      <c r="O560" s="2521"/>
      <c r="P560" s="2521"/>
      <c r="Q560" s="2521"/>
      <c r="R560" s="2521"/>
      <c r="S560" s="2521"/>
      <c r="T560" s="2521"/>
      <c r="U560" s="2521"/>
      <c r="V560" s="2521"/>
      <c r="W560" s="2521"/>
      <c r="X560" s="2521"/>
      <c r="Y560" s="2521"/>
      <c r="Z560" s="2521"/>
    </row>
    <row r="561" spans="1:26" ht="16.5" customHeight="1">
      <c r="A561" s="2521"/>
      <c r="B561" s="2526"/>
      <c r="C561" s="2521"/>
      <c r="D561" s="2521"/>
      <c r="E561" s="2521"/>
      <c r="F561" s="2521"/>
      <c r="G561" s="2521"/>
      <c r="H561" s="2521"/>
      <c r="I561" s="2521"/>
      <c r="J561" s="2521"/>
      <c r="K561" s="2521"/>
      <c r="L561" s="2521"/>
      <c r="M561" s="2521"/>
      <c r="N561" s="2521"/>
      <c r="O561" s="2521"/>
      <c r="P561" s="2521"/>
      <c r="Q561" s="2521"/>
      <c r="R561" s="2521"/>
      <c r="S561" s="2521"/>
      <c r="T561" s="2521"/>
      <c r="U561" s="2521"/>
      <c r="V561" s="2521"/>
      <c r="W561" s="2521"/>
      <c r="X561" s="2521"/>
      <c r="Y561" s="2521"/>
      <c r="Z561" s="2521"/>
    </row>
    <row r="562" spans="1:26" ht="16.5" customHeight="1">
      <c r="A562" s="2521"/>
      <c r="B562" s="2526"/>
      <c r="C562" s="2521"/>
      <c r="D562" s="2521"/>
      <c r="E562" s="2521"/>
      <c r="F562" s="2521"/>
      <c r="G562" s="2521"/>
      <c r="H562" s="2521"/>
      <c r="I562" s="2521"/>
      <c r="J562" s="2521"/>
      <c r="K562" s="2521"/>
      <c r="L562" s="2521"/>
      <c r="M562" s="2521"/>
      <c r="N562" s="2521"/>
      <c r="O562" s="2521"/>
      <c r="P562" s="2521"/>
      <c r="Q562" s="2521"/>
      <c r="R562" s="2521"/>
      <c r="S562" s="2521"/>
      <c r="T562" s="2521"/>
      <c r="U562" s="2521"/>
      <c r="V562" s="2521"/>
      <c r="W562" s="2521"/>
      <c r="X562" s="2521"/>
      <c r="Y562" s="2521"/>
      <c r="Z562" s="2521"/>
    </row>
    <row r="563" spans="1:26" ht="16.5" customHeight="1">
      <c r="A563" s="2521"/>
      <c r="B563" s="2526"/>
      <c r="C563" s="2521"/>
      <c r="D563" s="2521"/>
      <c r="E563" s="2521"/>
      <c r="F563" s="2521"/>
      <c r="G563" s="2521"/>
      <c r="H563" s="2521"/>
      <c r="I563" s="2521"/>
      <c r="J563" s="2521"/>
      <c r="K563" s="2521"/>
      <c r="L563" s="2521"/>
      <c r="M563" s="2521"/>
      <c r="N563" s="2521"/>
      <c r="O563" s="2521"/>
      <c r="P563" s="2521"/>
      <c r="Q563" s="2521"/>
      <c r="R563" s="2521"/>
      <c r="S563" s="2521"/>
      <c r="T563" s="2521"/>
      <c r="U563" s="2521"/>
      <c r="V563" s="2521"/>
      <c r="W563" s="2521"/>
      <c r="X563" s="2521"/>
      <c r="Y563" s="2521"/>
      <c r="Z563" s="2521"/>
    </row>
    <row r="564" spans="1:26" ht="16.5" customHeight="1">
      <c r="A564" s="2521"/>
      <c r="B564" s="2526"/>
      <c r="C564" s="2521"/>
      <c r="D564" s="2521"/>
      <c r="E564" s="2521"/>
      <c r="F564" s="2521"/>
      <c r="G564" s="2521"/>
      <c r="H564" s="2521"/>
      <c r="I564" s="2521"/>
      <c r="J564" s="2521"/>
      <c r="K564" s="2521"/>
      <c r="L564" s="2521"/>
      <c r="M564" s="2521"/>
      <c r="N564" s="2521"/>
      <c r="O564" s="2521"/>
      <c r="P564" s="2521"/>
      <c r="Q564" s="2521"/>
      <c r="R564" s="2521"/>
      <c r="S564" s="2521"/>
      <c r="T564" s="2521"/>
      <c r="U564" s="2521"/>
      <c r="V564" s="2521"/>
      <c r="W564" s="2521"/>
      <c r="X564" s="2521"/>
      <c r="Y564" s="2521"/>
      <c r="Z564" s="2521"/>
    </row>
    <row r="565" spans="1:26" ht="16.5" customHeight="1">
      <c r="A565" s="2521"/>
      <c r="B565" s="2526"/>
      <c r="C565" s="2521"/>
      <c r="D565" s="2521"/>
      <c r="E565" s="2521"/>
      <c r="F565" s="2521"/>
      <c r="G565" s="2521"/>
      <c r="H565" s="2521"/>
      <c r="I565" s="2521"/>
      <c r="J565" s="2521"/>
      <c r="K565" s="2521"/>
      <c r="L565" s="2521"/>
      <c r="M565" s="2521"/>
      <c r="N565" s="2521"/>
      <c r="O565" s="2521"/>
      <c r="P565" s="2521"/>
      <c r="Q565" s="2521"/>
      <c r="R565" s="2521"/>
      <c r="S565" s="2521"/>
      <c r="T565" s="2521"/>
      <c r="U565" s="2521"/>
      <c r="V565" s="2521"/>
      <c r="W565" s="2521"/>
      <c r="X565" s="2521"/>
      <c r="Y565" s="2521"/>
      <c r="Z565" s="2521"/>
    </row>
    <row r="566" spans="1:26" ht="16.5" customHeight="1">
      <c r="A566" s="2521"/>
      <c r="B566" s="2526"/>
      <c r="C566" s="2521"/>
      <c r="D566" s="2521"/>
      <c r="E566" s="2521"/>
      <c r="F566" s="2521"/>
      <c r="G566" s="2521"/>
      <c r="H566" s="2521"/>
      <c r="I566" s="2521"/>
      <c r="J566" s="2521"/>
      <c r="K566" s="2521"/>
      <c r="L566" s="2521"/>
      <c r="M566" s="2521"/>
      <c r="N566" s="2521"/>
      <c r="O566" s="2521"/>
      <c r="P566" s="2521"/>
      <c r="Q566" s="2521"/>
      <c r="R566" s="2521"/>
      <c r="S566" s="2521"/>
      <c r="T566" s="2521"/>
      <c r="U566" s="2521"/>
      <c r="V566" s="2521"/>
      <c r="W566" s="2521"/>
      <c r="X566" s="2521"/>
      <c r="Y566" s="2521"/>
      <c r="Z566" s="2521"/>
    </row>
    <row r="567" spans="1:26" ht="16.5" customHeight="1">
      <c r="A567" s="2521"/>
      <c r="B567" s="2526"/>
      <c r="C567" s="2521"/>
      <c r="D567" s="2521"/>
      <c r="E567" s="2521"/>
      <c r="F567" s="2521"/>
      <c r="G567" s="2521"/>
      <c r="H567" s="2521"/>
      <c r="I567" s="2521"/>
      <c r="J567" s="2521"/>
      <c r="K567" s="2521"/>
      <c r="L567" s="2521"/>
      <c r="M567" s="2521"/>
      <c r="N567" s="2521"/>
      <c r="O567" s="2521"/>
      <c r="P567" s="2521"/>
      <c r="Q567" s="2521"/>
      <c r="R567" s="2521"/>
      <c r="S567" s="2521"/>
      <c r="T567" s="2521"/>
      <c r="U567" s="2521"/>
      <c r="V567" s="2521"/>
      <c r="W567" s="2521"/>
      <c r="X567" s="2521"/>
      <c r="Y567" s="2521"/>
      <c r="Z567" s="2521"/>
    </row>
    <row r="568" spans="1:26" ht="16.5" customHeight="1">
      <c r="A568" s="2521"/>
      <c r="B568" s="2526"/>
      <c r="C568" s="2521"/>
      <c r="D568" s="2521"/>
      <c r="E568" s="2521"/>
      <c r="F568" s="2521"/>
      <c r="G568" s="2521"/>
      <c r="H568" s="2521"/>
      <c r="I568" s="2521"/>
      <c r="J568" s="2521"/>
      <c r="K568" s="2521"/>
      <c r="L568" s="2521"/>
      <c r="M568" s="2521"/>
      <c r="N568" s="2521"/>
      <c r="O568" s="2521"/>
      <c r="P568" s="2521"/>
      <c r="Q568" s="2521"/>
      <c r="R568" s="2521"/>
      <c r="S568" s="2521"/>
      <c r="T568" s="2521"/>
      <c r="U568" s="2521"/>
      <c r="V568" s="2521"/>
      <c r="W568" s="2521"/>
      <c r="X568" s="2521"/>
      <c r="Y568" s="2521"/>
      <c r="Z568" s="2521"/>
    </row>
    <row r="569" spans="1:26" ht="16.5" customHeight="1">
      <c r="A569" s="2521"/>
      <c r="B569" s="2526"/>
      <c r="C569" s="2521"/>
      <c r="D569" s="2521"/>
      <c r="E569" s="2521"/>
      <c r="F569" s="2521"/>
      <c r="G569" s="2521"/>
      <c r="H569" s="2521"/>
      <c r="I569" s="2521"/>
      <c r="J569" s="2521"/>
      <c r="K569" s="2521"/>
      <c r="L569" s="2521"/>
      <c r="M569" s="2521"/>
      <c r="N569" s="2521"/>
      <c r="O569" s="2521"/>
      <c r="P569" s="2521"/>
      <c r="Q569" s="2521"/>
      <c r="R569" s="2521"/>
      <c r="S569" s="2521"/>
      <c r="T569" s="2521"/>
      <c r="U569" s="2521"/>
      <c r="V569" s="2521"/>
      <c r="W569" s="2521"/>
      <c r="X569" s="2521"/>
      <c r="Y569" s="2521"/>
      <c r="Z569" s="2521"/>
    </row>
    <row r="570" spans="1:26" ht="16.5" customHeight="1">
      <c r="A570" s="2521"/>
      <c r="B570" s="2526"/>
      <c r="C570" s="2521"/>
      <c r="D570" s="2521"/>
      <c r="E570" s="2521"/>
      <c r="F570" s="2521"/>
      <c r="G570" s="2521"/>
      <c r="H570" s="2521"/>
      <c r="I570" s="2521"/>
      <c r="J570" s="2521"/>
      <c r="K570" s="2521"/>
      <c r="L570" s="2521"/>
      <c r="M570" s="2521"/>
      <c r="N570" s="2521"/>
      <c r="O570" s="2521"/>
      <c r="P570" s="2521"/>
      <c r="Q570" s="2521"/>
      <c r="R570" s="2521"/>
      <c r="S570" s="2521"/>
      <c r="T570" s="2521"/>
      <c r="U570" s="2521"/>
      <c r="V570" s="2521"/>
      <c r="W570" s="2521"/>
      <c r="X570" s="2521"/>
      <c r="Y570" s="2521"/>
      <c r="Z570" s="2521"/>
    </row>
    <row r="571" spans="1:26" ht="16.5" customHeight="1">
      <c r="A571" s="2521"/>
      <c r="B571" s="2526"/>
      <c r="C571" s="2521"/>
      <c r="D571" s="2521"/>
      <c r="E571" s="2521"/>
      <c r="F571" s="2521"/>
      <c r="G571" s="2521"/>
      <c r="H571" s="2521"/>
      <c r="I571" s="2521"/>
      <c r="J571" s="2521"/>
      <c r="K571" s="2521"/>
      <c r="L571" s="2521"/>
      <c r="M571" s="2521"/>
      <c r="N571" s="2521"/>
      <c r="O571" s="2521"/>
      <c r="P571" s="2521"/>
      <c r="Q571" s="2521"/>
      <c r="R571" s="2521"/>
      <c r="S571" s="2521"/>
      <c r="T571" s="2521"/>
      <c r="U571" s="2521"/>
      <c r="V571" s="2521"/>
      <c r="W571" s="2521"/>
      <c r="X571" s="2521"/>
      <c r="Y571" s="2521"/>
      <c r="Z571" s="2521"/>
    </row>
    <row r="572" spans="1:26" ht="16.5" customHeight="1">
      <c r="A572" s="2521"/>
      <c r="B572" s="2526"/>
      <c r="C572" s="2521"/>
      <c r="D572" s="2521"/>
      <c r="E572" s="2521"/>
      <c r="F572" s="2521"/>
      <c r="G572" s="2521"/>
      <c r="H572" s="2521"/>
      <c r="I572" s="2521"/>
      <c r="J572" s="2521"/>
      <c r="K572" s="2521"/>
      <c r="L572" s="2521"/>
      <c r="M572" s="2521"/>
      <c r="N572" s="2521"/>
      <c r="O572" s="2521"/>
      <c r="P572" s="2521"/>
      <c r="Q572" s="2521"/>
      <c r="R572" s="2521"/>
      <c r="S572" s="2521"/>
      <c r="T572" s="2521"/>
      <c r="U572" s="2521"/>
      <c r="V572" s="2521"/>
      <c r="W572" s="2521"/>
      <c r="X572" s="2521"/>
      <c r="Y572" s="2521"/>
      <c r="Z572" s="2521"/>
    </row>
    <row r="573" spans="1:26" ht="16.5" customHeight="1">
      <c r="A573" s="2521"/>
      <c r="B573" s="2526"/>
      <c r="C573" s="2521"/>
      <c r="D573" s="2521"/>
      <c r="E573" s="2521"/>
      <c r="F573" s="2521"/>
      <c r="G573" s="2521"/>
      <c r="H573" s="2521"/>
      <c r="I573" s="2521"/>
      <c r="J573" s="2521"/>
      <c r="K573" s="2521"/>
      <c r="L573" s="2521"/>
      <c r="M573" s="2521"/>
      <c r="N573" s="2521"/>
      <c r="O573" s="2521"/>
      <c r="P573" s="2521"/>
      <c r="Q573" s="2521"/>
      <c r="R573" s="2521"/>
      <c r="S573" s="2521"/>
      <c r="T573" s="2521"/>
      <c r="U573" s="2521"/>
      <c r="V573" s="2521"/>
      <c r="W573" s="2521"/>
      <c r="X573" s="2521"/>
      <c r="Y573" s="2521"/>
      <c r="Z573" s="2521"/>
    </row>
    <row r="574" spans="1:26" ht="16.5" customHeight="1">
      <c r="A574" s="2521"/>
      <c r="B574" s="2526"/>
      <c r="C574" s="2521"/>
      <c r="D574" s="2521"/>
      <c r="E574" s="2521"/>
      <c r="F574" s="2521"/>
      <c r="G574" s="2521"/>
      <c r="H574" s="2521"/>
      <c r="I574" s="2521"/>
      <c r="J574" s="2521"/>
      <c r="K574" s="2521"/>
      <c r="L574" s="2521"/>
      <c r="M574" s="2521"/>
      <c r="N574" s="2521"/>
      <c r="O574" s="2521"/>
      <c r="P574" s="2521"/>
      <c r="Q574" s="2521"/>
      <c r="R574" s="2521"/>
      <c r="S574" s="2521"/>
      <c r="T574" s="2521"/>
      <c r="U574" s="2521"/>
      <c r="V574" s="2521"/>
      <c r="W574" s="2521"/>
      <c r="X574" s="2521"/>
      <c r="Y574" s="2521"/>
      <c r="Z574" s="2521"/>
    </row>
    <row r="575" spans="1:26" ht="16.5" customHeight="1">
      <c r="A575" s="2521"/>
      <c r="B575" s="2526"/>
      <c r="C575" s="2521"/>
      <c r="D575" s="2521"/>
      <c r="E575" s="2521"/>
      <c r="F575" s="2521"/>
      <c r="G575" s="2521"/>
      <c r="H575" s="2521"/>
      <c r="I575" s="2521"/>
      <c r="J575" s="2521"/>
      <c r="K575" s="2521"/>
      <c r="L575" s="2521"/>
      <c r="M575" s="2521"/>
      <c r="N575" s="2521"/>
      <c r="O575" s="2521"/>
      <c r="P575" s="2521"/>
      <c r="Q575" s="2521"/>
      <c r="R575" s="2521"/>
      <c r="S575" s="2521"/>
      <c r="T575" s="2521"/>
      <c r="U575" s="2521"/>
      <c r="V575" s="2521"/>
      <c r="W575" s="2521"/>
      <c r="X575" s="2521"/>
      <c r="Y575" s="2521"/>
      <c r="Z575" s="2521"/>
    </row>
    <row r="576" spans="1:26" ht="16.5" customHeight="1">
      <c r="A576" s="2521"/>
      <c r="B576" s="2526"/>
      <c r="C576" s="2521"/>
      <c r="D576" s="2521"/>
      <c r="E576" s="2521"/>
      <c r="F576" s="2521"/>
      <c r="G576" s="2521"/>
      <c r="H576" s="2521"/>
      <c r="I576" s="2521"/>
      <c r="J576" s="2521"/>
      <c r="K576" s="2521"/>
      <c r="L576" s="2521"/>
      <c r="M576" s="2521"/>
      <c r="N576" s="2521"/>
      <c r="O576" s="2521"/>
      <c r="P576" s="2521"/>
      <c r="Q576" s="2521"/>
      <c r="R576" s="2521"/>
      <c r="S576" s="2521"/>
      <c r="T576" s="2521"/>
      <c r="U576" s="2521"/>
      <c r="V576" s="2521"/>
      <c r="W576" s="2521"/>
      <c r="X576" s="2521"/>
      <c r="Y576" s="2521"/>
      <c r="Z576" s="2521"/>
    </row>
    <row r="577" spans="1:26" ht="16.5" customHeight="1">
      <c r="A577" s="2521"/>
      <c r="B577" s="2526"/>
      <c r="C577" s="2521"/>
      <c r="D577" s="2521"/>
      <c r="E577" s="2521"/>
      <c r="F577" s="2521"/>
      <c r="G577" s="2521"/>
      <c r="H577" s="2521"/>
      <c r="I577" s="2521"/>
      <c r="J577" s="2521"/>
      <c r="K577" s="2521"/>
      <c r="L577" s="2521"/>
      <c r="M577" s="2521"/>
      <c r="N577" s="2521"/>
      <c r="O577" s="2521"/>
      <c r="P577" s="2521"/>
      <c r="Q577" s="2521"/>
      <c r="R577" s="2521"/>
      <c r="S577" s="2521"/>
      <c r="T577" s="2521"/>
      <c r="U577" s="2521"/>
      <c r="V577" s="2521"/>
      <c r="W577" s="2521"/>
      <c r="X577" s="2521"/>
      <c r="Y577" s="2521"/>
      <c r="Z577" s="2521"/>
    </row>
    <row r="578" spans="1:26" ht="16.5" customHeight="1">
      <c r="A578" s="2521"/>
      <c r="B578" s="2526"/>
      <c r="C578" s="2521"/>
      <c r="D578" s="2521"/>
      <c r="E578" s="2521"/>
      <c r="F578" s="2521"/>
      <c r="G578" s="2521"/>
      <c r="H578" s="2521"/>
      <c r="I578" s="2521"/>
      <c r="J578" s="2521"/>
      <c r="K578" s="2521"/>
      <c r="L578" s="2521"/>
      <c r="M578" s="2521"/>
      <c r="N578" s="2521"/>
      <c r="O578" s="2521"/>
      <c r="P578" s="2521"/>
      <c r="Q578" s="2521"/>
      <c r="R578" s="2521"/>
      <c r="S578" s="2521"/>
      <c r="T578" s="2521"/>
      <c r="U578" s="2521"/>
      <c r="V578" s="2521"/>
      <c r="W578" s="2521"/>
      <c r="X578" s="2521"/>
      <c r="Y578" s="2521"/>
      <c r="Z578" s="2521"/>
    </row>
    <row r="579" spans="1:26" ht="16.5" customHeight="1">
      <c r="A579" s="2521"/>
      <c r="B579" s="2526"/>
      <c r="C579" s="2521"/>
      <c r="D579" s="2521"/>
      <c r="E579" s="2521"/>
      <c r="F579" s="2521"/>
      <c r="G579" s="2521"/>
      <c r="H579" s="2521"/>
      <c r="I579" s="2521"/>
      <c r="J579" s="2521"/>
      <c r="K579" s="2521"/>
      <c r="L579" s="2521"/>
      <c r="M579" s="2521"/>
      <c r="N579" s="2521"/>
      <c r="O579" s="2521"/>
      <c r="P579" s="2521"/>
      <c r="Q579" s="2521"/>
      <c r="R579" s="2521"/>
      <c r="S579" s="2521"/>
      <c r="T579" s="2521"/>
      <c r="U579" s="2521"/>
      <c r="V579" s="2521"/>
      <c r="W579" s="2521"/>
      <c r="X579" s="2521"/>
      <c r="Y579" s="2521"/>
      <c r="Z579" s="2521"/>
    </row>
    <row r="580" spans="1:26" ht="16.5" customHeight="1">
      <c r="A580" s="2521"/>
      <c r="B580" s="2526"/>
      <c r="C580" s="2521"/>
      <c r="D580" s="2521"/>
      <c r="E580" s="2521"/>
      <c r="F580" s="2521"/>
      <c r="G580" s="2521"/>
      <c r="H580" s="2521"/>
      <c r="I580" s="2521"/>
      <c r="J580" s="2521"/>
      <c r="K580" s="2521"/>
      <c r="L580" s="2521"/>
      <c r="M580" s="2521"/>
      <c r="N580" s="2521"/>
      <c r="O580" s="2521"/>
      <c r="P580" s="2521"/>
      <c r="Q580" s="2521"/>
      <c r="R580" s="2521"/>
      <c r="S580" s="2521"/>
      <c r="T580" s="2521"/>
      <c r="U580" s="2521"/>
      <c r="V580" s="2521"/>
      <c r="W580" s="2521"/>
      <c r="X580" s="2521"/>
      <c r="Y580" s="2521"/>
      <c r="Z580" s="2521"/>
    </row>
    <row r="581" spans="1:26" ht="16.5" customHeight="1">
      <c r="A581" s="2521"/>
      <c r="B581" s="2526"/>
      <c r="C581" s="2521"/>
      <c r="D581" s="2521"/>
      <c r="E581" s="2521"/>
      <c r="F581" s="2521"/>
      <c r="G581" s="2521"/>
      <c r="H581" s="2521"/>
      <c r="I581" s="2521"/>
      <c r="J581" s="2521"/>
      <c r="K581" s="2521"/>
      <c r="L581" s="2521"/>
      <c r="M581" s="2521"/>
      <c r="N581" s="2521"/>
      <c r="O581" s="2521"/>
      <c r="P581" s="2521"/>
      <c r="Q581" s="2521"/>
      <c r="R581" s="2521"/>
      <c r="S581" s="2521"/>
      <c r="T581" s="2521"/>
      <c r="U581" s="2521"/>
      <c r="V581" s="2521"/>
      <c r="W581" s="2521"/>
      <c r="X581" s="2521"/>
      <c r="Y581" s="2521"/>
      <c r="Z581" s="2521"/>
    </row>
    <row r="582" spans="1:26" ht="16.5" customHeight="1">
      <c r="A582" s="2521"/>
      <c r="B582" s="2526"/>
      <c r="C582" s="2521"/>
      <c r="D582" s="2521"/>
      <c r="E582" s="2521"/>
      <c r="F582" s="2521"/>
      <c r="G582" s="2521"/>
      <c r="H582" s="2521"/>
      <c r="I582" s="2521"/>
      <c r="J582" s="2521"/>
      <c r="K582" s="2521"/>
      <c r="L582" s="2521"/>
      <c r="M582" s="2521"/>
      <c r="N582" s="2521"/>
      <c r="O582" s="2521"/>
      <c r="P582" s="2521"/>
      <c r="Q582" s="2521"/>
      <c r="R582" s="2521"/>
      <c r="S582" s="2521"/>
      <c r="T582" s="2521"/>
      <c r="U582" s="2521"/>
      <c r="V582" s="2521"/>
      <c r="W582" s="2521"/>
      <c r="X582" s="2521"/>
      <c r="Y582" s="2521"/>
      <c r="Z582" s="2521"/>
    </row>
    <row r="583" spans="1:26" ht="16.5" customHeight="1">
      <c r="A583" s="2521"/>
      <c r="B583" s="2526"/>
      <c r="C583" s="2521"/>
      <c r="D583" s="2521"/>
      <c r="E583" s="2521"/>
      <c r="F583" s="2521"/>
      <c r="G583" s="2521"/>
      <c r="H583" s="2521"/>
      <c r="I583" s="2521"/>
      <c r="J583" s="2521"/>
      <c r="K583" s="2521"/>
      <c r="L583" s="2521"/>
      <c r="M583" s="2521"/>
      <c r="N583" s="2521"/>
      <c r="O583" s="2521"/>
      <c r="P583" s="2521"/>
      <c r="Q583" s="2521"/>
      <c r="R583" s="2521"/>
      <c r="S583" s="2521"/>
      <c r="T583" s="2521"/>
      <c r="U583" s="2521"/>
      <c r="V583" s="2521"/>
      <c r="W583" s="2521"/>
      <c r="X583" s="2521"/>
      <c r="Y583" s="2521"/>
      <c r="Z583" s="2521"/>
    </row>
    <row r="584" spans="1:26" ht="16.5" customHeight="1">
      <c r="A584" s="2521"/>
      <c r="B584" s="2526"/>
      <c r="C584" s="2521"/>
      <c r="D584" s="2521"/>
      <c r="E584" s="2521"/>
      <c r="F584" s="2521"/>
      <c r="G584" s="2521"/>
      <c r="H584" s="2521"/>
      <c r="I584" s="2521"/>
      <c r="J584" s="2521"/>
      <c r="K584" s="2521"/>
      <c r="L584" s="2521"/>
      <c r="M584" s="2521"/>
      <c r="N584" s="2521"/>
      <c r="O584" s="2521"/>
      <c r="P584" s="2521"/>
      <c r="Q584" s="2521"/>
      <c r="R584" s="2521"/>
      <c r="S584" s="2521"/>
      <c r="T584" s="2521"/>
      <c r="U584" s="2521"/>
      <c r="V584" s="2521"/>
      <c r="W584" s="2521"/>
      <c r="X584" s="2521"/>
      <c r="Y584" s="2521"/>
      <c r="Z584" s="2521"/>
    </row>
    <row r="585" spans="1:26" ht="16.5" customHeight="1">
      <c r="A585" s="2521"/>
      <c r="B585" s="2526"/>
      <c r="C585" s="2521"/>
      <c r="D585" s="2521"/>
      <c r="E585" s="2521"/>
      <c r="F585" s="2521"/>
      <c r="G585" s="2521"/>
      <c r="H585" s="2521"/>
      <c r="I585" s="2521"/>
      <c r="J585" s="2521"/>
      <c r="K585" s="2521"/>
      <c r="L585" s="2521"/>
      <c r="M585" s="2521"/>
      <c r="N585" s="2521"/>
      <c r="O585" s="2521"/>
      <c r="P585" s="2521"/>
      <c r="Q585" s="2521"/>
      <c r="R585" s="2521"/>
      <c r="S585" s="2521"/>
      <c r="T585" s="2521"/>
      <c r="U585" s="2521"/>
      <c r="V585" s="2521"/>
      <c r="W585" s="2521"/>
      <c r="X585" s="2521"/>
      <c r="Y585" s="2521"/>
      <c r="Z585" s="2521"/>
    </row>
    <row r="586" spans="1:26" ht="16.5" customHeight="1">
      <c r="A586" s="2521"/>
      <c r="B586" s="2526"/>
      <c r="C586" s="2521"/>
      <c r="D586" s="2521"/>
      <c r="E586" s="2521"/>
      <c r="F586" s="2521"/>
      <c r="G586" s="2521"/>
      <c r="H586" s="2521"/>
      <c r="I586" s="2521"/>
      <c r="J586" s="2521"/>
      <c r="K586" s="2521"/>
      <c r="L586" s="2521"/>
      <c r="M586" s="2521"/>
      <c r="N586" s="2521"/>
      <c r="O586" s="2521"/>
      <c r="P586" s="2521"/>
      <c r="Q586" s="2521"/>
      <c r="R586" s="2521"/>
      <c r="S586" s="2521"/>
      <c r="T586" s="2521"/>
      <c r="U586" s="2521"/>
      <c r="V586" s="2521"/>
      <c r="W586" s="2521"/>
      <c r="X586" s="2521"/>
      <c r="Y586" s="2521"/>
      <c r="Z586" s="2521"/>
    </row>
    <row r="587" spans="1:26" ht="16.5" customHeight="1">
      <c r="A587" s="2521"/>
      <c r="B587" s="2526"/>
      <c r="C587" s="2521"/>
      <c r="D587" s="2521"/>
      <c r="E587" s="2521"/>
      <c r="F587" s="2521"/>
      <c r="G587" s="2521"/>
      <c r="H587" s="2521"/>
      <c r="I587" s="2521"/>
      <c r="J587" s="2521"/>
      <c r="K587" s="2521"/>
      <c r="L587" s="2521"/>
      <c r="M587" s="2521"/>
      <c r="N587" s="2521"/>
      <c r="O587" s="2521"/>
      <c r="P587" s="2521"/>
      <c r="Q587" s="2521"/>
      <c r="R587" s="2521"/>
      <c r="S587" s="2521"/>
      <c r="T587" s="2521"/>
      <c r="U587" s="2521"/>
      <c r="V587" s="2521"/>
      <c r="W587" s="2521"/>
      <c r="X587" s="2521"/>
      <c r="Y587" s="2521"/>
      <c r="Z587" s="2521"/>
    </row>
    <row r="588" spans="1:26" ht="16.5" customHeight="1">
      <c r="A588" s="2521"/>
      <c r="B588" s="2526"/>
      <c r="C588" s="2521"/>
      <c r="D588" s="2521"/>
      <c r="E588" s="2521"/>
      <c r="F588" s="2521"/>
      <c r="G588" s="2521"/>
      <c r="H588" s="2521"/>
      <c r="I588" s="2521"/>
      <c r="J588" s="2521"/>
      <c r="K588" s="2521"/>
      <c r="L588" s="2521"/>
      <c r="M588" s="2521"/>
      <c r="N588" s="2521"/>
      <c r="O588" s="2521"/>
      <c r="P588" s="2521"/>
      <c r="Q588" s="2521"/>
      <c r="R588" s="2521"/>
      <c r="S588" s="2521"/>
      <c r="T588" s="2521"/>
      <c r="U588" s="2521"/>
      <c r="V588" s="2521"/>
      <c r="W588" s="2521"/>
      <c r="X588" s="2521"/>
      <c r="Y588" s="2521"/>
      <c r="Z588" s="2521"/>
    </row>
    <row r="589" spans="1:26" ht="16.5" customHeight="1">
      <c r="A589" s="2521"/>
      <c r="B589" s="2526"/>
      <c r="C589" s="2521"/>
      <c r="D589" s="2521"/>
      <c r="E589" s="2521"/>
      <c r="F589" s="2521"/>
      <c r="G589" s="2521"/>
      <c r="H589" s="2521"/>
      <c r="I589" s="2521"/>
      <c r="J589" s="2521"/>
      <c r="K589" s="2521"/>
      <c r="L589" s="2521"/>
      <c r="M589" s="2521"/>
      <c r="N589" s="2521"/>
      <c r="O589" s="2521"/>
      <c r="P589" s="2521"/>
      <c r="Q589" s="2521"/>
      <c r="R589" s="2521"/>
      <c r="S589" s="2521"/>
      <c r="T589" s="2521"/>
      <c r="U589" s="2521"/>
      <c r="V589" s="2521"/>
      <c r="W589" s="2521"/>
      <c r="X589" s="2521"/>
      <c r="Y589" s="2521"/>
      <c r="Z589" s="2521"/>
    </row>
    <row r="590" spans="1:26" ht="16.5" customHeight="1">
      <c r="A590" s="2521"/>
      <c r="B590" s="2526"/>
      <c r="C590" s="2521"/>
      <c r="D590" s="2521"/>
      <c r="E590" s="2521"/>
      <c r="F590" s="2521"/>
      <c r="G590" s="2521"/>
      <c r="H590" s="2521"/>
      <c r="I590" s="2521"/>
      <c r="J590" s="2521"/>
      <c r="K590" s="2521"/>
      <c r="L590" s="2521"/>
      <c r="M590" s="2521"/>
      <c r="N590" s="2521"/>
      <c r="O590" s="2521"/>
      <c r="P590" s="2521"/>
      <c r="Q590" s="2521"/>
      <c r="R590" s="2521"/>
      <c r="S590" s="2521"/>
      <c r="T590" s="2521"/>
      <c r="U590" s="2521"/>
      <c r="V590" s="2521"/>
      <c r="W590" s="2521"/>
      <c r="X590" s="2521"/>
      <c r="Y590" s="2521"/>
      <c r="Z590" s="2521"/>
    </row>
    <row r="591" spans="1:26" ht="16.5" customHeight="1">
      <c r="A591" s="2521"/>
      <c r="B591" s="2526"/>
      <c r="C591" s="2521"/>
      <c r="D591" s="2521"/>
      <c r="E591" s="2521"/>
      <c r="F591" s="2521"/>
      <c r="G591" s="2521"/>
      <c r="H591" s="2521"/>
      <c r="I591" s="2521"/>
      <c r="J591" s="2521"/>
      <c r="K591" s="2521"/>
      <c r="L591" s="2521"/>
      <c r="M591" s="2521"/>
      <c r="N591" s="2521"/>
      <c r="O591" s="2521"/>
      <c r="P591" s="2521"/>
      <c r="Q591" s="2521"/>
      <c r="R591" s="2521"/>
      <c r="S591" s="2521"/>
      <c r="T591" s="2521"/>
      <c r="U591" s="2521"/>
      <c r="V591" s="2521"/>
      <c r="W591" s="2521"/>
      <c r="X591" s="2521"/>
      <c r="Y591" s="2521"/>
      <c r="Z591" s="2521"/>
    </row>
    <row r="592" spans="1:26" ht="16.5" customHeight="1">
      <c r="A592" s="2521"/>
      <c r="B592" s="2526"/>
      <c r="C592" s="2521"/>
      <c r="D592" s="2521"/>
      <c r="E592" s="2521"/>
      <c r="F592" s="2521"/>
      <c r="G592" s="2521"/>
      <c r="H592" s="2521"/>
      <c r="I592" s="2521"/>
      <c r="J592" s="2521"/>
      <c r="K592" s="2521"/>
      <c r="L592" s="2521"/>
      <c r="M592" s="2521"/>
      <c r="N592" s="2521"/>
      <c r="O592" s="2521"/>
      <c r="P592" s="2521"/>
      <c r="Q592" s="2521"/>
      <c r="R592" s="2521"/>
      <c r="S592" s="2521"/>
      <c r="T592" s="2521"/>
      <c r="U592" s="2521"/>
      <c r="V592" s="2521"/>
      <c r="W592" s="2521"/>
      <c r="X592" s="2521"/>
      <c r="Y592" s="2521"/>
      <c r="Z592" s="2521"/>
    </row>
    <row r="593" spans="1:26" ht="16.5" customHeight="1">
      <c r="A593" s="2521"/>
      <c r="B593" s="2526"/>
      <c r="C593" s="2521"/>
      <c r="D593" s="2521"/>
      <c r="E593" s="2521"/>
      <c r="F593" s="2521"/>
      <c r="G593" s="2521"/>
      <c r="H593" s="2521"/>
      <c r="I593" s="2521"/>
      <c r="J593" s="2521"/>
      <c r="K593" s="2521"/>
      <c r="L593" s="2521"/>
      <c r="M593" s="2521"/>
      <c r="N593" s="2521"/>
      <c r="O593" s="2521"/>
      <c r="P593" s="2521"/>
      <c r="Q593" s="2521"/>
      <c r="R593" s="2521"/>
      <c r="S593" s="2521"/>
      <c r="T593" s="2521"/>
      <c r="U593" s="2521"/>
      <c r="V593" s="2521"/>
      <c r="W593" s="2521"/>
      <c r="X593" s="2521"/>
      <c r="Y593" s="2521"/>
      <c r="Z593" s="2521"/>
    </row>
    <row r="594" spans="1:26" ht="16.5" customHeight="1">
      <c r="A594" s="2521"/>
      <c r="B594" s="2526"/>
      <c r="C594" s="2521"/>
      <c r="D594" s="2521"/>
      <c r="E594" s="2521"/>
      <c r="F594" s="2521"/>
      <c r="G594" s="2521"/>
      <c r="H594" s="2521"/>
      <c r="I594" s="2521"/>
      <c r="J594" s="2521"/>
      <c r="K594" s="2521"/>
      <c r="L594" s="2521"/>
      <c r="M594" s="2521"/>
      <c r="N594" s="2521"/>
      <c r="O594" s="2521"/>
      <c r="P594" s="2521"/>
      <c r="Q594" s="2521"/>
      <c r="R594" s="2521"/>
      <c r="S594" s="2521"/>
      <c r="T594" s="2521"/>
      <c r="U594" s="2521"/>
      <c r="V594" s="2521"/>
      <c r="W594" s="2521"/>
      <c r="X594" s="2521"/>
      <c r="Y594" s="2521"/>
      <c r="Z594" s="2521"/>
    </row>
    <row r="595" spans="1:26" ht="16.5" customHeight="1">
      <c r="A595" s="2521"/>
      <c r="B595" s="2526"/>
      <c r="C595" s="2521"/>
      <c r="D595" s="2521"/>
      <c r="E595" s="2521"/>
      <c r="F595" s="2521"/>
      <c r="G595" s="2521"/>
      <c r="H595" s="2521"/>
      <c r="I595" s="2521"/>
      <c r="J595" s="2521"/>
      <c r="K595" s="2521"/>
      <c r="L595" s="2521"/>
      <c r="M595" s="2521"/>
      <c r="N595" s="2521"/>
      <c r="O595" s="2521"/>
      <c r="P595" s="2521"/>
      <c r="Q595" s="2521"/>
      <c r="R595" s="2521"/>
      <c r="S595" s="2521"/>
      <c r="T595" s="2521"/>
      <c r="U595" s="2521"/>
      <c r="V595" s="2521"/>
      <c r="W595" s="2521"/>
      <c r="X595" s="2521"/>
      <c r="Y595" s="2521"/>
      <c r="Z595" s="2521"/>
    </row>
    <row r="596" spans="1:26" ht="16.5" customHeight="1">
      <c r="A596" s="2521"/>
      <c r="B596" s="2526"/>
      <c r="C596" s="2521"/>
      <c r="D596" s="2521"/>
      <c r="E596" s="2521"/>
      <c r="F596" s="2521"/>
      <c r="G596" s="2521"/>
      <c r="H596" s="2521"/>
      <c r="I596" s="2521"/>
      <c r="J596" s="2521"/>
      <c r="K596" s="2521"/>
      <c r="L596" s="2521"/>
      <c r="M596" s="2521"/>
      <c r="N596" s="2521"/>
      <c r="O596" s="2521"/>
      <c r="P596" s="2521"/>
      <c r="Q596" s="2521"/>
      <c r="R596" s="2521"/>
      <c r="S596" s="2521"/>
      <c r="T596" s="2521"/>
      <c r="U596" s="2521"/>
      <c r="V596" s="2521"/>
      <c r="W596" s="2521"/>
      <c r="X596" s="2521"/>
      <c r="Y596" s="2521"/>
      <c r="Z596" s="2521"/>
    </row>
    <row r="597" spans="1:26" ht="16.5" customHeight="1">
      <c r="A597" s="2521"/>
      <c r="B597" s="2526"/>
      <c r="C597" s="2521"/>
      <c r="D597" s="2521"/>
      <c r="E597" s="2521"/>
      <c r="F597" s="2521"/>
      <c r="G597" s="2521"/>
      <c r="H597" s="2521"/>
      <c r="I597" s="2521"/>
      <c r="J597" s="2521"/>
      <c r="K597" s="2521"/>
      <c r="L597" s="2521"/>
      <c r="M597" s="2521"/>
      <c r="N597" s="2521"/>
      <c r="O597" s="2521"/>
      <c r="P597" s="2521"/>
      <c r="Q597" s="2521"/>
      <c r="R597" s="2521"/>
      <c r="S597" s="2521"/>
      <c r="T597" s="2521"/>
      <c r="U597" s="2521"/>
      <c r="V597" s="2521"/>
      <c r="W597" s="2521"/>
      <c r="X597" s="2521"/>
      <c r="Y597" s="2521"/>
      <c r="Z597" s="2521"/>
    </row>
    <row r="598" spans="1:26" ht="16.5" customHeight="1">
      <c r="A598" s="2521"/>
      <c r="B598" s="2526"/>
      <c r="C598" s="2521"/>
      <c r="D598" s="2521"/>
      <c r="E598" s="2521"/>
      <c r="F598" s="2521"/>
      <c r="G598" s="2521"/>
      <c r="H598" s="2521"/>
      <c r="I598" s="2521"/>
      <c r="J598" s="2521"/>
      <c r="K598" s="2521"/>
      <c r="L598" s="2521"/>
      <c r="M598" s="2521"/>
      <c r="N598" s="2521"/>
      <c r="O598" s="2521"/>
      <c r="P598" s="2521"/>
      <c r="Q598" s="2521"/>
      <c r="R598" s="2521"/>
      <c r="S598" s="2521"/>
      <c r="T598" s="2521"/>
      <c r="U598" s="2521"/>
      <c r="V598" s="2521"/>
      <c r="W598" s="2521"/>
      <c r="X598" s="2521"/>
      <c r="Y598" s="2521"/>
      <c r="Z598" s="2521"/>
    </row>
    <row r="599" spans="1:26" ht="16.5" customHeight="1">
      <c r="A599" s="2521"/>
      <c r="B599" s="2526"/>
      <c r="C599" s="2521"/>
      <c r="D599" s="2521"/>
      <c r="E599" s="2521"/>
      <c r="F599" s="2521"/>
      <c r="G599" s="2521"/>
      <c r="H599" s="2521"/>
      <c r="I599" s="2521"/>
      <c r="J599" s="2521"/>
      <c r="K599" s="2521"/>
      <c r="L599" s="2521"/>
      <c r="M599" s="2521"/>
      <c r="N599" s="2521"/>
      <c r="O599" s="2521"/>
      <c r="P599" s="2521"/>
      <c r="Q599" s="2521"/>
      <c r="R599" s="2521"/>
      <c r="S599" s="2521"/>
      <c r="T599" s="2521"/>
      <c r="U599" s="2521"/>
      <c r="V599" s="2521"/>
      <c r="W599" s="2521"/>
      <c r="X599" s="2521"/>
      <c r="Y599" s="2521"/>
      <c r="Z599" s="2521"/>
    </row>
    <row r="600" spans="1:26" ht="16.5" customHeight="1">
      <c r="A600" s="2521"/>
      <c r="B600" s="2526"/>
      <c r="C600" s="2521"/>
      <c r="D600" s="2521"/>
      <c r="E600" s="2521"/>
      <c r="F600" s="2521"/>
      <c r="G600" s="2521"/>
      <c r="H600" s="2521"/>
      <c r="I600" s="2521"/>
      <c r="J600" s="2521"/>
      <c r="K600" s="2521"/>
      <c r="L600" s="2521"/>
      <c r="M600" s="2521"/>
      <c r="N600" s="2521"/>
      <c r="O600" s="2521"/>
      <c r="P600" s="2521"/>
      <c r="Q600" s="2521"/>
      <c r="R600" s="2521"/>
      <c r="S600" s="2521"/>
      <c r="T600" s="2521"/>
      <c r="U600" s="2521"/>
      <c r="V600" s="2521"/>
      <c r="W600" s="2521"/>
      <c r="X600" s="2521"/>
      <c r="Y600" s="2521"/>
      <c r="Z600" s="2521"/>
    </row>
    <row r="601" spans="1:26" ht="16.5" customHeight="1">
      <c r="A601" s="2521"/>
      <c r="B601" s="2526"/>
      <c r="C601" s="2521"/>
      <c r="D601" s="2521"/>
      <c r="E601" s="2521"/>
      <c r="F601" s="2521"/>
      <c r="G601" s="2521"/>
      <c r="H601" s="2521"/>
      <c r="I601" s="2521"/>
      <c r="J601" s="2521"/>
      <c r="K601" s="2521"/>
      <c r="L601" s="2521"/>
      <c r="M601" s="2521"/>
      <c r="N601" s="2521"/>
      <c r="O601" s="2521"/>
      <c r="P601" s="2521"/>
      <c r="Q601" s="2521"/>
      <c r="R601" s="2521"/>
      <c r="S601" s="2521"/>
      <c r="T601" s="2521"/>
      <c r="U601" s="2521"/>
      <c r="V601" s="2521"/>
      <c r="W601" s="2521"/>
      <c r="X601" s="2521"/>
      <c r="Y601" s="2521"/>
      <c r="Z601" s="2521"/>
    </row>
    <row r="602" spans="1:26" ht="16.5" customHeight="1">
      <c r="A602" s="2521"/>
      <c r="B602" s="2526"/>
      <c r="C602" s="2521"/>
      <c r="D602" s="2521"/>
      <c r="E602" s="2521"/>
      <c r="F602" s="2521"/>
      <c r="G602" s="2521"/>
      <c r="H602" s="2521"/>
      <c r="I602" s="2521"/>
      <c r="J602" s="2521"/>
      <c r="K602" s="2521"/>
      <c r="L602" s="2521"/>
      <c r="M602" s="2521"/>
      <c r="N602" s="2521"/>
      <c r="O602" s="2521"/>
      <c r="P602" s="2521"/>
      <c r="Q602" s="2521"/>
      <c r="R602" s="2521"/>
      <c r="S602" s="2521"/>
      <c r="T602" s="2521"/>
      <c r="U602" s="2521"/>
      <c r="V602" s="2521"/>
      <c r="W602" s="2521"/>
      <c r="X602" s="2521"/>
      <c r="Y602" s="2521"/>
      <c r="Z602" s="2521"/>
    </row>
    <row r="603" spans="1:26" ht="16.5" customHeight="1">
      <c r="A603" s="2521"/>
      <c r="B603" s="2526"/>
      <c r="C603" s="2521"/>
      <c r="D603" s="2521"/>
      <c r="E603" s="2521"/>
      <c r="F603" s="2521"/>
      <c r="G603" s="2521"/>
      <c r="H603" s="2521"/>
      <c r="I603" s="2521"/>
      <c r="J603" s="2521"/>
      <c r="K603" s="2521"/>
      <c r="L603" s="2521"/>
      <c r="M603" s="2521"/>
      <c r="N603" s="2521"/>
      <c r="O603" s="2521"/>
      <c r="P603" s="2521"/>
      <c r="Q603" s="2521"/>
      <c r="R603" s="2521"/>
      <c r="S603" s="2521"/>
      <c r="T603" s="2521"/>
      <c r="U603" s="2521"/>
      <c r="V603" s="2521"/>
      <c r="W603" s="2521"/>
      <c r="X603" s="2521"/>
      <c r="Y603" s="2521"/>
      <c r="Z603" s="2521"/>
    </row>
    <row r="604" spans="1:26" ht="16.5" customHeight="1">
      <c r="A604" s="2521"/>
      <c r="B604" s="2526"/>
      <c r="C604" s="2521"/>
      <c r="D604" s="2521"/>
      <c r="E604" s="2521"/>
      <c r="F604" s="2521"/>
      <c r="G604" s="2521"/>
      <c r="H604" s="2521"/>
      <c r="I604" s="2521"/>
      <c r="J604" s="2521"/>
      <c r="K604" s="2521"/>
      <c r="L604" s="2521"/>
      <c r="M604" s="2521"/>
      <c r="N604" s="2521"/>
      <c r="O604" s="2521"/>
      <c r="P604" s="2521"/>
      <c r="Q604" s="2521"/>
      <c r="R604" s="2521"/>
      <c r="S604" s="2521"/>
      <c r="T604" s="2521"/>
      <c r="U604" s="2521"/>
      <c r="V604" s="2521"/>
      <c r="W604" s="2521"/>
      <c r="X604" s="2521"/>
      <c r="Y604" s="2521"/>
      <c r="Z604" s="2521"/>
    </row>
    <row r="605" spans="1:26" ht="16.5" customHeight="1">
      <c r="A605" s="2521"/>
      <c r="B605" s="2526"/>
      <c r="C605" s="2521"/>
      <c r="D605" s="2521"/>
      <c r="E605" s="2521"/>
      <c r="F605" s="2521"/>
      <c r="G605" s="2521"/>
      <c r="H605" s="2521"/>
      <c r="I605" s="2521"/>
      <c r="J605" s="2521"/>
      <c r="K605" s="2521"/>
      <c r="L605" s="2521"/>
      <c r="M605" s="2521"/>
      <c r="N605" s="2521"/>
      <c r="O605" s="2521"/>
      <c r="P605" s="2521"/>
      <c r="Q605" s="2521"/>
      <c r="R605" s="2521"/>
      <c r="S605" s="2521"/>
      <c r="T605" s="2521"/>
      <c r="U605" s="2521"/>
      <c r="V605" s="2521"/>
      <c r="W605" s="2521"/>
      <c r="X605" s="2521"/>
      <c r="Y605" s="2521"/>
      <c r="Z605" s="2521"/>
    </row>
    <row r="606" spans="1:26" ht="16.5" customHeight="1">
      <c r="A606" s="2521"/>
      <c r="B606" s="2526"/>
      <c r="C606" s="2521"/>
      <c r="D606" s="2521"/>
      <c r="E606" s="2521"/>
      <c r="F606" s="2521"/>
      <c r="G606" s="2521"/>
      <c r="H606" s="2521"/>
      <c r="I606" s="2521"/>
      <c r="J606" s="2521"/>
      <c r="K606" s="2521"/>
      <c r="L606" s="2521"/>
      <c r="M606" s="2521"/>
      <c r="N606" s="2521"/>
      <c r="O606" s="2521"/>
      <c r="P606" s="2521"/>
      <c r="Q606" s="2521"/>
      <c r="R606" s="2521"/>
      <c r="S606" s="2521"/>
      <c r="T606" s="2521"/>
      <c r="U606" s="2521"/>
      <c r="V606" s="2521"/>
      <c r="W606" s="2521"/>
      <c r="X606" s="2521"/>
      <c r="Y606" s="2521"/>
      <c r="Z606" s="2521"/>
    </row>
    <row r="607" spans="1:26" ht="16.5" customHeight="1">
      <c r="A607" s="2521"/>
      <c r="B607" s="2526"/>
      <c r="C607" s="2521"/>
      <c r="D607" s="2521"/>
      <c r="E607" s="2521"/>
      <c r="F607" s="2521"/>
      <c r="G607" s="2521"/>
      <c r="H607" s="2521"/>
      <c r="I607" s="2521"/>
      <c r="J607" s="2521"/>
      <c r="K607" s="2521"/>
      <c r="L607" s="2521"/>
      <c r="M607" s="2521"/>
      <c r="N607" s="2521"/>
      <c r="O607" s="2521"/>
      <c r="P607" s="2521"/>
      <c r="Q607" s="2521"/>
      <c r="R607" s="2521"/>
      <c r="S607" s="2521"/>
      <c r="T607" s="2521"/>
      <c r="U607" s="2521"/>
      <c r="V607" s="2521"/>
      <c r="W607" s="2521"/>
      <c r="X607" s="2521"/>
      <c r="Y607" s="2521"/>
      <c r="Z607" s="2521"/>
    </row>
    <row r="608" spans="1:26" ht="16.5" customHeight="1">
      <c r="A608" s="2521"/>
      <c r="B608" s="2526"/>
      <c r="C608" s="2521"/>
      <c r="D608" s="2521"/>
      <c r="E608" s="2521"/>
      <c r="F608" s="2521"/>
      <c r="G608" s="2521"/>
      <c r="H608" s="2521"/>
      <c r="I608" s="2521"/>
      <c r="J608" s="2521"/>
      <c r="K608" s="2521"/>
      <c r="L608" s="2521"/>
      <c r="M608" s="2521"/>
      <c r="N608" s="2521"/>
      <c r="O608" s="2521"/>
      <c r="P608" s="2521"/>
      <c r="Q608" s="2521"/>
      <c r="R608" s="2521"/>
      <c r="S608" s="2521"/>
      <c r="T608" s="2521"/>
      <c r="U608" s="2521"/>
      <c r="V608" s="2521"/>
      <c r="W608" s="2521"/>
      <c r="X608" s="2521"/>
      <c r="Y608" s="2521"/>
      <c r="Z608" s="2521"/>
    </row>
    <row r="609" spans="1:26" ht="16.5" customHeight="1">
      <c r="A609" s="2521"/>
      <c r="B609" s="2526"/>
      <c r="C609" s="2521"/>
      <c r="D609" s="2521"/>
      <c r="E609" s="2521"/>
      <c r="F609" s="2521"/>
      <c r="G609" s="2521"/>
      <c r="H609" s="2521"/>
      <c r="I609" s="2521"/>
      <c r="J609" s="2521"/>
      <c r="K609" s="2521"/>
      <c r="L609" s="2521"/>
      <c r="M609" s="2521"/>
      <c r="N609" s="2521"/>
      <c r="O609" s="2521"/>
      <c r="P609" s="2521"/>
      <c r="Q609" s="2521"/>
      <c r="R609" s="2521"/>
      <c r="S609" s="2521"/>
      <c r="T609" s="2521"/>
      <c r="U609" s="2521"/>
      <c r="V609" s="2521"/>
      <c r="W609" s="2521"/>
      <c r="X609" s="2521"/>
      <c r="Y609" s="2521"/>
      <c r="Z609" s="2521"/>
    </row>
    <row r="610" spans="1:26" ht="16.5" customHeight="1">
      <c r="A610" s="2521"/>
      <c r="B610" s="2526"/>
      <c r="C610" s="2521"/>
      <c r="D610" s="2521"/>
      <c r="E610" s="2521"/>
      <c r="F610" s="2521"/>
      <c r="G610" s="2521"/>
      <c r="H610" s="2521"/>
      <c r="I610" s="2521"/>
      <c r="J610" s="2521"/>
      <c r="K610" s="2521"/>
      <c r="L610" s="2521"/>
      <c r="M610" s="2521"/>
      <c r="N610" s="2521"/>
      <c r="O610" s="2521"/>
      <c r="P610" s="2521"/>
      <c r="Q610" s="2521"/>
      <c r="R610" s="2521"/>
      <c r="S610" s="2521"/>
      <c r="T610" s="2521"/>
      <c r="U610" s="2521"/>
      <c r="V610" s="2521"/>
      <c r="W610" s="2521"/>
      <c r="X610" s="2521"/>
      <c r="Y610" s="2521"/>
      <c r="Z610" s="2521"/>
    </row>
    <row r="611" spans="1:26" ht="16.5" customHeight="1">
      <c r="A611" s="2521"/>
      <c r="B611" s="2526"/>
      <c r="C611" s="2521"/>
      <c r="D611" s="2521"/>
      <c r="E611" s="2521"/>
      <c r="F611" s="2521"/>
      <c r="G611" s="2521"/>
      <c r="H611" s="2521"/>
      <c r="I611" s="2521"/>
      <c r="J611" s="2521"/>
      <c r="K611" s="2521"/>
      <c r="L611" s="2521"/>
      <c r="M611" s="2521"/>
      <c r="N611" s="2521"/>
      <c r="O611" s="2521"/>
      <c r="P611" s="2521"/>
      <c r="Q611" s="2521"/>
      <c r="R611" s="2521"/>
      <c r="S611" s="2521"/>
      <c r="T611" s="2521"/>
      <c r="U611" s="2521"/>
      <c r="V611" s="2521"/>
      <c r="W611" s="2521"/>
      <c r="X611" s="2521"/>
      <c r="Y611" s="2521"/>
      <c r="Z611" s="2521"/>
    </row>
    <row r="612" spans="1:26" ht="16.5" customHeight="1">
      <c r="A612" s="2521"/>
      <c r="B612" s="2526"/>
      <c r="C612" s="2521"/>
      <c r="D612" s="2521"/>
      <c r="E612" s="2521"/>
      <c r="F612" s="2521"/>
      <c r="G612" s="2521"/>
      <c r="H612" s="2521"/>
      <c r="I612" s="2521"/>
      <c r="J612" s="2521"/>
      <c r="K612" s="2521"/>
      <c r="L612" s="2521"/>
      <c r="M612" s="2521"/>
      <c r="N612" s="2521"/>
      <c r="O612" s="2521"/>
      <c r="P612" s="2521"/>
      <c r="Q612" s="2521"/>
      <c r="R612" s="2521"/>
      <c r="S612" s="2521"/>
      <c r="T612" s="2521"/>
      <c r="U612" s="2521"/>
      <c r="V612" s="2521"/>
      <c r="W612" s="2521"/>
      <c r="X612" s="2521"/>
      <c r="Y612" s="2521"/>
      <c r="Z612" s="2521"/>
    </row>
    <row r="613" spans="1:26" ht="16.5" customHeight="1">
      <c r="A613" s="2521"/>
      <c r="B613" s="2526"/>
      <c r="C613" s="2521"/>
      <c r="D613" s="2521"/>
      <c r="E613" s="2521"/>
      <c r="F613" s="2521"/>
      <c r="G613" s="2521"/>
      <c r="H613" s="2521"/>
      <c r="I613" s="2521"/>
      <c r="J613" s="2521"/>
      <c r="K613" s="2521"/>
      <c r="L613" s="2521"/>
      <c r="M613" s="2521"/>
      <c r="N613" s="2521"/>
      <c r="O613" s="2521"/>
      <c r="P613" s="2521"/>
      <c r="Q613" s="2521"/>
      <c r="R613" s="2521"/>
      <c r="S613" s="2521"/>
      <c r="T613" s="2521"/>
      <c r="U613" s="2521"/>
      <c r="V613" s="2521"/>
      <c r="W613" s="2521"/>
      <c r="X613" s="2521"/>
      <c r="Y613" s="2521"/>
      <c r="Z613" s="2521"/>
    </row>
    <row r="614" spans="1:26" ht="16.5" customHeight="1">
      <c r="A614" s="2521"/>
      <c r="B614" s="2526"/>
      <c r="C614" s="2521"/>
      <c r="D614" s="2521"/>
      <c r="E614" s="2521"/>
      <c r="F614" s="2521"/>
      <c r="G614" s="2521"/>
      <c r="H614" s="2521"/>
      <c r="I614" s="2521"/>
      <c r="J614" s="2521"/>
      <c r="K614" s="2521"/>
      <c r="L614" s="2521"/>
      <c r="M614" s="2521"/>
      <c r="N614" s="2521"/>
      <c r="O614" s="2521"/>
      <c r="P614" s="2521"/>
      <c r="Q614" s="2521"/>
      <c r="R614" s="2521"/>
      <c r="S614" s="2521"/>
      <c r="T614" s="2521"/>
      <c r="U614" s="2521"/>
      <c r="V614" s="2521"/>
      <c r="W614" s="2521"/>
      <c r="X614" s="2521"/>
      <c r="Y614" s="2521"/>
      <c r="Z614" s="2521"/>
    </row>
    <row r="615" spans="1:26" ht="16.5" customHeight="1">
      <c r="A615" s="2521"/>
      <c r="B615" s="2526"/>
      <c r="C615" s="2521"/>
      <c r="D615" s="2521"/>
      <c r="E615" s="2521"/>
      <c r="F615" s="2521"/>
      <c r="G615" s="2521"/>
      <c r="H615" s="2521"/>
      <c r="I615" s="2521"/>
      <c r="J615" s="2521"/>
      <c r="K615" s="2521"/>
      <c r="L615" s="2521"/>
      <c r="M615" s="2521"/>
      <c r="N615" s="2521"/>
      <c r="O615" s="2521"/>
      <c r="P615" s="2521"/>
      <c r="Q615" s="2521"/>
      <c r="R615" s="2521"/>
      <c r="S615" s="2521"/>
      <c r="T615" s="2521"/>
      <c r="U615" s="2521"/>
      <c r="V615" s="2521"/>
      <c r="W615" s="2521"/>
      <c r="X615" s="2521"/>
      <c r="Y615" s="2521"/>
      <c r="Z615" s="2521"/>
    </row>
    <row r="616" spans="1:26" ht="16.5" customHeight="1">
      <c r="A616" s="2521"/>
      <c r="B616" s="2526"/>
      <c r="C616" s="2521"/>
      <c r="D616" s="2521"/>
      <c r="E616" s="2521"/>
      <c r="F616" s="2521"/>
      <c r="G616" s="2521"/>
      <c r="H616" s="2521"/>
      <c r="I616" s="2521"/>
      <c r="J616" s="2521"/>
      <c r="K616" s="2521"/>
      <c r="L616" s="2521"/>
      <c r="M616" s="2521"/>
      <c r="N616" s="2521"/>
      <c r="O616" s="2521"/>
      <c r="P616" s="2521"/>
      <c r="Q616" s="2521"/>
      <c r="R616" s="2521"/>
      <c r="S616" s="2521"/>
      <c r="T616" s="2521"/>
      <c r="U616" s="2521"/>
      <c r="V616" s="2521"/>
      <c r="W616" s="2521"/>
      <c r="X616" s="2521"/>
      <c r="Y616" s="2521"/>
      <c r="Z616" s="2521"/>
    </row>
    <row r="617" spans="1:26" ht="16.5" customHeight="1">
      <c r="A617" s="2521"/>
      <c r="B617" s="2526"/>
      <c r="C617" s="2521"/>
      <c r="D617" s="2521"/>
      <c r="E617" s="2521"/>
      <c r="F617" s="2521"/>
      <c r="G617" s="2521"/>
      <c r="H617" s="2521"/>
      <c r="I617" s="2521"/>
      <c r="J617" s="2521"/>
      <c r="K617" s="2521"/>
      <c r="L617" s="2521"/>
      <c r="M617" s="2521"/>
      <c r="N617" s="2521"/>
      <c r="O617" s="2521"/>
      <c r="P617" s="2521"/>
      <c r="Q617" s="2521"/>
      <c r="R617" s="2521"/>
      <c r="S617" s="2521"/>
      <c r="T617" s="2521"/>
      <c r="U617" s="2521"/>
      <c r="V617" s="2521"/>
      <c r="W617" s="2521"/>
      <c r="X617" s="2521"/>
      <c r="Y617" s="2521"/>
      <c r="Z617" s="2521"/>
    </row>
    <row r="618" spans="1:26" ht="16.5" customHeight="1">
      <c r="A618" s="2521"/>
      <c r="B618" s="2526"/>
      <c r="C618" s="2521"/>
      <c r="D618" s="2521"/>
      <c r="E618" s="2521"/>
      <c r="F618" s="2521"/>
      <c r="G618" s="2521"/>
      <c r="H618" s="2521"/>
      <c r="I618" s="2521"/>
      <c r="J618" s="2521"/>
      <c r="K618" s="2521"/>
      <c r="L618" s="2521"/>
      <c r="M618" s="2521"/>
      <c r="N618" s="2521"/>
      <c r="O618" s="2521"/>
      <c r="P618" s="2521"/>
      <c r="Q618" s="2521"/>
      <c r="R618" s="2521"/>
      <c r="S618" s="2521"/>
      <c r="T618" s="2521"/>
      <c r="U618" s="2521"/>
      <c r="V618" s="2521"/>
      <c r="W618" s="2521"/>
      <c r="X618" s="2521"/>
      <c r="Y618" s="2521"/>
      <c r="Z618" s="2521"/>
    </row>
    <row r="619" spans="1:26" ht="16.5" customHeight="1">
      <c r="A619" s="2521"/>
      <c r="B619" s="2526"/>
      <c r="C619" s="2521"/>
      <c r="D619" s="2521"/>
      <c r="E619" s="2521"/>
      <c r="F619" s="2521"/>
      <c r="G619" s="2521"/>
      <c r="H619" s="2521"/>
      <c r="I619" s="2521"/>
      <c r="J619" s="2521"/>
      <c r="K619" s="2521"/>
      <c r="L619" s="2521"/>
      <c r="M619" s="2521"/>
      <c r="N619" s="2521"/>
      <c r="O619" s="2521"/>
      <c r="P619" s="2521"/>
      <c r="Q619" s="2521"/>
      <c r="R619" s="2521"/>
      <c r="S619" s="2521"/>
      <c r="T619" s="2521"/>
      <c r="U619" s="2521"/>
      <c r="V619" s="2521"/>
      <c r="W619" s="2521"/>
      <c r="X619" s="2521"/>
      <c r="Y619" s="2521"/>
      <c r="Z619" s="2521"/>
    </row>
    <row r="620" spans="1:26" ht="16.5" customHeight="1">
      <c r="A620" s="2521"/>
      <c r="B620" s="2526"/>
      <c r="C620" s="2521"/>
      <c r="D620" s="2521"/>
      <c r="E620" s="2521"/>
      <c r="F620" s="2521"/>
      <c r="G620" s="2521"/>
      <c r="H620" s="2521"/>
      <c r="I620" s="2521"/>
      <c r="J620" s="2521"/>
      <c r="K620" s="2521"/>
      <c r="L620" s="2521"/>
      <c r="M620" s="2521"/>
      <c r="N620" s="2521"/>
      <c r="O620" s="2521"/>
      <c r="P620" s="2521"/>
      <c r="Q620" s="2521"/>
      <c r="R620" s="2521"/>
      <c r="S620" s="2521"/>
      <c r="T620" s="2521"/>
      <c r="U620" s="2521"/>
      <c r="V620" s="2521"/>
      <c r="W620" s="2521"/>
      <c r="X620" s="2521"/>
      <c r="Y620" s="2521"/>
      <c r="Z620" s="2521"/>
    </row>
    <row r="621" spans="1:26" ht="16.5" customHeight="1">
      <c r="A621" s="2521"/>
      <c r="B621" s="2526"/>
      <c r="C621" s="2521"/>
      <c r="D621" s="2521"/>
      <c r="E621" s="2521"/>
      <c r="F621" s="2521"/>
      <c r="G621" s="2521"/>
      <c r="H621" s="2521"/>
      <c r="I621" s="2521"/>
      <c r="J621" s="2521"/>
      <c r="K621" s="2521"/>
      <c r="L621" s="2521"/>
      <c r="M621" s="2521"/>
      <c r="N621" s="2521"/>
      <c r="O621" s="2521"/>
      <c r="P621" s="2521"/>
      <c r="Q621" s="2521"/>
      <c r="R621" s="2521"/>
      <c r="S621" s="2521"/>
      <c r="T621" s="2521"/>
      <c r="U621" s="2521"/>
      <c r="V621" s="2521"/>
      <c r="W621" s="2521"/>
      <c r="X621" s="2521"/>
      <c r="Y621" s="2521"/>
      <c r="Z621" s="2521"/>
    </row>
    <row r="622" spans="1:26" ht="16.5" customHeight="1">
      <c r="A622" s="2521"/>
      <c r="B622" s="2526"/>
      <c r="C622" s="2521"/>
      <c r="D622" s="2521"/>
      <c r="E622" s="2521"/>
      <c r="F622" s="2521"/>
      <c r="G622" s="2521"/>
      <c r="H622" s="2521"/>
      <c r="I622" s="2521"/>
      <c r="J622" s="2521"/>
      <c r="K622" s="2521"/>
      <c r="L622" s="2521"/>
      <c r="M622" s="2521"/>
      <c r="N622" s="2521"/>
      <c r="O622" s="2521"/>
      <c r="P622" s="2521"/>
      <c r="Q622" s="2521"/>
      <c r="R622" s="2521"/>
      <c r="S622" s="2521"/>
      <c r="T622" s="2521"/>
      <c r="U622" s="2521"/>
      <c r="V622" s="2521"/>
      <c r="W622" s="2521"/>
      <c r="X622" s="2521"/>
      <c r="Y622" s="2521"/>
      <c r="Z622" s="2521"/>
    </row>
    <row r="623" spans="1:26" ht="16.5" customHeight="1">
      <c r="A623" s="2521"/>
      <c r="B623" s="2526"/>
      <c r="C623" s="2521"/>
      <c r="D623" s="2521"/>
      <c r="E623" s="2521"/>
      <c r="F623" s="2521"/>
      <c r="G623" s="2521"/>
      <c r="H623" s="2521"/>
      <c r="I623" s="2521"/>
      <c r="J623" s="2521"/>
      <c r="K623" s="2521"/>
      <c r="L623" s="2521"/>
      <c r="M623" s="2521"/>
      <c r="N623" s="2521"/>
      <c r="O623" s="2521"/>
      <c r="P623" s="2521"/>
      <c r="Q623" s="2521"/>
      <c r="R623" s="2521"/>
      <c r="S623" s="2521"/>
      <c r="T623" s="2521"/>
      <c r="U623" s="2521"/>
      <c r="V623" s="2521"/>
      <c r="W623" s="2521"/>
      <c r="X623" s="2521"/>
      <c r="Y623" s="2521"/>
      <c r="Z623" s="2521"/>
    </row>
    <row r="624" spans="1:26" ht="16.5" customHeight="1">
      <c r="A624" s="2521"/>
      <c r="B624" s="2526"/>
      <c r="C624" s="2521"/>
      <c r="D624" s="2521"/>
      <c r="E624" s="2521"/>
      <c r="F624" s="2521"/>
      <c r="G624" s="2521"/>
      <c r="H624" s="2521"/>
      <c r="I624" s="2521"/>
      <c r="J624" s="2521"/>
      <c r="K624" s="2521"/>
      <c r="L624" s="2521"/>
      <c r="M624" s="2521"/>
      <c r="N624" s="2521"/>
      <c r="O624" s="2521"/>
      <c r="P624" s="2521"/>
      <c r="Q624" s="2521"/>
      <c r="R624" s="2521"/>
      <c r="S624" s="2521"/>
      <c r="T624" s="2521"/>
      <c r="U624" s="2521"/>
      <c r="V624" s="2521"/>
      <c r="W624" s="2521"/>
      <c r="X624" s="2521"/>
      <c r="Y624" s="2521"/>
      <c r="Z624" s="2521"/>
    </row>
    <row r="625" spans="1:26" ht="16.5" customHeight="1">
      <c r="A625" s="2521"/>
      <c r="B625" s="2526"/>
      <c r="C625" s="2521"/>
      <c r="D625" s="2521"/>
      <c r="E625" s="2521"/>
      <c r="F625" s="2521"/>
      <c r="G625" s="2521"/>
      <c r="H625" s="2521"/>
      <c r="I625" s="2521"/>
      <c r="J625" s="2521"/>
      <c r="K625" s="2521"/>
      <c r="L625" s="2521"/>
      <c r="M625" s="2521"/>
      <c r="N625" s="2521"/>
      <c r="O625" s="2521"/>
      <c r="P625" s="2521"/>
      <c r="Q625" s="2521"/>
      <c r="R625" s="2521"/>
      <c r="S625" s="2521"/>
      <c r="T625" s="2521"/>
      <c r="U625" s="2521"/>
      <c r="V625" s="2521"/>
      <c r="W625" s="2521"/>
      <c r="X625" s="2521"/>
      <c r="Y625" s="2521"/>
      <c r="Z625" s="2521"/>
    </row>
    <row r="626" spans="1:26" ht="16.5" customHeight="1">
      <c r="A626" s="2521"/>
      <c r="B626" s="2526"/>
      <c r="C626" s="2521"/>
      <c r="D626" s="2521"/>
      <c r="E626" s="2521"/>
      <c r="F626" s="2521"/>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row>
    <row r="627" spans="1:26" ht="16.5" customHeight="1">
      <c r="A627" s="2521"/>
      <c r="B627" s="2526"/>
      <c r="C627" s="2521"/>
      <c r="D627" s="2521"/>
      <c r="E627" s="2521"/>
      <c r="F627" s="2521"/>
      <c r="G627" s="2521"/>
      <c r="H627" s="2521"/>
      <c r="I627" s="2521"/>
      <c r="J627" s="2521"/>
      <c r="K627" s="2521"/>
      <c r="L627" s="2521"/>
      <c r="M627" s="2521"/>
      <c r="N627" s="2521"/>
      <c r="O627" s="2521"/>
      <c r="P627" s="2521"/>
      <c r="Q627" s="2521"/>
      <c r="R627" s="2521"/>
      <c r="S627" s="2521"/>
      <c r="T627" s="2521"/>
      <c r="U627" s="2521"/>
      <c r="V627" s="2521"/>
      <c r="W627" s="2521"/>
      <c r="X627" s="2521"/>
      <c r="Y627" s="2521"/>
      <c r="Z627" s="2521"/>
    </row>
    <row r="628" spans="1:26" ht="16.5" customHeight="1">
      <c r="A628" s="2521"/>
      <c r="B628" s="2526"/>
      <c r="C628" s="2521"/>
      <c r="D628" s="2521"/>
      <c r="E628" s="2521"/>
      <c r="F628" s="2521"/>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row>
    <row r="629" spans="1:26" ht="16.5" customHeight="1">
      <c r="A629" s="2521"/>
      <c r="B629" s="2526"/>
      <c r="C629" s="2521"/>
      <c r="D629" s="2521"/>
      <c r="E629" s="2521"/>
      <c r="F629" s="2521"/>
      <c r="G629" s="2521"/>
      <c r="H629" s="2521"/>
      <c r="I629" s="2521"/>
      <c r="J629" s="2521"/>
      <c r="K629" s="2521"/>
      <c r="L629" s="2521"/>
      <c r="M629" s="2521"/>
      <c r="N629" s="2521"/>
      <c r="O629" s="2521"/>
      <c r="P629" s="2521"/>
      <c r="Q629" s="2521"/>
      <c r="R629" s="2521"/>
      <c r="S629" s="2521"/>
      <c r="T629" s="2521"/>
      <c r="U629" s="2521"/>
      <c r="V629" s="2521"/>
      <c r="W629" s="2521"/>
      <c r="X629" s="2521"/>
      <c r="Y629" s="2521"/>
      <c r="Z629" s="2521"/>
    </row>
    <row r="630" spans="1:26" ht="16.5" customHeight="1">
      <c r="A630" s="2521"/>
      <c r="B630" s="2526"/>
      <c r="C630" s="2521"/>
      <c r="D630" s="2521"/>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row>
    <row r="631" spans="1:26" ht="16.5" customHeight="1">
      <c r="A631" s="2521"/>
      <c r="B631" s="2526"/>
      <c r="C631" s="2521"/>
      <c r="D631" s="2521"/>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row>
    <row r="632" spans="1:26" ht="16.5" customHeight="1">
      <c r="A632" s="2521"/>
      <c r="B632" s="2526"/>
      <c r="C632" s="2521"/>
      <c r="D632" s="2521"/>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row>
    <row r="633" spans="1:26" ht="16.5" customHeight="1">
      <c r="A633" s="2521"/>
      <c r="B633" s="2526"/>
      <c r="C633" s="2521"/>
      <c r="D633" s="2521"/>
      <c r="E633" s="2521"/>
      <c r="F633" s="2521"/>
      <c r="G633" s="2521"/>
      <c r="H633" s="2521"/>
      <c r="I633" s="2521"/>
      <c r="J633" s="2521"/>
      <c r="K633" s="2521"/>
      <c r="L633" s="2521"/>
      <c r="M633" s="2521"/>
      <c r="N633" s="2521"/>
      <c r="O633" s="2521"/>
      <c r="P633" s="2521"/>
      <c r="Q633" s="2521"/>
      <c r="R633" s="2521"/>
      <c r="S633" s="2521"/>
      <c r="T633" s="2521"/>
      <c r="U633" s="2521"/>
      <c r="V633" s="2521"/>
      <c r="W633" s="2521"/>
      <c r="X633" s="2521"/>
      <c r="Y633" s="2521"/>
      <c r="Z633" s="2521"/>
    </row>
    <row r="634" spans="1:26" ht="16.5" customHeight="1">
      <c r="A634" s="2521"/>
      <c r="B634" s="2526"/>
      <c r="C634" s="2521"/>
      <c r="D634" s="2521"/>
      <c r="E634" s="2521"/>
      <c r="F634" s="2521"/>
      <c r="G634" s="2521"/>
      <c r="H634" s="2521"/>
      <c r="I634" s="2521"/>
      <c r="J634" s="2521"/>
      <c r="K634" s="2521"/>
      <c r="L634" s="2521"/>
      <c r="M634" s="2521"/>
      <c r="N634" s="2521"/>
      <c r="O634" s="2521"/>
      <c r="P634" s="2521"/>
      <c r="Q634" s="2521"/>
      <c r="R634" s="2521"/>
      <c r="S634" s="2521"/>
      <c r="T634" s="2521"/>
      <c r="U634" s="2521"/>
      <c r="V634" s="2521"/>
      <c r="W634" s="2521"/>
      <c r="X634" s="2521"/>
      <c r="Y634" s="2521"/>
      <c r="Z634" s="2521"/>
    </row>
    <row r="635" spans="1:26" ht="16.5" customHeight="1">
      <c r="A635" s="2521"/>
      <c r="B635" s="2526"/>
      <c r="C635" s="2521"/>
      <c r="D635" s="2521"/>
      <c r="E635" s="2521"/>
      <c r="F635" s="2521"/>
      <c r="G635" s="2521"/>
      <c r="H635" s="2521"/>
      <c r="I635" s="2521"/>
      <c r="J635" s="2521"/>
      <c r="K635" s="2521"/>
      <c r="L635" s="2521"/>
      <c r="M635" s="2521"/>
      <c r="N635" s="2521"/>
      <c r="O635" s="2521"/>
      <c r="P635" s="2521"/>
      <c r="Q635" s="2521"/>
      <c r="R635" s="2521"/>
      <c r="S635" s="2521"/>
      <c r="T635" s="2521"/>
      <c r="U635" s="2521"/>
      <c r="V635" s="2521"/>
      <c r="W635" s="2521"/>
      <c r="X635" s="2521"/>
      <c r="Y635" s="2521"/>
      <c r="Z635" s="2521"/>
    </row>
    <row r="636" spans="1:26" ht="16.5" customHeight="1">
      <c r="A636" s="2521"/>
      <c r="B636" s="2526"/>
      <c r="C636" s="2521"/>
      <c r="D636" s="2521"/>
      <c r="E636" s="2521"/>
      <c r="F636" s="2521"/>
      <c r="G636" s="2521"/>
      <c r="H636" s="2521"/>
      <c r="I636" s="2521"/>
      <c r="J636" s="2521"/>
      <c r="K636" s="2521"/>
      <c r="L636" s="2521"/>
      <c r="M636" s="2521"/>
      <c r="N636" s="2521"/>
      <c r="O636" s="2521"/>
      <c r="P636" s="2521"/>
      <c r="Q636" s="2521"/>
      <c r="R636" s="2521"/>
      <c r="S636" s="2521"/>
      <c r="T636" s="2521"/>
      <c r="U636" s="2521"/>
      <c r="V636" s="2521"/>
      <c r="W636" s="2521"/>
      <c r="X636" s="2521"/>
      <c r="Y636" s="2521"/>
      <c r="Z636" s="2521"/>
    </row>
    <row r="637" spans="1:26" ht="16.5" customHeight="1">
      <c r="A637" s="2521"/>
      <c r="B637" s="2526"/>
      <c r="C637" s="2521"/>
      <c r="D637" s="2521"/>
      <c r="E637" s="2521"/>
      <c r="F637" s="2521"/>
      <c r="G637" s="2521"/>
      <c r="H637" s="2521"/>
      <c r="I637" s="2521"/>
      <c r="J637" s="2521"/>
      <c r="K637" s="2521"/>
      <c r="L637" s="2521"/>
      <c r="M637" s="2521"/>
      <c r="N637" s="2521"/>
      <c r="O637" s="2521"/>
      <c r="P637" s="2521"/>
      <c r="Q637" s="2521"/>
      <c r="R637" s="2521"/>
      <c r="S637" s="2521"/>
      <c r="T637" s="2521"/>
      <c r="U637" s="2521"/>
      <c r="V637" s="2521"/>
      <c r="W637" s="2521"/>
      <c r="X637" s="2521"/>
      <c r="Y637" s="2521"/>
      <c r="Z637" s="2521"/>
    </row>
    <row r="638" spans="1:26" ht="16.5" customHeight="1">
      <c r="A638" s="2521"/>
      <c r="B638" s="2526"/>
      <c r="C638" s="2521"/>
      <c r="D638" s="2521"/>
      <c r="E638" s="2521"/>
      <c r="F638" s="2521"/>
      <c r="G638" s="2521"/>
      <c r="H638" s="2521"/>
      <c r="I638" s="2521"/>
      <c r="J638" s="2521"/>
      <c r="K638" s="2521"/>
      <c r="L638" s="2521"/>
      <c r="M638" s="2521"/>
      <c r="N638" s="2521"/>
      <c r="O638" s="2521"/>
      <c r="P638" s="2521"/>
      <c r="Q638" s="2521"/>
      <c r="R638" s="2521"/>
      <c r="S638" s="2521"/>
      <c r="T638" s="2521"/>
      <c r="U638" s="2521"/>
      <c r="V638" s="2521"/>
      <c r="W638" s="2521"/>
      <c r="X638" s="2521"/>
      <c r="Y638" s="2521"/>
      <c r="Z638" s="2521"/>
    </row>
    <row r="639" spans="1:26" ht="16.5" customHeight="1">
      <c r="A639" s="2521"/>
      <c r="B639" s="2526"/>
      <c r="C639" s="2521"/>
      <c r="D639" s="2521"/>
      <c r="E639" s="2521"/>
      <c r="F639" s="2521"/>
      <c r="G639" s="2521"/>
      <c r="H639" s="2521"/>
      <c r="I639" s="2521"/>
      <c r="J639" s="2521"/>
      <c r="K639" s="2521"/>
      <c r="L639" s="2521"/>
      <c r="M639" s="2521"/>
      <c r="N639" s="2521"/>
      <c r="O639" s="2521"/>
      <c r="P639" s="2521"/>
      <c r="Q639" s="2521"/>
      <c r="R639" s="2521"/>
      <c r="S639" s="2521"/>
      <c r="T639" s="2521"/>
      <c r="U639" s="2521"/>
      <c r="V639" s="2521"/>
      <c r="W639" s="2521"/>
      <c r="X639" s="2521"/>
      <c r="Y639" s="2521"/>
      <c r="Z639" s="2521"/>
    </row>
    <row r="640" spans="1:26" ht="16.5" customHeight="1">
      <c r="A640" s="2521"/>
      <c r="B640" s="2526"/>
      <c r="C640" s="2521"/>
      <c r="D640" s="2521"/>
      <c r="E640" s="2521"/>
      <c r="F640" s="2521"/>
      <c r="G640" s="2521"/>
      <c r="H640" s="2521"/>
      <c r="I640" s="2521"/>
      <c r="J640" s="2521"/>
      <c r="K640" s="2521"/>
      <c r="L640" s="2521"/>
      <c r="M640" s="2521"/>
      <c r="N640" s="2521"/>
      <c r="O640" s="2521"/>
      <c r="P640" s="2521"/>
      <c r="Q640" s="2521"/>
      <c r="R640" s="2521"/>
      <c r="S640" s="2521"/>
      <c r="T640" s="2521"/>
      <c r="U640" s="2521"/>
      <c r="V640" s="2521"/>
      <c r="W640" s="2521"/>
      <c r="X640" s="2521"/>
      <c r="Y640" s="2521"/>
      <c r="Z640" s="2521"/>
    </row>
    <row r="641" spans="1:26" ht="16.5" customHeight="1">
      <c r="A641" s="2521"/>
      <c r="B641" s="2526"/>
      <c r="C641" s="2521"/>
      <c r="D641" s="2521"/>
      <c r="E641" s="2521"/>
      <c r="F641" s="2521"/>
      <c r="G641" s="2521"/>
      <c r="H641" s="2521"/>
      <c r="I641" s="2521"/>
      <c r="J641" s="2521"/>
      <c r="K641" s="2521"/>
      <c r="L641" s="2521"/>
      <c r="M641" s="2521"/>
      <c r="N641" s="2521"/>
      <c r="O641" s="2521"/>
      <c r="P641" s="2521"/>
      <c r="Q641" s="2521"/>
      <c r="R641" s="2521"/>
      <c r="S641" s="2521"/>
      <c r="T641" s="2521"/>
      <c r="U641" s="2521"/>
      <c r="V641" s="2521"/>
      <c r="W641" s="2521"/>
      <c r="X641" s="2521"/>
      <c r="Y641" s="2521"/>
      <c r="Z641" s="2521"/>
    </row>
    <row r="642" spans="1:26" ht="16.5" customHeight="1">
      <c r="A642" s="2521"/>
      <c r="B642" s="2526"/>
      <c r="C642" s="2521"/>
      <c r="D642" s="2521"/>
      <c r="E642" s="2521"/>
      <c r="F642" s="2521"/>
      <c r="G642" s="2521"/>
      <c r="H642" s="2521"/>
      <c r="I642" s="2521"/>
      <c r="J642" s="2521"/>
      <c r="K642" s="2521"/>
      <c r="L642" s="2521"/>
      <c r="M642" s="2521"/>
      <c r="N642" s="2521"/>
      <c r="O642" s="2521"/>
      <c r="P642" s="2521"/>
      <c r="Q642" s="2521"/>
      <c r="R642" s="2521"/>
      <c r="S642" s="2521"/>
      <c r="T642" s="2521"/>
      <c r="U642" s="2521"/>
      <c r="V642" s="2521"/>
      <c r="W642" s="2521"/>
      <c r="X642" s="2521"/>
      <c r="Y642" s="2521"/>
      <c r="Z642" s="2521"/>
    </row>
    <row r="643" spans="1:26" ht="16.5" customHeight="1">
      <c r="A643" s="2521"/>
      <c r="B643" s="2526"/>
      <c r="C643" s="2521"/>
      <c r="D643" s="2521"/>
      <c r="E643" s="2521"/>
      <c r="F643" s="2521"/>
      <c r="G643" s="2521"/>
      <c r="H643" s="2521"/>
      <c r="I643" s="2521"/>
      <c r="J643" s="2521"/>
      <c r="K643" s="2521"/>
      <c r="L643" s="2521"/>
      <c r="M643" s="2521"/>
      <c r="N643" s="2521"/>
      <c r="O643" s="2521"/>
      <c r="P643" s="2521"/>
      <c r="Q643" s="2521"/>
      <c r="R643" s="2521"/>
      <c r="S643" s="2521"/>
      <c r="T643" s="2521"/>
      <c r="U643" s="2521"/>
      <c r="V643" s="2521"/>
      <c r="W643" s="2521"/>
      <c r="X643" s="2521"/>
      <c r="Y643" s="2521"/>
      <c r="Z643" s="2521"/>
    </row>
    <row r="644" spans="1:26" ht="16.5" customHeight="1">
      <c r="A644" s="2521"/>
      <c r="B644" s="2526"/>
      <c r="C644" s="2521"/>
      <c r="D644" s="2521"/>
      <c r="E644" s="2521"/>
      <c r="F644" s="2521"/>
      <c r="G644" s="2521"/>
      <c r="H644" s="2521"/>
      <c r="I644" s="2521"/>
      <c r="J644" s="2521"/>
      <c r="K644" s="2521"/>
      <c r="L644" s="2521"/>
      <c r="M644" s="2521"/>
      <c r="N644" s="2521"/>
      <c r="O644" s="2521"/>
      <c r="P644" s="2521"/>
      <c r="Q644" s="2521"/>
      <c r="R644" s="2521"/>
      <c r="S644" s="2521"/>
      <c r="T644" s="2521"/>
      <c r="U644" s="2521"/>
      <c r="V644" s="2521"/>
      <c r="W644" s="2521"/>
      <c r="X644" s="2521"/>
      <c r="Y644" s="2521"/>
      <c r="Z644" s="2521"/>
    </row>
    <row r="645" spans="1:26" ht="16.5" customHeight="1">
      <c r="A645" s="2521"/>
      <c r="B645" s="2526"/>
      <c r="C645" s="2521"/>
      <c r="D645" s="2521"/>
      <c r="E645" s="2521"/>
      <c r="F645" s="2521"/>
      <c r="G645" s="2521"/>
      <c r="H645" s="2521"/>
      <c r="I645" s="2521"/>
      <c r="J645" s="2521"/>
      <c r="K645" s="2521"/>
      <c r="L645" s="2521"/>
      <c r="M645" s="2521"/>
      <c r="N645" s="2521"/>
      <c r="O645" s="2521"/>
      <c r="P645" s="2521"/>
      <c r="Q645" s="2521"/>
      <c r="R645" s="2521"/>
      <c r="S645" s="2521"/>
      <c r="T645" s="2521"/>
      <c r="U645" s="2521"/>
      <c r="V645" s="2521"/>
      <c r="W645" s="2521"/>
      <c r="X645" s="2521"/>
      <c r="Y645" s="2521"/>
      <c r="Z645" s="2521"/>
    </row>
    <row r="646" spans="1:26" ht="16.5" customHeight="1">
      <c r="A646" s="2521"/>
      <c r="B646" s="2526"/>
      <c r="C646" s="2521"/>
      <c r="D646" s="2521"/>
      <c r="E646" s="2521"/>
      <c r="F646" s="2521"/>
      <c r="G646" s="2521"/>
      <c r="H646" s="2521"/>
      <c r="I646" s="2521"/>
      <c r="J646" s="2521"/>
      <c r="K646" s="2521"/>
      <c r="L646" s="2521"/>
      <c r="M646" s="2521"/>
      <c r="N646" s="2521"/>
      <c r="O646" s="2521"/>
      <c r="P646" s="2521"/>
      <c r="Q646" s="2521"/>
      <c r="R646" s="2521"/>
      <c r="S646" s="2521"/>
      <c r="T646" s="2521"/>
      <c r="U646" s="2521"/>
      <c r="V646" s="2521"/>
      <c r="W646" s="2521"/>
      <c r="X646" s="2521"/>
      <c r="Y646" s="2521"/>
      <c r="Z646" s="2521"/>
    </row>
    <row r="647" spans="1:26" ht="16.5" customHeight="1">
      <c r="A647" s="2521"/>
      <c r="B647" s="2526"/>
      <c r="C647" s="2521"/>
      <c r="D647" s="2521"/>
      <c r="E647" s="2521"/>
      <c r="F647" s="2521"/>
      <c r="G647" s="2521"/>
      <c r="H647" s="2521"/>
      <c r="I647" s="2521"/>
      <c r="J647" s="2521"/>
      <c r="K647" s="2521"/>
      <c r="L647" s="2521"/>
      <c r="M647" s="2521"/>
      <c r="N647" s="2521"/>
      <c r="O647" s="2521"/>
      <c r="P647" s="2521"/>
      <c r="Q647" s="2521"/>
      <c r="R647" s="2521"/>
      <c r="S647" s="2521"/>
      <c r="T647" s="2521"/>
      <c r="U647" s="2521"/>
      <c r="V647" s="2521"/>
      <c r="W647" s="2521"/>
      <c r="X647" s="2521"/>
      <c r="Y647" s="2521"/>
      <c r="Z647" s="2521"/>
    </row>
    <row r="648" spans="1:26" ht="16.5" customHeight="1">
      <c r="A648" s="2521"/>
      <c r="B648" s="2526"/>
      <c r="C648" s="2521"/>
      <c r="D648" s="2521"/>
      <c r="E648" s="2521"/>
      <c r="F648" s="2521"/>
      <c r="G648" s="2521"/>
      <c r="H648" s="2521"/>
      <c r="I648" s="2521"/>
      <c r="J648" s="2521"/>
      <c r="K648" s="2521"/>
      <c r="L648" s="2521"/>
      <c r="M648" s="2521"/>
      <c r="N648" s="2521"/>
      <c r="O648" s="2521"/>
      <c r="P648" s="2521"/>
      <c r="Q648" s="2521"/>
      <c r="R648" s="2521"/>
      <c r="S648" s="2521"/>
      <c r="T648" s="2521"/>
      <c r="U648" s="2521"/>
      <c r="V648" s="2521"/>
      <c r="W648" s="2521"/>
      <c r="X648" s="2521"/>
      <c r="Y648" s="2521"/>
      <c r="Z648" s="2521"/>
    </row>
    <row r="649" spans="1:26" ht="16.5" customHeight="1">
      <c r="A649" s="2521"/>
      <c r="B649" s="2526"/>
      <c r="C649" s="2521"/>
      <c r="D649" s="2521"/>
      <c r="E649" s="2521"/>
      <c r="F649" s="2521"/>
      <c r="G649" s="2521"/>
      <c r="H649" s="2521"/>
      <c r="I649" s="2521"/>
      <c r="J649" s="2521"/>
      <c r="K649" s="2521"/>
      <c r="L649" s="2521"/>
      <c r="M649" s="2521"/>
      <c r="N649" s="2521"/>
      <c r="O649" s="2521"/>
      <c r="P649" s="2521"/>
      <c r="Q649" s="2521"/>
      <c r="R649" s="2521"/>
      <c r="S649" s="2521"/>
      <c r="T649" s="2521"/>
      <c r="U649" s="2521"/>
      <c r="V649" s="2521"/>
      <c r="W649" s="2521"/>
      <c r="X649" s="2521"/>
      <c r="Y649" s="2521"/>
      <c r="Z649" s="2521"/>
    </row>
    <row r="650" spans="1:26" ht="16.5" customHeight="1">
      <c r="A650" s="2521"/>
      <c r="B650" s="2526"/>
      <c r="C650" s="2521"/>
      <c r="D650" s="2521"/>
      <c r="E650" s="2521"/>
      <c r="F650" s="2521"/>
      <c r="G650" s="2521"/>
      <c r="H650" s="2521"/>
      <c r="I650" s="2521"/>
      <c r="J650" s="2521"/>
      <c r="K650" s="2521"/>
      <c r="L650" s="2521"/>
      <c r="M650" s="2521"/>
      <c r="N650" s="2521"/>
      <c r="O650" s="2521"/>
      <c r="P650" s="2521"/>
      <c r="Q650" s="2521"/>
      <c r="R650" s="2521"/>
      <c r="S650" s="2521"/>
      <c r="T650" s="2521"/>
      <c r="U650" s="2521"/>
      <c r="V650" s="2521"/>
      <c r="W650" s="2521"/>
      <c r="X650" s="2521"/>
      <c r="Y650" s="2521"/>
      <c r="Z650" s="2521"/>
    </row>
    <row r="651" spans="1:26" ht="16.5" customHeight="1">
      <c r="A651" s="2521"/>
      <c r="B651" s="2526"/>
      <c r="C651" s="2521"/>
      <c r="D651" s="2521"/>
      <c r="E651" s="2521"/>
      <c r="F651" s="2521"/>
      <c r="G651" s="2521"/>
      <c r="H651" s="2521"/>
      <c r="I651" s="2521"/>
      <c r="J651" s="2521"/>
      <c r="K651" s="2521"/>
      <c r="L651" s="2521"/>
      <c r="M651" s="2521"/>
      <c r="N651" s="2521"/>
      <c r="O651" s="2521"/>
      <c r="P651" s="2521"/>
      <c r="Q651" s="2521"/>
      <c r="R651" s="2521"/>
      <c r="S651" s="2521"/>
      <c r="T651" s="2521"/>
      <c r="U651" s="2521"/>
      <c r="V651" s="2521"/>
      <c r="W651" s="2521"/>
      <c r="X651" s="2521"/>
      <c r="Y651" s="2521"/>
      <c r="Z651" s="2521"/>
    </row>
    <row r="652" spans="1:26" ht="16.5" customHeight="1">
      <c r="A652" s="2521"/>
      <c r="B652" s="2526"/>
      <c r="C652" s="2521"/>
      <c r="D652" s="2521"/>
      <c r="E652" s="2521"/>
      <c r="F652" s="2521"/>
      <c r="G652" s="2521"/>
      <c r="H652" s="2521"/>
      <c r="I652" s="2521"/>
      <c r="J652" s="2521"/>
      <c r="K652" s="2521"/>
      <c r="L652" s="2521"/>
      <c r="M652" s="2521"/>
      <c r="N652" s="2521"/>
      <c r="O652" s="2521"/>
      <c r="P652" s="2521"/>
      <c r="Q652" s="2521"/>
      <c r="R652" s="2521"/>
      <c r="S652" s="2521"/>
      <c r="T652" s="2521"/>
      <c r="U652" s="2521"/>
      <c r="V652" s="2521"/>
      <c r="W652" s="2521"/>
      <c r="X652" s="2521"/>
      <c r="Y652" s="2521"/>
      <c r="Z652" s="2521"/>
    </row>
    <row r="653" spans="1:26" ht="16.5" customHeight="1">
      <c r="A653" s="2521"/>
      <c r="B653" s="2526"/>
      <c r="C653" s="2521"/>
      <c r="D653" s="2521"/>
      <c r="E653" s="2521"/>
      <c r="F653" s="2521"/>
      <c r="G653" s="2521"/>
      <c r="H653" s="2521"/>
      <c r="I653" s="2521"/>
      <c r="J653" s="2521"/>
      <c r="K653" s="2521"/>
      <c r="L653" s="2521"/>
      <c r="M653" s="2521"/>
      <c r="N653" s="2521"/>
      <c r="O653" s="2521"/>
      <c r="P653" s="2521"/>
      <c r="Q653" s="2521"/>
      <c r="R653" s="2521"/>
      <c r="S653" s="2521"/>
      <c r="T653" s="2521"/>
      <c r="U653" s="2521"/>
      <c r="V653" s="2521"/>
      <c r="W653" s="2521"/>
      <c r="X653" s="2521"/>
      <c r="Y653" s="2521"/>
      <c r="Z653" s="2521"/>
    </row>
    <row r="654" spans="1:26" ht="16.5" customHeight="1">
      <c r="A654" s="2521"/>
      <c r="B654" s="2526"/>
      <c r="C654" s="2521"/>
      <c r="D654" s="2521"/>
      <c r="E654" s="2521"/>
      <c r="F654" s="2521"/>
      <c r="G654" s="2521"/>
      <c r="H654" s="2521"/>
      <c r="I654" s="2521"/>
      <c r="J654" s="2521"/>
      <c r="K654" s="2521"/>
      <c r="L654" s="2521"/>
      <c r="M654" s="2521"/>
      <c r="N654" s="2521"/>
      <c r="O654" s="2521"/>
      <c r="P654" s="2521"/>
      <c r="Q654" s="2521"/>
      <c r="R654" s="2521"/>
      <c r="S654" s="2521"/>
      <c r="T654" s="2521"/>
      <c r="U654" s="2521"/>
      <c r="V654" s="2521"/>
      <c r="W654" s="2521"/>
      <c r="X654" s="2521"/>
      <c r="Y654" s="2521"/>
      <c r="Z654" s="2521"/>
    </row>
    <row r="655" spans="1:26" ht="16.5" customHeight="1">
      <c r="A655" s="2521"/>
      <c r="B655" s="2526"/>
      <c r="C655" s="2521"/>
      <c r="D655" s="2521"/>
      <c r="E655" s="2521"/>
      <c r="F655" s="2521"/>
      <c r="G655" s="2521"/>
      <c r="H655" s="2521"/>
      <c r="I655" s="2521"/>
      <c r="J655" s="2521"/>
      <c r="K655" s="2521"/>
      <c r="L655" s="2521"/>
      <c r="M655" s="2521"/>
      <c r="N655" s="2521"/>
      <c r="O655" s="2521"/>
      <c r="P655" s="2521"/>
      <c r="Q655" s="2521"/>
      <c r="R655" s="2521"/>
      <c r="S655" s="2521"/>
      <c r="T655" s="2521"/>
      <c r="U655" s="2521"/>
      <c r="V655" s="2521"/>
      <c r="W655" s="2521"/>
      <c r="X655" s="2521"/>
      <c r="Y655" s="2521"/>
      <c r="Z655" s="2521"/>
    </row>
    <row r="656" spans="1:26" ht="16.5" customHeight="1">
      <c r="A656" s="2521"/>
      <c r="B656" s="2526"/>
      <c r="C656" s="2521"/>
      <c r="D656" s="2521"/>
      <c r="E656" s="2521"/>
      <c r="F656" s="2521"/>
      <c r="G656" s="2521"/>
      <c r="H656" s="2521"/>
      <c r="I656" s="2521"/>
      <c r="J656" s="2521"/>
      <c r="K656" s="2521"/>
      <c r="L656" s="2521"/>
      <c r="M656" s="2521"/>
      <c r="N656" s="2521"/>
      <c r="O656" s="2521"/>
      <c r="P656" s="2521"/>
      <c r="Q656" s="2521"/>
      <c r="R656" s="2521"/>
      <c r="S656" s="2521"/>
      <c r="T656" s="2521"/>
      <c r="U656" s="2521"/>
      <c r="V656" s="2521"/>
      <c r="W656" s="2521"/>
      <c r="X656" s="2521"/>
      <c r="Y656" s="2521"/>
      <c r="Z656" s="2521"/>
    </row>
    <row r="657" spans="1:26" ht="16.5" customHeight="1">
      <c r="A657" s="2521"/>
      <c r="B657" s="2526"/>
      <c r="C657" s="2521"/>
      <c r="D657" s="2521"/>
      <c r="E657" s="2521"/>
      <c r="F657" s="2521"/>
      <c r="G657" s="2521"/>
      <c r="H657" s="2521"/>
      <c r="I657" s="2521"/>
      <c r="J657" s="2521"/>
      <c r="K657" s="2521"/>
      <c r="L657" s="2521"/>
      <c r="M657" s="2521"/>
      <c r="N657" s="2521"/>
      <c r="O657" s="2521"/>
      <c r="P657" s="2521"/>
      <c r="Q657" s="2521"/>
      <c r="R657" s="2521"/>
      <c r="S657" s="2521"/>
      <c r="T657" s="2521"/>
      <c r="U657" s="2521"/>
      <c r="V657" s="2521"/>
      <c r="W657" s="2521"/>
      <c r="X657" s="2521"/>
      <c r="Y657" s="2521"/>
      <c r="Z657" s="2521"/>
    </row>
    <row r="658" spans="1:26" ht="16.5" customHeight="1">
      <c r="A658" s="2521"/>
      <c r="B658" s="2526"/>
      <c r="C658" s="2521"/>
      <c r="D658" s="2521"/>
      <c r="E658" s="2521"/>
      <c r="F658" s="2521"/>
      <c r="G658" s="2521"/>
      <c r="H658" s="2521"/>
      <c r="I658" s="2521"/>
      <c r="J658" s="2521"/>
      <c r="K658" s="2521"/>
      <c r="L658" s="2521"/>
      <c r="M658" s="2521"/>
      <c r="N658" s="2521"/>
      <c r="O658" s="2521"/>
      <c r="P658" s="2521"/>
      <c r="Q658" s="2521"/>
      <c r="R658" s="2521"/>
      <c r="S658" s="2521"/>
      <c r="T658" s="2521"/>
      <c r="U658" s="2521"/>
      <c r="V658" s="2521"/>
      <c r="W658" s="2521"/>
      <c r="X658" s="2521"/>
      <c r="Y658" s="2521"/>
      <c r="Z658" s="2521"/>
    </row>
    <row r="659" spans="1:26" ht="16.5" customHeight="1">
      <c r="A659" s="2521"/>
      <c r="B659" s="2526"/>
      <c r="C659" s="2521"/>
      <c r="D659" s="2521"/>
      <c r="E659" s="2521"/>
      <c r="F659" s="2521"/>
      <c r="G659" s="2521"/>
      <c r="H659" s="2521"/>
      <c r="I659" s="2521"/>
      <c r="J659" s="2521"/>
      <c r="K659" s="2521"/>
      <c r="L659" s="2521"/>
      <c r="M659" s="2521"/>
      <c r="N659" s="2521"/>
      <c r="O659" s="2521"/>
      <c r="P659" s="2521"/>
      <c r="Q659" s="2521"/>
      <c r="R659" s="2521"/>
      <c r="S659" s="2521"/>
      <c r="T659" s="2521"/>
      <c r="U659" s="2521"/>
      <c r="V659" s="2521"/>
      <c r="W659" s="2521"/>
      <c r="X659" s="2521"/>
      <c r="Y659" s="2521"/>
      <c r="Z659" s="2521"/>
    </row>
    <row r="660" spans="1:26" ht="16.5" customHeight="1">
      <c r="A660" s="2521"/>
      <c r="B660" s="2526"/>
      <c r="C660" s="2521"/>
      <c r="D660" s="2521"/>
      <c r="E660" s="2521"/>
      <c r="F660" s="2521"/>
      <c r="G660" s="2521"/>
      <c r="H660" s="2521"/>
      <c r="I660" s="2521"/>
      <c r="J660" s="2521"/>
      <c r="K660" s="2521"/>
      <c r="L660" s="2521"/>
      <c r="M660" s="2521"/>
      <c r="N660" s="2521"/>
      <c r="O660" s="2521"/>
      <c r="P660" s="2521"/>
      <c r="Q660" s="2521"/>
      <c r="R660" s="2521"/>
      <c r="S660" s="2521"/>
      <c r="T660" s="2521"/>
      <c r="U660" s="2521"/>
      <c r="V660" s="2521"/>
      <c r="W660" s="2521"/>
      <c r="X660" s="2521"/>
      <c r="Y660" s="2521"/>
      <c r="Z660" s="2521"/>
    </row>
    <row r="661" spans="1:26" ht="16.5" customHeight="1">
      <c r="A661" s="2521"/>
      <c r="B661" s="2526"/>
      <c r="C661" s="2521"/>
      <c r="D661" s="2521"/>
      <c r="E661" s="2521"/>
      <c r="F661" s="2521"/>
      <c r="G661" s="2521"/>
      <c r="H661" s="2521"/>
      <c r="I661" s="2521"/>
      <c r="J661" s="2521"/>
      <c r="K661" s="2521"/>
      <c r="L661" s="2521"/>
      <c r="M661" s="2521"/>
      <c r="N661" s="2521"/>
      <c r="O661" s="2521"/>
      <c r="P661" s="2521"/>
      <c r="Q661" s="2521"/>
      <c r="R661" s="2521"/>
      <c r="S661" s="2521"/>
      <c r="T661" s="2521"/>
      <c r="U661" s="2521"/>
      <c r="V661" s="2521"/>
      <c r="W661" s="2521"/>
      <c r="X661" s="2521"/>
      <c r="Y661" s="2521"/>
      <c r="Z661" s="2521"/>
    </row>
    <row r="662" spans="1:26" ht="16.5" customHeight="1">
      <c r="A662" s="2521"/>
      <c r="B662" s="2526"/>
      <c r="C662" s="2521"/>
      <c r="D662" s="2521"/>
      <c r="E662" s="2521"/>
      <c r="F662" s="2521"/>
      <c r="G662" s="2521"/>
      <c r="H662" s="2521"/>
      <c r="I662" s="2521"/>
      <c r="J662" s="2521"/>
      <c r="K662" s="2521"/>
      <c r="L662" s="2521"/>
      <c r="M662" s="2521"/>
      <c r="N662" s="2521"/>
      <c r="O662" s="2521"/>
      <c r="P662" s="2521"/>
      <c r="Q662" s="2521"/>
      <c r="R662" s="2521"/>
      <c r="S662" s="2521"/>
      <c r="T662" s="2521"/>
      <c r="U662" s="2521"/>
      <c r="V662" s="2521"/>
      <c r="W662" s="2521"/>
      <c r="X662" s="2521"/>
      <c r="Y662" s="2521"/>
      <c r="Z662" s="2521"/>
    </row>
    <row r="663" spans="1:26" ht="16.5" customHeight="1">
      <c r="A663" s="2521"/>
      <c r="B663" s="2526"/>
      <c r="C663" s="2521"/>
      <c r="D663" s="2521"/>
      <c r="E663" s="2521"/>
      <c r="F663" s="2521"/>
      <c r="G663" s="2521"/>
      <c r="H663" s="2521"/>
      <c r="I663" s="2521"/>
      <c r="J663" s="2521"/>
      <c r="K663" s="2521"/>
      <c r="L663" s="2521"/>
      <c r="M663" s="2521"/>
      <c r="N663" s="2521"/>
      <c r="O663" s="2521"/>
      <c r="P663" s="2521"/>
      <c r="Q663" s="2521"/>
      <c r="R663" s="2521"/>
      <c r="S663" s="2521"/>
      <c r="T663" s="2521"/>
      <c r="U663" s="2521"/>
      <c r="V663" s="2521"/>
      <c r="W663" s="2521"/>
      <c r="X663" s="2521"/>
      <c r="Y663" s="2521"/>
      <c r="Z663" s="2521"/>
    </row>
    <row r="664" spans="1:26" ht="16.5" customHeight="1">
      <c r="A664" s="2521"/>
      <c r="B664" s="2526"/>
      <c r="C664" s="2521"/>
      <c r="D664" s="2521"/>
      <c r="E664" s="2521"/>
      <c r="F664" s="2521"/>
      <c r="G664" s="2521"/>
      <c r="H664" s="2521"/>
      <c r="I664" s="2521"/>
      <c r="J664" s="2521"/>
      <c r="K664" s="2521"/>
      <c r="L664" s="2521"/>
      <c r="M664" s="2521"/>
      <c r="N664" s="2521"/>
      <c r="O664" s="2521"/>
      <c r="P664" s="2521"/>
      <c r="Q664" s="2521"/>
      <c r="R664" s="2521"/>
      <c r="S664" s="2521"/>
      <c r="T664" s="2521"/>
      <c r="U664" s="2521"/>
      <c r="V664" s="2521"/>
      <c r="W664" s="2521"/>
      <c r="X664" s="2521"/>
      <c r="Y664" s="2521"/>
      <c r="Z664" s="2521"/>
    </row>
    <row r="665" spans="1:26" ht="16.5" customHeight="1">
      <c r="A665" s="2521"/>
      <c r="B665" s="2526"/>
      <c r="C665" s="2521"/>
      <c r="D665" s="2521"/>
      <c r="E665" s="2521"/>
      <c r="F665" s="2521"/>
      <c r="G665" s="2521"/>
      <c r="H665" s="2521"/>
      <c r="I665" s="2521"/>
      <c r="J665" s="2521"/>
      <c r="K665" s="2521"/>
      <c r="L665" s="2521"/>
      <c r="M665" s="2521"/>
      <c r="N665" s="2521"/>
      <c r="O665" s="2521"/>
      <c r="P665" s="2521"/>
      <c r="Q665" s="2521"/>
      <c r="R665" s="2521"/>
      <c r="S665" s="2521"/>
      <c r="T665" s="2521"/>
      <c r="U665" s="2521"/>
      <c r="V665" s="2521"/>
      <c r="W665" s="2521"/>
      <c r="X665" s="2521"/>
      <c r="Y665" s="2521"/>
      <c r="Z665" s="2521"/>
    </row>
    <row r="666" spans="1:26" ht="16.5" customHeight="1">
      <c r="A666" s="2521"/>
      <c r="B666" s="2526"/>
      <c r="C666" s="2521"/>
      <c r="D666" s="2521"/>
      <c r="E666" s="2521"/>
      <c r="F666" s="2521"/>
      <c r="G666" s="2521"/>
      <c r="H666" s="2521"/>
      <c r="I666" s="2521"/>
      <c r="J666" s="2521"/>
      <c r="K666" s="2521"/>
      <c r="L666" s="2521"/>
      <c r="M666" s="2521"/>
      <c r="N666" s="2521"/>
      <c r="O666" s="2521"/>
      <c r="P666" s="2521"/>
      <c r="Q666" s="2521"/>
      <c r="R666" s="2521"/>
      <c r="S666" s="2521"/>
      <c r="T666" s="2521"/>
      <c r="U666" s="2521"/>
      <c r="V666" s="2521"/>
      <c r="W666" s="2521"/>
      <c r="X666" s="2521"/>
      <c r="Y666" s="2521"/>
      <c r="Z666" s="2521"/>
    </row>
    <row r="667" spans="1:26" ht="16.5" customHeight="1">
      <c r="A667" s="2521"/>
      <c r="B667" s="2526"/>
      <c r="C667" s="2521"/>
      <c r="D667" s="2521"/>
      <c r="E667" s="2521"/>
      <c r="F667" s="2521"/>
      <c r="G667" s="2521"/>
      <c r="H667" s="2521"/>
      <c r="I667" s="2521"/>
      <c r="J667" s="2521"/>
      <c r="K667" s="2521"/>
      <c r="L667" s="2521"/>
      <c r="M667" s="2521"/>
      <c r="N667" s="2521"/>
      <c r="O667" s="2521"/>
      <c r="P667" s="2521"/>
      <c r="Q667" s="2521"/>
      <c r="R667" s="2521"/>
      <c r="S667" s="2521"/>
      <c r="T667" s="2521"/>
      <c r="U667" s="2521"/>
      <c r="V667" s="2521"/>
      <c r="W667" s="2521"/>
      <c r="X667" s="2521"/>
      <c r="Y667" s="2521"/>
      <c r="Z667" s="2521"/>
    </row>
    <row r="668" spans="1:26" ht="16.5" customHeight="1">
      <c r="A668" s="2521"/>
      <c r="B668" s="2526"/>
      <c r="C668" s="2521"/>
      <c r="D668" s="2521"/>
      <c r="E668" s="2521"/>
      <c r="F668" s="2521"/>
      <c r="G668" s="2521"/>
      <c r="H668" s="2521"/>
      <c r="I668" s="2521"/>
      <c r="J668" s="2521"/>
      <c r="K668" s="2521"/>
      <c r="L668" s="2521"/>
      <c r="M668" s="2521"/>
      <c r="N668" s="2521"/>
      <c r="O668" s="2521"/>
      <c r="P668" s="2521"/>
      <c r="Q668" s="2521"/>
      <c r="R668" s="2521"/>
      <c r="S668" s="2521"/>
      <c r="T668" s="2521"/>
      <c r="U668" s="2521"/>
      <c r="V668" s="2521"/>
      <c r="W668" s="2521"/>
      <c r="X668" s="2521"/>
      <c r="Y668" s="2521"/>
      <c r="Z668" s="2521"/>
    </row>
    <row r="669" spans="1:26" ht="16.5" customHeight="1">
      <c r="A669" s="2521"/>
      <c r="B669" s="2526"/>
      <c r="C669" s="2521"/>
      <c r="D669" s="2521"/>
      <c r="E669" s="2521"/>
      <c r="F669" s="2521"/>
      <c r="G669" s="2521"/>
      <c r="H669" s="2521"/>
      <c r="I669" s="2521"/>
      <c r="J669" s="2521"/>
      <c r="K669" s="2521"/>
      <c r="L669" s="2521"/>
      <c r="M669" s="2521"/>
      <c r="N669" s="2521"/>
      <c r="O669" s="2521"/>
      <c r="P669" s="2521"/>
      <c r="Q669" s="2521"/>
      <c r="R669" s="2521"/>
      <c r="S669" s="2521"/>
      <c r="T669" s="2521"/>
      <c r="U669" s="2521"/>
      <c r="V669" s="2521"/>
      <c r="W669" s="2521"/>
      <c r="X669" s="2521"/>
      <c r="Y669" s="2521"/>
      <c r="Z669" s="2521"/>
    </row>
    <row r="670" spans="1:26" ht="16.5" customHeight="1">
      <c r="A670" s="2521"/>
      <c r="B670" s="2526"/>
      <c r="C670" s="2521"/>
      <c r="D670" s="2521"/>
      <c r="E670" s="2521"/>
      <c r="F670" s="2521"/>
      <c r="G670" s="2521"/>
      <c r="H670" s="2521"/>
      <c r="I670" s="2521"/>
      <c r="J670" s="2521"/>
      <c r="K670" s="2521"/>
      <c r="L670" s="2521"/>
      <c r="M670" s="2521"/>
      <c r="N670" s="2521"/>
      <c r="O670" s="2521"/>
      <c r="P670" s="2521"/>
      <c r="Q670" s="2521"/>
      <c r="R670" s="2521"/>
      <c r="S670" s="2521"/>
      <c r="T670" s="2521"/>
      <c r="U670" s="2521"/>
      <c r="V670" s="2521"/>
      <c r="W670" s="2521"/>
      <c r="X670" s="2521"/>
      <c r="Y670" s="2521"/>
      <c r="Z670" s="2521"/>
    </row>
    <row r="671" spans="1:26" ht="16.5" customHeight="1">
      <c r="A671" s="2521"/>
      <c r="B671" s="2526"/>
      <c r="C671" s="2521"/>
      <c r="D671" s="2521"/>
      <c r="E671" s="2521"/>
      <c r="F671" s="2521"/>
      <c r="G671" s="2521"/>
      <c r="H671" s="2521"/>
      <c r="I671" s="2521"/>
      <c r="J671" s="2521"/>
      <c r="K671" s="2521"/>
      <c r="L671" s="2521"/>
      <c r="M671" s="2521"/>
      <c r="N671" s="2521"/>
      <c r="O671" s="2521"/>
      <c r="P671" s="2521"/>
      <c r="Q671" s="2521"/>
      <c r="R671" s="2521"/>
      <c r="S671" s="2521"/>
      <c r="T671" s="2521"/>
      <c r="U671" s="2521"/>
      <c r="V671" s="2521"/>
      <c r="W671" s="2521"/>
      <c r="X671" s="2521"/>
      <c r="Y671" s="2521"/>
      <c r="Z671" s="2521"/>
    </row>
    <row r="672" spans="1:26" ht="16.5" customHeight="1">
      <c r="A672" s="2521"/>
      <c r="B672" s="2526"/>
      <c r="C672" s="2521"/>
      <c r="D672" s="2521"/>
      <c r="E672" s="2521"/>
      <c r="F672" s="2521"/>
      <c r="G672" s="2521"/>
      <c r="H672" s="2521"/>
      <c r="I672" s="2521"/>
      <c r="J672" s="2521"/>
      <c r="K672" s="2521"/>
      <c r="L672" s="2521"/>
      <c r="M672" s="2521"/>
      <c r="N672" s="2521"/>
      <c r="O672" s="2521"/>
      <c r="P672" s="2521"/>
      <c r="Q672" s="2521"/>
      <c r="R672" s="2521"/>
      <c r="S672" s="2521"/>
      <c r="T672" s="2521"/>
      <c r="U672" s="2521"/>
      <c r="V672" s="2521"/>
      <c r="W672" s="2521"/>
      <c r="X672" s="2521"/>
      <c r="Y672" s="2521"/>
      <c r="Z672" s="2521"/>
    </row>
    <row r="673" spans="1:26" ht="16.5" customHeight="1">
      <c r="A673" s="2521"/>
      <c r="B673" s="2526"/>
      <c r="C673" s="2521"/>
      <c r="D673" s="2521"/>
      <c r="E673" s="2521"/>
      <c r="F673" s="2521"/>
      <c r="G673" s="2521"/>
      <c r="H673" s="2521"/>
      <c r="I673" s="2521"/>
      <c r="J673" s="2521"/>
      <c r="K673" s="2521"/>
      <c r="L673" s="2521"/>
      <c r="M673" s="2521"/>
      <c r="N673" s="2521"/>
      <c r="O673" s="2521"/>
      <c r="P673" s="2521"/>
      <c r="Q673" s="2521"/>
      <c r="R673" s="2521"/>
      <c r="S673" s="2521"/>
      <c r="T673" s="2521"/>
      <c r="U673" s="2521"/>
      <c r="V673" s="2521"/>
      <c r="W673" s="2521"/>
      <c r="X673" s="2521"/>
      <c r="Y673" s="2521"/>
      <c r="Z673" s="2521"/>
    </row>
    <row r="674" spans="1:26" ht="16.5" customHeight="1">
      <c r="A674" s="2521"/>
      <c r="B674" s="2526"/>
      <c r="C674" s="2521"/>
      <c r="D674" s="2521"/>
      <c r="E674" s="2521"/>
      <c r="F674" s="2521"/>
      <c r="G674" s="2521"/>
      <c r="H674" s="2521"/>
      <c r="I674" s="2521"/>
      <c r="J674" s="2521"/>
      <c r="K674" s="2521"/>
      <c r="L674" s="2521"/>
      <c r="M674" s="2521"/>
      <c r="N674" s="2521"/>
      <c r="O674" s="2521"/>
      <c r="P674" s="2521"/>
      <c r="Q674" s="2521"/>
      <c r="R674" s="2521"/>
      <c r="S674" s="2521"/>
      <c r="T674" s="2521"/>
      <c r="U674" s="2521"/>
      <c r="V674" s="2521"/>
      <c r="W674" s="2521"/>
      <c r="X674" s="2521"/>
      <c r="Y674" s="2521"/>
      <c r="Z674" s="2521"/>
    </row>
    <row r="675" spans="1:26" ht="16.5" customHeight="1">
      <c r="A675" s="2521"/>
      <c r="B675" s="2526"/>
      <c r="C675" s="2521"/>
      <c r="D675" s="2521"/>
      <c r="E675" s="2521"/>
      <c r="F675" s="2521"/>
      <c r="G675" s="2521"/>
      <c r="H675" s="2521"/>
      <c r="I675" s="2521"/>
      <c r="J675" s="2521"/>
      <c r="K675" s="2521"/>
      <c r="L675" s="2521"/>
      <c r="M675" s="2521"/>
      <c r="N675" s="2521"/>
      <c r="O675" s="2521"/>
      <c r="P675" s="2521"/>
      <c r="Q675" s="2521"/>
      <c r="R675" s="2521"/>
      <c r="S675" s="2521"/>
      <c r="T675" s="2521"/>
      <c r="U675" s="2521"/>
      <c r="V675" s="2521"/>
      <c r="W675" s="2521"/>
      <c r="X675" s="2521"/>
      <c r="Y675" s="2521"/>
      <c r="Z675" s="2521"/>
    </row>
    <row r="676" spans="1:26" ht="16.5" customHeight="1">
      <c r="A676" s="2521"/>
      <c r="B676" s="2526"/>
      <c r="C676" s="2521"/>
      <c r="D676" s="2521"/>
      <c r="E676" s="2521"/>
      <c r="F676" s="2521"/>
      <c r="G676" s="2521"/>
      <c r="H676" s="2521"/>
      <c r="I676" s="2521"/>
      <c r="J676" s="2521"/>
      <c r="K676" s="2521"/>
      <c r="L676" s="2521"/>
      <c r="M676" s="2521"/>
      <c r="N676" s="2521"/>
      <c r="O676" s="2521"/>
      <c r="P676" s="2521"/>
      <c r="Q676" s="2521"/>
      <c r="R676" s="2521"/>
      <c r="S676" s="2521"/>
      <c r="T676" s="2521"/>
      <c r="U676" s="2521"/>
      <c r="V676" s="2521"/>
      <c r="W676" s="2521"/>
      <c r="X676" s="2521"/>
      <c r="Y676" s="2521"/>
      <c r="Z676" s="2521"/>
    </row>
    <row r="677" spans="1:26" ht="16.5" customHeight="1">
      <c r="A677" s="2521"/>
      <c r="B677" s="2526"/>
      <c r="C677" s="2521"/>
      <c r="D677" s="2521"/>
      <c r="E677" s="2521"/>
      <c r="F677" s="2521"/>
      <c r="G677" s="2521"/>
      <c r="H677" s="2521"/>
      <c r="I677" s="2521"/>
      <c r="J677" s="2521"/>
      <c r="K677" s="2521"/>
      <c r="L677" s="2521"/>
      <c r="M677" s="2521"/>
      <c r="N677" s="2521"/>
      <c r="O677" s="2521"/>
      <c r="P677" s="2521"/>
      <c r="Q677" s="2521"/>
      <c r="R677" s="2521"/>
      <c r="S677" s="2521"/>
      <c r="T677" s="2521"/>
      <c r="U677" s="2521"/>
      <c r="V677" s="2521"/>
      <c r="W677" s="2521"/>
      <c r="X677" s="2521"/>
      <c r="Y677" s="2521"/>
      <c r="Z677" s="2521"/>
    </row>
    <row r="678" spans="1:26" ht="16.5" customHeight="1">
      <c r="A678" s="2521"/>
      <c r="B678" s="2526"/>
      <c r="C678" s="2521"/>
      <c r="D678" s="2521"/>
      <c r="E678" s="2521"/>
      <c r="F678" s="2521"/>
      <c r="G678" s="2521"/>
      <c r="H678" s="2521"/>
      <c r="I678" s="2521"/>
      <c r="J678" s="2521"/>
      <c r="K678" s="2521"/>
      <c r="L678" s="2521"/>
      <c r="M678" s="2521"/>
      <c r="N678" s="2521"/>
      <c r="O678" s="2521"/>
      <c r="P678" s="2521"/>
      <c r="Q678" s="2521"/>
      <c r="R678" s="2521"/>
      <c r="S678" s="2521"/>
      <c r="T678" s="2521"/>
      <c r="U678" s="2521"/>
      <c r="V678" s="2521"/>
      <c r="W678" s="2521"/>
      <c r="X678" s="2521"/>
      <c r="Y678" s="2521"/>
      <c r="Z678" s="2521"/>
    </row>
    <row r="679" spans="1:26" ht="16.5" customHeight="1">
      <c r="A679" s="2521"/>
      <c r="B679" s="2526"/>
      <c r="C679" s="2521"/>
      <c r="D679" s="2521"/>
      <c r="E679" s="2521"/>
      <c r="F679" s="2521"/>
      <c r="G679" s="2521"/>
      <c r="H679" s="2521"/>
      <c r="I679" s="2521"/>
      <c r="J679" s="2521"/>
      <c r="K679" s="2521"/>
      <c r="L679" s="2521"/>
      <c r="M679" s="2521"/>
      <c r="N679" s="2521"/>
      <c r="O679" s="2521"/>
      <c r="P679" s="2521"/>
      <c r="Q679" s="2521"/>
      <c r="R679" s="2521"/>
      <c r="S679" s="2521"/>
      <c r="T679" s="2521"/>
      <c r="U679" s="2521"/>
      <c r="V679" s="2521"/>
      <c r="W679" s="2521"/>
      <c r="X679" s="2521"/>
      <c r="Y679" s="2521"/>
      <c r="Z679" s="2521"/>
    </row>
    <row r="680" spans="1:26" ht="16.5" customHeight="1">
      <c r="A680" s="2521"/>
      <c r="B680" s="2526"/>
      <c r="C680" s="2521"/>
      <c r="D680" s="2521"/>
      <c r="E680" s="2521"/>
      <c r="F680" s="2521"/>
      <c r="G680" s="2521"/>
      <c r="H680" s="2521"/>
      <c r="I680" s="2521"/>
      <c r="J680" s="2521"/>
      <c r="K680" s="2521"/>
      <c r="L680" s="2521"/>
      <c r="M680" s="2521"/>
      <c r="N680" s="2521"/>
      <c r="O680" s="2521"/>
      <c r="P680" s="2521"/>
      <c r="Q680" s="2521"/>
      <c r="R680" s="2521"/>
      <c r="S680" s="2521"/>
      <c r="T680" s="2521"/>
      <c r="U680" s="2521"/>
      <c r="V680" s="2521"/>
      <c r="W680" s="2521"/>
      <c r="X680" s="2521"/>
      <c r="Y680" s="2521"/>
      <c r="Z680" s="2521"/>
    </row>
    <row r="681" spans="1:26" ht="16.5" customHeight="1">
      <c r="A681" s="2521"/>
      <c r="B681" s="2526"/>
      <c r="C681" s="2521"/>
      <c r="D681" s="2521"/>
      <c r="E681" s="2521"/>
      <c r="F681" s="2521"/>
      <c r="G681" s="2521"/>
      <c r="H681" s="2521"/>
      <c r="I681" s="2521"/>
      <c r="J681" s="2521"/>
      <c r="K681" s="2521"/>
      <c r="L681" s="2521"/>
      <c r="M681" s="2521"/>
      <c r="N681" s="2521"/>
      <c r="O681" s="2521"/>
      <c r="P681" s="2521"/>
      <c r="Q681" s="2521"/>
      <c r="R681" s="2521"/>
      <c r="S681" s="2521"/>
      <c r="T681" s="2521"/>
      <c r="U681" s="2521"/>
      <c r="V681" s="2521"/>
      <c r="W681" s="2521"/>
      <c r="X681" s="2521"/>
      <c r="Y681" s="2521"/>
      <c r="Z681" s="2521"/>
    </row>
    <row r="682" spans="1:26" ht="16.5" customHeight="1">
      <c r="A682" s="2521"/>
      <c r="B682" s="2526"/>
      <c r="C682" s="2521"/>
      <c r="D682" s="2521"/>
      <c r="E682" s="2521"/>
      <c r="F682" s="2521"/>
      <c r="G682" s="2521"/>
      <c r="H682" s="2521"/>
      <c r="I682" s="2521"/>
      <c r="J682" s="2521"/>
      <c r="K682" s="2521"/>
      <c r="L682" s="2521"/>
      <c r="M682" s="2521"/>
      <c r="N682" s="2521"/>
      <c r="O682" s="2521"/>
      <c r="P682" s="2521"/>
      <c r="Q682" s="2521"/>
      <c r="R682" s="2521"/>
      <c r="S682" s="2521"/>
      <c r="T682" s="2521"/>
      <c r="U682" s="2521"/>
      <c r="V682" s="2521"/>
      <c r="W682" s="2521"/>
      <c r="X682" s="2521"/>
      <c r="Y682" s="2521"/>
      <c r="Z682" s="2521"/>
    </row>
    <row r="683" spans="1:26" ht="16.5" customHeight="1">
      <c r="A683" s="2521"/>
      <c r="B683" s="2526"/>
      <c r="C683" s="2521"/>
      <c r="D683" s="2521"/>
      <c r="E683" s="2521"/>
      <c r="F683" s="2521"/>
      <c r="G683" s="2521"/>
      <c r="H683" s="2521"/>
      <c r="I683" s="2521"/>
      <c r="J683" s="2521"/>
      <c r="K683" s="2521"/>
      <c r="L683" s="2521"/>
      <c r="M683" s="2521"/>
      <c r="N683" s="2521"/>
      <c r="O683" s="2521"/>
      <c r="P683" s="2521"/>
      <c r="Q683" s="2521"/>
      <c r="R683" s="2521"/>
      <c r="S683" s="2521"/>
      <c r="T683" s="2521"/>
      <c r="U683" s="2521"/>
      <c r="V683" s="2521"/>
      <c r="W683" s="2521"/>
      <c r="X683" s="2521"/>
      <c r="Y683" s="2521"/>
      <c r="Z683" s="2521"/>
    </row>
    <row r="684" spans="1:26" ht="16.5" customHeight="1">
      <c r="A684" s="2521"/>
      <c r="B684" s="2526"/>
      <c r="C684" s="2521"/>
      <c r="D684" s="2521"/>
      <c r="E684" s="2521"/>
      <c r="F684" s="2521"/>
      <c r="G684" s="2521"/>
      <c r="H684" s="2521"/>
      <c r="I684" s="2521"/>
      <c r="J684" s="2521"/>
      <c r="K684" s="2521"/>
      <c r="L684" s="2521"/>
      <c r="M684" s="2521"/>
      <c r="N684" s="2521"/>
      <c r="O684" s="2521"/>
      <c r="P684" s="2521"/>
      <c r="Q684" s="2521"/>
      <c r="R684" s="2521"/>
      <c r="S684" s="2521"/>
      <c r="T684" s="2521"/>
      <c r="U684" s="2521"/>
      <c r="V684" s="2521"/>
      <c r="W684" s="2521"/>
      <c r="X684" s="2521"/>
      <c r="Y684" s="2521"/>
      <c r="Z684" s="2521"/>
    </row>
    <row r="685" spans="1:26" ht="16.5" customHeight="1">
      <c r="A685" s="2521"/>
      <c r="B685" s="2526"/>
      <c r="C685" s="2521"/>
      <c r="D685" s="2521"/>
      <c r="E685" s="2521"/>
      <c r="F685" s="2521"/>
      <c r="G685" s="2521"/>
      <c r="H685" s="2521"/>
      <c r="I685" s="2521"/>
      <c r="J685" s="2521"/>
      <c r="K685" s="2521"/>
      <c r="L685" s="2521"/>
      <c r="M685" s="2521"/>
      <c r="N685" s="2521"/>
      <c r="O685" s="2521"/>
      <c r="P685" s="2521"/>
      <c r="Q685" s="2521"/>
      <c r="R685" s="2521"/>
      <c r="S685" s="2521"/>
      <c r="T685" s="2521"/>
      <c r="U685" s="2521"/>
      <c r="V685" s="2521"/>
      <c r="W685" s="2521"/>
      <c r="X685" s="2521"/>
      <c r="Y685" s="2521"/>
      <c r="Z685" s="2521"/>
    </row>
    <row r="686" spans="1:26" ht="16.5" customHeight="1">
      <c r="A686" s="2521"/>
      <c r="B686" s="2526"/>
      <c r="C686" s="2521"/>
      <c r="D686" s="2521"/>
      <c r="E686" s="2521"/>
      <c r="F686" s="2521"/>
      <c r="G686" s="2521"/>
      <c r="H686" s="2521"/>
      <c r="I686" s="2521"/>
      <c r="J686" s="2521"/>
      <c r="K686" s="2521"/>
      <c r="L686" s="2521"/>
      <c r="M686" s="2521"/>
      <c r="N686" s="2521"/>
      <c r="O686" s="2521"/>
      <c r="P686" s="2521"/>
      <c r="Q686" s="2521"/>
      <c r="R686" s="2521"/>
      <c r="S686" s="2521"/>
      <c r="T686" s="2521"/>
      <c r="U686" s="2521"/>
      <c r="V686" s="2521"/>
      <c r="W686" s="2521"/>
      <c r="X686" s="2521"/>
      <c r="Y686" s="2521"/>
      <c r="Z686" s="2521"/>
    </row>
    <row r="687" spans="1:26" ht="16.5" customHeight="1">
      <c r="A687" s="2521"/>
      <c r="B687" s="2526"/>
      <c r="C687" s="2521"/>
      <c r="D687" s="2521"/>
      <c r="E687" s="2521"/>
      <c r="F687" s="2521"/>
      <c r="G687" s="2521"/>
      <c r="H687" s="2521"/>
      <c r="I687" s="2521"/>
      <c r="J687" s="2521"/>
      <c r="K687" s="2521"/>
      <c r="L687" s="2521"/>
      <c r="M687" s="2521"/>
      <c r="N687" s="2521"/>
      <c r="O687" s="2521"/>
      <c r="P687" s="2521"/>
      <c r="Q687" s="2521"/>
      <c r="R687" s="2521"/>
      <c r="S687" s="2521"/>
      <c r="T687" s="2521"/>
      <c r="U687" s="2521"/>
      <c r="V687" s="2521"/>
      <c r="W687" s="2521"/>
      <c r="X687" s="2521"/>
      <c r="Y687" s="2521"/>
      <c r="Z687" s="2521"/>
    </row>
    <row r="688" spans="1:26" ht="16.5" customHeight="1">
      <c r="A688" s="2521"/>
      <c r="B688" s="2526"/>
      <c r="C688" s="2521"/>
      <c r="D688" s="2521"/>
      <c r="E688" s="2521"/>
      <c r="F688" s="2521"/>
      <c r="G688" s="2521"/>
      <c r="H688" s="2521"/>
      <c r="I688" s="2521"/>
      <c r="J688" s="2521"/>
      <c r="K688" s="2521"/>
      <c r="L688" s="2521"/>
      <c r="M688" s="2521"/>
      <c r="N688" s="2521"/>
      <c r="O688" s="2521"/>
      <c r="P688" s="2521"/>
      <c r="Q688" s="2521"/>
      <c r="R688" s="2521"/>
      <c r="S688" s="2521"/>
      <c r="T688" s="2521"/>
      <c r="U688" s="2521"/>
      <c r="V688" s="2521"/>
      <c r="W688" s="2521"/>
      <c r="X688" s="2521"/>
      <c r="Y688" s="2521"/>
      <c r="Z688" s="2521"/>
    </row>
    <row r="689" spans="1:26" ht="16.5" customHeight="1">
      <c r="A689" s="2521"/>
      <c r="B689" s="2526"/>
      <c r="C689" s="2521"/>
      <c r="D689" s="2521"/>
      <c r="E689" s="2521"/>
      <c r="F689" s="2521"/>
      <c r="G689" s="2521"/>
      <c r="H689" s="2521"/>
      <c r="I689" s="2521"/>
      <c r="J689" s="2521"/>
      <c r="K689" s="2521"/>
      <c r="L689" s="2521"/>
      <c r="M689" s="2521"/>
      <c r="N689" s="2521"/>
      <c r="O689" s="2521"/>
      <c r="P689" s="2521"/>
      <c r="Q689" s="2521"/>
      <c r="R689" s="2521"/>
      <c r="S689" s="2521"/>
      <c r="T689" s="2521"/>
      <c r="U689" s="2521"/>
      <c r="V689" s="2521"/>
      <c r="W689" s="2521"/>
      <c r="X689" s="2521"/>
      <c r="Y689" s="2521"/>
      <c r="Z689" s="2521"/>
    </row>
    <row r="690" spans="1:26" ht="16.5" customHeight="1">
      <c r="A690" s="2521"/>
      <c r="B690" s="2526"/>
      <c r="C690" s="2521"/>
      <c r="D690" s="2521"/>
      <c r="E690" s="2521"/>
      <c r="F690" s="2521"/>
      <c r="G690" s="2521"/>
      <c r="H690" s="2521"/>
      <c r="I690" s="2521"/>
      <c r="J690" s="2521"/>
      <c r="K690" s="2521"/>
      <c r="L690" s="2521"/>
      <c r="M690" s="2521"/>
      <c r="N690" s="2521"/>
      <c r="O690" s="2521"/>
      <c r="P690" s="2521"/>
      <c r="Q690" s="2521"/>
      <c r="R690" s="2521"/>
      <c r="S690" s="2521"/>
      <c r="T690" s="2521"/>
      <c r="U690" s="2521"/>
      <c r="V690" s="2521"/>
      <c r="W690" s="2521"/>
      <c r="X690" s="2521"/>
      <c r="Y690" s="2521"/>
      <c r="Z690" s="2521"/>
    </row>
    <row r="691" spans="1:26" ht="16.5" customHeight="1">
      <c r="A691" s="2521"/>
      <c r="B691" s="2526"/>
      <c r="C691" s="2521"/>
      <c r="D691" s="2521"/>
      <c r="E691" s="2521"/>
      <c r="F691" s="2521"/>
      <c r="G691" s="2521"/>
      <c r="H691" s="2521"/>
      <c r="I691" s="2521"/>
      <c r="J691" s="2521"/>
      <c r="K691" s="2521"/>
      <c r="L691" s="2521"/>
      <c r="M691" s="2521"/>
      <c r="N691" s="2521"/>
      <c r="O691" s="2521"/>
      <c r="P691" s="2521"/>
      <c r="Q691" s="2521"/>
      <c r="R691" s="2521"/>
      <c r="S691" s="2521"/>
      <c r="T691" s="2521"/>
      <c r="U691" s="2521"/>
      <c r="V691" s="2521"/>
      <c r="W691" s="2521"/>
      <c r="X691" s="2521"/>
      <c r="Y691" s="2521"/>
      <c r="Z691" s="2521"/>
    </row>
    <row r="692" spans="1:26" ht="16.5" customHeight="1">
      <c r="A692" s="2521"/>
      <c r="B692" s="2526"/>
      <c r="C692" s="2521"/>
      <c r="D692" s="2521"/>
      <c r="E692" s="2521"/>
      <c r="F692" s="2521"/>
      <c r="G692" s="2521"/>
      <c r="H692" s="2521"/>
      <c r="I692" s="2521"/>
      <c r="J692" s="2521"/>
      <c r="K692" s="2521"/>
      <c r="L692" s="2521"/>
      <c r="M692" s="2521"/>
      <c r="N692" s="2521"/>
      <c r="O692" s="2521"/>
      <c r="P692" s="2521"/>
      <c r="Q692" s="2521"/>
      <c r="R692" s="2521"/>
      <c r="S692" s="2521"/>
      <c r="T692" s="2521"/>
      <c r="U692" s="2521"/>
      <c r="V692" s="2521"/>
      <c r="W692" s="2521"/>
      <c r="X692" s="2521"/>
      <c r="Y692" s="2521"/>
      <c r="Z692" s="2521"/>
    </row>
    <row r="693" spans="1:26" ht="16.5" customHeight="1">
      <c r="A693" s="2521"/>
      <c r="B693" s="2526"/>
      <c r="C693" s="2521"/>
      <c r="D693" s="2521"/>
      <c r="E693" s="2521"/>
      <c r="F693" s="2521"/>
      <c r="G693" s="2521"/>
      <c r="H693" s="2521"/>
      <c r="I693" s="2521"/>
      <c r="J693" s="2521"/>
      <c r="K693" s="2521"/>
      <c r="L693" s="2521"/>
      <c r="M693" s="2521"/>
      <c r="N693" s="2521"/>
      <c r="O693" s="2521"/>
      <c r="P693" s="2521"/>
      <c r="Q693" s="2521"/>
      <c r="R693" s="2521"/>
      <c r="S693" s="2521"/>
      <c r="T693" s="2521"/>
      <c r="U693" s="2521"/>
      <c r="V693" s="2521"/>
      <c r="W693" s="2521"/>
      <c r="X693" s="2521"/>
      <c r="Y693" s="2521"/>
      <c r="Z693" s="2521"/>
    </row>
    <row r="694" spans="1:26" ht="16.5" customHeight="1">
      <c r="A694" s="2521"/>
      <c r="B694" s="2526"/>
      <c r="C694" s="2521"/>
      <c r="D694" s="2521"/>
      <c r="E694" s="2521"/>
      <c r="F694" s="2521"/>
      <c r="G694" s="2521"/>
      <c r="H694" s="2521"/>
      <c r="I694" s="2521"/>
      <c r="J694" s="2521"/>
      <c r="K694" s="2521"/>
      <c r="L694" s="2521"/>
      <c r="M694" s="2521"/>
      <c r="N694" s="2521"/>
      <c r="O694" s="2521"/>
      <c r="P694" s="2521"/>
      <c r="Q694" s="2521"/>
      <c r="R694" s="2521"/>
      <c r="S694" s="2521"/>
      <c r="T694" s="2521"/>
      <c r="U694" s="2521"/>
      <c r="V694" s="2521"/>
      <c r="W694" s="2521"/>
      <c r="X694" s="2521"/>
      <c r="Y694" s="2521"/>
      <c r="Z694" s="2521"/>
    </row>
    <row r="695" spans="1:26" ht="16.5" customHeight="1">
      <c r="A695" s="2521"/>
      <c r="B695" s="2526"/>
      <c r="C695" s="2521"/>
      <c r="D695" s="2521"/>
      <c r="E695" s="2521"/>
      <c r="F695" s="2521"/>
      <c r="G695" s="2521"/>
      <c r="H695" s="2521"/>
      <c r="I695" s="2521"/>
      <c r="J695" s="2521"/>
      <c r="K695" s="2521"/>
      <c r="L695" s="2521"/>
      <c r="M695" s="2521"/>
      <c r="N695" s="2521"/>
      <c r="O695" s="2521"/>
      <c r="P695" s="2521"/>
      <c r="Q695" s="2521"/>
      <c r="R695" s="2521"/>
      <c r="S695" s="2521"/>
      <c r="T695" s="2521"/>
      <c r="U695" s="2521"/>
      <c r="V695" s="2521"/>
      <c r="W695" s="2521"/>
      <c r="X695" s="2521"/>
      <c r="Y695" s="2521"/>
      <c r="Z695" s="2521"/>
    </row>
    <row r="696" spans="1:26" ht="16.5" customHeight="1">
      <c r="A696" s="2521"/>
      <c r="B696" s="2526"/>
      <c r="C696" s="2521"/>
      <c r="D696" s="2521"/>
      <c r="E696" s="2521"/>
      <c r="F696" s="2521"/>
      <c r="G696" s="2521"/>
      <c r="H696" s="2521"/>
      <c r="I696" s="2521"/>
      <c r="J696" s="2521"/>
      <c r="K696" s="2521"/>
      <c r="L696" s="2521"/>
      <c r="M696" s="2521"/>
      <c r="N696" s="2521"/>
      <c r="O696" s="2521"/>
      <c r="P696" s="2521"/>
      <c r="Q696" s="2521"/>
      <c r="R696" s="2521"/>
      <c r="S696" s="2521"/>
      <c r="T696" s="2521"/>
      <c r="U696" s="2521"/>
      <c r="V696" s="2521"/>
      <c r="W696" s="2521"/>
      <c r="X696" s="2521"/>
      <c r="Y696" s="2521"/>
      <c r="Z696" s="2521"/>
    </row>
    <row r="697" spans="1:26" ht="16.5" customHeight="1">
      <c r="A697" s="2521"/>
      <c r="B697" s="2526"/>
      <c r="C697" s="2521"/>
      <c r="D697" s="2521"/>
      <c r="E697" s="2521"/>
      <c r="F697" s="2521"/>
      <c r="G697" s="2521"/>
      <c r="H697" s="2521"/>
      <c r="I697" s="2521"/>
      <c r="J697" s="2521"/>
      <c r="K697" s="2521"/>
      <c r="L697" s="2521"/>
      <c r="M697" s="2521"/>
      <c r="N697" s="2521"/>
      <c r="O697" s="2521"/>
      <c r="P697" s="2521"/>
      <c r="Q697" s="2521"/>
      <c r="R697" s="2521"/>
      <c r="S697" s="2521"/>
      <c r="T697" s="2521"/>
      <c r="U697" s="2521"/>
      <c r="V697" s="2521"/>
      <c r="W697" s="2521"/>
      <c r="X697" s="2521"/>
      <c r="Y697" s="2521"/>
      <c r="Z697" s="2521"/>
    </row>
    <row r="698" spans="1:26" ht="16.5" customHeight="1">
      <c r="A698" s="2521"/>
      <c r="B698" s="2526"/>
      <c r="C698" s="2521"/>
      <c r="D698" s="2521"/>
      <c r="E698" s="2521"/>
      <c r="F698" s="2521"/>
      <c r="G698" s="2521"/>
      <c r="H698" s="2521"/>
      <c r="I698" s="2521"/>
      <c r="J698" s="2521"/>
      <c r="K698" s="2521"/>
      <c r="L698" s="2521"/>
      <c r="M698" s="2521"/>
      <c r="N698" s="2521"/>
      <c r="O698" s="2521"/>
      <c r="P698" s="2521"/>
      <c r="Q698" s="2521"/>
      <c r="R698" s="2521"/>
      <c r="S698" s="2521"/>
      <c r="T698" s="2521"/>
      <c r="U698" s="2521"/>
      <c r="V698" s="2521"/>
      <c r="W698" s="2521"/>
      <c r="X698" s="2521"/>
      <c r="Y698" s="2521"/>
      <c r="Z698" s="2521"/>
    </row>
    <row r="699" spans="1:26" ht="16.5" customHeight="1">
      <c r="A699" s="2521"/>
      <c r="B699" s="2526"/>
      <c r="C699" s="2521"/>
      <c r="D699" s="2521"/>
      <c r="E699" s="2521"/>
      <c r="F699" s="2521"/>
      <c r="G699" s="2521"/>
      <c r="H699" s="2521"/>
      <c r="I699" s="2521"/>
      <c r="J699" s="2521"/>
      <c r="K699" s="2521"/>
      <c r="L699" s="2521"/>
      <c r="M699" s="2521"/>
      <c r="N699" s="2521"/>
      <c r="O699" s="2521"/>
      <c r="P699" s="2521"/>
      <c r="Q699" s="2521"/>
      <c r="R699" s="2521"/>
      <c r="S699" s="2521"/>
      <c r="T699" s="2521"/>
      <c r="U699" s="2521"/>
      <c r="V699" s="2521"/>
      <c r="W699" s="2521"/>
      <c r="X699" s="2521"/>
      <c r="Y699" s="2521"/>
      <c r="Z699" s="2521"/>
    </row>
    <row r="700" spans="1:26" ht="16.5" customHeight="1">
      <c r="A700" s="2521"/>
      <c r="B700" s="2526"/>
      <c r="C700" s="2521"/>
      <c r="D700" s="2521"/>
      <c r="E700" s="2521"/>
      <c r="F700" s="2521"/>
      <c r="G700" s="2521"/>
      <c r="H700" s="2521"/>
      <c r="I700" s="2521"/>
      <c r="J700" s="2521"/>
      <c r="K700" s="2521"/>
      <c r="L700" s="2521"/>
      <c r="M700" s="2521"/>
      <c r="N700" s="2521"/>
      <c r="O700" s="2521"/>
      <c r="P700" s="2521"/>
      <c r="Q700" s="2521"/>
      <c r="R700" s="2521"/>
      <c r="S700" s="2521"/>
      <c r="T700" s="2521"/>
      <c r="U700" s="2521"/>
      <c r="V700" s="2521"/>
      <c r="W700" s="2521"/>
      <c r="X700" s="2521"/>
      <c r="Y700" s="2521"/>
      <c r="Z700" s="2521"/>
    </row>
    <row r="701" spans="1:26" ht="16.5" customHeight="1">
      <c r="A701" s="2521"/>
      <c r="B701" s="2526"/>
      <c r="C701" s="2521"/>
      <c r="D701" s="2521"/>
      <c r="E701" s="2521"/>
      <c r="F701" s="2521"/>
      <c r="G701" s="2521"/>
      <c r="H701" s="2521"/>
      <c r="I701" s="2521"/>
      <c r="J701" s="2521"/>
      <c r="K701" s="2521"/>
      <c r="L701" s="2521"/>
      <c r="M701" s="2521"/>
      <c r="N701" s="2521"/>
      <c r="O701" s="2521"/>
      <c r="P701" s="2521"/>
      <c r="Q701" s="2521"/>
      <c r="R701" s="2521"/>
      <c r="S701" s="2521"/>
      <c r="T701" s="2521"/>
      <c r="U701" s="2521"/>
      <c r="V701" s="2521"/>
      <c r="W701" s="2521"/>
      <c r="X701" s="2521"/>
      <c r="Y701" s="2521"/>
      <c r="Z701" s="2521"/>
    </row>
    <row r="702" spans="1:26" ht="16.5" customHeight="1">
      <c r="A702" s="2521"/>
      <c r="B702" s="2526"/>
      <c r="C702" s="2521"/>
      <c r="D702" s="2521"/>
      <c r="E702" s="2521"/>
      <c r="F702" s="2521"/>
      <c r="G702" s="2521"/>
      <c r="H702" s="2521"/>
      <c r="I702" s="2521"/>
      <c r="J702" s="2521"/>
      <c r="K702" s="2521"/>
      <c r="L702" s="2521"/>
      <c r="M702" s="2521"/>
      <c r="N702" s="2521"/>
      <c r="O702" s="2521"/>
      <c r="P702" s="2521"/>
      <c r="Q702" s="2521"/>
      <c r="R702" s="2521"/>
      <c r="S702" s="2521"/>
      <c r="T702" s="2521"/>
      <c r="U702" s="2521"/>
      <c r="V702" s="2521"/>
      <c r="W702" s="2521"/>
      <c r="X702" s="2521"/>
      <c r="Y702" s="2521"/>
      <c r="Z702" s="2521"/>
    </row>
    <row r="703" spans="1:26" ht="16.5" customHeight="1">
      <c r="A703" s="2521"/>
      <c r="B703" s="2526"/>
      <c r="C703" s="2521"/>
      <c r="D703" s="2521"/>
      <c r="E703" s="2521"/>
      <c r="F703" s="2521"/>
      <c r="G703" s="2521"/>
      <c r="H703" s="2521"/>
      <c r="I703" s="2521"/>
      <c r="J703" s="2521"/>
      <c r="K703" s="2521"/>
      <c r="L703" s="2521"/>
      <c r="M703" s="2521"/>
      <c r="N703" s="2521"/>
      <c r="O703" s="2521"/>
      <c r="P703" s="2521"/>
      <c r="Q703" s="2521"/>
      <c r="R703" s="2521"/>
      <c r="S703" s="2521"/>
      <c r="T703" s="2521"/>
      <c r="U703" s="2521"/>
      <c r="V703" s="2521"/>
      <c r="W703" s="2521"/>
      <c r="X703" s="2521"/>
      <c r="Y703" s="2521"/>
      <c r="Z703" s="2521"/>
    </row>
    <row r="704" spans="1:26" ht="16.5" customHeight="1">
      <c r="A704" s="2521"/>
      <c r="B704" s="2526"/>
      <c r="C704" s="2521"/>
      <c r="D704" s="2521"/>
      <c r="E704" s="2521"/>
      <c r="F704" s="2521"/>
      <c r="G704" s="2521"/>
      <c r="H704" s="2521"/>
      <c r="I704" s="2521"/>
      <c r="J704" s="2521"/>
      <c r="K704" s="2521"/>
      <c r="L704" s="2521"/>
      <c r="M704" s="2521"/>
      <c r="N704" s="2521"/>
      <c r="O704" s="2521"/>
      <c r="P704" s="2521"/>
      <c r="Q704" s="2521"/>
      <c r="R704" s="2521"/>
      <c r="S704" s="2521"/>
      <c r="T704" s="2521"/>
      <c r="U704" s="2521"/>
      <c r="V704" s="2521"/>
      <c r="W704" s="2521"/>
      <c r="X704" s="2521"/>
      <c r="Y704" s="2521"/>
      <c r="Z704" s="2521"/>
    </row>
    <row r="705" spans="1:26" ht="16.5" customHeight="1">
      <c r="A705" s="2521"/>
      <c r="B705" s="2526"/>
      <c r="C705" s="2521"/>
      <c r="D705" s="2521"/>
      <c r="E705" s="2521"/>
      <c r="F705" s="2521"/>
      <c r="G705" s="2521"/>
      <c r="H705" s="2521"/>
      <c r="I705" s="2521"/>
      <c r="J705" s="2521"/>
      <c r="K705" s="2521"/>
      <c r="L705" s="2521"/>
      <c r="M705" s="2521"/>
      <c r="N705" s="2521"/>
      <c r="O705" s="2521"/>
      <c r="P705" s="2521"/>
      <c r="Q705" s="2521"/>
      <c r="R705" s="2521"/>
      <c r="S705" s="2521"/>
      <c r="T705" s="2521"/>
      <c r="U705" s="2521"/>
      <c r="V705" s="2521"/>
      <c r="W705" s="2521"/>
      <c r="X705" s="2521"/>
      <c r="Y705" s="2521"/>
      <c r="Z705" s="2521"/>
    </row>
    <row r="706" spans="1:26" ht="16.5" customHeight="1">
      <c r="A706" s="2521"/>
      <c r="B706" s="2526"/>
      <c r="C706" s="2521"/>
      <c r="D706" s="2521"/>
      <c r="E706" s="2521"/>
      <c r="F706" s="2521"/>
      <c r="G706" s="2521"/>
      <c r="H706" s="2521"/>
      <c r="I706" s="2521"/>
      <c r="J706" s="2521"/>
      <c r="K706" s="2521"/>
      <c r="L706" s="2521"/>
      <c r="M706" s="2521"/>
      <c r="N706" s="2521"/>
      <c r="O706" s="2521"/>
      <c r="P706" s="2521"/>
      <c r="Q706" s="2521"/>
      <c r="R706" s="2521"/>
      <c r="S706" s="2521"/>
      <c r="T706" s="2521"/>
      <c r="U706" s="2521"/>
      <c r="V706" s="2521"/>
      <c r="W706" s="2521"/>
      <c r="X706" s="2521"/>
      <c r="Y706" s="2521"/>
      <c r="Z706" s="2521"/>
    </row>
    <row r="707" spans="1:26" ht="16.5" customHeight="1">
      <c r="A707" s="2521"/>
      <c r="B707" s="2526"/>
      <c r="C707" s="2521"/>
      <c r="D707" s="2521"/>
      <c r="E707" s="2521"/>
      <c r="F707" s="2521"/>
      <c r="G707" s="2521"/>
      <c r="H707" s="2521"/>
      <c r="I707" s="2521"/>
      <c r="J707" s="2521"/>
      <c r="K707" s="2521"/>
      <c r="L707" s="2521"/>
      <c r="M707" s="2521"/>
      <c r="N707" s="2521"/>
      <c r="O707" s="2521"/>
      <c r="P707" s="2521"/>
      <c r="Q707" s="2521"/>
      <c r="R707" s="2521"/>
      <c r="S707" s="2521"/>
      <c r="T707" s="2521"/>
      <c r="U707" s="2521"/>
      <c r="V707" s="2521"/>
      <c r="W707" s="2521"/>
      <c r="X707" s="2521"/>
      <c r="Y707" s="2521"/>
      <c r="Z707" s="2521"/>
    </row>
    <row r="708" spans="1:26" ht="16.5" customHeight="1">
      <c r="A708" s="2521"/>
      <c r="B708" s="2526"/>
      <c r="C708" s="2521"/>
      <c r="D708" s="2521"/>
      <c r="E708" s="2521"/>
      <c r="F708" s="2521"/>
      <c r="G708" s="2521"/>
      <c r="H708" s="2521"/>
      <c r="I708" s="2521"/>
      <c r="J708" s="2521"/>
      <c r="K708" s="2521"/>
      <c r="L708" s="2521"/>
      <c r="M708" s="2521"/>
      <c r="N708" s="2521"/>
      <c r="O708" s="2521"/>
      <c r="P708" s="2521"/>
      <c r="Q708" s="2521"/>
      <c r="R708" s="2521"/>
      <c r="S708" s="2521"/>
      <c r="T708" s="2521"/>
      <c r="U708" s="2521"/>
      <c r="V708" s="2521"/>
      <c r="W708" s="2521"/>
      <c r="X708" s="2521"/>
      <c r="Y708" s="2521"/>
      <c r="Z708" s="2521"/>
    </row>
    <row r="709" spans="1:26" ht="16.5" customHeight="1">
      <c r="A709" s="2521"/>
      <c r="B709" s="2526"/>
      <c r="C709" s="2521"/>
      <c r="D709" s="2521"/>
      <c r="E709" s="2521"/>
      <c r="F709" s="2521"/>
      <c r="G709" s="2521"/>
      <c r="H709" s="2521"/>
      <c r="I709" s="2521"/>
      <c r="J709" s="2521"/>
      <c r="K709" s="2521"/>
      <c r="L709" s="2521"/>
      <c r="M709" s="2521"/>
      <c r="N709" s="2521"/>
      <c r="O709" s="2521"/>
      <c r="P709" s="2521"/>
      <c r="Q709" s="2521"/>
      <c r="R709" s="2521"/>
      <c r="S709" s="2521"/>
      <c r="T709" s="2521"/>
      <c r="U709" s="2521"/>
      <c r="V709" s="2521"/>
      <c r="W709" s="2521"/>
      <c r="X709" s="2521"/>
      <c r="Y709" s="2521"/>
      <c r="Z709" s="2521"/>
    </row>
    <row r="710" spans="1:26" ht="16.5" customHeight="1">
      <c r="A710" s="2521"/>
      <c r="B710" s="2526"/>
      <c r="C710" s="2521"/>
      <c r="D710" s="2521"/>
      <c r="E710" s="2521"/>
      <c r="F710" s="2521"/>
      <c r="G710" s="2521"/>
      <c r="H710" s="2521"/>
      <c r="I710" s="2521"/>
      <c r="J710" s="2521"/>
      <c r="K710" s="2521"/>
      <c r="L710" s="2521"/>
      <c r="M710" s="2521"/>
      <c r="N710" s="2521"/>
      <c r="O710" s="2521"/>
      <c r="P710" s="2521"/>
      <c r="Q710" s="2521"/>
      <c r="R710" s="2521"/>
      <c r="S710" s="2521"/>
      <c r="T710" s="2521"/>
      <c r="U710" s="2521"/>
      <c r="V710" s="2521"/>
      <c r="W710" s="2521"/>
      <c r="X710" s="2521"/>
      <c r="Y710" s="2521"/>
      <c r="Z710" s="2521"/>
    </row>
    <row r="711" spans="1:26" ht="16.5" customHeight="1">
      <c r="A711" s="2521"/>
      <c r="B711" s="2526"/>
      <c r="C711" s="2521"/>
      <c r="D711" s="2521"/>
      <c r="E711" s="2521"/>
      <c r="F711" s="2521"/>
      <c r="G711" s="2521"/>
      <c r="H711" s="2521"/>
      <c r="I711" s="2521"/>
      <c r="J711" s="2521"/>
      <c r="K711" s="2521"/>
      <c r="L711" s="2521"/>
      <c r="M711" s="2521"/>
      <c r="N711" s="2521"/>
      <c r="O711" s="2521"/>
      <c r="P711" s="2521"/>
      <c r="Q711" s="2521"/>
      <c r="R711" s="2521"/>
      <c r="S711" s="2521"/>
      <c r="T711" s="2521"/>
      <c r="U711" s="2521"/>
      <c r="V711" s="2521"/>
      <c r="W711" s="2521"/>
      <c r="X711" s="2521"/>
      <c r="Y711" s="2521"/>
      <c r="Z711" s="2521"/>
    </row>
    <row r="712" spans="1:26" ht="16.5" customHeight="1">
      <c r="A712" s="2521"/>
      <c r="B712" s="2526"/>
      <c r="C712" s="2521"/>
      <c r="D712" s="2521"/>
      <c r="E712" s="2521"/>
      <c r="F712" s="2521"/>
      <c r="G712" s="2521"/>
      <c r="H712" s="2521"/>
      <c r="I712" s="2521"/>
      <c r="J712" s="2521"/>
      <c r="K712" s="2521"/>
      <c r="L712" s="2521"/>
      <c r="M712" s="2521"/>
      <c r="N712" s="2521"/>
      <c r="O712" s="2521"/>
      <c r="P712" s="2521"/>
      <c r="Q712" s="2521"/>
      <c r="R712" s="2521"/>
      <c r="S712" s="2521"/>
      <c r="T712" s="2521"/>
      <c r="U712" s="2521"/>
      <c r="V712" s="2521"/>
      <c r="W712" s="2521"/>
      <c r="X712" s="2521"/>
      <c r="Y712" s="2521"/>
      <c r="Z712" s="2521"/>
    </row>
    <row r="713" spans="1:26" ht="16.5" customHeight="1">
      <c r="A713" s="2521"/>
      <c r="B713" s="2526"/>
      <c r="C713" s="2521"/>
      <c r="D713" s="2521"/>
      <c r="E713" s="2521"/>
      <c r="F713" s="2521"/>
      <c r="G713" s="2521"/>
      <c r="H713" s="2521"/>
      <c r="I713" s="2521"/>
      <c r="J713" s="2521"/>
      <c r="K713" s="2521"/>
      <c r="L713" s="2521"/>
      <c r="M713" s="2521"/>
      <c r="N713" s="2521"/>
      <c r="O713" s="2521"/>
      <c r="P713" s="2521"/>
      <c r="Q713" s="2521"/>
      <c r="R713" s="2521"/>
      <c r="S713" s="2521"/>
      <c r="T713" s="2521"/>
      <c r="U713" s="2521"/>
      <c r="V713" s="2521"/>
      <c r="W713" s="2521"/>
      <c r="X713" s="2521"/>
      <c r="Y713" s="2521"/>
      <c r="Z713" s="2521"/>
    </row>
    <row r="714" spans="1:26" ht="16.5" customHeight="1">
      <c r="A714" s="2521"/>
      <c r="B714" s="2526"/>
      <c r="C714" s="2521"/>
      <c r="D714" s="2521"/>
      <c r="E714" s="2521"/>
      <c r="F714" s="2521"/>
      <c r="G714" s="2521"/>
      <c r="H714" s="2521"/>
      <c r="I714" s="2521"/>
      <c r="J714" s="2521"/>
      <c r="K714" s="2521"/>
      <c r="L714" s="2521"/>
      <c r="M714" s="2521"/>
      <c r="N714" s="2521"/>
      <c r="O714" s="2521"/>
      <c r="P714" s="2521"/>
      <c r="Q714" s="2521"/>
      <c r="R714" s="2521"/>
      <c r="S714" s="2521"/>
      <c r="T714" s="2521"/>
      <c r="U714" s="2521"/>
      <c r="V714" s="2521"/>
      <c r="W714" s="2521"/>
      <c r="X714" s="2521"/>
      <c r="Y714" s="2521"/>
      <c r="Z714" s="2521"/>
    </row>
    <row r="715" spans="1:26" ht="16.5" customHeight="1">
      <c r="A715" s="2521"/>
      <c r="B715" s="2526"/>
      <c r="C715" s="2521"/>
      <c r="D715" s="2521"/>
      <c r="E715" s="2521"/>
      <c r="F715" s="2521"/>
      <c r="G715" s="2521"/>
      <c r="H715" s="2521"/>
      <c r="I715" s="2521"/>
      <c r="J715" s="2521"/>
      <c r="K715" s="2521"/>
      <c r="L715" s="2521"/>
      <c r="M715" s="2521"/>
      <c r="N715" s="2521"/>
      <c r="O715" s="2521"/>
      <c r="P715" s="2521"/>
      <c r="Q715" s="2521"/>
      <c r="R715" s="2521"/>
      <c r="S715" s="2521"/>
      <c r="T715" s="2521"/>
      <c r="U715" s="2521"/>
      <c r="V715" s="2521"/>
      <c r="W715" s="2521"/>
      <c r="X715" s="2521"/>
      <c r="Y715" s="2521"/>
      <c r="Z715" s="2521"/>
    </row>
    <row r="716" spans="1:26" ht="16.5" customHeight="1">
      <c r="A716" s="2521"/>
      <c r="B716" s="2526"/>
      <c r="C716" s="2521"/>
      <c r="D716" s="2521"/>
      <c r="E716" s="2521"/>
      <c r="F716" s="2521"/>
      <c r="G716" s="2521"/>
      <c r="H716" s="2521"/>
      <c r="I716" s="2521"/>
      <c r="J716" s="2521"/>
      <c r="K716" s="2521"/>
      <c r="L716" s="2521"/>
      <c r="M716" s="2521"/>
      <c r="N716" s="2521"/>
      <c r="O716" s="2521"/>
      <c r="P716" s="2521"/>
      <c r="Q716" s="2521"/>
      <c r="R716" s="2521"/>
      <c r="S716" s="2521"/>
      <c r="T716" s="2521"/>
      <c r="U716" s="2521"/>
      <c r="V716" s="2521"/>
      <c r="W716" s="2521"/>
      <c r="X716" s="2521"/>
      <c r="Y716" s="2521"/>
      <c r="Z716" s="2521"/>
    </row>
    <row r="717" spans="1:26" ht="16.5" customHeight="1">
      <c r="A717" s="2521"/>
      <c r="B717" s="2526"/>
      <c r="C717" s="2521"/>
      <c r="D717" s="2521"/>
      <c r="E717" s="2521"/>
      <c r="F717" s="2521"/>
      <c r="G717" s="2521"/>
      <c r="H717" s="2521"/>
      <c r="I717" s="2521"/>
      <c r="J717" s="2521"/>
      <c r="K717" s="2521"/>
      <c r="L717" s="2521"/>
      <c r="M717" s="2521"/>
      <c r="N717" s="2521"/>
      <c r="O717" s="2521"/>
      <c r="P717" s="2521"/>
      <c r="Q717" s="2521"/>
      <c r="R717" s="2521"/>
      <c r="S717" s="2521"/>
      <c r="T717" s="2521"/>
      <c r="U717" s="2521"/>
      <c r="V717" s="2521"/>
      <c r="W717" s="2521"/>
      <c r="X717" s="2521"/>
      <c r="Y717" s="2521"/>
      <c r="Z717" s="2521"/>
    </row>
    <row r="718" spans="1:26" ht="16.5" customHeight="1">
      <c r="A718" s="2521"/>
      <c r="B718" s="2526"/>
      <c r="C718" s="2521"/>
      <c r="D718" s="2521"/>
      <c r="E718" s="2521"/>
      <c r="F718" s="2521"/>
      <c r="G718" s="2521"/>
      <c r="H718" s="2521"/>
      <c r="I718" s="2521"/>
      <c r="J718" s="2521"/>
      <c r="K718" s="2521"/>
      <c r="L718" s="2521"/>
      <c r="M718" s="2521"/>
      <c r="N718" s="2521"/>
      <c r="O718" s="2521"/>
      <c r="P718" s="2521"/>
      <c r="Q718" s="2521"/>
      <c r="R718" s="2521"/>
      <c r="S718" s="2521"/>
      <c r="T718" s="2521"/>
      <c r="U718" s="2521"/>
      <c r="V718" s="2521"/>
      <c r="W718" s="2521"/>
      <c r="X718" s="2521"/>
      <c r="Y718" s="2521"/>
      <c r="Z718" s="2521"/>
    </row>
    <row r="719" spans="1:26" ht="16.5" customHeight="1">
      <c r="A719" s="2521"/>
      <c r="B719" s="2526"/>
      <c r="C719" s="2521"/>
      <c r="D719" s="2521"/>
      <c r="E719" s="2521"/>
      <c r="F719" s="2521"/>
      <c r="G719" s="2521"/>
      <c r="H719" s="2521"/>
      <c r="I719" s="2521"/>
      <c r="J719" s="2521"/>
      <c r="K719" s="2521"/>
      <c r="L719" s="2521"/>
      <c r="M719" s="2521"/>
      <c r="N719" s="2521"/>
      <c r="O719" s="2521"/>
      <c r="P719" s="2521"/>
      <c r="Q719" s="2521"/>
      <c r="R719" s="2521"/>
      <c r="S719" s="2521"/>
      <c r="T719" s="2521"/>
      <c r="U719" s="2521"/>
      <c r="V719" s="2521"/>
      <c r="W719" s="2521"/>
      <c r="X719" s="2521"/>
      <c r="Y719" s="2521"/>
      <c r="Z719" s="2521"/>
    </row>
    <row r="720" spans="1:26" ht="16.5" customHeight="1">
      <c r="A720" s="2521"/>
      <c r="B720" s="2526"/>
      <c r="C720" s="2521"/>
      <c r="D720" s="2521"/>
      <c r="E720" s="2521"/>
      <c r="F720" s="2521"/>
      <c r="G720" s="2521"/>
      <c r="H720" s="2521"/>
      <c r="I720" s="2521"/>
      <c r="J720" s="2521"/>
      <c r="K720" s="2521"/>
      <c r="L720" s="2521"/>
      <c r="M720" s="2521"/>
      <c r="N720" s="2521"/>
      <c r="O720" s="2521"/>
      <c r="P720" s="2521"/>
      <c r="Q720" s="2521"/>
      <c r="R720" s="2521"/>
      <c r="S720" s="2521"/>
      <c r="T720" s="2521"/>
      <c r="U720" s="2521"/>
      <c r="V720" s="2521"/>
      <c r="W720" s="2521"/>
      <c r="X720" s="2521"/>
      <c r="Y720" s="2521"/>
      <c r="Z720" s="2521"/>
    </row>
    <row r="721" spans="1:26" ht="16.5" customHeight="1">
      <c r="A721" s="2521"/>
      <c r="B721" s="2526"/>
      <c r="C721" s="2521"/>
      <c r="D721" s="2521"/>
      <c r="E721" s="2521"/>
      <c r="F721" s="2521"/>
      <c r="G721" s="2521"/>
      <c r="H721" s="2521"/>
      <c r="I721" s="2521"/>
      <c r="J721" s="2521"/>
      <c r="K721" s="2521"/>
      <c r="L721" s="2521"/>
      <c r="M721" s="2521"/>
      <c r="N721" s="2521"/>
      <c r="O721" s="2521"/>
      <c r="P721" s="2521"/>
      <c r="Q721" s="2521"/>
      <c r="R721" s="2521"/>
      <c r="S721" s="2521"/>
      <c r="T721" s="2521"/>
      <c r="U721" s="2521"/>
      <c r="V721" s="2521"/>
      <c r="W721" s="2521"/>
      <c r="X721" s="2521"/>
      <c r="Y721" s="2521"/>
      <c r="Z721" s="2521"/>
    </row>
    <row r="722" spans="1:26" ht="16.5" customHeight="1">
      <c r="A722" s="2521"/>
      <c r="B722" s="2526"/>
      <c r="C722" s="2521"/>
      <c r="D722" s="2521"/>
      <c r="E722" s="2521"/>
      <c r="F722" s="2521"/>
      <c r="G722" s="2521"/>
      <c r="H722" s="2521"/>
      <c r="I722" s="2521"/>
      <c r="J722" s="2521"/>
      <c r="K722" s="2521"/>
      <c r="L722" s="2521"/>
      <c r="M722" s="2521"/>
      <c r="N722" s="2521"/>
      <c r="O722" s="2521"/>
      <c r="P722" s="2521"/>
      <c r="Q722" s="2521"/>
      <c r="R722" s="2521"/>
      <c r="S722" s="2521"/>
      <c r="T722" s="2521"/>
      <c r="U722" s="2521"/>
      <c r="V722" s="2521"/>
      <c r="W722" s="2521"/>
      <c r="X722" s="2521"/>
      <c r="Y722" s="2521"/>
      <c r="Z722" s="2521"/>
    </row>
    <row r="723" spans="1:26" ht="16.5" customHeight="1">
      <c r="A723" s="2521"/>
      <c r="B723" s="2526"/>
      <c r="C723" s="2521"/>
      <c r="D723" s="2521"/>
      <c r="E723" s="2521"/>
      <c r="F723" s="2521"/>
      <c r="G723" s="2521"/>
      <c r="H723" s="2521"/>
      <c r="I723" s="2521"/>
      <c r="J723" s="2521"/>
      <c r="K723" s="2521"/>
      <c r="L723" s="2521"/>
      <c r="M723" s="2521"/>
      <c r="N723" s="2521"/>
      <c r="O723" s="2521"/>
      <c r="P723" s="2521"/>
      <c r="Q723" s="2521"/>
      <c r="R723" s="2521"/>
      <c r="S723" s="2521"/>
      <c r="T723" s="2521"/>
      <c r="U723" s="2521"/>
      <c r="V723" s="2521"/>
      <c r="W723" s="2521"/>
      <c r="X723" s="2521"/>
      <c r="Y723" s="2521"/>
      <c r="Z723" s="2521"/>
    </row>
    <row r="724" spans="1:26" ht="16.5" customHeight="1">
      <c r="A724" s="2521"/>
      <c r="B724" s="2526"/>
      <c r="C724" s="2521"/>
      <c r="D724" s="2521"/>
      <c r="E724" s="2521"/>
      <c r="F724" s="2521"/>
      <c r="G724" s="2521"/>
      <c r="H724" s="2521"/>
      <c r="I724" s="2521"/>
      <c r="J724" s="2521"/>
      <c r="K724" s="2521"/>
      <c r="L724" s="2521"/>
      <c r="M724" s="2521"/>
      <c r="N724" s="2521"/>
      <c r="O724" s="2521"/>
      <c r="P724" s="2521"/>
      <c r="Q724" s="2521"/>
      <c r="R724" s="2521"/>
      <c r="S724" s="2521"/>
      <c r="T724" s="2521"/>
      <c r="U724" s="2521"/>
      <c r="V724" s="2521"/>
      <c r="W724" s="2521"/>
      <c r="X724" s="2521"/>
      <c r="Y724" s="2521"/>
      <c r="Z724" s="2521"/>
    </row>
    <row r="725" spans="1:26" ht="16.5" customHeight="1">
      <c r="A725" s="2521"/>
      <c r="B725" s="2526"/>
      <c r="C725" s="2521"/>
      <c r="D725" s="2521"/>
      <c r="E725" s="2521"/>
      <c r="F725" s="2521"/>
      <c r="G725" s="2521"/>
      <c r="H725" s="2521"/>
      <c r="I725" s="2521"/>
      <c r="J725" s="2521"/>
      <c r="K725" s="2521"/>
      <c r="L725" s="2521"/>
      <c r="M725" s="2521"/>
      <c r="N725" s="2521"/>
      <c r="O725" s="2521"/>
      <c r="P725" s="2521"/>
      <c r="Q725" s="2521"/>
      <c r="R725" s="2521"/>
      <c r="S725" s="2521"/>
      <c r="T725" s="2521"/>
      <c r="U725" s="2521"/>
      <c r="V725" s="2521"/>
      <c r="W725" s="2521"/>
      <c r="X725" s="2521"/>
      <c r="Y725" s="2521"/>
      <c r="Z725" s="2521"/>
    </row>
    <row r="726" spans="1:26" ht="16.5" customHeight="1">
      <c r="A726" s="2521"/>
      <c r="B726" s="2526"/>
      <c r="C726" s="2521"/>
      <c r="D726" s="2521"/>
      <c r="E726" s="2521"/>
      <c r="F726" s="2521"/>
      <c r="G726" s="2521"/>
      <c r="H726" s="2521"/>
      <c r="I726" s="2521"/>
      <c r="J726" s="2521"/>
      <c r="K726" s="2521"/>
      <c r="L726" s="2521"/>
      <c r="M726" s="2521"/>
      <c r="N726" s="2521"/>
      <c r="O726" s="2521"/>
      <c r="P726" s="2521"/>
      <c r="Q726" s="2521"/>
      <c r="R726" s="2521"/>
      <c r="S726" s="2521"/>
      <c r="T726" s="2521"/>
      <c r="U726" s="2521"/>
      <c r="V726" s="2521"/>
      <c r="W726" s="2521"/>
      <c r="X726" s="2521"/>
      <c r="Y726" s="2521"/>
      <c r="Z726" s="2521"/>
    </row>
    <row r="727" spans="1:26" ht="16.5" customHeight="1">
      <c r="A727" s="2521"/>
      <c r="B727" s="2526"/>
      <c r="C727" s="2521"/>
      <c r="D727" s="2521"/>
      <c r="E727" s="2521"/>
      <c r="F727" s="2521"/>
      <c r="G727" s="2521"/>
      <c r="H727" s="2521"/>
      <c r="I727" s="2521"/>
      <c r="J727" s="2521"/>
      <c r="K727" s="2521"/>
      <c r="L727" s="2521"/>
      <c r="M727" s="2521"/>
      <c r="N727" s="2521"/>
      <c r="O727" s="2521"/>
      <c r="P727" s="2521"/>
      <c r="Q727" s="2521"/>
      <c r="R727" s="2521"/>
      <c r="S727" s="2521"/>
      <c r="T727" s="2521"/>
      <c r="U727" s="2521"/>
      <c r="V727" s="2521"/>
      <c r="W727" s="2521"/>
      <c r="X727" s="2521"/>
      <c r="Y727" s="2521"/>
      <c r="Z727" s="2521"/>
    </row>
    <row r="728" spans="1:26" ht="16.5" customHeight="1">
      <c r="A728" s="2521"/>
      <c r="B728" s="2526"/>
      <c r="C728" s="2521"/>
      <c r="D728" s="2521"/>
      <c r="E728" s="2521"/>
      <c r="F728" s="2521"/>
      <c r="G728" s="2521"/>
      <c r="H728" s="2521"/>
      <c r="I728" s="2521"/>
      <c r="J728" s="2521"/>
      <c r="K728" s="2521"/>
      <c r="L728" s="2521"/>
      <c r="M728" s="2521"/>
      <c r="N728" s="2521"/>
      <c r="O728" s="2521"/>
      <c r="P728" s="2521"/>
      <c r="Q728" s="2521"/>
      <c r="R728" s="2521"/>
      <c r="S728" s="2521"/>
      <c r="T728" s="2521"/>
      <c r="U728" s="2521"/>
      <c r="V728" s="2521"/>
      <c r="W728" s="2521"/>
      <c r="X728" s="2521"/>
      <c r="Y728" s="2521"/>
      <c r="Z728" s="2521"/>
    </row>
    <row r="729" spans="1:26" ht="16.5" customHeight="1">
      <c r="A729" s="2521"/>
      <c r="B729" s="2526"/>
      <c r="C729" s="2521"/>
      <c r="D729" s="2521"/>
      <c r="E729" s="2521"/>
      <c r="F729" s="2521"/>
      <c r="G729" s="2521"/>
      <c r="H729" s="2521"/>
      <c r="I729" s="2521"/>
      <c r="J729" s="2521"/>
      <c r="K729" s="2521"/>
      <c r="L729" s="2521"/>
      <c r="M729" s="2521"/>
      <c r="N729" s="2521"/>
      <c r="O729" s="2521"/>
      <c r="P729" s="2521"/>
      <c r="Q729" s="2521"/>
      <c r="R729" s="2521"/>
      <c r="S729" s="2521"/>
      <c r="T729" s="2521"/>
      <c r="U729" s="2521"/>
      <c r="V729" s="2521"/>
      <c r="W729" s="2521"/>
      <c r="X729" s="2521"/>
      <c r="Y729" s="2521"/>
      <c r="Z729" s="2521"/>
    </row>
    <row r="730" spans="1:26" ht="16.5" customHeight="1">
      <c r="A730" s="2521"/>
      <c r="B730" s="2526"/>
      <c r="C730" s="2521"/>
      <c r="D730" s="2521"/>
      <c r="E730" s="2521"/>
      <c r="F730" s="2521"/>
      <c r="G730" s="2521"/>
      <c r="H730" s="2521"/>
      <c r="I730" s="2521"/>
      <c r="J730" s="2521"/>
      <c r="K730" s="2521"/>
      <c r="L730" s="2521"/>
      <c r="M730" s="2521"/>
      <c r="N730" s="2521"/>
      <c r="O730" s="2521"/>
      <c r="P730" s="2521"/>
      <c r="Q730" s="2521"/>
      <c r="R730" s="2521"/>
      <c r="S730" s="2521"/>
      <c r="T730" s="2521"/>
      <c r="U730" s="2521"/>
      <c r="V730" s="2521"/>
      <c r="W730" s="2521"/>
      <c r="X730" s="2521"/>
      <c r="Y730" s="2521"/>
      <c r="Z730" s="2521"/>
    </row>
    <row r="731" spans="1:26" ht="16.5" customHeight="1">
      <c r="A731" s="2521"/>
      <c r="B731" s="2526"/>
      <c r="C731" s="2521"/>
      <c r="D731" s="2521"/>
      <c r="E731" s="2521"/>
      <c r="F731" s="2521"/>
      <c r="G731" s="2521"/>
      <c r="H731" s="2521"/>
      <c r="I731" s="2521"/>
      <c r="J731" s="2521"/>
      <c r="K731" s="2521"/>
      <c r="L731" s="2521"/>
      <c r="M731" s="2521"/>
      <c r="N731" s="2521"/>
      <c r="O731" s="2521"/>
      <c r="P731" s="2521"/>
      <c r="Q731" s="2521"/>
      <c r="R731" s="2521"/>
      <c r="S731" s="2521"/>
      <c r="T731" s="2521"/>
      <c r="U731" s="2521"/>
      <c r="V731" s="2521"/>
      <c r="W731" s="2521"/>
      <c r="X731" s="2521"/>
      <c r="Y731" s="2521"/>
      <c r="Z731" s="2521"/>
    </row>
    <row r="732" spans="1:26" ht="16.5" customHeight="1">
      <c r="A732" s="2521"/>
      <c r="B732" s="2526"/>
      <c r="C732" s="2521"/>
      <c r="D732" s="2521"/>
      <c r="E732" s="2521"/>
      <c r="F732" s="2521"/>
      <c r="G732" s="2521"/>
      <c r="H732" s="2521"/>
      <c r="I732" s="2521"/>
      <c r="J732" s="2521"/>
      <c r="K732" s="2521"/>
      <c r="L732" s="2521"/>
      <c r="M732" s="2521"/>
      <c r="N732" s="2521"/>
      <c r="O732" s="2521"/>
      <c r="P732" s="2521"/>
      <c r="Q732" s="2521"/>
      <c r="R732" s="2521"/>
      <c r="S732" s="2521"/>
      <c r="T732" s="2521"/>
      <c r="U732" s="2521"/>
      <c r="V732" s="2521"/>
      <c r="W732" s="2521"/>
      <c r="X732" s="2521"/>
      <c r="Y732" s="2521"/>
      <c r="Z732" s="2521"/>
    </row>
    <row r="733" spans="1:26" ht="16.5" customHeight="1">
      <c r="A733" s="2521"/>
      <c r="B733" s="2526"/>
      <c r="C733" s="2521"/>
      <c r="D733" s="2521"/>
      <c r="E733" s="2521"/>
      <c r="F733" s="2521"/>
      <c r="G733" s="2521"/>
      <c r="H733" s="2521"/>
      <c r="I733" s="2521"/>
      <c r="J733" s="2521"/>
      <c r="K733" s="2521"/>
      <c r="L733" s="2521"/>
      <c r="M733" s="2521"/>
      <c r="N733" s="2521"/>
      <c r="O733" s="2521"/>
      <c r="P733" s="2521"/>
      <c r="Q733" s="2521"/>
      <c r="R733" s="2521"/>
      <c r="S733" s="2521"/>
      <c r="T733" s="2521"/>
      <c r="U733" s="2521"/>
      <c r="V733" s="2521"/>
      <c r="W733" s="2521"/>
      <c r="X733" s="2521"/>
      <c r="Y733" s="2521"/>
      <c r="Z733" s="2521"/>
    </row>
    <row r="734" spans="1:26" ht="16.5" customHeight="1">
      <c r="A734" s="2521"/>
      <c r="B734" s="2526"/>
      <c r="C734" s="2521"/>
      <c r="D734" s="2521"/>
      <c r="E734" s="2521"/>
      <c r="F734" s="2521"/>
      <c r="G734" s="2521"/>
      <c r="H734" s="2521"/>
      <c r="I734" s="2521"/>
      <c r="J734" s="2521"/>
      <c r="K734" s="2521"/>
      <c r="L734" s="2521"/>
      <c r="M734" s="2521"/>
      <c r="N734" s="2521"/>
      <c r="O734" s="2521"/>
      <c r="P734" s="2521"/>
      <c r="Q734" s="2521"/>
      <c r="R734" s="2521"/>
      <c r="S734" s="2521"/>
      <c r="T734" s="2521"/>
      <c r="U734" s="2521"/>
      <c r="V734" s="2521"/>
      <c r="W734" s="2521"/>
      <c r="X734" s="2521"/>
      <c r="Y734" s="2521"/>
      <c r="Z734" s="2521"/>
    </row>
    <row r="735" spans="1:26" ht="16.5" customHeight="1">
      <c r="A735" s="2521"/>
      <c r="B735" s="2526"/>
      <c r="C735" s="2521"/>
      <c r="D735" s="2521"/>
      <c r="E735" s="2521"/>
      <c r="F735" s="2521"/>
      <c r="G735" s="2521"/>
      <c r="H735" s="2521"/>
      <c r="I735" s="2521"/>
      <c r="J735" s="2521"/>
      <c r="K735" s="2521"/>
      <c r="L735" s="2521"/>
      <c r="M735" s="2521"/>
      <c r="N735" s="2521"/>
      <c r="O735" s="2521"/>
      <c r="P735" s="2521"/>
      <c r="Q735" s="2521"/>
      <c r="R735" s="2521"/>
      <c r="S735" s="2521"/>
      <c r="T735" s="2521"/>
      <c r="U735" s="2521"/>
      <c r="V735" s="2521"/>
      <c r="W735" s="2521"/>
      <c r="X735" s="2521"/>
      <c r="Y735" s="2521"/>
      <c r="Z735" s="2521"/>
    </row>
    <row r="736" spans="1:26" ht="16.5" customHeight="1">
      <c r="A736" s="2521"/>
      <c r="B736" s="2526"/>
      <c r="C736" s="2521"/>
      <c r="D736" s="2521"/>
      <c r="E736" s="2521"/>
      <c r="F736" s="2521"/>
      <c r="G736" s="2521"/>
      <c r="H736" s="2521"/>
      <c r="I736" s="2521"/>
      <c r="J736" s="2521"/>
      <c r="K736" s="2521"/>
      <c r="L736" s="2521"/>
      <c r="M736" s="2521"/>
      <c r="N736" s="2521"/>
      <c r="O736" s="2521"/>
      <c r="P736" s="2521"/>
      <c r="Q736" s="2521"/>
      <c r="R736" s="2521"/>
      <c r="S736" s="2521"/>
      <c r="T736" s="2521"/>
      <c r="U736" s="2521"/>
      <c r="V736" s="2521"/>
      <c r="W736" s="2521"/>
      <c r="X736" s="2521"/>
      <c r="Y736" s="2521"/>
      <c r="Z736" s="2521"/>
    </row>
    <row r="737" spans="1:26" ht="16.5" customHeight="1">
      <c r="A737" s="2521"/>
      <c r="B737" s="2526"/>
      <c r="C737" s="2521"/>
      <c r="D737" s="2521"/>
      <c r="E737" s="2521"/>
      <c r="F737" s="2521"/>
      <c r="G737" s="2521"/>
      <c r="H737" s="2521"/>
      <c r="I737" s="2521"/>
      <c r="J737" s="2521"/>
      <c r="K737" s="2521"/>
      <c r="L737" s="2521"/>
      <c r="M737" s="2521"/>
      <c r="N737" s="2521"/>
      <c r="O737" s="2521"/>
      <c r="P737" s="2521"/>
      <c r="Q737" s="2521"/>
      <c r="R737" s="2521"/>
      <c r="S737" s="2521"/>
      <c r="T737" s="2521"/>
      <c r="U737" s="2521"/>
      <c r="V737" s="2521"/>
      <c r="W737" s="2521"/>
      <c r="X737" s="2521"/>
      <c r="Y737" s="2521"/>
      <c r="Z737" s="2521"/>
    </row>
    <row r="738" spans="1:26" ht="16.5" customHeight="1">
      <c r="A738" s="2521"/>
      <c r="B738" s="2526"/>
      <c r="C738" s="2521"/>
      <c r="D738" s="2521"/>
      <c r="E738" s="2521"/>
      <c r="F738" s="2521"/>
      <c r="G738" s="2521"/>
      <c r="H738" s="2521"/>
      <c r="I738" s="2521"/>
      <c r="J738" s="2521"/>
      <c r="K738" s="2521"/>
      <c r="L738" s="2521"/>
      <c r="M738" s="2521"/>
      <c r="N738" s="2521"/>
      <c r="O738" s="2521"/>
      <c r="P738" s="2521"/>
      <c r="Q738" s="2521"/>
      <c r="R738" s="2521"/>
      <c r="S738" s="2521"/>
      <c r="T738" s="2521"/>
      <c r="U738" s="2521"/>
      <c r="V738" s="2521"/>
      <c r="W738" s="2521"/>
      <c r="X738" s="2521"/>
      <c r="Y738" s="2521"/>
      <c r="Z738" s="2521"/>
    </row>
    <row r="739" spans="1:26" ht="16.5" customHeight="1">
      <c r="A739" s="2521"/>
      <c r="B739" s="2526"/>
      <c r="C739" s="2521"/>
      <c r="D739" s="2521"/>
      <c r="E739" s="2521"/>
      <c r="F739" s="2521"/>
      <c r="G739" s="2521"/>
      <c r="H739" s="2521"/>
      <c r="I739" s="2521"/>
      <c r="J739" s="2521"/>
      <c r="K739" s="2521"/>
      <c r="L739" s="2521"/>
      <c r="M739" s="2521"/>
      <c r="N739" s="2521"/>
      <c r="O739" s="2521"/>
      <c r="P739" s="2521"/>
      <c r="Q739" s="2521"/>
      <c r="R739" s="2521"/>
      <c r="S739" s="2521"/>
      <c r="T739" s="2521"/>
      <c r="U739" s="2521"/>
      <c r="V739" s="2521"/>
      <c r="W739" s="2521"/>
      <c r="X739" s="2521"/>
      <c r="Y739" s="2521"/>
      <c r="Z739" s="2521"/>
    </row>
    <row r="740" spans="1:26" ht="16.5" customHeight="1">
      <c r="A740" s="2521"/>
      <c r="B740" s="2526"/>
      <c r="C740" s="2521"/>
      <c r="D740" s="2521"/>
      <c r="E740" s="2521"/>
      <c r="F740" s="2521"/>
      <c r="G740" s="2521"/>
      <c r="H740" s="2521"/>
      <c r="I740" s="2521"/>
      <c r="J740" s="2521"/>
      <c r="K740" s="2521"/>
      <c r="L740" s="2521"/>
      <c r="M740" s="2521"/>
      <c r="N740" s="2521"/>
      <c r="O740" s="2521"/>
      <c r="P740" s="2521"/>
      <c r="Q740" s="2521"/>
      <c r="R740" s="2521"/>
      <c r="S740" s="2521"/>
      <c r="T740" s="2521"/>
      <c r="U740" s="2521"/>
      <c r="V740" s="2521"/>
      <c r="W740" s="2521"/>
      <c r="X740" s="2521"/>
      <c r="Y740" s="2521"/>
      <c r="Z740" s="2521"/>
    </row>
    <row r="741" spans="1:26" ht="16.5" customHeight="1">
      <c r="A741" s="2521"/>
      <c r="B741" s="2526"/>
      <c r="C741" s="2521"/>
      <c r="D741" s="2521"/>
      <c r="E741" s="2521"/>
      <c r="F741" s="2521"/>
      <c r="G741" s="2521"/>
      <c r="H741" s="2521"/>
      <c r="I741" s="2521"/>
      <c r="J741" s="2521"/>
      <c r="K741" s="2521"/>
      <c r="L741" s="2521"/>
      <c r="M741" s="2521"/>
      <c r="N741" s="2521"/>
      <c r="O741" s="2521"/>
      <c r="P741" s="2521"/>
      <c r="Q741" s="2521"/>
      <c r="R741" s="2521"/>
      <c r="S741" s="2521"/>
      <c r="T741" s="2521"/>
      <c r="U741" s="2521"/>
      <c r="V741" s="2521"/>
      <c r="W741" s="2521"/>
      <c r="X741" s="2521"/>
      <c r="Y741" s="2521"/>
      <c r="Z741" s="2521"/>
    </row>
    <row r="742" spans="1:26" ht="16.5" customHeight="1">
      <c r="A742" s="2521"/>
      <c r="B742" s="2526"/>
      <c r="C742" s="2521"/>
      <c r="D742" s="2521"/>
      <c r="E742" s="2521"/>
      <c r="F742" s="2521"/>
      <c r="G742" s="2521"/>
      <c r="H742" s="2521"/>
      <c r="I742" s="2521"/>
      <c r="J742" s="2521"/>
      <c r="K742" s="2521"/>
      <c r="L742" s="2521"/>
      <c r="M742" s="2521"/>
      <c r="N742" s="2521"/>
      <c r="O742" s="2521"/>
      <c r="P742" s="2521"/>
      <c r="Q742" s="2521"/>
      <c r="R742" s="2521"/>
      <c r="S742" s="2521"/>
      <c r="T742" s="2521"/>
      <c r="U742" s="2521"/>
      <c r="V742" s="2521"/>
      <c r="W742" s="2521"/>
      <c r="X742" s="2521"/>
      <c r="Y742" s="2521"/>
      <c r="Z742" s="2521"/>
    </row>
    <row r="743" spans="1:26" ht="16.5" customHeight="1">
      <c r="A743" s="2521"/>
      <c r="B743" s="2526"/>
      <c r="C743" s="2521"/>
      <c r="D743" s="2521"/>
      <c r="E743" s="2521"/>
      <c r="F743" s="2521"/>
      <c r="G743" s="2521"/>
      <c r="H743" s="2521"/>
      <c r="I743" s="2521"/>
      <c r="J743" s="2521"/>
      <c r="K743" s="2521"/>
      <c r="L743" s="2521"/>
      <c r="M743" s="2521"/>
      <c r="N743" s="2521"/>
      <c r="O743" s="2521"/>
      <c r="P743" s="2521"/>
      <c r="Q743" s="2521"/>
      <c r="R743" s="2521"/>
      <c r="S743" s="2521"/>
      <c r="T743" s="2521"/>
      <c r="U743" s="2521"/>
      <c r="V743" s="2521"/>
      <c r="W743" s="2521"/>
      <c r="X743" s="2521"/>
      <c r="Y743" s="2521"/>
      <c r="Z743" s="2521"/>
    </row>
    <row r="744" spans="1:26" ht="16.5" customHeight="1">
      <c r="A744" s="2521"/>
      <c r="B744" s="2526"/>
      <c r="C744" s="2521"/>
      <c r="D744" s="2521"/>
      <c r="E744" s="2521"/>
      <c r="F744" s="2521"/>
      <c r="G744" s="2521"/>
      <c r="H744" s="2521"/>
      <c r="I744" s="2521"/>
      <c r="J744" s="2521"/>
      <c r="K744" s="2521"/>
      <c r="L744" s="2521"/>
      <c r="M744" s="2521"/>
      <c r="N744" s="2521"/>
      <c r="O744" s="2521"/>
      <c r="P744" s="2521"/>
      <c r="Q744" s="2521"/>
      <c r="R744" s="2521"/>
      <c r="S744" s="2521"/>
      <c r="T744" s="2521"/>
      <c r="U744" s="2521"/>
      <c r="V744" s="2521"/>
      <c r="W744" s="2521"/>
      <c r="X744" s="2521"/>
      <c r="Y744" s="2521"/>
      <c r="Z744" s="2521"/>
    </row>
    <row r="745" spans="1:26" ht="16.5" customHeight="1">
      <c r="A745" s="2521"/>
      <c r="B745" s="2526"/>
      <c r="C745" s="2521"/>
      <c r="D745" s="2521"/>
      <c r="E745" s="2521"/>
      <c r="F745" s="2521"/>
      <c r="G745" s="2521"/>
      <c r="H745" s="2521"/>
      <c r="I745" s="2521"/>
      <c r="J745" s="2521"/>
      <c r="K745" s="2521"/>
      <c r="L745" s="2521"/>
      <c r="M745" s="2521"/>
      <c r="N745" s="2521"/>
      <c r="O745" s="2521"/>
      <c r="P745" s="2521"/>
      <c r="Q745" s="2521"/>
      <c r="R745" s="2521"/>
      <c r="S745" s="2521"/>
      <c r="T745" s="2521"/>
      <c r="U745" s="2521"/>
      <c r="V745" s="2521"/>
      <c r="W745" s="2521"/>
      <c r="X745" s="2521"/>
      <c r="Y745" s="2521"/>
      <c r="Z745" s="2521"/>
    </row>
    <row r="746" spans="1:26" ht="16.5" customHeight="1">
      <c r="A746" s="2521"/>
      <c r="B746" s="2526"/>
      <c r="C746" s="2521"/>
      <c r="D746" s="2521"/>
      <c r="E746" s="2521"/>
      <c r="F746" s="2521"/>
      <c r="G746" s="2521"/>
      <c r="H746" s="2521"/>
      <c r="I746" s="2521"/>
      <c r="J746" s="2521"/>
      <c r="K746" s="2521"/>
      <c r="L746" s="2521"/>
      <c r="M746" s="2521"/>
      <c r="N746" s="2521"/>
      <c r="O746" s="2521"/>
      <c r="P746" s="2521"/>
      <c r="Q746" s="2521"/>
      <c r="R746" s="2521"/>
      <c r="S746" s="2521"/>
      <c r="T746" s="2521"/>
      <c r="U746" s="2521"/>
      <c r="V746" s="2521"/>
      <c r="W746" s="2521"/>
      <c r="X746" s="2521"/>
      <c r="Y746" s="2521"/>
      <c r="Z746" s="2521"/>
    </row>
    <row r="747" spans="1:26" ht="16.5" customHeight="1">
      <c r="A747" s="2521"/>
      <c r="B747" s="2526"/>
      <c r="C747" s="2521"/>
      <c r="D747" s="2521"/>
      <c r="E747" s="2521"/>
      <c r="F747" s="2521"/>
      <c r="G747" s="2521"/>
      <c r="H747" s="2521"/>
      <c r="I747" s="2521"/>
      <c r="J747" s="2521"/>
      <c r="K747" s="2521"/>
      <c r="L747" s="2521"/>
      <c r="M747" s="2521"/>
      <c r="N747" s="2521"/>
      <c r="O747" s="2521"/>
      <c r="P747" s="2521"/>
      <c r="Q747" s="2521"/>
      <c r="R747" s="2521"/>
      <c r="S747" s="2521"/>
      <c r="T747" s="2521"/>
      <c r="U747" s="2521"/>
      <c r="V747" s="2521"/>
      <c r="W747" s="2521"/>
      <c r="X747" s="2521"/>
      <c r="Y747" s="2521"/>
      <c r="Z747" s="2521"/>
    </row>
    <row r="748" spans="1:26" ht="16.5" customHeight="1">
      <c r="A748" s="2521"/>
      <c r="B748" s="2526"/>
      <c r="C748" s="2521"/>
      <c r="D748" s="2521"/>
      <c r="E748" s="2521"/>
      <c r="F748" s="2521"/>
      <c r="G748" s="2521"/>
      <c r="H748" s="2521"/>
      <c r="I748" s="2521"/>
      <c r="J748" s="2521"/>
      <c r="K748" s="2521"/>
      <c r="L748" s="2521"/>
      <c r="M748" s="2521"/>
      <c r="N748" s="2521"/>
      <c r="O748" s="2521"/>
      <c r="P748" s="2521"/>
      <c r="Q748" s="2521"/>
      <c r="R748" s="2521"/>
      <c r="S748" s="2521"/>
      <c r="T748" s="2521"/>
      <c r="U748" s="2521"/>
      <c r="V748" s="2521"/>
      <c r="W748" s="2521"/>
      <c r="X748" s="2521"/>
      <c r="Y748" s="2521"/>
      <c r="Z748" s="2521"/>
    </row>
    <row r="749" spans="1:26" ht="16.5" customHeight="1">
      <c r="A749" s="2521"/>
      <c r="B749" s="2526"/>
      <c r="C749" s="2521"/>
      <c r="D749" s="2521"/>
      <c r="E749" s="2521"/>
      <c r="F749" s="2521"/>
      <c r="G749" s="2521"/>
      <c r="H749" s="2521"/>
      <c r="I749" s="2521"/>
      <c r="J749" s="2521"/>
      <c r="K749" s="2521"/>
      <c r="L749" s="2521"/>
      <c r="M749" s="2521"/>
      <c r="N749" s="2521"/>
      <c r="O749" s="2521"/>
      <c r="P749" s="2521"/>
      <c r="Q749" s="2521"/>
      <c r="R749" s="2521"/>
      <c r="S749" s="2521"/>
      <c r="T749" s="2521"/>
      <c r="U749" s="2521"/>
      <c r="V749" s="2521"/>
      <c r="W749" s="2521"/>
      <c r="X749" s="2521"/>
      <c r="Y749" s="2521"/>
      <c r="Z749" s="2521"/>
    </row>
    <row r="750" spans="1:26" ht="16.5" customHeight="1">
      <c r="A750" s="2521"/>
      <c r="B750" s="2526"/>
      <c r="C750" s="2521"/>
      <c r="D750" s="2521"/>
      <c r="E750" s="2521"/>
      <c r="F750" s="2521"/>
      <c r="G750" s="2521"/>
      <c r="H750" s="2521"/>
      <c r="I750" s="2521"/>
      <c r="J750" s="2521"/>
      <c r="K750" s="2521"/>
      <c r="L750" s="2521"/>
      <c r="M750" s="2521"/>
      <c r="N750" s="2521"/>
      <c r="O750" s="2521"/>
      <c r="P750" s="2521"/>
      <c r="Q750" s="2521"/>
      <c r="R750" s="2521"/>
      <c r="S750" s="2521"/>
      <c r="T750" s="2521"/>
      <c r="U750" s="2521"/>
      <c r="V750" s="2521"/>
      <c r="W750" s="2521"/>
      <c r="X750" s="2521"/>
      <c r="Y750" s="2521"/>
      <c r="Z750" s="2521"/>
    </row>
    <row r="751" spans="1:26" ht="16.5" customHeight="1">
      <c r="A751" s="2521"/>
      <c r="B751" s="2526"/>
      <c r="C751" s="2521"/>
      <c r="D751" s="2521"/>
      <c r="E751" s="2521"/>
      <c r="F751" s="2521"/>
      <c r="G751" s="2521"/>
      <c r="H751" s="2521"/>
      <c r="I751" s="2521"/>
      <c r="J751" s="2521"/>
      <c r="K751" s="2521"/>
      <c r="L751" s="2521"/>
      <c r="M751" s="2521"/>
      <c r="N751" s="2521"/>
      <c r="O751" s="2521"/>
      <c r="P751" s="2521"/>
      <c r="Q751" s="2521"/>
      <c r="R751" s="2521"/>
      <c r="S751" s="2521"/>
      <c r="T751" s="2521"/>
      <c r="U751" s="2521"/>
      <c r="V751" s="2521"/>
      <c r="W751" s="2521"/>
      <c r="X751" s="2521"/>
      <c r="Y751" s="2521"/>
      <c r="Z751" s="2521"/>
    </row>
    <row r="752" spans="1:26" ht="16.5" customHeight="1">
      <c r="A752" s="2521"/>
      <c r="B752" s="2526"/>
      <c r="C752" s="2521"/>
      <c r="D752" s="2521"/>
      <c r="E752" s="2521"/>
      <c r="F752" s="2521"/>
      <c r="G752" s="2521"/>
      <c r="H752" s="2521"/>
      <c r="I752" s="2521"/>
      <c r="J752" s="2521"/>
      <c r="K752" s="2521"/>
      <c r="L752" s="2521"/>
      <c r="M752" s="2521"/>
      <c r="N752" s="2521"/>
      <c r="O752" s="2521"/>
      <c r="P752" s="2521"/>
      <c r="Q752" s="2521"/>
      <c r="R752" s="2521"/>
      <c r="S752" s="2521"/>
      <c r="T752" s="2521"/>
      <c r="U752" s="2521"/>
      <c r="V752" s="2521"/>
      <c r="W752" s="2521"/>
      <c r="X752" s="2521"/>
      <c r="Y752" s="2521"/>
      <c r="Z752" s="2521"/>
    </row>
    <row r="753" spans="1:26" ht="16.5" customHeight="1">
      <c r="A753" s="2521"/>
      <c r="B753" s="2526"/>
      <c r="C753" s="2521"/>
      <c r="D753" s="2521"/>
      <c r="E753" s="2521"/>
      <c r="F753" s="2521"/>
      <c r="G753" s="2521"/>
      <c r="H753" s="2521"/>
      <c r="I753" s="2521"/>
      <c r="J753" s="2521"/>
      <c r="K753" s="2521"/>
      <c r="L753" s="2521"/>
      <c r="M753" s="2521"/>
      <c r="N753" s="2521"/>
      <c r="O753" s="2521"/>
      <c r="P753" s="2521"/>
      <c r="Q753" s="2521"/>
      <c r="R753" s="2521"/>
      <c r="S753" s="2521"/>
      <c r="T753" s="2521"/>
      <c r="U753" s="2521"/>
      <c r="V753" s="2521"/>
      <c r="W753" s="2521"/>
      <c r="X753" s="2521"/>
      <c r="Y753" s="2521"/>
      <c r="Z753" s="2521"/>
    </row>
    <row r="754" spans="1:26" ht="16.5" customHeight="1">
      <c r="A754" s="2521"/>
      <c r="B754" s="2526"/>
      <c r="C754" s="2521"/>
      <c r="D754" s="2521"/>
      <c r="E754" s="2521"/>
      <c r="F754" s="2521"/>
      <c r="G754" s="2521"/>
      <c r="H754" s="2521"/>
      <c r="I754" s="2521"/>
      <c r="J754" s="2521"/>
      <c r="K754" s="2521"/>
      <c r="L754" s="2521"/>
      <c r="M754" s="2521"/>
      <c r="N754" s="2521"/>
      <c r="O754" s="2521"/>
      <c r="P754" s="2521"/>
      <c r="Q754" s="2521"/>
      <c r="R754" s="2521"/>
      <c r="S754" s="2521"/>
      <c r="T754" s="2521"/>
      <c r="U754" s="2521"/>
      <c r="V754" s="2521"/>
      <c r="W754" s="2521"/>
      <c r="X754" s="2521"/>
      <c r="Y754" s="2521"/>
      <c r="Z754" s="2521"/>
    </row>
    <row r="755" spans="1:26" ht="16.5" customHeight="1">
      <c r="A755" s="2521"/>
      <c r="B755" s="2526"/>
      <c r="C755" s="2521"/>
      <c r="D755" s="2521"/>
      <c r="E755" s="2521"/>
      <c r="F755" s="2521"/>
      <c r="G755" s="2521"/>
      <c r="H755" s="2521"/>
      <c r="I755" s="2521"/>
      <c r="J755" s="2521"/>
      <c r="K755" s="2521"/>
      <c r="L755" s="2521"/>
      <c r="M755" s="2521"/>
      <c r="N755" s="2521"/>
      <c r="O755" s="2521"/>
      <c r="P755" s="2521"/>
      <c r="Q755" s="2521"/>
      <c r="R755" s="2521"/>
      <c r="S755" s="2521"/>
      <c r="T755" s="2521"/>
      <c r="U755" s="2521"/>
      <c r="V755" s="2521"/>
      <c r="W755" s="2521"/>
      <c r="X755" s="2521"/>
      <c r="Y755" s="2521"/>
      <c r="Z755" s="2521"/>
    </row>
    <row r="756" spans="1:26" ht="16.5" customHeight="1">
      <c r="A756" s="2521"/>
      <c r="B756" s="2526"/>
      <c r="C756" s="2521"/>
      <c r="D756" s="2521"/>
      <c r="E756" s="2521"/>
      <c r="F756" s="2521"/>
      <c r="G756" s="2521"/>
      <c r="H756" s="2521"/>
      <c r="I756" s="2521"/>
      <c r="J756" s="2521"/>
      <c r="K756" s="2521"/>
      <c r="L756" s="2521"/>
      <c r="M756" s="2521"/>
      <c r="N756" s="2521"/>
      <c r="O756" s="2521"/>
      <c r="P756" s="2521"/>
      <c r="Q756" s="2521"/>
      <c r="R756" s="2521"/>
      <c r="S756" s="2521"/>
      <c r="T756" s="2521"/>
      <c r="U756" s="2521"/>
      <c r="V756" s="2521"/>
      <c r="W756" s="2521"/>
      <c r="X756" s="2521"/>
      <c r="Y756" s="2521"/>
      <c r="Z756" s="2521"/>
    </row>
    <row r="757" spans="1:26" ht="16.5" customHeight="1">
      <c r="A757" s="2521"/>
      <c r="B757" s="2526"/>
      <c r="C757" s="2521"/>
      <c r="D757" s="2521"/>
      <c r="E757" s="2521"/>
      <c r="F757" s="2521"/>
      <c r="G757" s="2521"/>
      <c r="H757" s="2521"/>
      <c r="I757" s="2521"/>
      <c r="J757" s="2521"/>
      <c r="K757" s="2521"/>
      <c r="L757" s="2521"/>
      <c r="M757" s="2521"/>
      <c r="N757" s="2521"/>
      <c r="O757" s="2521"/>
      <c r="P757" s="2521"/>
      <c r="Q757" s="2521"/>
      <c r="R757" s="2521"/>
      <c r="S757" s="2521"/>
      <c r="T757" s="2521"/>
      <c r="U757" s="2521"/>
      <c r="V757" s="2521"/>
      <c r="W757" s="2521"/>
      <c r="X757" s="2521"/>
      <c r="Y757" s="2521"/>
      <c r="Z757" s="2521"/>
    </row>
    <row r="758" spans="1:26" ht="16.5" customHeight="1">
      <c r="A758" s="2521"/>
      <c r="B758" s="2526"/>
      <c r="C758" s="2521"/>
      <c r="D758" s="2521"/>
      <c r="E758" s="2521"/>
      <c r="F758" s="2521"/>
      <c r="G758" s="2521"/>
      <c r="H758" s="2521"/>
      <c r="I758" s="2521"/>
      <c r="J758" s="2521"/>
      <c r="K758" s="2521"/>
      <c r="L758" s="2521"/>
      <c r="M758" s="2521"/>
      <c r="N758" s="2521"/>
      <c r="O758" s="2521"/>
      <c r="P758" s="2521"/>
      <c r="Q758" s="2521"/>
      <c r="R758" s="2521"/>
      <c r="S758" s="2521"/>
      <c r="T758" s="2521"/>
      <c r="U758" s="2521"/>
      <c r="V758" s="2521"/>
      <c r="W758" s="2521"/>
      <c r="X758" s="2521"/>
      <c r="Y758" s="2521"/>
      <c r="Z758" s="2521"/>
    </row>
    <row r="759" spans="1:26" ht="16.5" customHeight="1">
      <c r="A759" s="2521"/>
      <c r="B759" s="2526"/>
      <c r="C759" s="2521"/>
      <c r="D759" s="2521"/>
      <c r="E759" s="2521"/>
      <c r="F759" s="2521"/>
      <c r="G759" s="2521"/>
      <c r="H759" s="2521"/>
      <c r="I759" s="2521"/>
      <c r="J759" s="2521"/>
      <c r="K759" s="2521"/>
      <c r="L759" s="2521"/>
      <c r="M759" s="2521"/>
      <c r="N759" s="2521"/>
      <c r="O759" s="2521"/>
      <c r="P759" s="2521"/>
      <c r="Q759" s="2521"/>
      <c r="R759" s="2521"/>
      <c r="S759" s="2521"/>
      <c r="T759" s="2521"/>
      <c r="U759" s="2521"/>
      <c r="V759" s="2521"/>
      <c r="W759" s="2521"/>
      <c r="X759" s="2521"/>
      <c r="Y759" s="2521"/>
      <c r="Z759" s="2521"/>
    </row>
    <row r="760" spans="1:26" ht="16.5" customHeight="1">
      <c r="A760" s="2521"/>
      <c r="B760" s="2526"/>
      <c r="C760" s="2521"/>
      <c r="D760" s="2521"/>
      <c r="E760" s="2521"/>
      <c r="F760" s="2521"/>
      <c r="G760" s="2521"/>
      <c r="H760" s="2521"/>
      <c r="I760" s="2521"/>
      <c r="J760" s="2521"/>
      <c r="K760" s="2521"/>
      <c r="L760" s="2521"/>
      <c r="M760" s="2521"/>
      <c r="N760" s="2521"/>
      <c r="O760" s="2521"/>
      <c r="P760" s="2521"/>
      <c r="Q760" s="2521"/>
      <c r="R760" s="2521"/>
      <c r="S760" s="2521"/>
      <c r="T760" s="2521"/>
      <c r="U760" s="2521"/>
      <c r="V760" s="2521"/>
      <c r="W760" s="2521"/>
      <c r="X760" s="2521"/>
      <c r="Y760" s="2521"/>
      <c r="Z760" s="2521"/>
    </row>
    <row r="761" spans="1:26" ht="16.5" customHeight="1">
      <c r="A761" s="2521"/>
      <c r="B761" s="2526"/>
      <c r="C761" s="2521"/>
      <c r="D761" s="2521"/>
      <c r="E761" s="2521"/>
      <c r="F761" s="2521"/>
      <c r="G761" s="2521"/>
      <c r="H761" s="2521"/>
      <c r="I761" s="2521"/>
      <c r="J761" s="2521"/>
      <c r="K761" s="2521"/>
      <c r="L761" s="2521"/>
      <c r="M761" s="2521"/>
      <c r="N761" s="2521"/>
      <c r="O761" s="2521"/>
      <c r="P761" s="2521"/>
      <c r="Q761" s="2521"/>
      <c r="R761" s="2521"/>
      <c r="S761" s="2521"/>
      <c r="T761" s="2521"/>
      <c r="U761" s="2521"/>
      <c r="V761" s="2521"/>
      <c r="W761" s="2521"/>
      <c r="X761" s="2521"/>
      <c r="Y761" s="2521"/>
      <c r="Z761" s="2521"/>
    </row>
    <row r="762" spans="1:26" ht="16.5" customHeight="1">
      <c r="A762" s="2521"/>
      <c r="B762" s="2526"/>
      <c r="C762" s="2521"/>
      <c r="D762" s="2521"/>
      <c r="E762" s="2521"/>
      <c r="F762" s="2521"/>
      <c r="G762" s="2521"/>
      <c r="H762" s="2521"/>
      <c r="I762" s="2521"/>
      <c r="J762" s="2521"/>
      <c r="K762" s="2521"/>
      <c r="L762" s="2521"/>
      <c r="M762" s="2521"/>
      <c r="N762" s="2521"/>
      <c r="O762" s="2521"/>
      <c r="P762" s="2521"/>
      <c r="Q762" s="2521"/>
      <c r="R762" s="2521"/>
      <c r="S762" s="2521"/>
      <c r="T762" s="2521"/>
      <c r="U762" s="2521"/>
      <c r="V762" s="2521"/>
      <c r="W762" s="2521"/>
      <c r="X762" s="2521"/>
      <c r="Y762" s="2521"/>
      <c r="Z762" s="2521"/>
    </row>
    <row r="763" spans="1:26" ht="16.5" customHeight="1">
      <c r="A763" s="2521"/>
      <c r="B763" s="2526"/>
      <c r="C763" s="2521"/>
      <c r="D763" s="2521"/>
      <c r="E763" s="2521"/>
      <c r="F763" s="2521"/>
      <c r="G763" s="2521"/>
      <c r="H763" s="2521"/>
      <c r="I763" s="2521"/>
      <c r="J763" s="2521"/>
      <c r="K763" s="2521"/>
      <c r="L763" s="2521"/>
      <c r="M763" s="2521"/>
      <c r="N763" s="2521"/>
      <c r="O763" s="2521"/>
      <c r="P763" s="2521"/>
      <c r="Q763" s="2521"/>
      <c r="R763" s="2521"/>
      <c r="S763" s="2521"/>
      <c r="T763" s="2521"/>
      <c r="U763" s="2521"/>
      <c r="V763" s="2521"/>
      <c r="W763" s="2521"/>
      <c r="X763" s="2521"/>
      <c r="Y763" s="2521"/>
      <c r="Z763" s="2521"/>
    </row>
    <row r="764" spans="1:26" ht="16.5" customHeight="1">
      <c r="A764" s="2521"/>
      <c r="B764" s="2526"/>
      <c r="C764" s="2521"/>
      <c r="D764" s="2521"/>
      <c r="E764" s="2521"/>
      <c r="F764" s="2521"/>
      <c r="G764" s="2521"/>
      <c r="H764" s="2521"/>
      <c r="I764" s="2521"/>
      <c r="J764" s="2521"/>
      <c r="K764" s="2521"/>
      <c r="L764" s="2521"/>
      <c r="M764" s="2521"/>
      <c r="N764" s="2521"/>
      <c r="O764" s="2521"/>
      <c r="P764" s="2521"/>
      <c r="Q764" s="2521"/>
      <c r="R764" s="2521"/>
      <c r="S764" s="2521"/>
      <c r="T764" s="2521"/>
      <c r="U764" s="2521"/>
      <c r="V764" s="2521"/>
      <c r="W764" s="2521"/>
      <c r="X764" s="2521"/>
      <c r="Y764" s="2521"/>
      <c r="Z764" s="2521"/>
    </row>
    <row r="765" spans="1:26" ht="16.5" customHeight="1">
      <c r="A765" s="2521"/>
      <c r="B765" s="2526"/>
      <c r="C765" s="2521"/>
      <c r="D765" s="2521"/>
      <c r="E765" s="2521"/>
      <c r="F765" s="2521"/>
      <c r="G765" s="2521"/>
      <c r="H765" s="2521"/>
      <c r="I765" s="2521"/>
      <c r="J765" s="2521"/>
      <c r="K765" s="2521"/>
      <c r="L765" s="2521"/>
      <c r="M765" s="2521"/>
      <c r="N765" s="2521"/>
      <c r="O765" s="2521"/>
      <c r="P765" s="2521"/>
      <c r="Q765" s="2521"/>
      <c r="R765" s="2521"/>
      <c r="S765" s="2521"/>
      <c r="T765" s="2521"/>
      <c r="U765" s="2521"/>
      <c r="V765" s="2521"/>
      <c r="W765" s="2521"/>
      <c r="X765" s="2521"/>
      <c r="Y765" s="2521"/>
      <c r="Z765" s="2521"/>
    </row>
    <row r="766" spans="1:26" ht="16.5" customHeight="1">
      <c r="A766" s="2521"/>
      <c r="B766" s="2526"/>
      <c r="C766" s="2521"/>
      <c r="D766" s="2521"/>
      <c r="E766" s="2521"/>
      <c r="F766" s="2521"/>
      <c r="G766" s="2521"/>
      <c r="H766" s="2521"/>
      <c r="I766" s="2521"/>
      <c r="J766" s="2521"/>
      <c r="K766" s="2521"/>
      <c r="L766" s="2521"/>
      <c r="M766" s="2521"/>
      <c r="N766" s="2521"/>
      <c r="O766" s="2521"/>
      <c r="P766" s="2521"/>
      <c r="Q766" s="2521"/>
      <c r="R766" s="2521"/>
      <c r="S766" s="2521"/>
      <c r="T766" s="2521"/>
      <c r="U766" s="2521"/>
      <c r="V766" s="2521"/>
      <c r="W766" s="2521"/>
      <c r="X766" s="2521"/>
      <c r="Y766" s="2521"/>
      <c r="Z766" s="2521"/>
    </row>
    <row r="767" spans="1:26" ht="16.5" customHeight="1">
      <c r="A767" s="2521"/>
      <c r="B767" s="2526"/>
      <c r="C767" s="2521"/>
      <c r="D767" s="2521"/>
      <c r="E767" s="2521"/>
      <c r="F767" s="2521"/>
      <c r="G767" s="2521"/>
      <c r="H767" s="2521"/>
      <c r="I767" s="2521"/>
      <c r="J767" s="2521"/>
      <c r="K767" s="2521"/>
      <c r="L767" s="2521"/>
      <c r="M767" s="2521"/>
      <c r="N767" s="2521"/>
      <c r="O767" s="2521"/>
      <c r="P767" s="2521"/>
      <c r="Q767" s="2521"/>
      <c r="R767" s="2521"/>
      <c r="S767" s="2521"/>
      <c r="T767" s="2521"/>
      <c r="U767" s="2521"/>
      <c r="V767" s="2521"/>
      <c r="W767" s="2521"/>
      <c r="X767" s="2521"/>
      <c r="Y767" s="2521"/>
      <c r="Z767" s="2521"/>
    </row>
    <row r="768" spans="1:26" ht="16.5" customHeight="1">
      <c r="A768" s="2521"/>
      <c r="B768" s="2526"/>
      <c r="C768" s="2521"/>
      <c r="D768" s="2521"/>
      <c r="E768" s="2521"/>
      <c r="F768" s="2521"/>
      <c r="G768" s="2521"/>
      <c r="H768" s="2521"/>
      <c r="I768" s="2521"/>
      <c r="J768" s="2521"/>
      <c r="K768" s="2521"/>
      <c r="L768" s="2521"/>
      <c r="M768" s="2521"/>
      <c r="N768" s="2521"/>
      <c r="O768" s="2521"/>
      <c r="P768" s="2521"/>
      <c r="Q768" s="2521"/>
      <c r="R768" s="2521"/>
      <c r="S768" s="2521"/>
      <c r="T768" s="2521"/>
      <c r="U768" s="2521"/>
      <c r="V768" s="2521"/>
      <c r="W768" s="2521"/>
      <c r="X768" s="2521"/>
      <c r="Y768" s="2521"/>
      <c r="Z768" s="2521"/>
    </row>
    <row r="769" spans="1:26" ht="16.5" customHeight="1">
      <c r="A769" s="2521"/>
      <c r="B769" s="2526"/>
      <c r="C769" s="2521"/>
      <c r="D769" s="2521"/>
      <c r="E769" s="2521"/>
      <c r="F769" s="2521"/>
      <c r="G769" s="2521"/>
      <c r="H769" s="2521"/>
      <c r="I769" s="2521"/>
      <c r="J769" s="2521"/>
      <c r="K769" s="2521"/>
      <c r="L769" s="2521"/>
      <c r="M769" s="2521"/>
      <c r="N769" s="2521"/>
      <c r="O769" s="2521"/>
      <c r="P769" s="2521"/>
      <c r="Q769" s="2521"/>
      <c r="R769" s="2521"/>
      <c r="S769" s="2521"/>
      <c r="T769" s="2521"/>
      <c r="U769" s="2521"/>
      <c r="V769" s="2521"/>
      <c r="W769" s="2521"/>
      <c r="X769" s="2521"/>
      <c r="Y769" s="2521"/>
      <c r="Z769" s="2521"/>
    </row>
    <row r="770" spans="1:26" ht="16.5" customHeight="1">
      <c r="A770" s="2521"/>
      <c r="B770" s="2526"/>
      <c r="C770" s="2521"/>
      <c r="D770" s="2521"/>
      <c r="E770" s="2521"/>
      <c r="F770" s="2521"/>
      <c r="G770" s="2521"/>
      <c r="H770" s="2521"/>
      <c r="I770" s="2521"/>
      <c r="J770" s="2521"/>
      <c r="K770" s="2521"/>
      <c r="L770" s="2521"/>
      <c r="M770" s="2521"/>
      <c r="N770" s="2521"/>
      <c r="O770" s="2521"/>
      <c r="P770" s="2521"/>
      <c r="Q770" s="2521"/>
      <c r="R770" s="2521"/>
      <c r="S770" s="2521"/>
      <c r="T770" s="2521"/>
      <c r="U770" s="2521"/>
      <c r="V770" s="2521"/>
      <c r="W770" s="2521"/>
      <c r="X770" s="2521"/>
      <c r="Y770" s="2521"/>
      <c r="Z770" s="2521"/>
    </row>
    <row r="771" spans="1:26" ht="16.5" customHeight="1">
      <c r="A771" s="2521"/>
      <c r="B771" s="2526"/>
      <c r="C771" s="2521"/>
      <c r="D771" s="2521"/>
      <c r="E771" s="2521"/>
      <c r="F771" s="2521"/>
      <c r="G771" s="2521"/>
      <c r="H771" s="2521"/>
      <c r="I771" s="2521"/>
      <c r="J771" s="2521"/>
      <c r="K771" s="2521"/>
      <c r="L771" s="2521"/>
      <c r="M771" s="2521"/>
      <c r="N771" s="2521"/>
      <c r="O771" s="2521"/>
      <c r="P771" s="2521"/>
      <c r="Q771" s="2521"/>
      <c r="R771" s="2521"/>
      <c r="S771" s="2521"/>
      <c r="T771" s="2521"/>
      <c r="U771" s="2521"/>
      <c r="V771" s="2521"/>
      <c r="W771" s="2521"/>
      <c r="X771" s="2521"/>
      <c r="Y771" s="2521"/>
      <c r="Z771" s="2521"/>
    </row>
    <row r="772" spans="1:26" ht="16.5" customHeight="1">
      <c r="A772" s="2521"/>
      <c r="B772" s="2526"/>
      <c r="C772" s="2521"/>
      <c r="D772" s="2521"/>
      <c r="E772" s="2521"/>
      <c r="F772" s="2521"/>
      <c r="G772" s="2521"/>
      <c r="H772" s="2521"/>
      <c r="I772" s="2521"/>
      <c r="J772" s="2521"/>
      <c r="K772" s="2521"/>
      <c r="L772" s="2521"/>
      <c r="M772" s="2521"/>
      <c r="N772" s="2521"/>
      <c r="O772" s="2521"/>
      <c r="P772" s="2521"/>
      <c r="Q772" s="2521"/>
      <c r="R772" s="2521"/>
      <c r="S772" s="2521"/>
      <c r="T772" s="2521"/>
      <c r="U772" s="2521"/>
      <c r="V772" s="2521"/>
      <c r="W772" s="2521"/>
      <c r="X772" s="2521"/>
      <c r="Y772" s="2521"/>
      <c r="Z772" s="2521"/>
    </row>
    <row r="773" spans="1:26" ht="16.5" customHeight="1">
      <c r="A773" s="2521"/>
      <c r="B773" s="2526"/>
      <c r="C773" s="2521"/>
      <c r="D773" s="2521"/>
      <c r="E773" s="2521"/>
      <c r="F773" s="2521"/>
      <c r="G773" s="2521"/>
      <c r="H773" s="2521"/>
      <c r="I773" s="2521"/>
      <c r="J773" s="2521"/>
      <c r="K773" s="2521"/>
      <c r="L773" s="2521"/>
      <c r="M773" s="2521"/>
      <c r="N773" s="2521"/>
      <c r="O773" s="2521"/>
      <c r="P773" s="2521"/>
      <c r="Q773" s="2521"/>
      <c r="R773" s="2521"/>
      <c r="S773" s="2521"/>
      <c r="T773" s="2521"/>
      <c r="U773" s="2521"/>
      <c r="V773" s="2521"/>
      <c r="W773" s="2521"/>
      <c r="X773" s="2521"/>
      <c r="Y773" s="2521"/>
      <c r="Z773" s="2521"/>
    </row>
    <row r="774" spans="1:26" ht="16.5" customHeight="1">
      <c r="A774" s="2521"/>
      <c r="B774" s="2526"/>
      <c r="C774" s="2521"/>
      <c r="D774" s="2521"/>
      <c r="E774" s="2521"/>
      <c r="F774" s="2521"/>
      <c r="G774" s="2521"/>
      <c r="H774" s="2521"/>
      <c r="I774" s="2521"/>
      <c r="J774" s="2521"/>
      <c r="K774" s="2521"/>
      <c r="L774" s="2521"/>
      <c r="M774" s="2521"/>
      <c r="N774" s="2521"/>
      <c r="O774" s="2521"/>
      <c r="P774" s="2521"/>
      <c r="Q774" s="2521"/>
      <c r="R774" s="2521"/>
      <c r="S774" s="2521"/>
      <c r="T774" s="2521"/>
      <c r="U774" s="2521"/>
      <c r="V774" s="2521"/>
      <c r="W774" s="2521"/>
      <c r="X774" s="2521"/>
      <c r="Y774" s="2521"/>
      <c r="Z774" s="2521"/>
    </row>
    <row r="775" spans="1:26" ht="16.5" customHeight="1">
      <c r="A775" s="2521"/>
      <c r="B775" s="2526"/>
      <c r="C775" s="2521"/>
      <c r="D775" s="2521"/>
      <c r="E775" s="2521"/>
      <c r="F775" s="2521"/>
      <c r="G775" s="2521"/>
      <c r="H775" s="2521"/>
      <c r="I775" s="2521"/>
      <c r="J775" s="2521"/>
      <c r="K775" s="2521"/>
      <c r="L775" s="2521"/>
      <c r="M775" s="2521"/>
      <c r="N775" s="2521"/>
      <c r="O775" s="2521"/>
      <c r="P775" s="2521"/>
      <c r="Q775" s="2521"/>
      <c r="R775" s="2521"/>
      <c r="S775" s="2521"/>
      <c r="T775" s="2521"/>
      <c r="U775" s="2521"/>
      <c r="V775" s="2521"/>
      <c r="W775" s="2521"/>
      <c r="X775" s="2521"/>
      <c r="Y775" s="2521"/>
      <c r="Z775" s="2521"/>
    </row>
    <row r="776" spans="1:26" ht="16.5" customHeight="1">
      <c r="A776" s="2521"/>
      <c r="B776" s="2526"/>
      <c r="C776" s="2521"/>
      <c r="D776" s="2521"/>
      <c r="E776" s="2521"/>
      <c r="F776" s="2521"/>
      <c r="G776" s="2521"/>
      <c r="H776" s="2521"/>
      <c r="I776" s="2521"/>
      <c r="J776" s="2521"/>
      <c r="K776" s="2521"/>
      <c r="L776" s="2521"/>
      <c r="M776" s="2521"/>
      <c r="N776" s="2521"/>
      <c r="O776" s="2521"/>
      <c r="P776" s="2521"/>
      <c r="Q776" s="2521"/>
      <c r="R776" s="2521"/>
      <c r="S776" s="2521"/>
      <c r="T776" s="2521"/>
      <c r="U776" s="2521"/>
      <c r="V776" s="2521"/>
      <c r="W776" s="2521"/>
      <c r="X776" s="2521"/>
      <c r="Y776" s="2521"/>
      <c r="Z776" s="2521"/>
    </row>
    <row r="777" spans="1:26" ht="16.5" customHeight="1">
      <c r="A777" s="2521"/>
      <c r="B777" s="2526"/>
      <c r="C777" s="2521"/>
      <c r="D777" s="2521"/>
      <c r="E777" s="2521"/>
      <c r="F777" s="2521"/>
      <c r="G777" s="2521"/>
      <c r="H777" s="2521"/>
      <c r="I777" s="2521"/>
      <c r="J777" s="2521"/>
      <c r="K777" s="2521"/>
      <c r="L777" s="2521"/>
      <c r="M777" s="2521"/>
      <c r="N777" s="2521"/>
      <c r="O777" s="2521"/>
      <c r="P777" s="2521"/>
      <c r="Q777" s="2521"/>
      <c r="R777" s="2521"/>
      <c r="S777" s="2521"/>
      <c r="T777" s="2521"/>
      <c r="U777" s="2521"/>
      <c r="V777" s="2521"/>
      <c r="W777" s="2521"/>
      <c r="X777" s="2521"/>
      <c r="Y777" s="2521"/>
      <c r="Z777" s="2521"/>
    </row>
    <row r="778" spans="1:26" ht="16.5" customHeight="1">
      <c r="A778" s="2521"/>
      <c r="B778" s="2526"/>
      <c r="C778" s="2521"/>
      <c r="D778" s="2521"/>
      <c r="E778" s="2521"/>
      <c r="F778" s="2521"/>
      <c r="G778" s="2521"/>
      <c r="H778" s="2521"/>
      <c r="I778" s="2521"/>
      <c r="J778" s="2521"/>
      <c r="K778" s="2521"/>
      <c r="L778" s="2521"/>
      <c r="M778" s="2521"/>
      <c r="N778" s="2521"/>
      <c r="O778" s="2521"/>
      <c r="P778" s="2521"/>
      <c r="Q778" s="2521"/>
      <c r="R778" s="2521"/>
      <c r="S778" s="2521"/>
      <c r="T778" s="2521"/>
      <c r="U778" s="2521"/>
      <c r="V778" s="2521"/>
      <c r="W778" s="2521"/>
      <c r="X778" s="2521"/>
      <c r="Y778" s="2521"/>
      <c r="Z778" s="2521"/>
    </row>
    <row r="779" spans="1:26" ht="16.5" customHeight="1">
      <c r="A779" s="2521"/>
      <c r="B779" s="2526"/>
      <c r="C779" s="2521"/>
      <c r="D779" s="2521"/>
      <c r="E779" s="2521"/>
      <c r="F779" s="2521"/>
      <c r="G779" s="2521"/>
      <c r="H779" s="2521"/>
      <c r="I779" s="2521"/>
      <c r="J779" s="2521"/>
      <c r="K779" s="2521"/>
      <c r="L779" s="2521"/>
      <c r="M779" s="2521"/>
      <c r="N779" s="2521"/>
      <c r="O779" s="2521"/>
      <c r="P779" s="2521"/>
      <c r="Q779" s="2521"/>
      <c r="R779" s="2521"/>
      <c r="S779" s="2521"/>
      <c r="T779" s="2521"/>
      <c r="U779" s="2521"/>
      <c r="V779" s="2521"/>
      <c r="W779" s="2521"/>
      <c r="X779" s="2521"/>
      <c r="Y779" s="2521"/>
      <c r="Z779" s="2521"/>
    </row>
    <row r="780" spans="1:26" ht="16.5" customHeight="1">
      <c r="A780" s="2521"/>
      <c r="B780" s="2526"/>
      <c r="C780" s="2521"/>
      <c r="D780" s="2521"/>
      <c r="E780" s="2521"/>
      <c r="F780" s="2521"/>
      <c r="G780" s="2521"/>
      <c r="H780" s="2521"/>
      <c r="I780" s="2521"/>
      <c r="J780" s="2521"/>
      <c r="K780" s="2521"/>
      <c r="L780" s="2521"/>
      <c r="M780" s="2521"/>
      <c r="N780" s="2521"/>
      <c r="O780" s="2521"/>
      <c r="P780" s="2521"/>
      <c r="Q780" s="2521"/>
      <c r="R780" s="2521"/>
      <c r="S780" s="2521"/>
      <c r="T780" s="2521"/>
      <c r="U780" s="2521"/>
      <c r="V780" s="2521"/>
      <c r="W780" s="2521"/>
      <c r="X780" s="2521"/>
      <c r="Y780" s="2521"/>
      <c r="Z780" s="2521"/>
    </row>
    <row r="781" spans="1:26" ht="16.5" customHeight="1">
      <c r="A781" s="2521"/>
      <c r="B781" s="2526"/>
      <c r="C781" s="2521"/>
      <c r="D781" s="2521"/>
      <c r="E781" s="2521"/>
      <c r="F781" s="2521"/>
      <c r="G781" s="2521"/>
      <c r="H781" s="2521"/>
      <c r="I781" s="2521"/>
      <c r="J781" s="2521"/>
      <c r="K781" s="2521"/>
      <c r="L781" s="2521"/>
      <c r="M781" s="2521"/>
      <c r="N781" s="2521"/>
      <c r="O781" s="2521"/>
      <c r="P781" s="2521"/>
      <c r="Q781" s="2521"/>
      <c r="R781" s="2521"/>
      <c r="S781" s="2521"/>
      <c r="T781" s="2521"/>
      <c r="U781" s="2521"/>
      <c r="V781" s="2521"/>
      <c r="W781" s="2521"/>
      <c r="X781" s="2521"/>
      <c r="Y781" s="2521"/>
      <c r="Z781" s="2521"/>
    </row>
    <row r="782" spans="1:26" ht="16.5" customHeight="1">
      <c r="A782" s="2521"/>
      <c r="B782" s="2526"/>
      <c r="C782" s="2521"/>
      <c r="D782" s="2521"/>
      <c r="E782" s="2521"/>
      <c r="F782" s="2521"/>
      <c r="G782" s="2521"/>
      <c r="H782" s="2521"/>
      <c r="I782" s="2521"/>
      <c r="J782" s="2521"/>
      <c r="K782" s="2521"/>
      <c r="L782" s="2521"/>
      <c r="M782" s="2521"/>
      <c r="N782" s="2521"/>
      <c r="O782" s="2521"/>
      <c r="P782" s="2521"/>
      <c r="Q782" s="2521"/>
      <c r="R782" s="2521"/>
      <c r="S782" s="2521"/>
      <c r="T782" s="2521"/>
      <c r="U782" s="2521"/>
      <c r="V782" s="2521"/>
      <c r="W782" s="2521"/>
      <c r="X782" s="2521"/>
      <c r="Y782" s="2521"/>
      <c r="Z782" s="2521"/>
    </row>
    <row r="783" spans="1:26" ht="16.5" customHeight="1">
      <c r="A783" s="2521"/>
      <c r="B783" s="2526"/>
      <c r="C783" s="2521"/>
      <c r="D783" s="2521"/>
      <c r="E783" s="2521"/>
      <c r="F783" s="2521"/>
      <c r="G783" s="2521"/>
      <c r="H783" s="2521"/>
      <c r="I783" s="2521"/>
      <c r="J783" s="2521"/>
      <c r="K783" s="2521"/>
      <c r="L783" s="2521"/>
      <c r="M783" s="2521"/>
      <c r="N783" s="2521"/>
      <c r="O783" s="2521"/>
      <c r="P783" s="2521"/>
      <c r="Q783" s="2521"/>
      <c r="R783" s="2521"/>
      <c r="S783" s="2521"/>
      <c r="T783" s="2521"/>
      <c r="U783" s="2521"/>
      <c r="V783" s="2521"/>
      <c r="W783" s="2521"/>
      <c r="X783" s="2521"/>
      <c r="Y783" s="2521"/>
      <c r="Z783" s="2521"/>
    </row>
    <row r="784" spans="1:26" ht="16.5" customHeight="1">
      <c r="A784" s="2521"/>
      <c r="B784" s="2526"/>
      <c r="C784" s="2521"/>
      <c r="D784" s="2521"/>
      <c r="E784" s="2521"/>
      <c r="F784" s="2521"/>
      <c r="G784" s="2521"/>
      <c r="H784" s="2521"/>
      <c r="I784" s="2521"/>
      <c r="J784" s="2521"/>
      <c r="K784" s="2521"/>
      <c r="L784" s="2521"/>
      <c r="M784" s="2521"/>
      <c r="N784" s="2521"/>
      <c r="O784" s="2521"/>
      <c r="P784" s="2521"/>
      <c r="Q784" s="2521"/>
      <c r="R784" s="2521"/>
      <c r="S784" s="2521"/>
      <c r="T784" s="2521"/>
      <c r="U784" s="2521"/>
      <c r="V784" s="2521"/>
      <c r="W784" s="2521"/>
      <c r="X784" s="2521"/>
      <c r="Y784" s="2521"/>
      <c r="Z784" s="2521"/>
    </row>
    <row r="785" spans="1:26" ht="16.5" customHeight="1">
      <c r="A785" s="2521"/>
      <c r="B785" s="2526"/>
      <c r="C785" s="2521"/>
      <c r="D785" s="2521"/>
      <c r="E785" s="2521"/>
      <c r="F785" s="2521"/>
      <c r="G785" s="2521"/>
      <c r="H785" s="2521"/>
      <c r="I785" s="2521"/>
      <c r="J785" s="2521"/>
      <c r="K785" s="2521"/>
      <c r="L785" s="2521"/>
      <c r="M785" s="2521"/>
      <c r="N785" s="2521"/>
      <c r="O785" s="2521"/>
      <c r="P785" s="2521"/>
      <c r="Q785" s="2521"/>
      <c r="R785" s="2521"/>
      <c r="S785" s="2521"/>
      <c r="T785" s="2521"/>
      <c r="U785" s="2521"/>
      <c r="V785" s="2521"/>
      <c r="W785" s="2521"/>
      <c r="X785" s="2521"/>
      <c r="Y785" s="2521"/>
      <c r="Z785" s="2521"/>
    </row>
    <row r="786" spans="1:26" ht="16.5" customHeight="1">
      <c r="A786" s="2521"/>
      <c r="B786" s="2526"/>
      <c r="C786" s="2521"/>
      <c r="D786" s="2521"/>
      <c r="E786" s="2521"/>
      <c r="F786" s="2521"/>
      <c r="G786" s="2521"/>
      <c r="H786" s="2521"/>
      <c r="I786" s="2521"/>
      <c r="J786" s="2521"/>
      <c r="K786" s="2521"/>
      <c r="L786" s="2521"/>
      <c r="M786" s="2521"/>
      <c r="N786" s="2521"/>
      <c r="O786" s="2521"/>
      <c r="P786" s="2521"/>
      <c r="Q786" s="2521"/>
      <c r="R786" s="2521"/>
      <c r="S786" s="2521"/>
      <c r="T786" s="2521"/>
      <c r="U786" s="2521"/>
      <c r="V786" s="2521"/>
      <c r="W786" s="2521"/>
      <c r="X786" s="2521"/>
      <c r="Y786" s="2521"/>
      <c r="Z786" s="2521"/>
    </row>
    <row r="787" spans="1:26" ht="16.5" customHeight="1">
      <c r="A787" s="2521"/>
      <c r="B787" s="2526"/>
      <c r="C787" s="2521"/>
      <c r="D787" s="2521"/>
      <c r="E787" s="2521"/>
      <c r="F787" s="2521"/>
      <c r="G787" s="2521"/>
      <c r="H787" s="2521"/>
      <c r="I787" s="2521"/>
      <c r="J787" s="2521"/>
      <c r="K787" s="2521"/>
      <c r="L787" s="2521"/>
      <c r="M787" s="2521"/>
      <c r="N787" s="2521"/>
      <c r="O787" s="2521"/>
      <c r="P787" s="2521"/>
      <c r="Q787" s="2521"/>
      <c r="R787" s="2521"/>
      <c r="S787" s="2521"/>
      <c r="T787" s="2521"/>
      <c r="U787" s="2521"/>
      <c r="V787" s="2521"/>
      <c r="W787" s="2521"/>
      <c r="X787" s="2521"/>
      <c r="Y787" s="2521"/>
      <c r="Z787" s="2521"/>
    </row>
    <row r="788" spans="1:26" ht="16.5" customHeight="1">
      <c r="A788" s="2521"/>
      <c r="B788" s="2526"/>
      <c r="C788" s="2521"/>
      <c r="D788" s="2521"/>
      <c r="E788" s="2521"/>
      <c r="F788" s="2521"/>
      <c r="G788" s="2521"/>
      <c r="H788" s="2521"/>
      <c r="I788" s="2521"/>
      <c r="J788" s="2521"/>
      <c r="K788" s="2521"/>
      <c r="L788" s="2521"/>
      <c r="M788" s="2521"/>
      <c r="N788" s="2521"/>
      <c r="O788" s="2521"/>
      <c r="P788" s="2521"/>
      <c r="Q788" s="2521"/>
      <c r="R788" s="2521"/>
      <c r="S788" s="2521"/>
      <c r="T788" s="2521"/>
      <c r="U788" s="2521"/>
      <c r="V788" s="2521"/>
      <c r="W788" s="2521"/>
      <c r="X788" s="2521"/>
      <c r="Y788" s="2521"/>
      <c r="Z788" s="2521"/>
    </row>
    <row r="789" spans="1:26" ht="16.5" customHeight="1">
      <c r="A789" s="2521"/>
      <c r="B789" s="2526"/>
      <c r="C789" s="2521"/>
      <c r="D789" s="2521"/>
      <c r="E789" s="2521"/>
      <c r="F789" s="2521"/>
      <c r="G789" s="2521"/>
      <c r="H789" s="2521"/>
      <c r="I789" s="2521"/>
      <c r="J789" s="2521"/>
      <c r="K789" s="2521"/>
      <c r="L789" s="2521"/>
      <c r="M789" s="2521"/>
      <c r="N789" s="2521"/>
      <c r="O789" s="2521"/>
      <c r="P789" s="2521"/>
      <c r="Q789" s="2521"/>
      <c r="R789" s="2521"/>
      <c r="S789" s="2521"/>
      <c r="T789" s="2521"/>
      <c r="U789" s="2521"/>
      <c r="V789" s="2521"/>
      <c r="W789" s="2521"/>
      <c r="X789" s="2521"/>
      <c r="Y789" s="2521"/>
      <c r="Z789" s="2521"/>
    </row>
    <row r="790" spans="1:26" ht="16.5" customHeight="1">
      <c r="A790" s="2521"/>
      <c r="B790" s="2526"/>
      <c r="C790" s="2521"/>
      <c r="D790" s="2521"/>
      <c r="E790" s="2521"/>
      <c r="F790" s="2521"/>
      <c r="G790" s="2521"/>
      <c r="H790" s="2521"/>
      <c r="I790" s="2521"/>
      <c r="J790" s="2521"/>
      <c r="K790" s="2521"/>
      <c r="L790" s="2521"/>
      <c r="M790" s="2521"/>
      <c r="N790" s="2521"/>
      <c r="O790" s="2521"/>
      <c r="P790" s="2521"/>
      <c r="Q790" s="2521"/>
      <c r="R790" s="2521"/>
      <c r="S790" s="2521"/>
      <c r="T790" s="2521"/>
      <c r="U790" s="2521"/>
      <c r="V790" s="2521"/>
      <c r="W790" s="2521"/>
      <c r="X790" s="2521"/>
      <c r="Y790" s="2521"/>
      <c r="Z790" s="2521"/>
    </row>
    <row r="791" spans="1:26" ht="16.5" customHeight="1">
      <c r="A791" s="2521"/>
      <c r="B791" s="2526"/>
      <c r="C791" s="2521"/>
      <c r="D791" s="2521"/>
      <c r="E791" s="2521"/>
      <c r="F791" s="2521"/>
      <c r="G791" s="2521"/>
      <c r="H791" s="2521"/>
      <c r="I791" s="2521"/>
      <c r="J791" s="2521"/>
      <c r="K791" s="2521"/>
      <c r="L791" s="2521"/>
      <c r="M791" s="2521"/>
      <c r="N791" s="2521"/>
      <c r="O791" s="2521"/>
      <c r="P791" s="2521"/>
      <c r="Q791" s="2521"/>
      <c r="R791" s="2521"/>
      <c r="S791" s="2521"/>
      <c r="T791" s="2521"/>
      <c r="U791" s="2521"/>
      <c r="V791" s="2521"/>
      <c r="W791" s="2521"/>
      <c r="X791" s="2521"/>
      <c r="Y791" s="2521"/>
      <c r="Z791" s="2521"/>
    </row>
    <row r="792" spans="1:26" ht="16.5" customHeight="1">
      <c r="A792" s="2521"/>
      <c r="B792" s="2526"/>
      <c r="C792" s="2521"/>
      <c r="D792" s="2521"/>
      <c r="E792" s="2521"/>
      <c r="F792" s="2521"/>
      <c r="G792" s="2521"/>
      <c r="H792" s="2521"/>
      <c r="I792" s="2521"/>
      <c r="J792" s="2521"/>
      <c r="K792" s="2521"/>
      <c r="L792" s="2521"/>
      <c r="M792" s="2521"/>
      <c r="N792" s="2521"/>
      <c r="O792" s="2521"/>
      <c r="P792" s="2521"/>
      <c r="Q792" s="2521"/>
      <c r="R792" s="2521"/>
      <c r="S792" s="2521"/>
      <c r="T792" s="2521"/>
      <c r="U792" s="2521"/>
      <c r="V792" s="2521"/>
      <c r="W792" s="2521"/>
      <c r="X792" s="2521"/>
      <c r="Y792" s="2521"/>
      <c r="Z792" s="2521"/>
    </row>
    <row r="793" spans="1:26" ht="16.5" customHeight="1">
      <c r="A793" s="2521"/>
      <c r="B793" s="2526"/>
      <c r="C793" s="2521"/>
      <c r="D793" s="2521"/>
      <c r="E793" s="2521"/>
      <c r="F793" s="2521"/>
      <c r="G793" s="2521"/>
      <c r="H793" s="2521"/>
      <c r="I793" s="2521"/>
      <c r="J793" s="2521"/>
      <c r="K793" s="2521"/>
      <c r="L793" s="2521"/>
      <c r="M793" s="2521"/>
      <c r="N793" s="2521"/>
      <c r="O793" s="2521"/>
      <c r="P793" s="2521"/>
      <c r="Q793" s="2521"/>
      <c r="R793" s="2521"/>
      <c r="S793" s="2521"/>
      <c r="T793" s="2521"/>
      <c r="U793" s="2521"/>
      <c r="V793" s="2521"/>
      <c r="W793" s="2521"/>
      <c r="X793" s="2521"/>
      <c r="Y793" s="2521"/>
      <c r="Z793" s="2521"/>
    </row>
    <row r="794" spans="1:26" ht="16.5" customHeight="1">
      <c r="A794" s="2521"/>
      <c r="B794" s="2526"/>
      <c r="C794" s="2521"/>
      <c r="D794" s="2521"/>
      <c r="E794" s="2521"/>
      <c r="F794" s="2521"/>
      <c r="G794" s="2521"/>
      <c r="H794" s="2521"/>
      <c r="I794" s="2521"/>
      <c r="J794" s="2521"/>
      <c r="K794" s="2521"/>
      <c r="L794" s="2521"/>
      <c r="M794" s="2521"/>
      <c r="N794" s="2521"/>
      <c r="O794" s="2521"/>
      <c r="P794" s="2521"/>
      <c r="Q794" s="2521"/>
      <c r="R794" s="2521"/>
      <c r="S794" s="2521"/>
      <c r="T794" s="2521"/>
      <c r="U794" s="2521"/>
      <c r="V794" s="2521"/>
      <c r="W794" s="2521"/>
      <c r="X794" s="2521"/>
      <c r="Y794" s="2521"/>
      <c r="Z794" s="2521"/>
    </row>
    <row r="795" spans="1:26" ht="16.5" customHeight="1">
      <c r="A795" s="2521"/>
      <c r="B795" s="2526"/>
      <c r="C795" s="2521"/>
      <c r="D795" s="2521"/>
      <c r="E795" s="2521"/>
      <c r="F795" s="2521"/>
      <c r="G795" s="2521"/>
      <c r="H795" s="2521"/>
      <c r="I795" s="2521"/>
      <c r="J795" s="2521"/>
      <c r="K795" s="2521"/>
      <c r="L795" s="2521"/>
      <c r="M795" s="2521"/>
      <c r="N795" s="2521"/>
      <c r="O795" s="2521"/>
      <c r="P795" s="2521"/>
      <c r="Q795" s="2521"/>
      <c r="R795" s="2521"/>
      <c r="S795" s="2521"/>
      <c r="T795" s="2521"/>
      <c r="U795" s="2521"/>
      <c r="V795" s="2521"/>
      <c r="W795" s="2521"/>
      <c r="X795" s="2521"/>
      <c r="Y795" s="2521"/>
      <c r="Z795" s="2521"/>
    </row>
    <row r="796" spans="1:26" ht="16.5" customHeight="1">
      <c r="A796" s="2521"/>
      <c r="B796" s="2526"/>
      <c r="C796" s="2521"/>
      <c r="D796" s="2521"/>
      <c r="E796" s="2521"/>
      <c r="F796" s="2521"/>
      <c r="G796" s="2521"/>
      <c r="H796" s="2521"/>
      <c r="I796" s="2521"/>
      <c r="J796" s="2521"/>
      <c r="K796" s="2521"/>
      <c r="L796" s="2521"/>
      <c r="M796" s="2521"/>
      <c r="N796" s="2521"/>
      <c r="O796" s="2521"/>
      <c r="P796" s="2521"/>
      <c r="Q796" s="2521"/>
      <c r="R796" s="2521"/>
      <c r="S796" s="2521"/>
      <c r="T796" s="2521"/>
      <c r="U796" s="2521"/>
      <c r="V796" s="2521"/>
      <c r="W796" s="2521"/>
      <c r="X796" s="2521"/>
      <c r="Y796" s="2521"/>
      <c r="Z796" s="2521"/>
    </row>
    <row r="797" spans="1:26" ht="16.5" customHeight="1">
      <c r="A797" s="2521"/>
      <c r="B797" s="2526"/>
      <c r="C797" s="2521"/>
      <c r="D797" s="2521"/>
      <c r="E797" s="2521"/>
      <c r="F797" s="2521"/>
      <c r="G797" s="2521"/>
      <c r="H797" s="2521"/>
      <c r="I797" s="2521"/>
      <c r="J797" s="2521"/>
      <c r="K797" s="2521"/>
      <c r="L797" s="2521"/>
      <c r="M797" s="2521"/>
      <c r="N797" s="2521"/>
      <c r="O797" s="2521"/>
      <c r="P797" s="2521"/>
      <c r="Q797" s="2521"/>
      <c r="R797" s="2521"/>
      <c r="S797" s="2521"/>
      <c r="T797" s="2521"/>
      <c r="U797" s="2521"/>
      <c r="V797" s="2521"/>
      <c r="W797" s="2521"/>
      <c r="X797" s="2521"/>
      <c r="Y797" s="2521"/>
      <c r="Z797" s="2521"/>
    </row>
    <row r="798" spans="1:26" ht="16.5" customHeight="1">
      <c r="A798" s="2521"/>
      <c r="B798" s="2526"/>
      <c r="C798" s="2521"/>
      <c r="D798" s="2521"/>
      <c r="E798" s="2521"/>
      <c r="F798" s="2521"/>
      <c r="G798" s="2521"/>
      <c r="H798" s="2521"/>
      <c r="I798" s="2521"/>
      <c r="J798" s="2521"/>
      <c r="K798" s="2521"/>
      <c r="L798" s="2521"/>
      <c r="M798" s="2521"/>
      <c r="N798" s="2521"/>
      <c r="O798" s="2521"/>
      <c r="P798" s="2521"/>
      <c r="Q798" s="2521"/>
      <c r="R798" s="2521"/>
      <c r="S798" s="2521"/>
      <c r="T798" s="2521"/>
      <c r="U798" s="2521"/>
      <c r="V798" s="2521"/>
      <c r="W798" s="2521"/>
      <c r="X798" s="2521"/>
      <c r="Y798" s="2521"/>
      <c r="Z798" s="2521"/>
    </row>
    <row r="799" spans="1:26" ht="16.5" customHeight="1">
      <c r="A799" s="2521"/>
      <c r="B799" s="2526"/>
      <c r="C799" s="2521"/>
      <c r="D799" s="2521"/>
      <c r="E799" s="2521"/>
      <c r="F799" s="2521"/>
      <c r="G799" s="2521"/>
      <c r="H799" s="2521"/>
      <c r="I799" s="2521"/>
      <c r="J799" s="2521"/>
      <c r="K799" s="2521"/>
      <c r="L799" s="2521"/>
      <c r="M799" s="2521"/>
      <c r="N799" s="2521"/>
      <c r="O799" s="2521"/>
      <c r="P799" s="2521"/>
      <c r="Q799" s="2521"/>
      <c r="R799" s="2521"/>
      <c r="S799" s="2521"/>
      <c r="T799" s="2521"/>
      <c r="U799" s="2521"/>
      <c r="V799" s="2521"/>
      <c r="W799" s="2521"/>
      <c r="X799" s="2521"/>
      <c r="Y799" s="2521"/>
      <c r="Z799" s="2521"/>
    </row>
    <row r="800" spans="1:26" ht="16.5" customHeight="1">
      <c r="A800" s="2521"/>
      <c r="B800" s="2526"/>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row>
    <row r="801" spans="1:26" ht="16.5" customHeight="1">
      <c r="A801" s="2521"/>
      <c r="B801" s="2526"/>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row>
    <row r="802" spans="1:26" ht="16.5" customHeight="1">
      <c r="A802" s="2521"/>
      <c r="B802" s="2526"/>
      <c r="C802" s="2521"/>
      <c r="D802" s="2521"/>
      <c r="E802" s="2521"/>
      <c r="F802" s="2521"/>
      <c r="G802" s="2521"/>
      <c r="H802" s="2521"/>
      <c r="I802" s="2521"/>
      <c r="J802" s="2521"/>
      <c r="K802" s="2521"/>
      <c r="L802" s="2521"/>
      <c r="M802" s="2521"/>
      <c r="N802" s="2521"/>
      <c r="O802" s="2521"/>
      <c r="P802" s="2521"/>
      <c r="Q802" s="2521"/>
      <c r="R802" s="2521"/>
      <c r="S802" s="2521"/>
      <c r="T802" s="2521"/>
      <c r="U802" s="2521"/>
      <c r="V802" s="2521"/>
      <c r="W802" s="2521"/>
      <c r="X802" s="2521"/>
      <c r="Y802" s="2521"/>
      <c r="Z802" s="2521"/>
    </row>
    <row r="803" spans="1:26" ht="16.5" customHeight="1">
      <c r="A803" s="2521"/>
      <c r="B803" s="2526"/>
      <c r="C803" s="2521"/>
      <c r="D803" s="2521"/>
      <c r="E803" s="2521"/>
      <c r="F803" s="2521"/>
      <c r="G803" s="2521"/>
      <c r="H803" s="2521"/>
      <c r="I803" s="2521"/>
      <c r="J803" s="2521"/>
      <c r="K803" s="2521"/>
      <c r="L803" s="2521"/>
      <c r="M803" s="2521"/>
      <c r="N803" s="2521"/>
      <c r="O803" s="2521"/>
      <c r="P803" s="2521"/>
      <c r="Q803" s="2521"/>
      <c r="R803" s="2521"/>
      <c r="S803" s="2521"/>
      <c r="T803" s="2521"/>
      <c r="U803" s="2521"/>
      <c r="V803" s="2521"/>
      <c r="W803" s="2521"/>
      <c r="X803" s="2521"/>
      <c r="Y803" s="2521"/>
      <c r="Z803" s="2521"/>
    </row>
    <row r="804" spans="1:26" ht="16.5" customHeight="1">
      <c r="A804" s="2521"/>
      <c r="B804" s="2526"/>
      <c r="C804" s="2521"/>
      <c r="D804" s="2521"/>
      <c r="E804" s="2521"/>
      <c r="F804" s="2521"/>
      <c r="G804" s="2521"/>
      <c r="H804" s="2521"/>
      <c r="I804" s="2521"/>
      <c r="J804" s="2521"/>
      <c r="K804" s="2521"/>
      <c r="L804" s="2521"/>
      <c r="M804" s="2521"/>
      <c r="N804" s="2521"/>
      <c r="O804" s="2521"/>
      <c r="P804" s="2521"/>
      <c r="Q804" s="2521"/>
      <c r="R804" s="2521"/>
      <c r="S804" s="2521"/>
      <c r="T804" s="2521"/>
      <c r="U804" s="2521"/>
      <c r="V804" s="2521"/>
      <c r="W804" s="2521"/>
      <c r="X804" s="2521"/>
      <c r="Y804" s="2521"/>
      <c r="Z804" s="2521"/>
    </row>
    <row r="805" spans="1:26" ht="16.5" customHeight="1">
      <c r="A805" s="2521"/>
      <c r="B805" s="2526"/>
      <c r="C805" s="2521"/>
      <c r="D805" s="2521"/>
      <c r="E805" s="2521"/>
      <c r="F805" s="2521"/>
      <c r="G805" s="2521"/>
      <c r="H805" s="2521"/>
      <c r="I805" s="2521"/>
      <c r="J805" s="2521"/>
      <c r="K805" s="2521"/>
      <c r="L805" s="2521"/>
      <c r="M805" s="2521"/>
      <c r="N805" s="2521"/>
      <c r="O805" s="2521"/>
      <c r="P805" s="2521"/>
      <c r="Q805" s="2521"/>
      <c r="R805" s="2521"/>
      <c r="S805" s="2521"/>
      <c r="T805" s="2521"/>
      <c r="U805" s="2521"/>
      <c r="V805" s="2521"/>
      <c r="W805" s="2521"/>
      <c r="X805" s="2521"/>
      <c r="Y805" s="2521"/>
      <c r="Z805" s="2521"/>
    </row>
    <row r="806" spans="1:26" ht="16.5" customHeight="1">
      <c r="A806" s="2521"/>
      <c r="B806" s="2526"/>
      <c r="C806" s="2521"/>
      <c r="D806" s="2521"/>
      <c r="E806" s="2521"/>
      <c r="F806" s="2521"/>
      <c r="G806" s="2521"/>
      <c r="H806" s="2521"/>
      <c r="I806" s="2521"/>
      <c r="J806" s="2521"/>
      <c r="K806" s="2521"/>
      <c r="L806" s="2521"/>
      <c r="M806" s="2521"/>
      <c r="N806" s="2521"/>
      <c r="O806" s="2521"/>
      <c r="P806" s="2521"/>
      <c r="Q806" s="2521"/>
      <c r="R806" s="2521"/>
      <c r="S806" s="2521"/>
      <c r="T806" s="2521"/>
      <c r="U806" s="2521"/>
      <c r="V806" s="2521"/>
      <c r="W806" s="2521"/>
      <c r="X806" s="2521"/>
      <c r="Y806" s="2521"/>
      <c r="Z806" s="2521"/>
    </row>
    <row r="807" spans="1:26" ht="16.5" customHeight="1">
      <c r="A807" s="2521"/>
      <c r="B807" s="2526"/>
      <c r="C807" s="2521"/>
      <c r="D807" s="2521"/>
      <c r="E807" s="2521"/>
      <c r="F807" s="2521"/>
      <c r="G807" s="2521"/>
      <c r="H807" s="2521"/>
      <c r="I807" s="2521"/>
      <c r="J807" s="2521"/>
      <c r="K807" s="2521"/>
      <c r="L807" s="2521"/>
      <c r="M807" s="2521"/>
      <c r="N807" s="2521"/>
      <c r="O807" s="2521"/>
      <c r="P807" s="2521"/>
      <c r="Q807" s="2521"/>
      <c r="R807" s="2521"/>
      <c r="S807" s="2521"/>
      <c r="T807" s="2521"/>
      <c r="U807" s="2521"/>
      <c r="V807" s="2521"/>
      <c r="W807" s="2521"/>
      <c r="X807" s="2521"/>
      <c r="Y807" s="2521"/>
      <c r="Z807" s="2521"/>
    </row>
    <row r="808" spans="1:26" ht="16.5" customHeight="1">
      <c r="A808" s="2521"/>
      <c r="B808" s="2526"/>
      <c r="C808" s="2521"/>
      <c r="D808" s="2521"/>
      <c r="E808" s="2521"/>
      <c r="F808" s="2521"/>
      <c r="G808" s="2521"/>
      <c r="H808" s="2521"/>
      <c r="I808" s="2521"/>
      <c r="J808" s="2521"/>
      <c r="K808" s="2521"/>
      <c r="L808" s="2521"/>
      <c r="M808" s="2521"/>
      <c r="N808" s="2521"/>
      <c r="O808" s="2521"/>
      <c r="P808" s="2521"/>
      <c r="Q808" s="2521"/>
      <c r="R808" s="2521"/>
      <c r="S808" s="2521"/>
      <c r="T808" s="2521"/>
      <c r="U808" s="2521"/>
      <c r="V808" s="2521"/>
      <c r="W808" s="2521"/>
      <c r="X808" s="2521"/>
      <c r="Y808" s="2521"/>
      <c r="Z808" s="2521"/>
    </row>
    <row r="809" spans="1:26" ht="16.5" customHeight="1">
      <c r="A809" s="2521"/>
      <c r="B809" s="2526"/>
      <c r="C809" s="2521"/>
      <c r="D809" s="2521"/>
      <c r="E809" s="2521"/>
      <c r="F809" s="2521"/>
      <c r="G809" s="2521"/>
      <c r="H809" s="2521"/>
      <c r="I809" s="2521"/>
      <c r="J809" s="2521"/>
      <c r="K809" s="2521"/>
      <c r="L809" s="2521"/>
      <c r="M809" s="2521"/>
      <c r="N809" s="2521"/>
      <c r="O809" s="2521"/>
      <c r="P809" s="2521"/>
      <c r="Q809" s="2521"/>
      <c r="R809" s="2521"/>
      <c r="S809" s="2521"/>
      <c r="T809" s="2521"/>
      <c r="U809" s="2521"/>
      <c r="V809" s="2521"/>
      <c r="W809" s="2521"/>
      <c r="X809" s="2521"/>
      <c r="Y809" s="2521"/>
      <c r="Z809" s="2521"/>
    </row>
    <row r="810" spans="1:26" ht="16.5" customHeight="1">
      <c r="A810" s="2521"/>
      <c r="B810" s="2526"/>
      <c r="C810" s="2521"/>
      <c r="D810" s="2521"/>
      <c r="E810" s="2521"/>
      <c r="F810" s="2521"/>
      <c r="G810" s="2521"/>
      <c r="H810" s="2521"/>
      <c r="I810" s="2521"/>
      <c r="J810" s="2521"/>
      <c r="K810" s="2521"/>
      <c r="L810" s="2521"/>
      <c r="M810" s="2521"/>
      <c r="N810" s="2521"/>
      <c r="O810" s="2521"/>
      <c r="P810" s="2521"/>
      <c r="Q810" s="2521"/>
      <c r="R810" s="2521"/>
      <c r="S810" s="2521"/>
      <c r="T810" s="2521"/>
      <c r="U810" s="2521"/>
      <c r="V810" s="2521"/>
      <c r="W810" s="2521"/>
      <c r="X810" s="2521"/>
      <c r="Y810" s="2521"/>
      <c r="Z810" s="2521"/>
    </row>
    <row r="811" spans="1:26" ht="16.5" customHeight="1">
      <c r="A811" s="2521"/>
      <c r="B811" s="2526"/>
      <c r="C811" s="2521"/>
      <c r="D811" s="2521"/>
      <c r="E811" s="2521"/>
      <c r="F811" s="2521"/>
      <c r="G811" s="2521"/>
      <c r="H811" s="2521"/>
      <c r="I811" s="2521"/>
      <c r="J811" s="2521"/>
      <c r="K811" s="2521"/>
      <c r="L811" s="2521"/>
      <c r="M811" s="2521"/>
      <c r="N811" s="2521"/>
      <c r="O811" s="2521"/>
      <c r="P811" s="2521"/>
      <c r="Q811" s="2521"/>
      <c r="R811" s="2521"/>
      <c r="S811" s="2521"/>
      <c r="T811" s="2521"/>
      <c r="U811" s="2521"/>
      <c r="V811" s="2521"/>
      <c r="W811" s="2521"/>
      <c r="X811" s="2521"/>
      <c r="Y811" s="2521"/>
      <c r="Z811" s="2521"/>
    </row>
    <row r="812" spans="1:26" ht="16.5" customHeight="1">
      <c r="A812" s="2521"/>
      <c r="B812" s="2526"/>
      <c r="C812" s="2521"/>
      <c r="D812" s="2521"/>
      <c r="E812" s="2521"/>
      <c r="F812" s="2521"/>
      <c r="G812" s="2521"/>
      <c r="H812" s="2521"/>
      <c r="I812" s="2521"/>
      <c r="J812" s="2521"/>
      <c r="K812" s="2521"/>
      <c r="L812" s="2521"/>
      <c r="M812" s="2521"/>
      <c r="N812" s="2521"/>
      <c r="O812" s="2521"/>
      <c r="P812" s="2521"/>
      <c r="Q812" s="2521"/>
      <c r="R812" s="2521"/>
      <c r="S812" s="2521"/>
      <c r="T812" s="2521"/>
      <c r="U812" s="2521"/>
      <c r="V812" s="2521"/>
      <c r="W812" s="2521"/>
      <c r="X812" s="2521"/>
      <c r="Y812" s="2521"/>
      <c r="Z812" s="2521"/>
    </row>
    <row r="813" spans="1:26" ht="16.5" customHeight="1">
      <c r="A813" s="2521"/>
      <c r="B813" s="2526"/>
      <c r="C813" s="2521"/>
      <c r="D813" s="2521"/>
      <c r="E813" s="2521"/>
      <c r="F813" s="2521"/>
      <c r="G813" s="2521"/>
      <c r="H813" s="2521"/>
      <c r="I813" s="2521"/>
      <c r="J813" s="2521"/>
      <c r="K813" s="2521"/>
      <c r="L813" s="2521"/>
      <c r="M813" s="2521"/>
      <c r="N813" s="2521"/>
      <c r="O813" s="2521"/>
      <c r="P813" s="2521"/>
      <c r="Q813" s="2521"/>
      <c r="R813" s="2521"/>
      <c r="S813" s="2521"/>
      <c r="T813" s="2521"/>
      <c r="U813" s="2521"/>
      <c r="V813" s="2521"/>
      <c r="W813" s="2521"/>
      <c r="X813" s="2521"/>
      <c r="Y813" s="2521"/>
      <c r="Z813" s="2521"/>
    </row>
    <row r="814" spans="1:26" ht="16.5" customHeight="1">
      <c r="A814" s="2521"/>
      <c r="B814" s="2526"/>
      <c r="C814" s="2521"/>
      <c r="D814" s="2521"/>
      <c r="E814" s="2521"/>
      <c r="F814" s="2521"/>
      <c r="G814" s="2521"/>
      <c r="H814" s="2521"/>
      <c r="I814" s="2521"/>
      <c r="J814" s="2521"/>
      <c r="K814" s="2521"/>
      <c r="L814" s="2521"/>
      <c r="M814" s="2521"/>
      <c r="N814" s="2521"/>
      <c r="O814" s="2521"/>
      <c r="P814" s="2521"/>
      <c r="Q814" s="2521"/>
      <c r="R814" s="2521"/>
      <c r="S814" s="2521"/>
      <c r="T814" s="2521"/>
      <c r="U814" s="2521"/>
      <c r="V814" s="2521"/>
      <c r="W814" s="2521"/>
      <c r="X814" s="2521"/>
      <c r="Y814" s="2521"/>
      <c r="Z814" s="2521"/>
    </row>
    <row r="815" spans="1:26" ht="16.5" customHeight="1">
      <c r="A815" s="2521"/>
      <c r="B815" s="2526"/>
      <c r="C815" s="2521"/>
      <c r="D815" s="2521"/>
      <c r="E815" s="2521"/>
      <c r="F815" s="2521"/>
      <c r="G815" s="2521"/>
      <c r="H815" s="2521"/>
      <c r="I815" s="2521"/>
      <c r="J815" s="2521"/>
      <c r="K815" s="2521"/>
      <c r="L815" s="2521"/>
      <c r="M815" s="2521"/>
      <c r="N815" s="2521"/>
      <c r="O815" s="2521"/>
      <c r="P815" s="2521"/>
      <c r="Q815" s="2521"/>
      <c r="R815" s="2521"/>
      <c r="S815" s="2521"/>
      <c r="T815" s="2521"/>
      <c r="U815" s="2521"/>
      <c r="V815" s="2521"/>
      <c r="W815" s="2521"/>
      <c r="X815" s="2521"/>
      <c r="Y815" s="2521"/>
      <c r="Z815" s="2521"/>
    </row>
    <row r="816" spans="1:26" ht="16.5" customHeight="1">
      <c r="A816" s="2521"/>
      <c r="B816" s="2526"/>
      <c r="C816" s="2521"/>
      <c r="D816" s="2521"/>
      <c r="E816" s="2521"/>
      <c r="F816" s="2521"/>
      <c r="G816" s="2521"/>
      <c r="H816" s="2521"/>
      <c r="I816" s="2521"/>
      <c r="J816" s="2521"/>
      <c r="K816" s="2521"/>
      <c r="L816" s="2521"/>
      <c r="M816" s="2521"/>
      <c r="N816" s="2521"/>
      <c r="O816" s="2521"/>
      <c r="P816" s="2521"/>
      <c r="Q816" s="2521"/>
      <c r="R816" s="2521"/>
      <c r="S816" s="2521"/>
      <c r="T816" s="2521"/>
      <c r="U816" s="2521"/>
      <c r="V816" s="2521"/>
      <c r="W816" s="2521"/>
      <c r="X816" s="2521"/>
      <c r="Y816" s="2521"/>
      <c r="Z816" s="2521"/>
    </row>
    <row r="817" spans="1:26" ht="16.5" customHeight="1">
      <c r="A817" s="2521"/>
      <c r="B817" s="2526"/>
      <c r="C817" s="2521"/>
      <c r="D817" s="2521"/>
      <c r="E817" s="2521"/>
      <c r="F817" s="2521"/>
      <c r="G817" s="2521"/>
      <c r="H817" s="2521"/>
      <c r="I817" s="2521"/>
      <c r="J817" s="2521"/>
      <c r="K817" s="2521"/>
      <c r="L817" s="2521"/>
      <c r="M817" s="2521"/>
      <c r="N817" s="2521"/>
      <c r="O817" s="2521"/>
      <c r="P817" s="2521"/>
      <c r="Q817" s="2521"/>
      <c r="R817" s="2521"/>
      <c r="S817" s="2521"/>
      <c r="T817" s="2521"/>
      <c r="U817" s="2521"/>
      <c r="V817" s="2521"/>
      <c r="W817" s="2521"/>
      <c r="X817" s="2521"/>
      <c r="Y817" s="2521"/>
      <c r="Z817" s="2521"/>
    </row>
    <row r="818" spans="1:26" ht="16.5" customHeight="1">
      <c r="A818" s="2521"/>
      <c r="B818" s="2526"/>
      <c r="C818" s="2521"/>
      <c r="D818" s="2521"/>
      <c r="E818" s="2521"/>
      <c r="F818" s="2521"/>
      <c r="G818" s="2521"/>
      <c r="H818" s="2521"/>
      <c r="I818" s="2521"/>
      <c r="J818" s="2521"/>
      <c r="K818" s="2521"/>
      <c r="L818" s="2521"/>
      <c r="M818" s="2521"/>
      <c r="N818" s="2521"/>
      <c r="O818" s="2521"/>
      <c r="P818" s="2521"/>
      <c r="Q818" s="2521"/>
      <c r="R818" s="2521"/>
      <c r="S818" s="2521"/>
      <c r="T818" s="2521"/>
      <c r="U818" s="2521"/>
      <c r="V818" s="2521"/>
      <c r="W818" s="2521"/>
      <c r="X818" s="2521"/>
      <c r="Y818" s="2521"/>
      <c r="Z818" s="2521"/>
    </row>
    <row r="819" spans="1:26" ht="16.5" customHeight="1">
      <c r="A819" s="2521"/>
      <c r="B819" s="2526"/>
      <c r="C819" s="2521"/>
      <c r="D819" s="2521"/>
      <c r="E819" s="2521"/>
      <c r="F819" s="2521"/>
      <c r="G819" s="2521"/>
      <c r="H819" s="2521"/>
      <c r="I819" s="2521"/>
      <c r="J819" s="2521"/>
      <c r="K819" s="2521"/>
      <c r="L819" s="2521"/>
      <c r="M819" s="2521"/>
      <c r="N819" s="2521"/>
      <c r="O819" s="2521"/>
      <c r="P819" s="2521"/>
      <c r="Q819" s="2521"/>
      <c r="R819" s="2521"/>
      <c r="S819" s="2521"/>
      <c r="T819" s="2521"/>
      <c r="U819" s="2521"/>
      <c r="V819" s="2521"/>
      <c r="W819" s="2521"/>
      <c r="X819" s="2521"/>
      <c r="Y819" s="2521"/>
      <c r="Z819" s="2521"/>
    </row>
    <row r="820" spans="1:26" ht="16.5" customHeight="1">
      <c r="A820" s="2521"/>
      <c r="B820" s="2526"/>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row>
    <row r="821" spans="1:26" ht="16.5" customHeight="1">
      <c r="A821" s="2521"/>
      <c r="B821" s="2526"/>
      <c r="C821" s="2521"/>
      <c r="D821" s="2521"/>
      <c r="E821" s="2521"/>
      <c r="F821" s="2521"/>
      <c r="G821" s="2521"/>
      <c r="H821" s="2521"/>
      <c r="I821" s="2521"/>
      <c r="J821" s="2521"/>
      <c r="K821" s="2521"/>
      <c r="L821" s="2521"/>
      <c r="M821" s="2521"/>
      <c r="N821" s="2521"/>
      <c r="O821" s="2521"/>
      <c r="P821" s="2521"/>
      <c r="Q821" s="2521"/>
      <c r="R821" s="2521"/>
      <c r="S821" s="2521"/>
      <c r="T821" s="2521"/>
      <c r="U821" s="2521"/>
      <c r="V821" s="2521"/>
      <c r="W821" s="2521"/>
      <c r="X821" s="2521"/>
      <c r="Y821" s="2521"/>
      <c r="Z821" s="2521"/>
    </row>
    <row r="822" spans="1:26" ht="16.5" customHeight="1">
      <c r="A822" s="2521"/>
      <c r="B822" s="2526"/>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row>
    <row r="823" spans="1:26" ht="16.5" customHeight="1">
      <c r="A823" s="2521"/>
      <c r="B823" s="2526"/>
      <c r="C823" s="2521"/>
      <c r="D823" s="2521"/>
      <c r="E823" s="2521"/>
      <c r="F823" s="2521"/>
      <c r="G823" s="2521"/>
      <c r="H823" s="2521"/>
      <c r="I823" s="2521"/>
      <c r="J823" s="2521"/>
      <c r="K823" s="2521"/>
      <c r="L823" s="2521"/>
      <c r="M823" s="2521"/>
      <c r="N823" s="2521"/>
      <c r="O823" s="2521"/>
      <c r="P823" s="2521"/>
      <c r="Q823" s="2521"/>
      <c r="R823" s="2521"/>
      <c r="S823" s="2521"/>
      <c r="T823" s="2521"/>
      <c r="U823" s="2521"/>
      <c r="V823" s="2521"/>
      <c r="W823" s="2521"/>
      <c r="X823" s="2521"/>
      <c r="Y823" s="2521"/>
      <c r="Z823" s="2521"/>
    </row>
    <row r="824" spans="1:26" ht="16.5" customHeight="1">
      <c r="A824" s="2521"/>
      <c r="B824" s="2526"/>
      <c r="C824" s="2521"/>
      <c r="D824" s="2521"/>
      <c r="E824" s="2521"/>
      <c r="F824" s="2521"/>
      <c r="G824" s="2521"/>
      <c r="H824" s="2521"/>
      <c r="I824" s="2521"/>
      <c r="J824" s="2521"/>
      <c r="K824" s="2521"/>
      <c r="L824" s="2521"/>
      <c r="M824" s="2521"/>
      <c r="N824" s="2521"/>
      <c r="O824" s="2521"/>
      <c r="P824" s="2521"/>
      <c r="Q824" s="2521"/>
      <c r="R824" s="2521"/>
      <c r="S824" s="2521"/>
      <c r="T824" s="2521"/>
      <c r="U824" s="2521"/>
      <c r="V824" s="2521"/>
      <c r="W824" s="2521"/>
      <c r="X824" s="2521"/>
      <c r="Y824" s="2521"/>
      <c r="Z824" s="2521"/>
    </row>
    <row r="825" spans="1:26" ht="16.5" customHeight="1">
      <c r="A825" s="2521"/>
      <c r="B825" s="2526"/>
      <c r="C825" s="2521"/>
      <c r="D825" s="2521"/>
      <c r="E825" s="2521"/>
      <c r="F825" s="2521"/>
      <c r="G825" s="2521"/>
      <c r="H825" s="2521"/>
      <c r="I825" s="2521"/>
      <c r="J825" s="2521"/>
      <c r="K825" s="2521"/>
      <c r="L825" s="2521"/>
      <c r="M825" s="2521"/>
      <c r="N825" s="2521"/>
      <c r="O825" s="2521"/>
      <c r="P825" s="2521"/>
      <c r="Q825" s="2521"/>
      <c r="R825" s="2521"/>
      <c r="S825" s="2521"/>
      <c r="T825" s="2521"/>
      <c r="U825" s="2521"/>
      <c r="V825" s="2521"/>
      <c r="W825" s="2521"/>
      <c r="X825" s="2521"/>
      <c r="Y825" s="2521"/>
      <c r="Z825" s="2521"/>
    </row>
    <row r="826" spans="1:26" ht="16.5" customHeight="1">
      <c r="A826" s="2521"/>
      <c r="B826" s="2526"/>
      <c r="C826" s="2521"/>
      <c r="D826" s="2521"/>
      <c r="E826" s="2521"/>
      <c r="F826" s="2521"/>
      <c r="G826" s="2521"/>
      <c r="H826" s="2521"/>
      <c r="I826" s="2521"/>
      <c r="J826" s="2521"/>
      <c r="K826" s="2521"/>
      <c r="L826" s="2521"/>
      <c r="M826" s="2521"/>
      <c r="N826" s="2521"/>
      <c r="O826" s="2521"/>
      <c r="P826" s="2521"/>
      <c r="Q826" s="2521"/>
      <c r="R826" s="2521"/>
      <c r="S826" s="2521"/>
      <c r="T826" s="2521"/>
      <c r="U826" s="2521"/>
      <c r="V826" s="2521"/>
      <c r="W826" s="2521"/>
      <c r="X826" s="2521"/>
      <c r="Y826" s="2521"/>
      <c r="Z826" s="2521"/>
    </row>
    <row r="827" spans="1:26" ht="16.5" customHeight="1">
      <c r="A827" s="2521"/>
      <c r="B827" s="2526"/>
      <c r="C827" s="2521"/>
      <c r="D827" s="2521"/>
      <c r="E827" s="2521"/>
      <c r="F827" s="2521"/>
      <c r="G827" s="2521"/>
      <c r="H827" s="2521"/>
      <c r="I827" s="2521"/>
      <c r="J827" s="2521"/>
      <c r="K827" s="2521"/>
      <c r="L827" s="2521"/>
      <c r="M827" s="2521"/>
      <c r="N827" s="2521"/>
      <c r="O827" s="2521"/>
      <c r="P827" s="2521"/>
      <c r="Q827" s="2521"/>
      <c r="R827" s="2521"/>
      <c r="S827" s="2521"/>
      <c r="T827" s="2521"/>
      <c r="U827" s="2521"/>
      <c r="V827" s="2521"/>
      <c r="W827" s="2521"/>
      <c r="X827" s="2521"/>
      <c r="Y827" s="2521"/>
      <c r="Z827" s="2521"/>
    </row>
    <row r="828" spans="1:26" ht="16.5" customHeight="1">
      <c r="A828" s="2521"/>
      <c r="B828" s="2526"/>
      <c r="C828" s="2521"/>
      <c r="D828" s="2521"/>
      <c r="E828" s="2521"/>
      <c r="F828" s="2521"/>
      <c r="G828" s="2521"/>
      <c r="H828" s="2521"/>
      <c r="I828" s="2521"/>
      <c r="J828" s="2521"/>
      <c r="K828" s="2521"/>
      <c r="L828" s="2521"/>
      <c r="M828" s="2521"/>
      <c r="N828" s="2521"/>
      <c r="O828" s="2521"/>
      <c r="P828" s="2521"/>
      <c r="Q828" s="2521"/>
      <c r="R828" s="2521"/>
      <c r="S828" s="2521"/>
      <c r="T828" s="2521"/>
      <c r="U828" s="2521"/>
      <c r="V828" s="2521"/>
      <c r="W828" s="2521"/>
      <c r="X828" s="2521"/>
      <c r="Y828" s="2521"/>
      <c r="Z828" s="2521"/>
    </row>
    <row r="829" spans="1:26" ht="16.5" customHeight="1">
      <c r="A829" s="2521"/>
      <c r="B829" s="2526"/>
      <c r="C829" s="2521"/>
      <c r="D829" s="2521"/>
      <c r="E829" s="2521"/>
      <c r="F829" s="2521"/>
      <c r="G829" s="2521"/>
      <c r="H829" s="2521"/>
      <c r="I829" s="2521"/>
      <c r="J829" s="2521"/>
      <c r="K829" s="2521"/>
      <c r="L829" s="2521"/>
      <c r="M829" s="2521"/>
      <c r="N829" s="2521"/>
      <c r="O829" s="2521"/>
      <c r="P829" s="2521"/>
      <c r="Q829" s="2521"/>
      <c r="R829" s="2521"/>
      <c r="S829" s="2521"/>
      <c r="T829" s="2521"/>
      <c r="U829" s="2521"/>
      <c r="V829" s="2521"/>
      <c r="W829" s="2521"/>
      <c r="X829" s="2521"/>
      <c r="Y829" s="2521"/>
      <c r="Z829" s="2521"/>
    </row>
    <row r="830" spans="1:26" ht="16.5" customHeight="1">
      <c r="A830" s="2521"/>
      <c r="B830" s="2526"/>
      <c r="C830" s="2521"/>
      <c r="D830" s="2521"/>
      <c r="E830" s="2521"/>
      <c r="F830" s="2521"/>
      <c r="G830" s="2521"/>
      <c r="H830" s="2521"/>
      <c r="I830" s="2521"/>
      <c r="J830" s="2521"/>
      <c r="K830" s="2521"/>
      <c r="L830" s="2521"/>
      <c r="M830" s="2521"/>
      <c r="N830" s="2521"/>
      <c r="O830" s="2521"/>
      <c r="P830" s="2521"/>
      <c r="Q830" s="2521"/>
      <c r="R830" s="2521"/>
      <c r="S830" s="2521"/>
      <c r="T830" s="2521"/>
      <c r="U830" s="2521"/>
      <c r="V830" s="2521"/>
      <c r="W830" s="2521"/>
      <c r="X830" s="2521"/>
      <c r="Y830" s="2521"/>
      <c r="Z830" s="2521"/>
    </row>
    <row r="831" spans="1:26" ht="16.5" customHeight="1">
      <c r="A831" s="2521"/>
      <c r="B831" s="2526"/>
      <c r="C831" s="2521"/>
      <c r="D831" s="2521"/>
      <c r="E831" s="2521"/>
      <c r="F831" s="2521"/>
      <c r="G831" s="2521"/>
      <c r="H831" s="2521"/>
      <c r="I831" s="2521"/>
      <c r="J831" s="2521"/>
      <c r="K831" s="2521"/>
      <c r="L831" s="2521"/>
      <c r="M831" s="2521"/>
      <c r="N831" s="2521"/>
      <c r="O831" s="2521"/>
      <c r="P831" s="2521"/>
      <c r="Q831" s="2521"/>
      <c r="R831" s="2521"/>
      <c r="S831" s="2521"/>
      <c r="T831" s="2521"/>
      <c r="U831" s="2521"/>
      <c r="V831" s="2521"/>
      <c r="W831" s="2521"/>
      <c r="X831" s="2521"/>
      <c r="Y831" s="2521"/>
      <c r="Z831" s="2521"/>
    </row>
    <row r="832" spans="1:26" ht="16.5" customHeight="1">
      <c r="A832" s="2521"/>
      <c r="B832" s="2526"/>
      <c r="C832" s="2521"/>
      <c r="D832" s="2521"/>
      <c r="E832" s="2521"/>
      <c r="F832" s="2521"/>
      <c r="G832" s="2521"/>
      <c r="H832" s="2521"/>
      <c r="I832" s="2521"/>
      <c r="J832" s="2521"/>
      <c r="K832" s="2521"/>
      <c r="L832" s="2521"/>
      <c r="M832" s="2521"/>
      <c r="N832" s="2521"/>
      <c r="O832" s="2521"/>
      <c r="P832" s="2521"/>
      <c r="Q832" s="2521"/>
      <c r="R832" s="2521"/>
      <c r="S832" s="2521"/>
      <c r="T832" s="2521"/>
      <c r="U832" s="2521"/>
      <c r="V832" s="2521"/>
      <c r="W832" s="2521"/>
      <c r="X832" s="2521"/>
      <c r="Y832" s="2521"/>
      <c r="Z832" s="2521"/>
    </row>
    <row r="833" spans="1:26" ht="16.5" customHeight="1">
      <c r="A833" s="2521"/>
      <c r="B833" s="2526"/>
      <c r="C833" s="2521"/>
      <c r="D833" s="2521"/>
      <c r="E833" s="2521"/>
      <c r="F833" s="2521"/>
      <c r="G833" s="2521"/>
      <c r="H833" s="2521"/>
      <c r="I833" s="2521"/>
      <c r="J833" s="2521"/>
      <c r="K833" s="2521"/>
      <c r="L833" s="2521"/>
      <c r="M833" s="2521"/>
      <c r="N833" s="2521"/>
      <c r="O833" s="2521"/>
      <c r="P833" s="2521"/>
      <c r="Q833" s="2521"/>
      <c r="R833" s="2521"/>
      <c r="S833" s="2521"/>
      <c r="T833" s="2521"/>
      <c r="U833" s="2521"/>
      <c r="V833" s="2521"/>
      <c r="W833" s="2521"/>
      <c r="X833" s="2521"/>
      <c r="Y833" s="2521"/>
      <c r="Z833" s="2521"/>
    </row>
    <row r="834" spans="1:26" ht="16.5" customHeight="1">
      <c r="A834" s="2521"/>
      <c r="B834" s="2526"/>
      <c r="C834" s="2521"/>
      <c r="D834" s="2521"/>
      <c r="E834" s="2521"/>
      <c r="F834" s="2521"/>
      <c r="G834" s="2521"/>
      <c r="H834" s="2521"/>
      <c r="I834" s="2521"/>
      <c r="J834" s="2521"/>
      <c r="K834" s="2521"/>
      <c r="L834" s="2521"/>
      <c r="M834" s="2521"/>
      <c r="N834" s="2521"/>
      <c r="O834" s="2521"/>
      <c r="P834" s="2521"/>
      <c r="Q834" s="2521"/>
      <c r="R834" s="2521"/>
      <c r="S834" s="2521"/>
      <c r="T834" s="2521"/>
      <c r="U834" s="2521"/>
      <c r="V834" s="2521"/>
      <c r="W834" s="2521"/>
      <c r="X834" s="2521"/>
      <c r="Y834" s="2521"/>
      <c r="Z834" s="2521"/>
    </row>
    <row r="835" spans="1:26" ht="16.5" customHeight="1">
      <c r="A835" s="2521"/>
      <c r="B835" s="2526"/>
      <c r="C835" s="2521"/>
      <c r="D835" s="2521"/>
      <c r="E835" s="2521"/>
      <c r="F835" s="2521"/>
      <c r="G835" s="2521"/>
      <c r="H835" s="2521"/>
      <c r="I835" s="2521"/>
      <c r="J835" s="2521"/>
      <c r="K835" s="2521"/>
      <c r="L835" s="2521"/>
      <c r="M835" s="2521"/>
      <c r="N835" s="2521"/>
      <c r="O835" s="2521"/>
      <c r="P835" s="2521"/>
      <c r="Q835" s="2521"/>
      <c r="R835" s="2521"/>
      <c r="S835" s="2521"/>
      <c r="T835" s="2521"/>
      <c r="U835" s="2521"/>
      <c r="V835" s="2521"/>
      <c r="W835" s="2521"/>
      <c r="X835" s="2521"/>
      <c r="Y835" s="2521"/>
      <c r="Z835" s="2521"/>
    </row>
    <row r="836" spans="1:26" ht="16.5" customHeight="1">
      <c r="A836" s="2521"/>
      <c r="B836" s="2526"/>
      <c r="C836" s="2521"/>
      <c r="D836" s="2521"/>
      <c r="E836" s="2521"/>
      <c r="F836" s="2521"/>
      <c r="G836" s="2521"/>
      <c r="H836" s="2521"/>
      <c r="I836" s="2521"/>
      <c r="J836" s="2521"/>
      <c r="K836" s="2521"/>
      <c r="L836" s="2521"/>
      <c r="M836" s="2521"/>
      <c r="N836" s="2521"/>
      <c r="O836" s="2521"/>
      <c r="P836" s="2521"/>
      <c r="Q836" s="2521"/>
      <c r="R836" s="2521"/>
      <c r="S836" s="2521"/>
      <c r="T836" s="2521"/>
      <c r="U836" s="2521"/>
      <c r="V836" s="2521"/>
      <c r="W836" s="2521"/>
      <c r="X836" s="2521"/>
      <c r="Y836" s="2521"/>
      <c r="Z836" s="2521"/>
    </row>
    <row r="837" spans="1:26" ht="16.5" customHeight="1">
      <c r="A837" s="2521"/>
      <c r="B837" s="2526"/>
      <c r="C837" s="2521"/>
      <c r="D837" s="2521"/>
      <c r="E837" s="2521"/>
      <c r="F837" s="2521"/>
      <c r="G837" s="2521"/>
      <c r="H837" s="2521"/>
      <c r="I837" s="2521"/>
      <c r="J837" s="2521"/>
      <c r="K837" s="2521"/>
      <c r="L837" s="2521"/>
      <c r="M837" s="2521"/>
      <c r="N837" s="2521"/>
      <c r="O837" s="2521"/>
      <c r="P837" s="2521"/>
      <c r="Q837" s="2521"/>
      <c r="R837" s="2521"/>
      <c r="S837" s="2521"/>
      <c r="T837" s="2521"/>
      <c r="U837" s="2521"/>
      <c r="V837" s="2521"/>
      <c r="W837" s="2521"/>
      <c r="X837" s="2521"/>
      <c r="Y837" s="2521"/>
      <c r="Z837" s="2521"/>
    </row>
    <row r="838" spans="1:26" ht="16.5" customHeight="1">
      <c r="A838" s="2521"/>
      <c r="B838" s="2526"/>
      <c r="C838" s="2521"/>
      <c r="D838" s="2521"/>
      <c r="E838" s="2521"/>
      <c r="F838" s="2521"/>
      <c r="G838" s="2521"/>
      <c r="H838" s="2521"/>
      <c r="I838" s="2521"/>
      <c r="J838" s="2521"/>
      <c r="K838" s="2521"/>
      <c r="L838" s="2521"/>
      <c r="M838" s="2521"/>
      <c r="N838" s="2521"/>
      <c r="O838" s="2521"/>
      <c r="P838" s="2521"/>
      <c r="Q838" s="2521"/>
      <c r="R838" s="2521"/>
      <c r="S838" s="2521"/>
      <c r="T838" s="2521"/>
      <c r="U838" s="2521"/>
      <c r="V838" s="2521"/>
      <c r="W838" s="2521"/>
      <c r="X838" s="2521"/>
      <c r="Y838" s="2521"/>
      <c r="Z838" s="2521"/>
    </row>
    <row r="839" spans="1:26" ht="16.5" customHeight="1">
      <c r="A839" s="2521"/>
      <c r="B839" s="2526"/>
      <c r="C839" s="2521"/>
      <c r="D839" s="2521"/>
      <c r="E839" s="2521"/>
      <c r="F839" s="2521"/>
      <c r="G839" s="2521"/>
      <c r="H839" s="2521"/>
      <c r="I839" s="2521"/>
      <c r="J839" s="2521"/>
      <c r="K839" s="2521"/>
      <c r="L839" s="2521"/>
      <c r="M839" s="2521"/>
      <c r="N839" s="2521"/>
      <c r="O839" s="2521"/>
      <c r="P839" s="2521"/>
      <c r="Q839" s="2521"/>
      <c r="R839" s="2521"/>
      <c r="S839" s="2521"/>
      <c r="T839" s="2521"/>
      <c r="U839" s="2521"/>
      <c r="V839" s="2521"/>
      <c r="W839" s="2521"/>
      <c r="X839" s="2521"/>
      <c r="Y839" s="2521"/>
      <c r="Z839" s="2521"/>
    </row>
    <row r="840" spans="1:26" ht="16.5" customHeight="1">
      <c r="A840" s="2521"/>
      <c r="B840" s="2526"/>
      <c r="C840" s="2521"/>
      <c r="D840" s="2521"/>
      <c r="E840" s="2521"/>
      <c r="F840" s="2521"/>
      <c r="G840" s="2521"/>
      <c r="H840" s="2521"/>
      <c r="I840" s="2521"/>
      <c r="J840" s="2521"/>
      <c r="K840" s="2521"/>
      <c r="L840" s="2521"/>
      <c r="M840" s="2521"/>
      <c r="N840" s="2521"/>
      <c r="O840" s="2521"/>
      <c r="P840" s="2521"/>
      <c r="Q840" s="2521"/>
      <c r="R840" s="2521"/>
      <c r="S840" s="2521"/>
      <c r="T840" s="2521"/>
      <c r="U840" s="2521"/>
      <c r="V840" s="2521"/>
      <c r="W840" s="2521"/>
      <c r="X840" s="2521"/>
      <c r="Y840" s="2521"/>
      <c r="Z840" s="2521"/>
    </row>
    <row r="841" spans="1:26" ht="16.5" customHeight="1">
      <c r="A841" s="2521"/>
      <c r="B841" s="2526"/>
      <c r="C841" s="2521"/>
      <c r="D841" s="2521"/>
      <c r="E841" s="2521"/>
      <c r="F841" s="2521"/>
      <c r="G841" s="2521"/>
      <c r="H841" s="2521"/>
      <c r="I841" s="2521"/>
      <c r="J841" s="2521"/>
      <c r="K841" s="2521"/>
      <c r="L841" s="2521"/>
      <c r="M841" s="2521"/>
      <c r="N841" s="2521"/>
      <c r="O841" s="2521"/>
      <c r="P841" s="2521"/>
      <c r="Q841" s="2521"/>
      <c r="R841" s="2521"/>
      <c r="S841" s="2521"/>
      <c r="T841" s="2521"/>
      <c r="U841" s="2521"/>
      <c r="V841" s="2521"/>
      <c r="W841" s="2521"/>
      <c r="X841" s="2521"/>
      <c r="Y841" s="2521"/>
      <c r="Z841" s="2521"/>
    </row>
    <row r="842" spans="1:26" ht="16.5" customHeight="1">
      <c r="A842" s="2521"/>
      <c r="B842" s="2526"/>
      <c r="C842" s="2521"/>
      <c r="D842" s="2521"/>
      <c r="E842" s="2521"/>
      <c r="F842" s="2521"/>
      <c r="G842" s="2521"/>
      <c r="H842" s="2521"/>
      <c r="I842" s="2521"/>
      <c r="J842" s="2521"/>
      <c r="K842" s="2521"/>
      <c r="L842" s="2521"/>
      <c r="M842" s="2521"/>
      <c r="N842" s="2521"/>
      <c r="O842" s="2521"/>
      <c r="P842" s="2521"/>
      <c r="Q842" s="2521"/>
      <c r="R842" s="2521"/>
      <c r="S842" s="2521"/>
      <c r="T842" s="2521"/>
      <c r="U842" s="2521"/>
      <c r="V842" s="2521"/>
      <c r="W842" s="2521"/>
      <c r="X842" s="2521"/>
      <c r="Y842" s="2521"/>
      <c r="Z842" s="2521"/>
    </row>
    <row r="843" spans="1:26" ht="16.5" customHeight="1">
      <c r="A843" s="2521"/>
      <c r="B843" s="2526"/>
      <c r="C843" s="2521"/>
      <c r="D843" s="2521"/>
      <c r="E843" s="2521"/>
      <c r="F843" s="2521"/>
      <c r="G843" s="2521"/>
      <c r="H843" s="2521"/>
      <c r="I843" s="2521"/>
      <c r="J843" s="2521"/>
      <c r="K843" s="2521"/>
      <c r="L843" s="2521"/>
      <c r="M843" s="2521"/>
      <c r="N843" s="2521"/>
      <c r="O843" s="2521"/>
      <c r="P843" s="2521"/>
      <c r="Q843" s="2521"/>
      <c r="R843" s="2521"/>
      <c r="S843" s="2521"/>
      <c r="T843" s="2521"/>
      <c r="U843" s="2521"/>
      <c r="V843" s="2521"/>
      <c r="W843" s="2521"/>
      <c r="X843" s="2521"/>
      <c r="Y843" s="2521"/>
      <c r="Z843" s="2521"/>
    </row>
    <row r="844" spans="1:26" ht="16.5" customHeight="1">
      <c r="A844" s="2521"/>
      <c r="B844" s="2526"/>
      <c r="C844" s="2521"/>
      <c r="D844" s="2521"/>
      <c r="E844" s="2521"/>
      <c r="F844" s="2521"/>
      <c r="G844" s="2521"/>
      <c r="H844" s="2521"/>
      <c r="I844" s="2521"/>
      <c r="J844" s="2521"/>
      <c r="K844" s="2521"/>
      <c r="L844" s="2521"/>
      <c r="M844" s="2521"/>
      <c r="N844" s="2521"/>
      <c r="O844" s="2521"/>
      <c r="P844" s="2521"/>
      <c r="Q844" s="2521"/>
      <c r="R844" s="2521"/>
      <c r="S844" s="2521"/>
      <c r="T844" s="2521"/>
      <c r="U844" s="2521"/>
      <c r="V844" s="2521"/>
      <c r="W844" s="2521"/>
      <c r="X844" s="2521"/>
      <c r="Y844" s="2521"/>
      <c r="Z844" s="2521"/>
    </row>
    <row r="845" spans="1:26" ht="16.5" customHeight="1">
      <c r="A845" s="2521"/>
      <c r="B845" s="2526"/>
      <c r="C845" s="2521"/>
      <c r="D845" s="2521"/>
      <c r="E845" s="2521"/>
      <c r="F845" s="2521"/>
      <c r="G845" s="2521"/>
      <c r="H845" s="2521"/>
      <c r="I845" s="2521"/>
      <c r="J845" s="2521"/>
      <c r="K845" s="2521"/>
      <c r="L845" s="2521"/>
      <c r="M845" s="2521"/>
      <c r="N845" s="2521"/>
      <c r="O845" s="2521"/>
      <c r="P845" s="2521"/>
      <c r="Q845" s="2521"/>
      <c r="R845" s="2521"/>
      <c r="S845" s="2521"/>
      <c r="T845" s="2521"/>
      <c r="U845" s="2521"/>
      <c r="V845" s="2521"/>
      <c r="W845" s="2521"/>
      <c r="X845" s="2521"/>
      <c r="Y845" s="2521"/>
      <c r="Z845" s="2521"/>
    </row>
    <row r="846" spans="1:26" ht="16.5" customHeight="1">
      <c r="A846" s="2521"/>
      <c r="B846" s="2526"/>
      <c r="C846" s="2521"/>
      <c r="D846" s="2521"/>
      <c r="E846" s="2521"/>
      <c r="F846" s="2521"/>
      <c r="G846" s="2521"/>
      <c r="H846" s="2521"/>
      <c r="I846" s="2521"/>
      <c r="J846" s="2521"/>
      <c r="K846" s="2521"/>
      <c r="L846" s="2521"/>
      <c r="M846" s="2521"/>
      <c r="N846" s="2521"/>
      <c r="O846" s="2521"/>
      <c r="P846" s="2521"/>
      <c r="Q846" s="2521"/>
      <c r="R846" s="2521"/>
      <c r="S846" s="2521"/>
      <c r="T846" s="2521"/>
      <c r="U846" s="2521"/>
      <c r="V846" s="2521"/>
      <c r="W846" s="2521"/>
      <c r="X846" s="2521"/>
      <c r="Y846" s="2521"/>
      <c r="Z846" s="2521"/>
    </row>
    <row r="847" spans="1:26" ht="16.5" customHeight="1">
      <c r="A847" s="2521"/>
      <c r="B847" s="2526"/>
      <c r="C847" s="2521"/>
      <c r="D847" s="2521"/>
      <c r="E847" s="2521"/>
      <c r="F847" s="2521"/>
      <c r="G847" s="2521"/>
      <c r="H847" s="2521"/>
      <c r="I847" s="2521"/>
      <c r="J847" s="2521"/>
      <c r="K847" s="2521"/>
      <c r="L847" s="2521"/>
      <c r="M847" s="2521"/>
      <c r="N847" s="2521"/>
      <c r="O847" s="2521"/>
      <c r="P847" s="2521"/>
      <c r="Q847" s="2521"/>
      <c r="R847" s="2521"/>
      <c r="S847" s="2521"/>
      <c r="T847" s="2521"/>
      <c r="U847" s="2521"/>
      <c r="V847" s="2521"/>
      <c r="W847" s="2521"/>
      <c r="X847" s="2521"/>
      <c r="Y847" s="2521"/>
      <c r="Z847" s="2521"/>
    </row>
    <row r="848" spans="1:26" ht="16.5" customHeight="1">
      <c r="A848" s="2521"/>
      <c r="B848" s="2526"/>
      <c r="C848" s="2521"/>
      <c r="D848" s="2521"/>
      <c r="E848" s="2521"/>
      <c r="F848" s="2521"/>
      <c r="G848" s="2521"/>
      <c r="H848" s="2521"/>
      <c r="I848" s="2521"/>
      <c r="J848" s="2521"/>
      <c r="K848" s="2521"/>
      <c r="L848" s="2521"/>
      <c r="M848" s="2521"/>
      <c r="N848" s="2521"/>
      <c r="O848" s="2521"/>
      <c r="P848" s="2521"/>
      <c r="Q848" s="2521"/>
      <c r="R848" s="2521"/>
      <c r="S848" s="2521"/>
      <c r="T848" s="2521"/>
      <c r="U848" s="2521"/>
      <c r="V848" s="2521"/>
      <c r="W848" s="2521"/>
      <c r="X848" s="2521"/>
      <c r="Y848" s="2521"/>
      <c r="Z848" s="2521"/>
    </row>
    <row r="849" spans="1:26" ht="16.5" customHeight="1">
      <c r="A849" s="2521"/>
      <c r="B849" s="2526"/>
      <c r="C849" s="2521"/>
      <c r="D849" s="2521"/>
      <c r="E849" s="2521"/>
      <c r="F849" s="2521"/>
      <c r="G849" s="2521"/>
      <c r="H849" s="2521"/>
      <c r="I849" s="2521"/>
      <c r="J849" s="2521"/>
      <c r="K849" s="2521"/>
      <c r="L849" s="2521"/>
      <c r="M849" s="2521"/>
      <c r="N849" s="2521"/>
      <c r="O849" s="2521"/>
      <c r="P849" s="2521"/>
      <c r="Q849" s="2521"/>
      <c r="R849" s="2521"/>
      <c r="S849" s="2521"/>
      <c r="T849" s="2521"/>
      <c r="U849" s="2521"/>
      <c r="V849" s="2521"/>
      <c r="W849" s="2521"/>
      <c r="X849" s="2521"/>
      <c r="Y849" s="2521"/>
      <c r="Z849" s="2521"/>
    </row>
    <row r="850" spans="1:26" ht="16.5" customHeight="1">
      <c r="A850" s="2521"/>
      <c r="B850" s="2526"/>
      <c r="C850" s="2521"/>
      <c r="D850" s="2521"/>
      <c r="E850" s="2521"/>
      <c r="F850" s="2521"/>
      <c r="G850" s="2521"/>
      <c r="H850" s="2521"/>
      <c r="I850" s="2521"/>
      <c r="J850" s="2521"/>
      <c r="K850" s="2521"/>
      <c r="L850" s="2521"/>
      <c r="M850" s="2521"/>
      <c r="N850" s="2521"/>
      <c r="O850" s="2521"/>
      <c r="P850" s="2521"/>
      <c r="Q850" s="2521"/>
      <c r="R850" s="2521"/>
      <c r="S850" s="2521"/>
      <c r="T850" s="2521"/>
      <c r="U850" s="2521"/>
      <c r="V850" s="2521"/>
      <c r="W850" s="2521"/>
      <c r="X850" s="2521"/>
      <c r="Y850" s="2521"/>
      <c r="Z850" s="2521"/>
    </row>
    <row r="851" spans="1:26" ht="16.5" customHeight="1">
      <c r="A851" s="2521"/>
      <c r="B851" s="2526"/>
      <c r="C851" s="2521"/>
      <c r="D851" s="2521"/>
      <c r="E851" s="2521"/>
      <c r="F851" s="2521"/>
      <c r="G851" s="2521"/>
      <c r="H851" s="2521"/>
      <c r="I851" s="2521"/>
      <c r="J851" s="2521"/>
      <c r="K851" s="2521"/>
      <c r="L851" s="2521"/>
      <c r="M851" s="2521"/>
      <c r="N851" s="2521"/>
      <c r="O851" s="2521"/>
      <c r="P851" s="2521"/>
      <c r="Q851" s="2521"/>
      <c r="R851" s="2521"/>
      <c r="S851" s="2521"/>
      <c r="T851" s="2521"/>
      <c r="U851" s="2521"/>
      <c r="V851" s="2521"/>
      <c r="W851" s="2521"/>
      <c r="X851" s="2521"/>
      <c r="Y851" s="2521"/>
      <c r="Z851" s="2521"/>
    </row>
    <row r="852" spans="1:26" ht="16.5" customHeight="1">
      <c r="A852" s="2521"/>
      <c r="B852" s="2526"/>
      <c r="C852" s="2521"/>
      <c r="D852" s="2521"/>
      <c r="E852" s="2521"/>
      <c r="F852" s="2521"/>
      <c r="G852" s="2521"/>
      <c r="H852" s="2521"/>
      <c r="I852" s="2521"/>
      <c r="J852" s="2521"/>
      <c r="K852" s="2521"/>
      <c r="L852" s="2521"/>
      <c r="M852" s="2521"/>
      <c r="N852" s="2521"/>
      <c r="O852" s="2521"/>
      <c r="P852" s="2521"/>
      <c r="Q852" s="2521"/>
      <c r="R852" s="2521"/>
      <c r="S852" s="2521"/>
      <c r="T852" s="2521"/>
      <c r="U852" s="2521"/>
      <c r="V852" s="2521"/>
      <c r="W852" s="2521"/>
      <c r="X852" s="2521"/>
      <c r="Y852" s="2521"/>
      <c r="Z852" s="2521"/>
    </row>
    <row r="853" spans="1:26" ht="16.5" customHeight="1">
      <c r="A853" s="2521"/>
      <c r="B853" s="2526"/>
      <c r="C853" s="2521"/>
      <c r="D853" s="2521"/>
      <c r="E853" s="2521"/>
      <c r="F853" s="2521"/>
      <c r="G853" s="2521"/>
      <c r="H853" s="2521"/>
      <c r="I853" s="2521"/>
      <c r="J853" s="2521"/>
      <c r="K853" s="2521"/>
      <c r="L853" s="2521"/>
      <c r="M853" s="2521"/>
      <c r="N853" s="2521"/>
      <c r="O853" s="2521"/>
      <c r="P853" s="2521"/>
      <c r="Q853" s="2521"/>
      <c r="R853" s="2521"/>
      <c r="S853" s="2521"/>
      <c r="T853" s="2521"/>
      <c r="U853" s="2521"/>
      <c r="V853" s="2521"/>
      <c r="W853" s="2521"/>
      <c r="X853" s="2521"/>
      <c r="Y853" s="2521"/>
      <c r="Z853" s="2521"/>
    </row>
    <row r="854" spans="1:26" ht="16.5" customHeight="1">
      <c r="A854" s="2521"/>
      <c r="B854" s="2526"/>
      <c r="C854" s="2521"/>
      <c r="D854" s="2521"/>
      <c r="E854" s="2521"/>
      <c r="F854" s="2521"/>
      <c r="G854" s="2521"/>
      <c r="H854" s="2521"/>
      <c r="I854" s="2521"/>
      <c r="J854" s="2521"/>
      <c r="K854" s="2521"/>
      <c r="L854" s="2521"/>
      <c r="M854" s="2521"/>
      <c r="N854" s="2521"/>
      <c r="O854" s="2521"/>
      <c r="P854" s="2521"/>
      <c r="Q854" s="2521"/>
      <c r="R854" s="2521"/>
      <c r="S854" s="2521"/>
      <c r="T854" s="2521"/>
      <c r="U854" s="2521"/>
      <c r="V854" s="2521"/>
      <c r="W854" s="2521"/>
      <c r="X854" s="2521"/>
      <c r="Y854" s="2521"/>
      <c r="Z854" s="2521"/>
    </row>
    <row r="855" spans="1:26" ht="16.5" customHeight="1">
      <c r="A855" s="2521"/>
      <c r="B855" s="2526"/>
      <c r="C855" s="2521"/>
      <c r="D855" s="2521"/>
      <c r="E855" s="2521"/>
      <c r="F855" s="2521"/>
      <c r="G855" s="2521"/>
      <c r="H855" s="2521"/>
      <c r="I855" s="2521"/>
      <c r="J855" s="2521"/>
      <c r="K855" s="2521"/>
      <c r="L855" s="2521"/>
      <c r="M855" s="2521"/>
      <c r="N855" s="2521"/>
      <c r="O855" s="2521"/>
      <c r="P855" s="2521"/>
      <c r="Q855" s="2521"/>
      <c r="R855" s="2521"/>
      <c r="S855" s="2521"/>
      <c r="T855" s="2521"/>
      <c r="U855" s="2521"/>
      <c r="V855" s="2521"/>
      <c r="W855" s="2521"/>
      <c r="X855" s="2521"/>
      <c r="Y855" s="2521"/>
      <c r="Z855" s="2521"/>
    </row>
    <row r="856" spans="1:26" ht="16.5" customHeight="1">
      <c r="A856" s="2521"/>
      <c r="B856" s="2526"/>
      <c r="C856" s="2521"/>
      <c r="D856" s="2521"/>
      <c r="E856" s="2521"/>
      <c r="F856" s="2521"/>
      <c r="G856" s="2521"/>
      <c r="H856" s="2521"/>
      <c r="I856" s="2521"/>
      <c r="J856" s="2521"/>
      <c r="K856" s="2521"/>
      <c r="L856" s="2521"/>
      <c r="M856" s="2521"/>
      <c r="N856" s="2521"/>
      <c r="O856" s="2521"/>
      <c r="P856" s="2521"/>
      <c r="Q856" s="2521"/>
      <c r="R856" s="2521"/>
      <c r="S856" s="2521"/>
      <c r="T856" s="2521"/>
      <c r="U856" s="2521"/>
      <c r="V856" s="2521"/>
      <c r="W856" s="2521"/>
      <c r="X856" s="2521"/>
      <c r="Y856" s="2521"/>
      <c r="Z856" s="2521"/>
    </row>
    <row r="857" spans="1:26" ht="16.5" customHeight="1">
      <c r="A857" s="2521"/>
      <c r="B857" s="2526"/>
      <c r="C857" s="2521"/>
      <c r="D857" s="2521"/>
      <c r="E857" s="2521"/>
      <c r="F857" s="2521"/>
      <c r="G857" s="2521"/>
      <c r="H857" s="2521"/>
      <c r="I857" s="2521"/>
      <c r="J857" s="2521"/>
      <c r="K857" s="2521"/>
      <c r="L857" s="2521"/>
      <c r="M857" s="2521"/>
      <c r="N857" s="2521"/>
      <c r="O857" s="2521"/>
      <c r="P857" s="2521"/>
      <c r="Q857" s="2521"/>
      <c r="R857" s="2521"/>
      <c r="S857" s="2521"/>
      <c r="T857" s="2521"/>
      <c r="U857" s="2521"/>
      <c r="V857" s="2521"/>
      <c r="W857" s="2521"/>
      <c r="X857" s="2521"/>
      <c r="Y857" s="2521"/>
      <c r="Z857" s="2521"/>
    </row>
    <row r="858" spans="1:26" ht="16.5" customHeight="1">
      <c r="A858" s="2521"/>
      <c r="B858" s="2526"/>
      <c r="C858" s="2521"/>
      <c r="D858" s="2521"/>
      <c r="E858" s="2521"/>
      <c r="F858" s="2521"/>
      <c r="G858" s="2521"/>
      <c r="H858" s="2521"/>
      <c r="I858" s="2521"/>
      <c r="J858" s="2521"/>
      <c r="K858" s="2521"/>
      <c r="L858" s="2521"/>
      <c r="M858" s="2521"/>
      <c r="N858" s="2521"/>
      <c r="O858" s="2521"/>
      <c r="P858" s="2521"/>
      <c r="Q858" s="2521"/>
      <c r="R858" s="2521"/>
      <c r="S858" s="2521"/>
      <c r="T858" s="2521"/>
      <c r="U858" s="2521"/>
      <c r="V858" s="2521"/>
      <c r="W858" s="2521"/>
      <c r="X858" s="2521"/>
      <c r="Y858" s="2521"/>
      <c r="Z858" s="2521"/>
    </row>
    <row r="859" spans="1:26" ht="16.5" customHeight="1">
      <c r="A859" s="2521"/>
      <c r="B859" s="2526"/>
      <c r="C859" s="2521"/>
      <c r="D859" s="2521"/>
      <c r="E859" s="2521"/>
      <c r="F859" s="2521"/>
      <c r="G859" s="2521"/>
      <c r="H859" s="2521"/>
      <c r="I859" s="2521"/>
      <c r="J859" s="2521"/>
      <c r="K859" s="2521"/>
      <c r="L859" s="2521"/>
      <c r="M859" s="2521"/>
      <c r="N859" s="2521"/>
      <c r="O859" s="2521"/>
      <c r="P859" s="2521"/>
      <c r="Q859" s="2521"/>
      <c r="R859" s="2521"/>
      <c r="S859" s="2521"/>
      <c r="T859" s="2521"/>
      <c r="U859" s="2521"/>
      <c r="V859" s="2521"/>
      <c r="W859" s="2521"/>
      <c r="X859" s="2521"/>
      <c r="Y859" s="2521"/>
      <c r="Z859" s="2521"/>
    </row>
    <row r="860" spans="1:26" ht="16.5" customHeight="1">
      <c r="A860" s="2521"/>
      <c r="B860" s="2526"/>
      <c r="C860" s="2521"/>
      <c r="D860" s="2521"/>
      <c r="E860" s="2521"/>
      <c r="F860" s="2521"/>
      <c r="G860" s="2521"/>
      <c r="H860" s="2521"/>
      <c r="I860" s="2521"/>
      <c r="J860" s="2521"/>
      <c r="K860" s="2521"/>
      <c r="L860" s="2521"/>
      <c r="M860" s="2521"/>
      <c r="N860" s="2521"/>
      <c r="O860" s="2521"/>
      <c r="P860" s="2521"/>
      <c r="Q860" s="2521"/>
      <c r="R860" s="2521"/>
      <c r="S860" s="2521"/>
      <c r="T860" s="2521"/>
      <c r="U860" s="2521"/>
      <c r="V860" s="2521"/>
      <c r="W860" s="2521"/>
      <c r="X860" s="2521"/>
      <c r="Y860" s="2521"/>
      <c r="Z860" s="2521"/>
    </row>
    <row r="861" spans="1:26" ht="16.5" customHeight="1">
      <c r="A861" s="2521"/>
      <c r="B861" s="2526"/>
      <c r="C861" s="2521"/>
      <c r="D861" s="2521"/>
      <c r="E861" s="2521"/>
      <c r="F861" s="2521"/>
      <c r="G861" s="2521"/>
      <c r="H861" s="2521"/>
      <c r="I861" s="2521"/>
      <c r="J861" s="2521"/>
      <c r="K861" s="2521"/>
      <c r="L861" s="2521"/>
      <c r="M861" s="2521"/>
      <c r="N861" s="2521"/>
      <c r="O861" s="2521"/>
      <c r="P861" s="2521"/>
      <c r="Q861" s="2521"/>
      <c r="R861" s="2521"/>
      <c r="S861" s="2521"/>
      <c r="T861" s="2521"/>
      <c r="U861" s="2521"/>
      <c r="V861" s="2521"/>
      <c r="W861" s="2521"/>
      <c r="X861" s="2521"/>
      <c r="Y861" s="2521"/>
      <c r="Z861" s="2521"/>
    </row>
    <row r="862" spans="1:26" ht="16.5" customHeight="1">
      <c r="A862" s="2521"/>
      <c r="B862" s="2526"/>
      <c r="C862" s="2521"/>
      <c r="D862" s="2521"/>
      <c r="E862" s="2521"/>
      <c r="F862" s="2521"/>
      <c r="G862" s="2521"/>
      <c r="H862" s="2521"/>
      <c r="I862" s="2521"/>
      <c r="J862" s="2521"/>
      <c r="K862" s="2521"/>
      <c r="L862" s="2521"/>
      <c r="M862" s="2521"/>
      <c r="N862" s="2521"/>
      <c r="O862" s="2521"/>
      <c r="P862" s="2521"/>
      <c r="Q862" s="2521"/>
      <c r="R862" s="2521"/>
      <c r="S862" s="2521"/>
      <c r="T862" s="2521"/>
      <c r="U862" s="2521"/>
      <c r="V862" s="2521"/>
      <c r="W862" s="2521"/>
      <c r="X862" s="2521"/>
      <c r="Y862" s="2521"/>
      <c r="Z862" s="2521"/>
    </row>
    <row r="863" spans="1:26" ht="16.5" customHeight="1">
      <c r="A863" s="2521"/>
      <c r="B863" s="2526"/>
      <c r="C863" s="2521"/>
      <c r="D863" s="2521"/>
      <c r="E863" s="2521"/>
      <c r="F863" s="2521"/>
      <c r="G863" s="2521"/>
      <c r="H863" s="2521"/>
      <c r="I863" s="2521"/>
      <c r="J863" s="2521"/>
      <c r="K863" s="2521"/>
      <c r="L863" s="2521"/>
      <c r="M863" s="2521"/>
      <c r="N863" s="2521"/>
      <c r="O863" s="2521"/>
      <c r="P863" s="2521"/>
      <c r="Q863" s="2521"/>
      <c r="R863" s="2521"/>
      <c r="S863" s="2521"/>
      <c r="T863" s="2521"/>
      <c r="U863" s="2521"/>
      <c r="V863" s="2521"/>
      <c r="W863" s="2521"/>
      <c r="X863" s="2521"/>
      <c r="Y863" s="2521"/>
      <c r="Z863" s="2521"/>
    </row>
    <row r="864" spans="1:26" ht="16.5" customHeight="1">
      <c r="A864" s="2521"/>
      <c r="B864" s="2526"/>
      <c r="C864" s="2521"/>
      <c r="D864" s="2521"/>
      <c r="E864" s="2521"/>
      <c r="F864" s="2521"/>
      <c r="G864" s="2521"/>
      <c r="H864" s="2521"/>
      <c r="I864" s="2521"/>
      <c r="J864" s="2521"/>
      <c r="K864" s="2521"/>
      <c r="L864" s="2521"/>
      <c r="M864" s="2521"/>
      <c r="N864" s="2521"/>
      <c r="O864" s="2521"/>
      <c r="P864" s="2521"/>
      <c r="Q864" s="2521"/>
      <c r="R864" s="2521"/>
      <c r="S864" s="2521"/>
      <c r="T864" s="2521"/>
      <c r="U864" s="2521"/>
      <c r="V864" s="2521"/>
      <c r="W864" s="2521"/>
      <c r="X864" s="2521"/>
      <c r="Y864" s="2521"/>
      <c r="Z864" s="2521"/>
    </row>
    <row r="865" spans="1:26" ht="16.5" customHeight="1">
      <c r="A865" s="2521"/>
      <c r="B865" s="2526"/>
      <c r="C865" s="2521"/>
      <c r="D865" s="2521"/>
      <c r="E865" s="2521"/>
      <c r="F865" s="2521"/>
      <c r="G865" s="2521"/>
      <c r="H865" s="2521"/>
      <c r="I865" s="2521"/>
      <c r="J865" s="2521"/>
      <c r="K865" s="2521"/>
      <c r="L865" s="2521"/>
      <c r="M865" s="2521"/>
      <c r="N865" s="2521"/>
      <c r="O865" s="2521"/>
      <c r="P865" s="2521"/>
      <c r="Q865" s="2521"/>
      <c r="R865" s="2521"/>
      <c r="S865" s="2521"/>
      <c r="T865" s="2521"/>
      <c r="U865" s="2521"/>
      <c r="V865" s="2521"/>
      <c r="W865" s="2521"/>
      <c r="X865" s="2521"/>
      <c r="Y865" s="2521"/>
      <c r="Z865" s="2521"/>
    </row>
    <row r="866" spans="1:26" ht="16.5" customHeight="1">
      <c r="A866" s="2521"/>
      <c r="B866" s="2526"/>
      <c r="C866" s="2521"/>
      <c r="D866" s="2521"/>
      <c r="E866" s="2521"/>
      <c r="F866" s="2521"/>
      <c r="G866" s="2521"/>
      <c r="H866" s="2521"/>
      <c r="I866" s="2521"/>
      <c r="J866" s="2521"/>
      <c r="K866" s="2521"/>
      <c r="L866" s="2521"/>
      <c r="M866" s="2521"/>
      <c r="N866" s="2521"/>
      <c r="O866" s="2521"/>
      <c r="P866" s="2521"/>
      <c r="Q866" s="2521"/>
      <c r="R866" s="2521"/>
      <c r="S866" s="2521"/>
      <c r="T866" s="2521"/>
      <c r="U866" s="2521"/>
      <c r="V866" s="2521"/>
      <c r="W866" s="2521"/>
      <c r="X866" s="2521"/>
      <c r="Y866" s="2521"/>
      <c r="Z866" s="2521"/>
    </row>
    <row r="867" spans="1:26" ht="16.5" customHeight="1">
      <c r="A867" s="2521"/>
      <c r="B867" s="2526"/>
      <c r="C867" s="2521"/>
      <c r="D867" s="2521"/>
      <c r="E867" s="2521"/>
      <c r="F867" s="2521"/>
      <c r="G867" s="2521"/>
      <c r="H867" s="2521"/>
      <c r="I867" s="2521"/>
      <c r="J867" s="2521"/>
      <c r="K867" s="2521"/>
      <c r="L867" s="2521"/>
      <c r="M867" s="2521"/>
      <c r="N867" s="2521"/>
      <c r="O867" s="2521"/>
      <c r="P867" s="2521"/>
      <c r="Q867" s="2521"/>
      <c r="R867" s="2521"/>
      <c r="S867" s="2521"/>
      <c r="T867" s="2521"/>
      <c r="U867" s="2521"/>
      <c r="V867" s="2521"/>
      <c r="W867" s="2521"/>
      <c r="X867" s="2521"/>
      <c r="Y867" s="2521"/>
      <c r="Z867" s="2521"/>
    </row>
    <row r="868" spans="1:26" ht="16.5" customHeight="1">
      <c r="A868" s="2521"/>
      <c r="B868" s="2526"/>
      <c r="C868" s="2521"/>
      <c r="D868" s="2521"/>
      <c r="E868" s="2521"/>
      <c r="F868" s="2521"/>
      <c r="G868" s="2521"/>
      <c r="H868" s="2521"/>
      <c r="I868" s="2521"/>
      <c r="J868" s="2521"/>
      <c r="K868" s="2521"/>
      <c r="L868" s="2521"/>
      <c r="M868" s="2521"/>
      <c r="N868" s="2521"/>
      <c r="O868" s="2521"/>
      <c r="P868" s="2521"/>
      <c r="Q868" s="2521"/>
      <c r="R868" s="2521"/>
      <c r="S868" s="2521"/>
      <c r="T868" s="2521"/>
      <c r="U868" s="2521"/>
      <c r="V868" s="2521"/>
      <c r="W868" s="2521"/>
      <c r="X868" s="2521"/>
      <c r="Y868" s="2521"/>
      <c r="Z868" s="2521"/>
    </row>
    <row r="869" spans="1:26" ht="16.5" customHeight="1">
      <c r="A869" s="2521"/>
      <c r="B869" s="2526"/>
      <c r="C869" s="2521"/>
      <c r="D869" s="2521"/>
      <c r="E869" s="2521"/>
      <c r="F869" s="2521"/>
      <c r="G869" s="2521"/>
      <c r="H869" s="2521"/>
      <c r="I869" s="2521"/>
      <c r="J869" s="2521"/>
      <c r="K869" s="2521"/>
      <c r="L869" s="2521"/>
      <c r="M869" s="2521"/>
      <c r="N869" s="2521"/>
      <c r="O869" s="2521"/>
      <c r="P869" s="2521"/>
      <c r="Q869" s="2521"/>
      <c r="R869" s="2521"/>
      <c r="S869" s="2521"/>
      <c r="T869" s="2521"/>
      <c r="U869" s="2521"/>
      <c r="V869" s="2521"/>
      <c r="W869" s="2521"/>
      <c r="X869" s="2521"/>
      <c r="Y869" s="2521"/>
      <c r="Z869" s="2521"/>
    </row>
    <row r="870" spans="1:26" ht="16.5" customHeight="1">
      <c r="A870" s="2521"/>
      <c r="B870" s="2526"/>
      <c r="C870" s="2521"/>
      <c r="D870" s="2521"/>
      <c r="E870" s="2521"/>
      <c r="F870" s="2521"/>
      <c r="G870" s="2521"/>
      <c r="H870" s="2521"/>
      <c r="I870" s="2521"/>
      <c r="J870" s="2521"/>
      <c r="K870" s="2521"/>
      <c r="L870" s="2521"/>
      <c r="M870" s="2521"/>
      <c r="N870" s="2521"/>
      <c r="O870" s="2521"/>
      <c r="P870" s="2521"/>
      <c r="Q870" s="2521"/>
      <c r="R870" s="2521"/>
      <c r="S870" s="2521"/>
      <c r="T870" s="2521"/>
      <c r="U870" s="2521"/>
      <c r="V870" s="2521"/>
      <c r="W870" s="2521"/>
      <c r="X870" s="2521"/>
      <c r="Y870" s="2521"/>
      <c r="Z870" s="2521"/>
    </row>
    <row r="871" spans="1:26" ht="16.5" customHeight="1">
      <c r="A871" s="2521"/>
      <c r="B871" s="2526"/>
      <c r="C871" s="2521"/>
      <c r="D871" s="2521"/>
      <c r="E871" s="2521"/>
      <c r="F871" s="2521"/>
      <c r="G871" s="2521"/>
      <c r="H871" s="2521"/>
      <c r="I871" s="2521"/>
      <c r="J871" s="2521"/>
      <c r="K871" s="2521"/>
      <c r="L871" s="2521"/>
      <c r="M871" s="2521"/>
      <c r="N871" s="2521"/>
      <c r="O871" s="2521"/>
      <c r="P871" s="2521"/>
      <c r="Q871" s="2521"/>
      <c r="R871" s="2521"/>
      <c r="S871" s="2521"/>
      <c r="T871" s="2521"/>
      <c r="U871" s="2521"/>
      <c r="V871" s="2521"/>
      <c r="W871" s="2521"/>
      <c r="X871" s="2521"/>
      <c r="Y871" s="2521"/>
      <c r="Z871" s="2521"/>
    </row>
    <row r="872" spans="1:26" ht="16.5" customHeight="1">
      <c r="A872" s="2521"/>
      <c r="B872" s="2526"/>
      <c r="C872" s="2521"/>
      <c r="D872" s="2521"/>
      <c r="E872" s="2521"/>
      <c r="F872" s="2521"/>
      <c r="G872" s="2521"/>
      <c r="H872" s="2521"/>
      <c r="I872" s="2521"/>
      <c r="J872" s="2521"/>
      <c r="K872" s="2521"/>
      <c r="L872" s="2521"/>
      <c r="M872" s="2521"/>
      <c r="N872" s="2521"/>
      <c r="O872" s="2521"/>
      <c r="P872" s="2521"/>
      <c r="Q872" s="2521"/>
      <c r="R872" s="2521"/>
      <c r="S872" s="2521"/>
      <c r="T872" s="2521"/>
      <c r="U872" s="2521"/>
      <c r="V872" s="2521"/>
      <c r="W872" s="2521"/>
      <c r="X872" s="2521"/>
      <c r="Y872" s="2521"/>
      <c r="Z872" s="2521"/>
    </row>
    <row r="873" spans="1:26" ht="16.5" customHeight="1">
      <c r="A873" s="2521"/>
      <c r="B873" s="2526"/>
      <c r="C873" s="2521"/>
      <c r="D873" s="2521"/>
      <c r="E873" s="2521"/>
      <c r="F873" s="2521"/>
      <c r="G873" s="2521"/>
      <c r="H873" s="2521"/>
      <c r="I873" s="2521"/>
      <c r="J873" s="2521"/>
      <c r="K873" s="2521"/>
      <c r="L873" s="2521"/>
      <c r="M873" s="2521"/>
      <c r="N873" s="2521"/>
      <c r="O873" s="2521"/>
      <c r="P873" s="2521"/>
      <c r="Q873" s="2521"/>
      <c r="R873" s="2521"/>
      <c r="S873" s="2521"/>
      <c r="T873" s="2521"/>
      <c r="U873" s="2521"/>
      <c r="V873" s="2521"/>
      <c r="W873" s="2521"/>
      <c r="X873" s="2521"/>
      <c r="Y873" s="2521"/>
      <c r="Z873" s="2521"/>
    </row>
    <row r="874" spans="1:26" ht="16.5" customHeight="1">
      <c r="A874" s="2521"/>
      <c r="B874" s="2526"/>
      <c r="C874" s="2521"/>
      <c r="D874" s="2521"/>
      <c r="E874" s="2521"/>
      <c r="F874" s="2521"/>
      <c r="G874" s="2521"/>
      <c r="H874" s="2521"/>
      <c r="I874" s="2521"/>
      <c r="J874" s="2521"/>
      <c r="K874" s="2521"/>
      <c r="L874" s="2521"/>
      <c r="M874" s="2521"/>
      <c r="N874" s="2521"/>
      <c r="O874" s="2521"/>
      <c r="P874" s="2521"/>
      <c r="Q874" s="2521"/>
      <c r="R874" s="2521"/>
      <c r="S874" s="2521"/>
      <c r="T874" s="2521"/>
      <c r="U874" s="2521"/>
      <c r="V874" s="2521"/>
      <c r="W874" s="2521"/>
      <c r="X874" s="2521"/>
      <c r="Y874" s="2521"/>
      <c r="Z874" s="2521"/>
    </row>
    <row r="875" spans="1:26" ht="16.5" customHeight="1">
      <c r="A875" s="2521"/>
      <c r="B875" s="2526"/>
      <c r="C875" s="2521"/>
      <c r="D875" s="2521"/>
      <c r="E875" s="2521"/>
      <c r="F875" s="2521"/>
      <c r="G875" s="2521"/>
      <c r="H875" s="2521"/>
      <c r="I875" s="2521"/>
      <c r="J875" s="2521"/>
      <c r="K875" s="2521"/>
      <c r="L875" s="2521"/>
      <c r="M875" s="2521"/>
      <c r="N875" s="2521"/>
      <c r="O875" s="2521"/>
      <c r="P875" s="2521"/>
      <c r="Q875" s="2521"/>
      <c r="R875" s="2521"/>
      <c r="S875" s="2521"/>
      <c r="T875" s="2521"/>
      <c r="U875" s="2521"/>
      <c r="V875" s="2521"/>
      <c r="W875" s="2521"/>
      <c r="X875" s="2521"/>
      <c r="Y875" s="2521"/>
      <c r="Z875" s="2521"/>
    </row>
    <row r="876" spans="1:26" ht="16.5" customHeight="1">
      <c r="A876" s="2521"/>
      <c r="B876" s="2526"/>
      <c r="C876" s="2521"/>
      <c r="D876" s="2521"/>
      <c r="E876" s="2521"/>
      <c r="F876" s="2521"/>
      <c r="G876" s="2521"/>
      <c r="H876" s="2521"/>
      <c r="I876" s="2521"/>
      <c r="J876" s="2521"/>
      <c r="K876" s="2521"/>
      <c r="L876" s="2521"/>
      <c r="M876" s="2521"/>
      <c r="N876" s="2521"/>
      <c r="O876" s="2521"/>
      <c r="P876" s="2521"/>
      <c r="Q876" s="2521"/>
      <c r="R876" s="2521"/>
      <c r="S876" s="2521"/>
      <c r="T876" s="2521"/>
      <c r="U876" s="2521"/>
      <c r="V876" s="2521"/>
      <c r="W876" s="2521"/>
      <c r="X876" s="2521"/>
      <c r="Y876" s="2521"/>
      <c r="Z876" s="2521"/>
    </row>
    <row r="877" spans="1:26" ht="16.5" customHeight="1">
      <c r="A877" s="2521"/>
      <c r="B877" s="2526"/>
      <c r="C877" s="2521"/>
      <c r="D877" s="2521"/>
      <c r="E877" s="2521"/>
      <c r="F877" s="2521"/>
      <c r="G877" s="2521"/>
      <c r="H877" s="2521"/>
      <c r="I877" s="2521"/>
      <c r="J877" s="2521"/>
      <c r="K877" s="2521"/>
      <c r="L877" s="2521"/>
      <c r="M877" s="2521"/>
      <c r="N877" s="2521"/>
      <c r="O877" s="2521"/>
      <c r="P877" s="2521"/>
      <c r="Q877" s="2521"/>
      <c r="R877" s="2521"/>
      <c r="S877" s="2521"/>
      <c r="T877" s="2521"/>
      <c r="U877" s="2521"/>
      <c r="V877" s="2521"/>
      <c r="W877" s="2521"/>
      <c r="X877" s="2521"/>
      <c r="Y877" s="2521"/>
      <c r="Z877" s="2521"/>
    </row>
    <row r="878" spans="1:26" ht="16.5" customHeight="1">
      <c r="A878" s="2521"/>
      <c r="B878" s="2526"/>
      <c r="C878" s="2521"/>
      <c r="D878" s="2521"/>
      <c r="E878" s="2521"/>
      <c r="F878" s="2521"/>
      <c r="G878" s="2521"/>
      <c r="H878" s="2521"/>
      <c r="I878" s="2521"/>
      <c r="J878" s="2521"/>
      <c r="K878" s="2521"/>
      <c r="L878" s="2521"/>
      <c r="M878" s="2521"/>
      <c r="N878" s="2521"/>
      <c r="O878" s="2521"/>
      <c r="P878" s="2521"/>
      <c r="Q878" s="2521"/>
      <c r="R878" s="2521"/>
      <c r="S878" s="2521"/>
      <c r="T878" s="2521"/>
      <c r="U878" s="2521"/>
      <c r="V878" s="2521"/>
      <c r="W878" s="2521"/>
      <c r="X878" s="2521"/>
      <c r="Y878" s="2521"/>
      <c r="Z878" s="2521"/>
    </row>
    <row r="879" spans="1:26" ht="16.5" customHeight="1">
      <c r="A879" s="2521"/>
      <c r="B879" s="2526"/>
      <c r="C879" s="2521"/>
      <c r="D879" s="2521"/>
      <c r="E879" s="2521"/>
      <c r="F879" s="2521"/>
      <c r="G879" s="2521"/>
      <c r="H879" s="2521"/>
      <c r="I879" s="2521"/>
      <c r="J879" s="2521"/>
      <c r="K879" s="2521"/>
      <c r="L879" s="2521"/>
      <c r="M879" s="2521"/>
      <c r="N879" s="2521"/>
      <c r="O879" s="2521"/>
      <c r="P879" s="2521"/>
      <c r="Q879" s="2521"/>
      <c r="R879" s="2521"/>
      <c r="S879" s="2521"/>
      <c r="T879" s="2521"/>
      <c r="U879" s="2521"/>
      <c r="V879" s="2521"/>
      <c r="W879" s="2521"/>
      <c r="X879" s="2521"/>
      <c r="Y879" s="2521"/>
      <c r="Z879" s="2521"/>
    </row>
    <row r="880" spans="1:26" ht="16.5" customHeight="1">
      <c r="A880" s="2521"/>
      <c r="B880" s="2526"/>
      <c r="C880" s="2521"/>
      <c r="D880" s="2521"/>
      <c r="E880" s="2521"/>
      <c r="F880" s="2521"/>
      <c r="G880" s="2521"/>
      <c r="H880" s="2521"/>
      <c r="I880" s="2521"/>
      <c r="J880" s="2521"/>
      <c r="K880" s="2521"/>
      <c r="L880" s="2521"/>
      <c r="M880" s="2521"/>
      <c r="N880" s="2521"/>
      <c r="O880" s="2521"/>
      <c r="P880" s="2521"/>
      <c r="Q880" s="2521"/>
      <c r="R880" s="2521"/>
      <c r="S880" s="2521"/>
      <c r="T880" s="2521"/>
      <c r="U880" s="2521"/>
      <c r="V880" s="2521"/>
      <c r="W880" s="2521"/>
      <c r="X880" s="2521"/>
      <c r="Y880" s="2521"/>
      <c r="Z880" s="2521"/>
    </row>
    <row r="881" spans="1:26" ht="16.5" customHeight="1">
      <c r="A881" s="2521"/>
      <c r="B881" s="2526"/>
      <c r="C881" s="2521"/>
      <c r="D881" s="2521"/>
      <c r="E881" s="2521"/>
      <c r="F881" s="2521"/>
      <c r="G881" s="2521"/>
      <c r="H881" s="2521"/>
      <c r="I881" s="2521"/>
      <c r="J881" s="2521"/>
      <c r="K881" s="2521"/>
      <c r="L881" s="2521"/>
      <c r="M881" s="2521"/>
      <c r="N881" s="2521"/>
      <c r="O881" s="2521"/>
      <c r="P881" s="2521"/>
      <c r="Q881" s="2521"/>
      <c r="R881" s="2521"/>
      <c r="S881" s="2521"/>
      <c r="T881" s="2521"/>
      <c r="U881" s="2521"/>
      <c r="V881" s="2521"/>
      <c r="W881" s="2521"/>
      <c r="X881" s="2521"/>
      <c r="Y881" s="2521"/>
      <c r="Z881" s="2521"/>
    </row>
    <row r="882" spans="1:26" ht="16.5" customHeight="1">
      <c r="A882" s="2521"/>
      <c r="B882" s="2526"/>
      <c r="C882" s="2521"/>
      <c r="D882" s="2521"/>
      <c r="E882" s="2521"/>
      <c r="F882" s="2521"/>
      <c r="G882" s="2521"/>
      <c r="H882" s="2521"/>
      <c r="I882" s="2521"/>
      <c r="J882" s="2521"/>
      <c r="K882" s="2521"/>
      <c r="L882" s="2521"/>
      <c r="M882" s="2521"/>
      <c r="N882" s="2521"/>
      <c r="O882" s="2521"/>
      <c r="P882" s="2521"/>
      <c r="Q882" s="2521"/>
      <c r="R882" s="2521"/>
      <c r="S882" s="2521"/>
      <c r="T882" s="2521"/>
      <c r="U882" s="2521"/>
      <c r="V882" s="2521"/>
      <c r="W882" s="2521"/>
      <c r="X882" s="2521"/>
      <c r="Y882" s="2521"/>
      <c r="Z882" s="2521"/>
    </row>
    <row r="883" spans="1:26" ht="16.5" customHeight="1">
      <c r="A883" s="2521"/>
      <c r="B883" s="2526"/>
      <c r="C883" s="2521"/>
      <c r="D883" s="2521"/>
      <c r="E883" s="2521"/>
      <c r="F883" s="2521"/>
      <c r="G883" s="2521"/>
      <c r="H883" s="2521"/>
      <c r="I883" s="2521"/>
      <c r="J883" s="2521"/>
      <c r="K883" s="2521"/>
      <c r="L883" s="2521"/>
      <c r="M883" s="2521"/>
      <c r="N883" s="2521"/>
      <c r="O883" s="2521"/>
      <c r="P883" s="2521"/>
      <c r="Q883" s="2521"/>
      <c r="R883" s="2521"/>
      <c r="S883" s="2521"/>
      <c r="T883" s="2521"/>
      <c r="U883" s="2521"/>
      <c r="V883" s="2521"/>
      <c r="W883" s="2521"/>
      <c r="X883" s="2521"/>
      <c r="Y883" s="2521"/>
      <c r="Z883" s="2521"/>
    </row>
    <row r="884" spans="1:26" ht="16.5" customHeight="1">
      <c r="A884" s="2521"/>
      <c r="B884" s="2526"/>
      <c r="C884" s="2521"/>
      <c r="D884" s="2521"/>
      <c r="E884" s="2521"/>
      <c r="F884" s="2521"/>
      <c r="G884" s="2521"/>
      <c r="H884" s="2521"/>
      <c r="I884" s="2521"/>
      <c r="J884" s="2521"/>
      <c r="K884" s="2521"/>
      <c r="L884" s="2521"/>
      <c r="M884" s="2521"/>
      <c r="N884" s="2521"/>
      <c r="O884" s="2521"/>
      <c r="P884" s="2521"/>
      <c r="Q884" s="2521"/>
      <c r="R884" s="2521"/>
      <c r="S884" s="2521"/>
      <c r="T884" s="2521"/>
      <c r="U884" s="2521"/>
      <c r="V884" s="2521"/>
      <c r="W884" s="2521"/>
      <c r="X884" s="2521"/>
      <c r="Y884" s="2521"/>
      <c r="Z884" s="2521"/>
    </row>
    <row r="885" spans="1:26" ht="16.5" customHeight="1">
      <c r="A885" s="2521"/>
      <c r="B885" s="2526"/>
      <c r="C885" s="2521"/>
      <c r="D885" s="2521"/>
      <c r="E885" s="2521"/>
      <c r="F885" s="2521"/>
      <c r="G885" s="2521"/>
      <c r="H885" s="2521"/>
      <c r="I885" s="2521"/>
      <c r="J885" s="2521"/>
      <c r="K885" s="2521"/>
      <c r="L885" s="2521"/>
      <c r="M885" s="2521"/>
      <c r="N885" s="2521"/>
      <c r="O885" s="2521"/>
      <c r="P885" s="2521"/>
      <c r="Q885" s="2521"/>
      <c r="R885" s="2521"/>
      <c r="S885" s="2521"/>
      <c r="T885" s="2521"/>
      <c r="U885" s="2521"/>
      <c r="V885" s="2521"/>
      <c r="W885" s="2521"/>
      <c r="X885" s="2521"/>
      <c r="Y885" s="2521"/>
      <c r="Z885" s="2521"/>
    </row>
    <row r="886" spans="1:26" ht="16.5" customHeight="1">
      <c r="A886" s="2521"/>
      <c r="B886" s="2526"/>
      <c r="C886" s="2521"/>
      <c r="D886" s="2521"/>
      <c r="E886" s="2521"/>
      <c r="F886" s="2521"/>
      <c r="G886" s="2521"/>
      <c r="H886" s="2521"/>
      <c r="I886" s="2521"/>
      <c r="J886" s="2521"/>
      <c r="K886" s="2521"/>
      <c r="L886" s="2521"/>
      <c r="M886" s="2521"/>
      <c r="N886" s="2521"/>
      <c r="O886" s="2521"/>
      <c r="P886" s="2521"/>
      <c r="Q886" s="2521"/>
      <c r="R886" s="2521"/>
      <c r="S886" s="2521"/>
      <c r="T886" s="2521"/>
      <c r="U886" s="2521"/>
      <c r="V886" s="2521"/>
      <c r="W886" s="2521"/>
      <c r="X886" s="2521"/>
      <c r="Y886" s="2521"/>
      <c r="Z886" s="2521"/>
    </row>
    <row r="887" spans="1:26" ht="16.5" customHeight="1">
      <c r="A887" s="2521"/>
      <c r="B887" s="2526"/>
      <c r="C887" s="2521"/>
      <c r="D887" s="2521"/>
      <c r="E887" s="2521"/>
      <c r="F887" s="2521"/>
      <c r="G887" s="2521"/>
      <c r="H887" s="2521"/>
      <c r="I887" s="2521"/>
      <c r="J887" s="2521"/>
      <c r="K887" s="2521"/>
      <c r="L887" s="2521"/>
      <c r="M887" s="2521"/>
      <c r="N887" s="2521"/>
      <c r="O887" s="2521"/>
      <c r="P887" s="2521"/>
      <c r="Q887" s="2521"/>
      <c r="R887" s="2521"/>
      <c r="S887" s="2521"/>
      <c r="T887" s="2521"/>
      <c r="U887" s="2521"/>
      <c r="V887" s="2521"/>
      <c r="W887" s="2521"/>
      <c r="X887" s="2521"/>
      <c r="Y887" s="2521"/>
      <c r="Z887" s="2521"/>
    </row>
    <row r="888" spans="1:26" ht="16.5" customHeight="1">
      <c r="A888" s="2521"/>
      <c r="B888" s="2526"/>
      <c r="C888" s="2521"/>
      <c r="D888" s="2521"/>
      <c r="E888" s="2521"/>
      <c r="F888" s="2521"/>
      <c r="G888" s="2521"/>
      <c r="H888" s="2521"/>
      <c r="I888" s="2521"/>
      <c r="J888" s="2521"/>
      <c r="K888" s="2521"/>
      <c r="L888" s="2521"/>
      <c r="M888" s="2521"/>
      <c r="N888" s="2521"/>
      <c r="O888" s="2521"/>
      <c r="P888" s="2521"/>
      <c r="Q888" s="2521"/>
      <c r="R888" s="2521"/>
      <c r="S888" s="2521"/>
      <c r="T888" s="2521"/>
      <c r="U888" s="2521"/>
      <c r="V888" s="2521"/>
      <c r="W888" s="2521"/>
      <c r="X888" s="2521"/>
      <c r="Y888" s="2521"/>
      <c r="Z888" s="2521"/>
    </row>
    <row r="889" spans="1:26" ht="16.5" customHeight="1">
      <c r="A889" s="2521"/>
      <c r="B889" s="2526"/>
      <c r="C889" s="2521"/>
      <c r="D889" s="2521"/>
      <c r="E889" s="2521"/>
      <c r="F889" s="2521"/>
      <c r="G889" s="2521"/>
      <c r="H889" s="2521"/>
      <c r="I889" s="2521"/>
      <c r="J889" s="2521"/>
      <c r="K889" s="2521"/>
      <c r="L889" s="2521"/>
      <c r="M889" s="2521"/>
      <c r="N889" s="2521"/>
      <c r="O889" s="2521"/>
      <c r="P889" s="2521"/>
      <c r="Q889" s="2521"/>
      <c r="R889" s="2521"/>
      <c r="S889" s="2521"/>
      <c r="T889" s="2521"/>
      <c r="U889" s="2521"/>
      <c r="V889" s="2521"/>
      <c r="W889" s="2521"/>
      <c r="X889" s="2521"/>
      <c r="Y889" s="2521"/>
      <c r="Z889" s="2521"/>
    </row>
    <row r="890" spans="1:26" ht="16.5" customHeight="1">
      <c r="A890" s="2521"/>
      <c r="B890" s="2526"/>
      <c r="C890" s="2521"/>
      <c r="D890" s="2521"/>
      <c r="E890" s="2521"/>
      <c r="F890" s="2521"/>
      <c r="G890" s="2521"/>
      <c r="H890" s="2521"/>
      <c r="I890" s="2521"/>
      <c r="J890" s="2521"/>
      <c r="K890" s="2521"/>
      <c r="L890" s="2521"/>
      <c r="M890" s="2521"/>
      <c r="N890" s="2521"/>
      <c r="O890" s="2521"/>
      <c r="P890" s="2521"/>
      <c r="Q890" s="2521"/>
      <c r="R890" s="2521"/>
      <c r="S890" s="2521"/>
      <c r="T890" s="2521"/>
      <c r="U890" s="2521"/>
      <c r="V890" s="2521"/>
      <c r="W890" s="2521"/>
      <c r="X890" s="2521"/>
      <c r="Y890" s="2521"/>
      <c r="Z890" s="2521"/>
    </row>
    <row r="891" spans="1:26" ht="16.5" customHeight="1">
      <c r="A891" s="2521"/>
      <c r="B891" s="2526"/>
      <c r="C891" s="2521"/>
      <c r="D891" s="2521"/>
      <c r="E891" s="2521"/>
      <c r="F891" s="2521"/>
      <c r="G891" s="2521"/>
      <c r="H891" s="2521"/>
      <c r="I891" s="2521"/>
      <c r="J891" s="2521"/>
      <c r="K891" s="2521"/>
      <c r="L891" s="2521"/>
      <c r="M891" s="2521"/>
      <c r="N891" s="2521"/>
      <c r="O891" s="2521"/>
      <c r="P891" s="2521"/>
      <c r="Q891" s="2521"/>
      <c r="R891" s="2521"/>
      <c r="S891" s="2521"/>
      <c r="T891" s="2521"/>
      <c r="U891" s="2521"/>
      <c r="V891" s="2521"/>
      <c r="W891" s="2521"/>
      <c r="X891" s="2521"/>
      <c r="Y891" s="2521"/>
      <c r="Z891" s="2521"/>
    </row>
    <row r="892" spans="1:26" ht="16.5" customHeight="1">
      <c r="A892" s="2521"/>
      <c r="B892" s="2526"/>
      <c r="C892" s="2521"/>
      <c r="D892" s="2521"/>
      <c r="E892" s="2521"/>
      <c r="F892" s="2521"/>
      <c r="G892" s="2521"/>
      <c r="H892" s="2521"/>
      <c r="I892" s="2521"/>
      <c r="J892" s="2521"/>
      <c r="K892" s="2521"/>
      <c r="L892" s="2521"/>
      <c r="M892" s="2521"/>
      <c r="N892" s="2521"/>
      <c r="O892" s="2521"/>
      <c r="P892" s="2521"/>
      <c r="Q892" s="2521"/>
      <c r="R892" s="2521"/>
      <c r="S892" s="2521"/>
      <c r="T892" s="2521"/>
      <c r="U892" s="2521"/>
      <c r="V892" s="2521"/>
      <c r="W892" s="2521"/>
      <c r="X892" s="2521"/>
      <c r="Y892" s="2521"/>
      <c r="Z892" s="2521"/>
    </row>
    <row r="893" spans="1:26" ht="16.5" customHeight="1">
      <c r="A893" s="2521"/>
      <c r="B893" s="2526"/>
      <c r="C893" s="2521"/>
      <c r="D893" s="2521"/>
      <c r="E893" s="2521"/>
      <c r="F893" s="2521"/>
      <c r="G893" s="2521"/>
      <c r="H893" s="2521"/>
      <c r="I893" s="2521"/>
      <c r="J893" s="2521"/>
      <c r="K893" s="2521"/>
      <c r="L893" s="2521"/>
      <c r="M893" s="2521"/>
      <c r="N893" s="2521"/>
      <c r="O893" s="2521"/>
      <c r="P893" s="2521"/>
      <c r="Q893" s="2521"/>
      <c r="R893" s="2521"/>
      <c r="S893" s="2521"/>
      <c r="T893" s="2521"/>
      <c r="U893" s="2521"/>
      <c r="V893" s="2521"/>
      <c r="W893" s="2521"/>
      <c r="X893" s="2521"/>
      <c r="Y893" s="2521"/>
      <c r="Z893" s="2521"/>
    </row>
    <row r="894" spans="1:26" ht="16.5" customHeight="1">
      <c r="A894" s="2521"/>
      <c r="B894" s="2526"/>
      <c r="C894" s="2521"/>
      <c r="D894" s="2521"/>
      <c r="E894" s="2521"/>
      <c r="F894" s="2521"/>
      <c r="G894" s="2521"/>
      <c r="H894" s="2521"/>
      <c r="I894" s="2521"/>
      <c r="J894" s="2521"/>
      <c r="K894" s="2521"/>
      <c r="L894" s="2521"/>
      <c r="M894" s="2521"/>
      <c r="N894" s="2521"/>
      <c r="O894" s="2521"/>
      <c r="P894" s="2521"/>
      <c r="Q894" s="2521"/>
      <c r="R894" s="2521"/>
      <c r="S894" s="2521"/>
      <c r="T894" s="2521"/>
      <c r="U894" s="2521"/>
      <c r="V894" s="2521"/>
      <c r="W894" s="2521"/>
      <c r="X894" s="2521"/>
      <c r="Y894" s="2521"/>
      <c r="Z894" s="2521"/>
    </row>
    <row r="895" spans="1:26" ht="16.5" customHeight="1">
      <c r="A895" s="2521"/>
      <c r="B895" s="2526"/>
      <c r="C895" s="2521"/>
      <c r="D895" s="2521"/>
      <c r="E895" s="2521"/>
      <c r="F895" s="2521"/>
      <c r="G895" s="2521"/>
      <c r="H895" s="2521"/>
      <c r="I895" s="2521"/>
      <c r="J895" s="2521"/>
      <c r="K895" s="2521"/>
      <c r="L895" s="2521"/>
      <c r="M895" s="2521"/>
      <c r="N895" s="2521"/>
      <c r="O895" s="2521"/>
      <c r="P895" s="2521"/>
      <c r="Q895" s="2521"/>
      <c r="R895" s="2521"/>
      <c r="S895" s="2521"/>
      <c r="T895" s="2521"/>
      <c r="U895" s="2521"/>
      <c r="V895" s="2521"/>
      <c r="W895" s="2521"/>
      <c r="X895" s="2521"/>
      <c r="Y895" s="2521"/>
      <c r="Z895" s="2521"/>
    </row>
    <row r="896" spans="1:26" ht="16.5" customHeight="1">
      <c r="A896" s="2521"/>
      <c r="B896" s="2526"/>
      <c r="C896" s="2521"/>
      <c r="D896" s="2521"/>
      <c r="E896" s="2521"/>
      <c r="F896" s="2521"/>
      <c r="G896" s="2521"/>
      <c r="H896" s="2521"/>
      <c r="I896" s="2521"/>
      <c r="J896" s="2521"/>
      <c r="K896" s="2521"/>
      <c r="L896" s="2521"/>
      <c r="M896" s="2521"/>
      <c r="N896" s="2521"/>
      <c r="O896" s="2521"/>
      <c r="P896" s="2521"/>
      <c r="Q896" s="2521"/>
      <c r="R896" s="2521"/>
      <c r="S896" s="2521"/>
      <c r="T896" s="2521"/>
      <c r="U896" s="2521"/>
      <c r="V896" s="2521"/>
      <c r="W896" s="2521"/>
      <c r="X896" s="2521"/>
      <c r="Y896" s="2521"/>
      <c r="Z896" s="2521"/>
    </row>
    <row r="897" spans="1:26" ht="16.5" customHeight="1">
      <c r="A897" s="2521"/>
      <c r="B897" s="2526"/>
      <c r="C897" s="2521"/>
      <c r="D897" s="2521"/>
      <c r="E897" s="2521"/>
      <c r="F897" s="2521"/>
      <c r="G897" s="2521"/>
      <c r="H897" s="2521"/>
      <c r="I897" s="2521"/>
      <c r="J897" s="2521"/>
      <c r="K897" s="2521"/>
      <c r="L897" s="2521"/>
      <c r="M897" s="2521"/>
      <c r="N897" s="2521"/>
      <c r="O897" s="2521"/>
      <c r="P897" s="2521"/>
      <c r="Q897" s="2521"/>
      <c r="R897" s="2521"/>
      <c r="S897" s="2521"/>
      <c r="T897" s="2521"/>
      <c r="U897" s="2521"/>
      <c r="V897" s="2521"/>
      <c r="W897" s="2521"/>
      <c r="X897" s="2521"/>
      <c r="Y897" s="2521"/>
      <c r="Z897" s="2521"/>
    </row>
    <row r="898" spans="1:26" ht="16.5" customHeight="1">
      <c r="A898" s="2521"/>
      <c r="B898" s="2526"/>
      <c r="C898" s="2521"/>
      <c r="D898" s="2521"/>
      <c r="E898" s="2521"/>
      <c r="F898" s="2521"/>
      <c r="G898" s="2521"/>
      <c r="H898" s="2521"/>
      <c r="I898" s="2521"/>
      <c r="J898" s="2521"/>
      <c r="K898" s="2521"/>
      <c r="L898" s="2521"/>
      <c r="M898" s="2521"/>
      <c r="N898" s="2521"/>
      <c r="O898" s="2521"/>
      <c r="P898" s="2521"/>
      <c r="Q898" s="2521"/>
      <c r="R898" s="2521"/>
      <c r="S898" s="2521"/>
      <c r="T898" s="2521"/>
      <c r="U898" s="2521"/>
      <c r="V898" s="2521"/>
      <c r="W898" s="2521"/>
      <c r="X898" s="2521"/>
      <c r="Y898" s="2521"/>
      <c r="Z898" s="2521"/>
    </row>
    <row r="899" spans="1:26" ht="16.5" customHeight="1">
      <c r="A899" s="2521"/>
      <c r="B899" s="2526"/>
      <c r="C899" s="2521"/>
      <c r="D899" s="2521"/>
      <c r="E899" s="2521"/>
      <c r="F899" s="2521"/>
      <c r="G899" s="2521"/>
      <c r="H899" s="2521"/>
      <c r="I899" s="2521"/>
      <c r="J899" s="2521"/>
      <c r="K899" s="2521"/>
      <c r="L899" s="2521"/>
      <c r="M899" s="2521"/>
      <c r="N899" s="2521"/>
      <c r="O899" s="2521"/>
      <c r="P899" s="2521"/>
      <c r="Q899" s="2521"/>
      <c r="R899" s="2521"/>
      <c r="S899" s="2521"/>
      <c r="T899" s="2521"/>
      <c r="U899" s="2521"/>
      <c r="V899" s="2521"/>
      <c r="W899" s="2521"/>
      <c r="X899" s="2521"/>
      <c r="Y899" s="2521"/>
      <c r="Z899" s="2521"/>
    </row>
    <row r="900" spans="1:26" ht="16.5" customHeight="1">
      <c r="A900" s="2521"/>
      <c r="B900" s="2526"/>
      <c r="C900" s="2521"/>
      <c r="D900" s="2521"/>
      <c r="E900" s="2521"/>
      <c r="F900" s="2521"/>
      <c r="G900" s="2521"/>
      <c r="H900" s="2521"/>
      <c r="I900" s="2521"/>
      <c r="J900" s="2521"/>
      <c r="K900" s="2521"/>
      <c r="L900" s="2521"/>
      <c r="M900" s="2521"/>
      <c r="N900" s="2521"/>
      <c r="O900" s="2521"/>
      <c r="P900" s="2521"/>
      <c r="Q900" s="2521"/>
      <c r="R900" s="2521"/>
      <c r="S900" s="2521"/>
      <c r="T900" s="2521"/>
      <c r="U900" s="2521"/>
      <c r="V900" s="2521"/>
      <c r="W900" s="2521"/>
      <c r="X900" s="2521"/>
      <c r="Y900" s="2521"/>
      <c r="Z900" s="2521"/>
    </row>
    <row r="901" spans="1:26" ht="16.5" customHeight="1">
      <c r="A901" s="2521"/>
      <c r="B901" s="2526"/>
      <c r="C901" s="2521"/>
      <c r="D901" s="2521"/>
      <c r="E901" s="2521"/>
      <c r="F901" s="2521"/>
      <c r="G901" s="2521"/>
      <c r="H901" s="2521"/>
      <c r="I901" s="2521"/>
      <c r="J901" s="2521"/>
      <c r="K901" s="2521"/>
      <c r="L901" s="2521"/>
      <c r="M901" s="2521"/>
      <c r="N901" s="2521"/>
      <c r="O901" s="2521"/>
      <c r="P901" s="2521"/>
      <c r="Q901" s="2521"/>
      <c r="R901" s="2521"/>
      <c r="S901" s="2521"/>
      <c r="T901" s="2521"/>
      <c r="U901" s="2521"/>
      <c r="V901" s="2521"/>
      <c r="W901" s="2521"/>
      <c r="X901" s="2521"/>
      <c r="Y901" s="2521"/>
      <c r="Z901" s="2521"/>
    </row>
    <row r="902" spans="1:26" ht="16.5" customHeight="1">
      <c r="A902" s="2521"/>
      <c r="B902" s="2526"/>
      <c r="C902" s="2521"/>
      <c r="D902" s="2521"/>
      <c r="E902" s="2521"/>
      <c r="F902" s="2521"/>
      <c r="G902" s="2521"/>
      <c r="H902" s="2521"/>
      <c r="I902" s="2521"/>
      <c r="J902" s="2521"/>
      <c r="K902" s="2521"/>
      <c r="L902" s="2521"/>
      <c r="M902" s="2521"/>
      <c r="N902" s="2521"/>
      <c r="O902" s="2521"/>
      <c r="P902" s="2521"/>
      <c r="Q902" s="2521"/>
      <c r="R902" s="2521"/>
      <c r="S902" s="2521"/>
      <c r="T902" s="2521"/>
      <c r="U902" s="2521"/>
      <c r="V902" s="2521"/>
      <c r="W902" s="2521"/>
      <c r="X902" s="2521"/>
      <c r="Y902" s="2521"/>
      <c r="Z902" s="2521"/>
    </row>
    <row r="903" spans="1:26" ht="16.5" customHeight="1">
      <c r="A903" s="2521"/>
      <c r="B903" s="2526"/>
      <c r="C903" s="2521"/>
      <c r="D903" s="2521"/>
      <c r="E903" s="2521"/>
      <c r="F903" s="2521"/>
      <c r="G903" s="2521"/>
      <c r="H903" s="2521"/>
      <c r="I903" s="2521"/>
      <c r="J903" s="2521"/>
      <c r="K903" s="2521"/>
      <c r="L903" s="2521"/>
      <c r="M903" s="2521"/>
      <c r="N903" s="2521"/>
      <c r="O903" s="2521"/>
      <c r="P903" s="2521"/>
      <c r="Q903" s="2521"/>
      <c r="R903" s="2521"/>
      <c r="S903" s="2521"/>
      <c r="T903" s="2521"/>
      <c r="U903" s="2521"/>
      <c r="V903" s="2521"/>
      <c r="W903" s="2521"/>
      <c r="X903" s="2521"/>
      <c r="Y903" s="2521"/>
      <c r="Z903" s="2521"/>
    </row>
    <row r="904" spans="1:26" ht="16.5" customHeight="1">
      <c r="A904" s="2521"/>
      <c r="B904" s="2526"/>
      <c r="C904" s="2521"/>
      <c r="D904" s="2521"/>
      <c r="E904" s="2521"/>
      <c r="F904" s="2521"/>
      <c r="G904" s="2521"/>
      <c r="H904" s="2521"/>
      <c r="I904" s="2521"/>
      <c r="J904" s="2521"/>
      <c r="K904" s="2521"/>
      <c r="L904" s="2521"/>
      <c r="M904" s="2521"/>
      <c r="N904" s="2521"/>
      <c r="O904" s="2521"/>
      <c r="P904" s="2521"/>
      <c r="Q904" s="2521"/>
      <c r="R904" s="2521"/>
      <c r="S904" s="2521"/>
      <c r="T904" s="2521"/>
      <c r="U904" s="2521"/>
      <c r="V904" s="2521"/>
      <c r="W904" s="2521"/>
      <c r="X904" s="2521"/>
      <c r="Y904" s="2521"/>
      <c r="Z904" s="2521"/>
    </row>
    <row r="905" spans="1:26" ht="16.5" customHeight="1">
      <c r="A905" s="2521"/>
      <c r="B905" s="2526"/>
      <c r="C905" s="2521"/>
      <c r="D905" s="2521"/>
      <c r="E905" s="2521"/>
      <c r="F905" s="2521"/>
      <c r="G905" s="2521"/>
      <c r="H905" s="2521"/>
      <c r="I905" s="2521"/>
      <c r="J905" s="2521"/>
      <c r="K905" s="2521"/>
      <c r="L905" s="2521"/>
      <c r="M905" s="2521"/>
      <c r="N905" s="2521"/>
      <c r="O905" s="2521"/>
      <c r="P905" s="2521"/>
      <c r="Q905" s="2521"/>
      <c r="R905" s="2521"/>
      <c r="S905" s="2521"/>
      <c r="T905" s="2521"/>
      <c r="U905" s="2521"/>
      <c r="V905" s="2521"/>
      <c r="W905" s="2521"/>
      <c r="X905" s="2521"/>
      <c r="Y905" s="2521"/>
      <c r="Z905" s="2521"/>
    </row>
    <row r="906" spans="1:26" ht="16.5" customHeight="1">
      <c r="A906" s="2521"/>
      <c r="B906" s="2526"/>
      <c r="C906" s="2521"/>
      <c r="D906" s="2521"/>
      <c r="E906" s="2521"/>
      <c r="F906" s="2521"/>
      <c r="G906" s="2521"/>
      <c r="H906" s="2521"/>
      <c r="I906" s="2521"/>
      <c r="J906" s="2521"/>
      <c r="K906" s="2521"/>
      <c r="L906" s="2521"/>
      <c r="M906" s="2521"/>
      <c r="N906" s="2521"/>
      <c r="O906" s="2521"/>
      <c r="P906" s="2521"/>
      <c r="Q906" s="2521"/>
      <c r="R906" s="2521"/>
      <c r="S906" s="2521"/>
      <c r="T906" s="2521"/>
      <c r="U906" s="2521"/>
      <c r="V906" s="2521"/>
      <c r="W906" s="2521"/>
      <c r="X906" s="2521"/>
      <c r="Y906" s="2521"/>
      <c r="Z906" s="2521"/>
    </row>
    <row r="907" spans="1:26" ht="16.5" customHeight="1">
      <c r="A907" s="2521"/>
      <c r="B907" s="2526"/>
      <c r="C907" s="2521"/>
      <c r="D907" s="2521"/>
      <c r="E907" s="2521"/>
      <c r="F907" s="2521"/>
      <c r="G907" s="2521"/>
      <c r="H907" s="2521"/>
      <c r="I907" s="2521"/>
      <c r="J907" s="2521"/>
      <c r="K907" s="2521"/>
      <c r="L907" s="2521"/>
      <c r="M907" s="2521"/>
      <c r="N907" s="2521"/>
      <c r="O907" s="2521"/>
      <c r="P907" s="2521"/>
      <c r="Q907" s="2521"/>
      <c r="R907" s="2521"/>
      <c r="S907" s="2521"/>
      <c r="T907" s="2521"/>
      <c r="U907" s="2521"/>
      <c r="V907" s="2521"/>
      <c r="W907" s="2521"/>
      <c r="X907" s="2521"/>
      <c r="Y907" s="2521"/>
      <c r="Z907" s="2521"/>
    </row>
    <row r="908" spans="1:26" ht="16.5" customHeight="1">
      <c r="A908" s="2521"/>
      <c r="B908" s="2526"/>
      <c r="C908" s="2521"/>
      <c r="D908" s="2521"/>
      <c r="E908" s="2521"/>
      <c r="F908" s="2521"/>
      <c r="G908" s="2521"/>
      <c r="H908" s="2521"/>
      <c r="I908" s="2521"/>
      <c r="J908" s="2521"/>
      <c r="K908" s="2521"/>
      <c r="L908" s="2521"/>
      <c r="M908" s="2521"/>
      <c r="N908" s="2521"/>
      <c r="O908" s="2521"/>
      <c r="P908" s="2521"/>
      <c r="Q908" s="2521"/>
      <c r="R908" s="2521"/>
      <c r="S908" s="2521"/>
      <c r="T908" s="2521"/>
      <c r="U908" s="2521"/>
      <c r="V908" s="2521"/>
      <c r="W908" s="2521"/>
      <c r="X908" s="2521"/>
      <c r="Y908" s="2521"/>
      <c r="Z908" s="2521"/>
    </row>
    <row r="909" spans="1:26" ht="16.5" customHeight="1">
      <c r="A909" s="2521"/>
      <c r="B909" s="2526"/>
      <c r="C909" s="2521"/>
      <c r="D909" s="2521"/>
      <c r="E909" s="2521"/>
      <c r="F909" s="2521"/>
      <c r="G909" s="2521"/>
      <c r="H909" s="2521"/>
      <c r="I909" s="2521"/>
      <c r="J909" s="2521"/>
      <c r="K909" s="2521"/>
      <c r="L909" s="2521"/>
      <c r="M909" s="2521"/>
      <c r="N909" s="2521"/>
      <c r="O909" s="2521"/>
      <c r="P909" s="2521"/>
      <c r="Q909" s="2521"/>
      <c r="R909" s="2521"/>
      <c r="S909" s="2521"/>
      <c r="T909" s="2521"/>
      <c r="U909" s="2521"/>
      <c r="V909" s="2521"/>
      <c r="W909" s="2521"/>
      <c r="X909" s="2521"/>
      <c r="Y909" s="2521"/>
      <c r="Z909" s="2521"/>
    </row>
    <row r="910" spans="1:26" ht="16.5" customHeight="1">
      <c r="A910" s="2521"/>
      <c r="B910" s="2526"/>
      <c r="C910" s="2521"/>
      <c r="D910" s="2521"/>
      <c r="E910" s="2521"/>
      <c r="F910" s="2521"/>
      <c r="G910" s="2521"/>
      <c r="H910" s="2521"/>
      <c r="I910" s="2521"/>
      <c r="J910" s="2521"/>
      <c r="K910" s="2521"/>
      <c r="L910" s="2521"/>
      <c r="M910" s="2521"/>
      <c r="N910" s="2521"/>
      <c r="O910" s="2521"/>
      <c r="P910" s="2521"/>
      <c r="Q910" s="2521"/>
      <c r="R910" s="2521"/>
      <c r="S910" s="2521"/>
      <c r="T910" s="2521"/>
      <c r="U910" s="2521"/>
      <c r="V910" s="2521"/>
      <c r="W910" s="2521"/>
      <c r="X910" s="2521"/>
      <c r="Y910" s="2521"/>
      <c r="Z910" s="2521"/>
    </row>
    <row r="911" spans="1:26" ht="16.5" customHeight="1">
      <c r="A911" s="2521"/>
      <c r="B911" s="2526"/>
      <c r="C911" s="2521"/>
      <c r="D911" s="2521"/>
      <c r="E911" s="2521"/>
      <c r="F911" s="2521"/>
      <c r="G911" s="2521"/>
      <c r="H911" s="2521"/>
      <c r="I911" s="2521"/>
      <c r="J911" s="2521"/>
      <c r="K911" s="2521"/>
      <c r="L911" s="2521"/>
      <c r="M911" s="2521"/>
      <c r="N911" s="2521"/>
      <c r="O911" s="2521"/>
      <c r="P911" s="2521"/>
      <c r="Q911" s="2521"/>
      <c r="R911" s="2521"/>
      <c r="S911" s="2521"/>
      <c r="T911" s="2521"/>
      <c r="U911" s="2521"/>
      <c r="V911" s="2521"/>
      <c r="W911" s="2521"/>
      <c r="X911" s="2521"/>
      <c r="Y911" s="2521"/>
      <c r="Z911" s="2521"/>
    </row>
    <row r="912" spans="1:26" ht="16.5" customHeight="1">
      <c r="A912" s="2521"/>
      <c r="B912" s="2526"/>
      <c r="C912" s="2521"/>
      <c r="D912" s="2521"/>
      <c r="E912" s="2521"/>
      <c r="F912" s="2521"/>
      <c r="G912" s="2521"/>
      <c r="H912" s="2521"/>
      <c r="I912" s="2521"/>
      <c r="J912" s="2521"/>
      <c r="K912" s="2521"/>
      <c r="L912" s="2521"/>
      <c r="M912" s="2521"/>
      <c r="N912" s="2521"/>
      <c r="O912" s="2521"/>
      <c r="P912" s="2521"/>
      <c r="Q912" s="2521"/>
      <c r="R912" s="2521"/>
      <c r="S912" s="2521"/>
      <c r="T912" s="2521"/>
      <c r="U912" s="2521"/>
      <c r="V912" s="2521"/>
      <c r="W912" s="2521"/>
      <c r="X912" s="2521"/>
      <c r="Y912" s="2521"/>
      <c r="Z912" s="2521"/>
    </row>
    <row r="913" spans="1:26" ht="16.5" customHeight="1">
      <c r="A913" s="2521"/>
      <c r="B913" s="2526"/>
      <c r="C913" s="2521"/>
      <c r="D913" s="2521"/>
      <c r="E913" s="2521"/>
      <c r="F913" s="2521"/>
      <c r="G913" s="2521"/>
      <c r="H913" s="2521"/>
      <c r="I913" s="2521"/>
      <c r="J913" s="2521"/>
      <c r="K913" s="2521"/>
      <c r="L913" s="2521"/>
      <c r="M913" s="2521"/>
      <c r="N913" s="2521"/>
      <c r="O913" s="2521"/>
      <c r="P913" s="2521"/>
      <c r="Q913" s="2521"/>
      <c r="R913" s="2521"/>
      <c r="S913" s="2521"/>
      <c r="T913" s="2521"/>
      <c r="U913" s="2521"/>
      <c r="V913" s="2521"/>
      <c r="W913" s="2521"/>
      <c r="X913" s="2521"/>
      <c r="Y913" s="2521"/>
      <c r="Z913" s="2521"/>
    </row>
    <row r="914" spans="1:26" ht="16.5" customHeight="1">
      <c r="A914" s="2521"/>
      <c r="B914" s="2526"/>
      <c r="C914" s="2521"/>
      <c r="D914" s="2521"/>
      <c r="E914" s="2521"/>
      <c r="F914" s="2521"/>
      <c r="G914" s="2521"/>
      <c r="H914" s="2521"/>
      <c r="I914" s="2521"/>
      <c r="J914" s="2521"/>
      <c r="K914" s="2521"/>
      <c r="L914" s="2521"/>
      <c r="M914" s="2521"/>
      <c r="N914" s="2521"/>
      <c r="O914" s="2521"/>
      <c r="P914" s="2521"/>
      <c r="Q914" s="2521"/>
      <c r="R914" s="2521"/>
      <c r="S914" s="2521"/>
      <c r="T914" s="2521"/>
      <c r="U914" s="2521"/>
      <c r="V914" s="2521"/>
      <c r="W914" s="2521"/>
      <c r="X914" s="2521"/>
      <c r="Y914" s="2521"/>
      <c r="Z914" s="2521"/>
    </row>
    <row r="915" spans="1:26" ht="16.5" customHeight="1">
      <c r="A915" s="2521"/>
      <c r="B915" s="2526"/>
      <c r="C915" s="2521"/>
      <c r="D915" s="2521"/>
      <c r="E915" s="2521"/>
      <c r="F915" s="2521"/>
      <c r="G915" s="2521"/>
      <c r="H915" s="2521"/>
      <c r="I915" s="2521"/>
      <c r="J915" s="2521"/>
      <c r="K915" s="2521"/>
      <c r="L915" s="2521"/>
      <c r="M915" s="2521"/>
      <c r="N915" s="2521"/>
      <c r="O915" s="2521"/>
      <c r="P915" s="2521"/>
      <c r="Q915" s="2521"/>
      <c r="R915" s="2521"/>
      <c r="S915" s="2521"/>
      <c r="T915" s="2521"/>
      <c r="U915" s="2521"/>
      <c r="V915" s="2521"/>
      <c r="W915" s="2521"/>
      <c r="X915" s="2521"/>
      <c r="Y915" s="2521"/>
      <c r="Z915" s="2521"/>
    </row>
    <row r="916" spans="1:26" ht="16.5" customHeight="1">
      <c r="A916" s="2521"/>
      <c r="B916" s="2526"/>
      <c r="C916" s="2521"/>
      <c r="D916" s="2521"/>
      <c r="E916" s="2521"/>
      <c r="F916" s="2521"/>
      <c r="G916" s="2521"/>
      <c r="H916" s="2521"/>
      <c r="I916" s="2521"/>
      <c r="J916" s="2521"/>
      <c r="K916" s="2521"/>
      <c r="L916" s="2521"/>
      <c r="M916" s="2521"/>
      <c r="N916" s="2521"/>
      <c r="O916" s="2521"/>
      <c r="P916" s="2521"/>
      <c r="Q916" s="2521"/>
      <c r="R916" s="2521"/>
      <c r="S916" s="2521"/>
      <c r="T916" s="2521"/>
      <c r="U916" s="2521"/>
      <c r="V916" s="2521"/>
      <c r="W916" s="2521"/>
      <c r="X916" s="2521"/>
      <c r="Y916" s="2521"/>
      <c r="Z916" s="2521"/>
    </row>
    <row r="917" spans="1:26" ht="16.5" customHeight="1">
      <c r="A917" s="2521"/>
      <c r="B917" s="2526"/>
      <c r="C917" s="2521"/>
      <c r="D917" s="2521"/>
      <c r="E917" s="2521"/>
      <c r="F917" s="2521"/>
      <c r="G917" s="2521"/>
      <c r="H917" s="2521"/>
      <c r="I917" s="2521"/>
      <c r="J917" s="2521"/>
      <c r="K917" s="2521"/>
      <c r="L917" s="2521"/>
      <c r="M917" s="2521"/>
      <c r="N917" s="2521"/>
      <c r="O917" s="2521"/>
      <c r="P917" s="2521"/>
      <c r="Q917" s="2521"/>
      <c r="R917" s="2521"/>
      <c r="S917" s="2521"/>
      <c r="T917" s="2521"/>
      <c r="U917" s="2521"/>
      <c r="V917" s="2521"/>
      <c r="W917" s="2521"/>
      <c r="X917" s="2521"/>
      <c r="Y917" s="2521"/>
      <c r="Z917" s="2521"/>
    </row>
    <row r="918" spans="1:26" ht="16.5" customHeight="1">
      <c r="A918" s="2521"/>
      <c r="B918" s="2526"/>
      <c r="C918" s="2521"/>
      <c r="D918" s="2521"/>
      <c r="E918" s="2521"/>
      <c r="F918" s="2521"/>
      <c r="G918" s="2521"/>
      <c r="H918" s="2521"/>
      <c r="I918" s="2521"/>
      <c r="J918" s="2521"/>
      <c r="K918" s="2521"/>
      <c r="L918" s="2521"/>
      <c r="M918" s="2521"/>
      <c r="N918" s="2521"/>
      <c r="O918" s="2521"/>
      <c r="P918" s="2521"/>
      <c r="Q918" s="2521"/>
      <c r="R918" s="2521"/>
      <c r="S918" s="2521"/>
      <c r="T918" s="2521"/>
      <c r="U918" s="2521"/>
      <c r="V918" s="2521"/>
      <c r="W918" s="2521"/>
      <c r="X918" s="2521"/>
      <c r="Y918" s="2521"/>
      <c r="Z918" s="2521"/>
    </row>
    <row r="919" spans="1:26" ht="16.5" customHeight="1">
      <c r="A919" s="2521"/>
      <c r="B919" s="2526"/>
      <c r="C919" s="2521"/>
      <c r="D919" s="2521"/>
      <c r="E919" s="2521"/>
      <c r="F919" s="2521"/>
      <c r="G919" s="2521"/>
      <c r="H919" s="2521"/>
      <c r="I919" s="2521"/>
      <c r="J919" s="2521"/>
      <c r="K919" s="2521"/>
      <c r="L919" s="2521"/>
      <c r="M919" s="2521"/>
      <c r="N919" s="2521"/>
      <c r="O919" s="2521"/>
      <c r="P919" s="2521"/>
      <c r="Q919" s="2521"/>
      <c r="R919" s="2521"/>
      <c r="S919" s="2521"/>
      <c r="T919" s="2521"/>
      <c r="U919" s="2521"/>
      <c r="V919" s="2521"/>
      <c r="W919" s="2521"/>
      <c r="X919" s="2521"/>
      <c r="Y919" s="2521"/>
      <c r="Z919" s="2521"/>
    </row>
    <row r="920" spans="1:26" ht="16.5" customHeight="1">
      <c r="A920" s="2521"/>
      <c r="B920" s="2526"/>
      <c r="C920" s="2521"/>
      <c r="D920" s="2521"/>
      <c r="E920" s="2521"/>
      <c r="F920" s="2521"/>
      <c r="G920" s="2521"/>
      <c r="H920" s="2521"/>
      <c r="I920" s="2521"/>
      <c r="J920" s="2521"/>
      <c r="K920" s="2521"/>
      <c r="L920" s="2521"/>
      <c r="M920" s="2521"/>
      <c r="N920" s="2521"/>
      <c r="O920" s="2521"/>
      <c r="P920" s="2521"/>
      <c r="Q920" s="2521"/>
      <c r="R920" s="2521"/>
      <c r="S920" s="2521"/>
      <c r="T920" s="2521"/>
      <c r="U920" s="2521"/>
      <c r="V920" s="2521"/>
      <c r="W920" s="2521"/>
      <c r="X920" s="2521"/>
      <c r="Y920" s="2521"/>
      <c r="Z920" s="2521"/>
    </row>
    <row r="921" spans="1:26" ht="16.5" customHeight="1">
      <c r="A921" s="2521"/>
      <c r="B921" s="2526"/>
      <c r="C921" s="2521"/>
      <c r="D921" s="2521"/>
      <c r="E921" s="2521"/>
      <c r="F921" s="2521"/>
      <c r="G921" s="2521"/>
      <c r="H921" s="2521"/>
      <c r="I921" s="2521"/>
      <c r="J921" s="2521"/>
      <c r="K921" s="2521"/>
      <c r="L921" s="2521"/>
      <c r="M921" s="2521"/>
      <c r="N921" s="2521"/>
      <c r="O921" s="2521"/>
      <c r="P921" s="2521"/>
      <c r="Q921" s="2521"/>
      <c r="R921" s="2521"/>
      <c r="S921" s="2521"/>
      <c r="T921" s="2521"/>
      <c r="U921" s="2521"/>
      <c r="V921" s="2521"/>
      <c r="W921" s="2521"/>
      <c r="X921" s="2521"/>
      <c r="Y921" s="2521"/>
      <c r="Z921" s="2521"/>
    </row>
    <row r="922" spans="1:26" ht="16.5" customHeight="1">
      <c r="A922" s="2521"/>
      <c r="B922" s="2526"/>
      <c r="C922" s="2521"/>
      <c r="D922" s="2521"/>
      <c r="E922" s="2521"/>
      <c r="F922" s="2521"/>
      <c r="G922" s="2521"/>
      <c r="H922" s="2521"/>
      <c r="I922" s="2521"/>
      <c r="J922" s="2521"/>
      <c r="K922" s="2521"/>
      <c r="L922" s="2521"/>
      <c r="M922" s="2521"/>
      <c r="N922" s="2521"/>
      <c r="O922" s="2521"/>
      <c r="P922" s="2521"/>
      <c r="Q922" s="2521"/>
      <c r="R922" s="2521"/>
      <c r="S922" s="2521"/>
      <c r="T922" s="2521"/>
      <c r="U922" s="2521"/>
      <c r="V922" s="2521"/>
      <c r="W922" s="2521"/>
      <c r="X922" s="2521"/>
      <c r="Y922" s="2521"/>
      <c r="Z922" s="2521"/>
    </row>
    <row r="923" spans="1:26" ht="16.5" customHeight="1">
      <c r="A923" s="2521"/>
      <c r="B923" s="2526"/>
      <c r="C923" s="2521"/>
      <c r="D923" s="2521"/>
      <c r="E923" s="2521"/>
      <c r="F923" s="2521"/>
      <c r="G923" s="2521"/>
      <c r="H923" s="2521"/>
      <c r="I923" s="2521"/>
      <c r="J923" s="2521"/>
      <c r="K923" s="2521"/>
      <c r="L923" s="2521"/>
      <c r="M923" s="2521"/>
      <c r="N923" s="2521"/>
      <c r="O923" s="2521"/>
      <c r="P923" s="2521"/>
      <c r="Q923" s="2521"/>
      <c r="R923" s="2521"/>
      <c r="S923" s="2521"/>
      <c r="T923" s="2521"/>
      <c r="U923" s="2521"/>
      <c r="V923" s="2521"/>
      <c r="W923" s="2521"/>
      <c r="X923" s="2521"/>
      <c r="Y923" s="2521"/>
      <c r="Z923" s="2521"/>
    </row>
    <row r="924" spans="1:26" ht="16.5" customHeight="1">
      <c r="A924" s="2521"/>
      <c r="B924" s="2526"/>
      <c r="C924" s="2521"/>
      <c r="D924" s="2521"/>
      <c r="E924" s="2521"/>
      <c r="F924" s="2521"/>
      <c r="G924" s="2521"/>
      <c r="H924" s="2521"/>
      <c r="I924" s="2521"/>
      <c r="J924" s="2521"/>
      <c r="K924" s="2521"/>
      <c r="L924" s="2521"/>
      <c r="M924" s="2521"/>
      <c r="N924" s="2521"/>
      <c r="O924" s="2521"/>
      <c r="P924" s="2521"/>
      <c r="Q924" s="2521"/>
      <c r="R924" s="2521"/>
      <c r="S924" s="2521"/>
      <c r="T924" s="2521"/>
      <c r="U924" s="2521"/>
      <c r="V924" s="2521"/>
      <c r="W924" s="2521"/>
      <c r="X924" s="2521"/>
      <c r="Y924" s="2521"/>
      <c r="Z924" s="2521"/>
    </row>
    <row r="925" spans="1:26" ht="16.5" customHeight="1">
      <c r="A925" s="2521"/>
      <c r="B925" s="2526"/>
      <c r="C925" s="2521"/>
      <c r="D925" s="2521"/>
      <c r="E925" s="2521"/>
      <c r="F925" s="2521"/>
      <c r="G925" s="2521"/>
      <c r="H925" s="2521"/>
      <c r="I925" s="2521"/>
      <c r="J925" s="2521"/>
      <c r="K925" s="2521"/>
      <c r="L925" s="2521"/>
      <c r="M925" s="2521"/>
      <c r="N925" s="2521"/>
      <c r="O925" s="2521"/>
      <c r="P925" s="2521"/>
      <c r="Q925" s="2521"/>
      <c r="R925" s="2521"/>
      <c r="S925" s="2521"/>
      <c r="T925" s="2521"/>
      <c r="U925" s="2521"/>
      <c r="V925" s="2521"/>
      <c r="W925" s="2521"/>
      <c r="X925" s="2521"/>
      <c r="Y925" s="2521"/>
      <c r="Z925" s="2521"/>
    </row>
    <row r="926" spans="1:26" ht="16.5" customHeight="1">
      <c r="A926" s="2521"/>
      <c r="B926" s="2526"/>
      <c r="C926" s="2521"/>
      <c r="D926" s="2521"/>
      <c r="E926" s="2521"/>
      <c r="F926" s="2521"/>
      <c r="G926" s="2521"/>
      <c r="H926" s="2521"/>
      <c r="I926" s="2521"/>
      <c r="J926" s="2521"/>
      <c r="K926" s="2521"/>
      <c r="L926" s="2521"/>
      <c r="M926" s="2521"/>
      <c r="N926" s="2521"/>
      <c r="O926" s="2521"/>
      <c r="P926" s="2521"/>
      <c r="Q926" s="2521"/>
      <c r="R926" s="2521"/>
      <c r="S926" s="2521"/>
      <c r="T926" s="2521"/>
      <c r="U926" s="2521"/>
      <c r="V926" s="2521"/>
      <c r="W926" s="2521"/>
      <c r="X926" s="2521"/>
      <c r="Y926" s="2521"/>
      <c r="Z926" s="2521"/>
    </row>
    <row r="927" spans="1:26" ht="16.5" customHeight="1">
      <c r="A927" s="2521"/>
      <c r="B927" s="2526"/>
      <c r="C927" s="2521"/>
      <c r="D927" s="2521"/>
      <c r="E927" s="2521"/>
      <c r="F927" s="2521"/>
      <c r="G927" s="2521"/>
      <c r="H927" s="2521"/>
      <c r="I927" s="2521"/>
      <c r="J927" s="2521"/>
      <c r="K927" s="2521"/>
      <c r="L927" s="2521"/>
      <c r="M927" s="2521"/>
      <c r="N927" s="2521"/>
      <c r="O927" s="2521"/>
      <c r="P927" s="2521"/>
      <c r="Q927" s="2521"/>
      <c r="R927" s="2521"/>
      <c r="S927" s="2521"/>
      <c r="T927" s="2521"/>
      <c r="U927" s="2521"/>
      <c r="V927" s="2521"/>
      <c r="W927" s="2521"/>
      <c r="X927" s="2521"/>
      <c r="Y927" s="2521"/>
      <c r="Z927" s="2521"/>
    </row>
    <row r="928" spans="1:26" ht="16.5" customHeight="1">
      <c r="A928" s="2521"/>
      <c r="B928" s="2526"/>
      <c r="C928" s="2521"/>
      <c r="D928" s="2521"/>
      <c r="E928" s="2521"/>
      <c r="F928" s="2521"/>
      <c r="G928" s="2521"/>
      <c r="H928" s="2521"/>
      <c r="I928" s="2521"/>
      <c r="J928" s="2521"/>
      <c r="K928" s="2521"/>
      <c r="L928" s="2521"/>
      <c r="M928" s="2521"/>
      <c r="N928" s="2521"/>
      <c r="O928" s="2521"/>
      <c r="P928" s="2521"/>
      <c r="Q928" s="2521"/>
      <c r="R928" s="2521"/>
      <c r="S928" s="2521"/>
      <c r="T928" s="2521"/>
      <c r="U928" s="2521"/>
      <c r="V928" s="2521"/>
      <c r="W928" s="2521"/>
      <c r="X928" s="2521"/>
      <c r="Y928" s="2521"/>
      <c r="Z928" s="2521"/>
    </row>
    <row r="929" spans="1:26" ht="16.5" customHeight="1">
      <c r="A929" s="2521"/>
      <c r="B929" s="2526"/>
      <c r="C929" s="2521"/>
      <c r="D929" s="2521"/>
      <c r="E929" s="2521"/>
      <c r="F929" s="2521"/>
      <c r="G929" s="2521"/>
      <c r="H929" s="2521"/>
      <c r="I929" s="2521"/>
      <c r="J929" s="2521"/>
      <c r="K929" s="2521"/>
      <c r="L929" s="2521"/>
      <c r="M929" s="2521"/>
      <c r="N929" s="2521"/>
      <c r="O929" s="2521"/>
      <c r="P929" s="2521"/>
      <c r="Q929" s="2521"/>
      <c r="R929" s="2521"/>
      <c r="S929" s="2521"/>
      <c r="T929" s="2521"/>
      <c r="U929" s="2521"/>
      <c r="V929" s="2521"/>
      <c r="W929" s="2521"/>
      <c r="X929" s="2521"/>
      <c r="Y929" s="2521"/>
      <c r="Z929" s="2521"/>
    </row>
    <row r="930" spans="1:26" ht="16.5" customHeight="1">
      <c r="A930" s="2521"/>
      <c r="B930" s="2526"/>
      <c r="C930" s="2521"/>
      <c r="D930" s="2521"/>
      <c r="E930" s="2521"/>
      <c r="F930" s="2521"/>
      <c r="G930" s="2521"/>
      <c r="H930" s="2521"/>
      <c r="I930" s="2521"/>
      <c r="J930" s="2521"/>
      <c r="K930" s="2521"/>
      <c r="L930" s="2521"/>
      <c r="M930" s="2521"/>
      <c r="N930" s="2521"/>
      <c r="O930" s="2521"/>
      <c r="P930" s="2521"/>
      <c r="Q930" s="2521"/>
      <c r="R930" s="2521"/>
      <c r="S930" s="2521"/>
      <c r="T930" s="2521"/>
      <c r="U930" s="2521"/>
      <c r="V930" s="2521"/>
      <c r="W930" s="2521"/>
      <c r="X930" s="2521"/>
      <c r="Y930" s="2521"/>
      <c r="Z930" s="2521"/>
    </row>
    <row r="931" spans="1:26" ht="16.5" customHeight="1">
      <c r="A931" s="2521"/>
      <c r="B931" s="2526"/>
      <c r="C931" s="2521"/>
      <c r="D931" s="2521"/>
      <c r="E931" s="2521"/>
      <c r="F931" s="2521"/>
      <c r="G931" s="2521"/>
      <c r="H931" s="2521"/>
      <c r="I931" s="2521"/>
      <c r="J931" s="2521"/>
      <c r="K931" s="2521"/>
      <c r="L931" s="2521"/>
      <c r="M931" s="2521"/>
      <c r="N931" s="2521"/>
      <c r="O931" s="2521"/>
      <c r="P931" s="2521"/>
      <c r="Q931" s="2521"/>
      <c r="R931" s="2521"/>
      <c r="S931" s="2521"/>
      <c r="T931" s="2521"/>
      <c r="U931" s="2521"/>
      <c r="V931" s="2521"/>
      <c r="W931" s="2521"/>
      <c r="X931" s="2521"/>
      <c r="Y931" s="2521"/>
      <c r="Z931" s="2521"/>
    </row>
    <row r="932" spans="1:26" ht="16.5" customHeight="1">
      <c r="A932" s="2521"/>
      <c r="B932" s="2526"/>
      <c r="C932" s="2521"/>
      <c r="D932" s="2521"/>
      <c r="E932" s="2521"/>
      <c r="F932" s="2521"/>
      <c r="G932" s="2521"/>
      <c r="H932" s="2521"/>
      <c r="I932" s="2521"/>
      <c r="J932" s="2521"/>
      <c r="K932" s="2521"/>
      <c r="L932" s="2521"/>
      <c r="M932" s="2521"/>
      <c r="N932" s="2521"/>
      <c r="O932" s="2521"/>
      <c r="P932" s="2521"/>
      <c r="Q932" s="2521"/>
      <c r="R932" s="2521"/>
      <c r="S932" s="2521"/>
      <c r="T932" s="2521"/>
      <c r="U932" s="2521"/>
      <c r="V932" s="2521"/>
      <c r="W932" s="2521"/>
      <c r="X932" s="2521"/>
      <c r="Y932" s="2521"/>
      <c r="Z932" s="2521"/>
    </row>
    <row r="933" spans="1:26" ht="16.5" customHeight="1">
      <c r="A933" s="2521"/>
      <c r="B933" s="2526"/>
      <c r="C933" s="2521"/>
      <c r="D933" s="2521"/>
      <c r="E933" s="2521"/>
      <c r="F933" s="2521"/>
      <c r="G933" s="2521"/>
      <c r="H933" s="2521"/>
      <c r="I933" s="2521"/>
      <c r="J933" s="2521"/>
      <c r="K933" s="2521"/>
      <c r="L933" s="2521"/>
      <c r="M933" s="2521"/>
      <c r="N933" s="2521"/>
      <c r="O933" s="2521"/>
      <c r="P933" s="2521"/>
      <c r="Q933" s="2521"/>
      <c r="R933" s="2521"/>
      <c r="S933" s="2521"/>
      <c r="T933" s="2521"/>
      <c r="U933" s="2521"/>
      <c r="V933" s="2521"/>
      <c r="W933" s="2521"/>
      <c r="X933" s="2521"/>
      <c r="Y933" s="2521"/>
      <c r="Z933" s="2521"/>
    </row>
    <row r="934" spans="1:26" ht="16.5" customHeight="1">
      <c r="A934" s="2521"/>
      <c r="B934" s="2526"/>
      <c r="C934" s="2521"/>
      <c r="D934" s="2521"/>
      <c r="E934" s="2521"/>
      <c r="F934" s="2521"/>
      <c r="G934" s="2521"/>
      <c r="H934" s="2521"/>
      <c r="I934" s="2521"/>
      <c r="J934" s="2521"/>
      <c r="K934" s="2521"/>
      <c r="L934" s="2521"/>
      <c r="M934" s="2521"/>
      <c r="N934" s="2521"/>
      <c r="O934" s="2521"/>
      <c r="P934" s="2521"/>
      <c r="Q934" s="2521"/>
      <c r="R934" s="2521"/>
      <c r="S934" s="2521"/>
      <c r="T934" s="2521"/>
      <c r="U934" s="2521"/>
      <c r="V934" s="2521"/>
      <c r="W934" s="2521"/>
      <c r="X934" s="2521"/>
      <c r="Y934" s="2521"/>
      <c r="Z934" s="2521"/>
    </row>
    <row r="935" spans="1:26" ht="16.5" customHeight="1">
      <c r="A935" s="2521"/>
      <c r="B935" s="2526"/>
      <c r="C935" s="2521"/>
      <c r="D935" s="2521"/>
      <c r="E935" s="2521"/>
      <c r="F935" s="2521"/>
      <c r="G935" s="2521"/>
      <c r="H935" s="2521"/>
      <c r="I935" s="2521"/>
      <c r="J935" s="2521"/>
      <c r="K935" s="2521"/>
      <c r="L935" s="2521"/>
      <c r="M935" s="2521"/>
      <c r="N935" s="2521"/>
      <c r="O935" s="2521"/>
      <c r="P935" s="2521"/>
      <c r="Q935" s="2521"/>
      <c r="R935" s="2521"/>
      <c r="S935" s="2521"/>
      <c r="T935" s="2521"/>
      <c r="U935" s="2521"/>
      <c r="V935" s="2521"/>
      <c r="W935" s="2521"/>
      <c r="X935" s="2521"/>
      <c r="Y935" s="2521"/>
      <c r="Z935" s="2521"/>
    </row>
    <row r="936" spans="1:26" ht="16.5" customHeight="1">
      <c r="A936" s="2521"/>
      <c r="B936" s="2526"/>
      <c r="C936" s="2521"/>
      <c r="D936" s="2521"/>
      <c r="E936" s="2521"/>
      <c r="F936" s="2521"/>
      <c r="G936" s="2521"/>
      <c r="H936" s="2521"/>
      <c r="I936" s="2521"/>
      <c r="J936" s="2521"/>
      <c r="K936" s="2521"/>
      <c r="L936" s="2521"/>
      <c r="M936" s="2521"/>
      <c r="N936" s="2521"/>
      <c r="O936" s="2521"/>
      <c r="P936" s="2521"/>
      <c r="Q936" s="2521"/>
      <c r="R936" s="2521"/>
      <c r="S936" s="2521"/>
      <c r="T936" s="2521"/>
      <c r="U936" s="2521"/>
      <c r="V936" s="2521"/>
      <c r="W936" s="2521"/>
      <c r="X936" s="2521"/>
      <c r="Y936" s="2521"/>
      <c r="Z936" s="2521"/>
    </row>
    <row r="937" spans="1:26" ht="16.5" customHeight="1">
      <c r="A937" s="2521"/>
      <c r="B937" s="2526"/>
      <c r="C937" s="2521"/>
      <c r="D937" s="2521"/>
      <c r="E937" s="2521"/>
      <c r="F937" s="2521"/>
      <c r="G937" s="2521"/>
      <c r="H937" s="2521"/>
      <c r="I937" s="2521"/>
      <c r="J937" s="2521"/>
      <c r="K937" s="2521"/>
      <c r="L937" s="2521"/>
      <c r="M937" s="2521"/>
      <c r="N937" s="2521"/>
      <c r="O937" s="2521"/>
      <c r="P937" s="2521"/>
      <c r="Q937" s="2521"/>
      <c r="R937" s="2521"/>
      <c r="S937" s="2521"/>
      <c r="T937" s="2521"/>
      <c r="U937" s="2521"/>
      <c r="V937" s="2521"/>
      <c r="W937" s="2521"/>
      <c r="X937" s="2521"/>
      <c r="Y937" s="2521"/>
      <c r="Z937" s="2521"/>
    </row>
    <row r="938" spans="1:26" ht="16.5" customHeight="1">
      <c r="A938" s="2521"/>
      <c r="B938" s="2526"/>
      <c r="C938" s="2521"/>
      <c r="D938" s="2521"/>
      <c r="E938" s="2521"/>
      <c r="F938" s="2521"/>
      <c r="G938" s="2521"/>
      <c r="H938" s="2521"/>
      <c r="I938" s="2521"/>
      <c r="J938" s="2521"/>
      <c r="K938" s="2521"/>
      <c r="L938" s="2521"/>
      <c r="M938" s="2521"/>
      <c r="N938" s="2521"/>
      <c r="O938" s="2521"/>
      <c r="P938" s="2521"/>
      <c r="Q938" s="2521"/>
      <c r="R938" s="2521"/>
      <c r="S938" s="2521"/>
      <c r="T938" s="2521"/>
      <c r="U938" s="2521"/>
      <c r="V938" s="2521"/>
      <c r="W938" s="2521"/>
      <c r="X938" s="2521"/>
      <c r="Y938" s="2521"/>
      <c r="Z938" s="2521"/>
    </row>
    <row r="939" spans="1:26" ht="16.5" customHeight="1">
      <c r="A939" s="2521"/>
      <c r="B939" s="2526"/>
      <c r="C939" s="2521"/>
      <c r="D939" s="2521"/>
      <c r="E939" s="2521"/>
      <c r="F939" s="2521"/>
      <c r="G939" s="2521"/>
      <c r="H939" s="2521"/>
      <c r="I939" s="2521"/>
      <c r="J939" s="2521"/>
      <c r="K939" s="2521"/>
      <c r="L939" s="2521"/>
      <c r="M939" s="2521"/>
      <c r="N939" s="2521"/>
      <c r="O939" s="2521"/>
      <c r="P939" s="2521"/>
      <c r="Q939" s="2521"/>
      <c r="R939" s="2521"/>
      <c r="S939" s="2521"/>
      <c r="T939" s="2521"/>
      <c r="U939" s="2521"/>
      <c r="V939" s="2521"/>
      <c r="W939" s="2521"/>
      <c r="X939" s="2521"/>
      <c r="Y939" s="2521"/>
      <c r="Z939" s="2521"/>
    </row>
    <row r="940" spans="1:26" ht="16.5" customHeight="1">
      <c r="A940" s="2521"/>
      <c r="B940" s="2526"/>
      <c r="C940" s="2521"/>
      <c r="D940" s="2521"/>
      <c r="E940" s="2521"/>
      <c r="F940" s="2521"/>
      <c r="G940" s="2521"/>
      <c r="H940" s="2521"/>
      <c r="I940" s="2521"/>
      <c r="J940" s="2521"/>
      <c r="K940" s="2521"/>
      <c r="L940" s="2521"/>
      <c r="M940" s="2521"/>
      <c r="N940" s="2521"/>
      <c r="O940" s="2521"/>
      <c r="P940" s="2521"/>
      <c r="Q940" s="2521"/>
      <c r="R940" s="2521"/>
      <c r="S940" s="2521"/>
      <c r="T940" s="2521"/>
      <c r="U940" s="2521"/>
      <c r="V940" s="2521"/>
      <c r="W940" s="2521"/>
      <c r="X940" s="2521"/>
      <c r="Y940" s="2521"/>
      <c r="Z940" s="2521"/>
    </row>
    <row r="941" spans="1:26" ht="16.5" customHeight="1">
      <c r="A941" s="2521"/>
      <c r="B941" s="2526"/>
      <c r="C941" s="2521"/>
      <c r="D941" s="2521"/>
      <c r="E941" s="2521"/>
      <c r="F941" s="2521"/>
      <c r="G941" s="2521"/>
      <c r="H941" s="2521"/>
      <c r="I941" s="2521"/>
      <c r="J941" s="2521"/>
      <c r="K941" s="2521"/>
      <c r="L941" s="2521"/>
      <c r="M941" s="2521"/>
      <c r="N941" s="2521"/>
      <c r="O941" s="2521"/>
      <c r="P941" s="2521"/>
      <c r="Q941" s="2521"/>
      <c r="R941" s="2521"/>
      <c r="S941" s="2521"/>
      <c r="T941" s="2521"/>
      <c r="U941" s="2521"/>
      <c r="V941" s="2521"/>
      <c r="W941" s="2521"/>
      <c r="X941" s="2521"/>
      <c r="Y941" s="2521"/>
      <c r="Z941" s="2521"/>
    </row>
    <row r="942" spans="1:26" ht="16.5" customHeight="1">
      <c r="A942" s="2521"/>
      <c r="B942" s="2526"/>
      <c r="C942" s="2521"/>
      <c r="D942" s="2521"/>
      <c r="E942" s="2521"/>
      <c r="F942" s="2521"/>
      <c r="G942" s="2521"/>
      <c r="H942" s="2521"/>
      <c r="I942" s="2521"/>
      <c r="J942" s="2521"/>
      <c r="K942" s="2521"/>
      <c r="L942" s="2521"/>
      <c r="M942" s="2521"/>
      <c r="N942" s="2521"/>
      <c r="O942" s="2521"/>
      <c r="P942" s="2521"/>
      <c r="Q942" s="2521"/>
      <c r="R942" s="2521"/>
      <c r="S942" s="2521"/>
      <c r="T942" s="2521"/>
      <c r="U942" s="2521"/>
      <c r="V942" s="2521"/>
      <c r="W942" s="2521"/>
      <c r="X942" s="2521"/>
      <c r="Y942" s="2521"/>
      <c r="Z942" s="2521"/>
    </row>
    <row r="943" spans="1:26" ht="16.5" customHeight="1">
      <c r="A943" s="2521"/>
      <c r="B943" s="2526"/>
      <c r="C943" s="2521"/>
      <c r="D943" s="2521"/>
      <c r="E943" s="2521"/>
      <c r="F943" s="2521"/>
      <c r="G943" s="2521"/>
      <c r="H943" s="2521"/>
      <c r="I943" s="2521"/>
      <c r="J943" s="2521"/>
      <c r="K943" s="2521"/>
      <c r="L943" s="2521"/>
      <c r="M943" s="2521"/>
      <c r="N943" s="2521"/>
      <c r="O943" s="2521"/>
      <c r="P943" s="2521"/>
      <c r="Q943" s="2521"/>
      <c r="R943" s="2521"/>
      <c r="S943" s="2521"/>
      <c r="T943" s="2521"/>
      <c r="U943" s="2521"/>
      <c r="V943" s="2521"/>
      <c r="W943" s="2521"/>
      <c r="X943" s="2521"/>
      <c r="Y943" s="2521"/>
      <c r="Z943" s="2521"/>
    </row>
    <row r="944" spans="1:26" ht="16.5" customHeight="1">
      <c r="A944" s="2521"/>
      <c r="B944" s="2526"/>
      <c r="C944" s="2521"/>
      <c r="D944" s="2521"/>
      <c r="E944" s="2521"/>
      <c r="F944" s="2521"/>
      <c r="G944" s="2521"/>
      <c r="H944" s="2521"/>
      <c r="I944" s="2521"/>
      <c r="J944" s="2521"/>
      <c r="K944" s="2521"/>
      <c r="L944" s="2521"/>
      <c r="M944" s="2521"/>
      <c r="N944" s="2521"/>
      <c r="O944" s="2521"/>
      <c r="P944" s="2521"/>
      <c r="Q944" s="2521"/>
      <c r="R944" s="2521"/>
      <c r="S944" s="2521"/>
      <c r="T944" s="2521"/>
      <c r="U944" s="2521"/>
      <c r="V944" s="2521"/>
      <c r="W944" s="2521"/>
      <c r="X944" s="2521"/>
      <c r="Y944" s="2521"/>
      <c r="Z944" s="2521"/>
    </row>
    <row r="945" spans="1:26" ht="16.5" customHeight="1">
      <c r="A945" s="2521"/>
      <c r="B945" s="2526"/>
      <c r="C945" s="2521"/>
      <c r="D945" s="2521"/>
      <c r="E945" s="2521"/>
      <c r="F945" s="2521"/>
      <c r="G945" s="2521"/>
      <c r="H945" s="2521"/>
      <c r="I945" s="2521"/>
      <c r="J945" s="2521"/>
      <c r="K945" s="2521"/>
      <c r="L945" s="2521"/>
      <c r="M945" s="2521"/>
      <c r="N945" s="2521"/>
      <c r="O945" s="2521"/>
      <c r="P945" s="2521"/>
      <c r="Q945" s="2521"/>
      <c r="R945" s="2521"/>
      <c r="S945" s="2521"/>
      <c r="T945" s="2521"/>
      <c r="U945" s="2521"/>
      <c r="V945" s="2521"/>
      <c r="W945" s="2521"/>
      <c r="X945" s="2521"/>
      <c r="Y945" s="2521"/>
      <c r="Z945" s="2521"/>
    </row>
    <row r="946" spans="1:26" ht="16.5" customHeight="1">
      <c r="A946" s="2521"/>
      <c r="B946" s="2526"/>
      <c r="C946" s="2521"/>
      <c r="D946" s="2521"/>
      <c r="E946" s="2521"/>
      <c r="F946" s="2521"/>
      <c r="G946" s="2521"/>
      <c r="H946" s="2521"/>
      <c r="I946" s="2521"/>
      <c r="J946" s="2521"/>
      <c r="K946" s="2521"/>
      <c r="L946" s="2521"/>
      <c r="M946" s="2521"/>
      <c r="N946" s="2521"/>
      <c r="O946" s="2521"/>
      <c r="P946" s="2521"/>
      <c r="Q946" s="2521"/>
      <c r="R946" s="2521"/>
      <c r="S946" s="2521"/>
      <c r="T946" s="2521"/>
      <c r="U946" s="2521"/>
      <c r="V946" s="2521"/>
      <c r="W946" s="2521"/>
      <c r="X946" s="2521"/>
      <c r="Y946" s="2521"/>
      <c r="Z946" s="2521"/>
    </row>
    <row r="947" spans="1:26" ht="16.5" customHeight="1">
      <c r="A947" s="2521"/>
      <c r="B947" s="2526"/>
      <c r="C947" s="2521"/>
      <c r="D947" s="2521"/>
      <c r="E947" s="2521"/>
      <c r="F947" s="2521"/>
      <c r="G947" s="2521"/>
      <c r="H947" s="2521"/>
      <c r="I947" s="2521"/>
      <c r="J947" s="2521"/>
      <c r="K947" s="2521"/>
      <c r="L947" s="2521"/>
      <c r="M947" s="2521"/>
      <c r="N947" s="2521"/>
      <c r="O947" s="2521"/>
      <c r="P947" s="2521"/>
      <c r="Q947" s="2521"/>
      <c r="R947" s="2521"/>
      <c r="S947" s="2521"/>
      <c r="T947" s="2521"/>
      <c r="U947" s="2521"/>
      <c r="V947" s="2521"/>
      <c r="W947" s="2521"/>
      <c r="X947" s="2521"/>
      <c r="Y947" s="2521"/>
      <c r="Z947" s="2521"/>
    </row>
    <row r="948" spans="1:26" ht="16.5" customHeight="1">
      <c r="A948" s="2521"/>
      <c r="B948" s="2526"/>
      <c r="C948" s="2521"/>
      <c r="D948" s="2521"/>
      <c r="E948" s="2521"/>
      <c r="F948" s="2521"/>
      <c r="G948" s="2521"/>
      <c r="H948" s="2521"/>
      <c r="I948" s="2521"/>
      <c r="J948" s="2521"/>
      <c r="K948" s="2521"/>
      <c r="L948" s="2521"/>
      <c r="M948" s="2521"/>
      <c r="N948" s="2521"/>
      <c r="O948" s="2521"/>
      <c r="P948" s="2521"/>
      <c r="Q948" s="2521"/>
      <c r="R948" s="2521"/>
      <c r="S948" s="2521"/>
      <c r="T948" s="2521"/>
      <c r="U948" s="2521"/>
      <c r="V948" s="2521"/>
      <c r="W948" s="2521"/>
      <c r="X948" s="2521"/>
      <c r="Y948" s="2521"/>
      <c r="Z948" s="2521"/>
    </row>
    <row r="949" spans="1:26" ht="16.5" customHeight="1">
      <c r="A949" s="2521"/>
      <c r="B949" s="2526"/>
      <c r="C949" s="2521"/>
      <c r="D949" s="2521"/>
      <c r="E949" s="2521"/>
      <c r="F949" s="2521"/>
      <c r="G949" s="2521"/>
      <c r="H949" s="2521"/>
      <c r="I949" s="2521"/>
      <c r="J949" s="2521"/>
      <c r="K949" s="2521"/>
      <c r="L949" s="2521"/>
      <c r="M949" s="2521"/>
      <c r="N949" s="2521"/>
      <c r="O949" s="2521"/>
      <c r="P949" s="2521"/>
      <c r="Q949" s="2521"/>
      <c r="R949" s="2521"/>
      <c r="S949" s="2521"/>
      <c r="T949" s="2521"/>
      <c r="U949" s="2521"/>
      <c r="V949" s="2521"/>
      <c r="W949" s="2521"/>
      <c r="X949" s="2521"/>
      <c r="Y949" s="2521"/>
      <c r="Z949" s="2521"/>
    </row>
    <row r="950" spans="1:26" ht="16.5" customHeight="1">
      <c r="A950" s="2521"/>
      <c r="B950" s="2526"/>
      <c r="C950" s="2521"/>
      <c r="D950" s="2521"/>
      <c r="E950" s="2521"/>
      <c r="F950" s="2521"/>
      <c r="G950" s="2521"/>
      <c r="H950" s="2521"/>
      <c r="I950" s="2521"/>
      <c r="J950" s="2521"/>
      <c r="K950" s="2521"/>
      <c r="L950" s="2521"/>
      <c r="M950" s="2521"/>
      <c r="N950" s="2521"/>
      <c r="O950" s="2521"/>
      <c r="P950" s="2521"/>
      <c r="Q950" s="2521"/>
      <c r="R950" s="2521"/>
      <c r="S950" s="2521"/>
      <c r="T950" s="2521"/>
      <c r="U950" s="2521"/>
      <c r="V950" s="2521"/>
      <c r="W950" s="2521"/>
      <c r="X950" s="2521"/>
      <c r="Y950" s="2521"/>
      <c r="Z950" s="2521"/>
    </row>
    <row r="951" spans="1:26" ht="16.5" customHeight="1">
      <c r="A951" s="2521"/>
      <c r="B951" s="2526"/>
      <c r="C951" s="2521"/>
      <c r="D951" s="2521"/>
      <c r="E951" s="2521"/>
      <c r="F951" s="2521"/>
      <c r="G951" s="2521"/>
      <c r="H951" s="2521"/>
      <c r="I951" s="2521"/>
      <c r="J951" s="2521"/>
      <c r="K951" s="2521"/>
      <c r="L951" s="2521"/>
      <c r="M951" s="2521"/>
      <c r="N951" s="2521"/>
      <c r="O951" s="2521"/>
      <c r="P951" s="2521"/>
      <c r="Q951" s="2521"/>
      <c r="R951" s="2521"/>
      <c r="S951" s="2521"/>
      <c r="T951" s="2521"/>
      <c r="U951" s="2521"/>
      <c r="V951" s="2521"/>
      <c r="W951" s="2521"/>
      <c r="X951" s="2521"/>
      <c r="Y951" s="2521"/>
      <c r="Z951" s="2521"/>
    </row>
    <row r="952" spans="1:26" ht="16.5" customHeight="1">
      <c r="A952" s="2521"/>
      <c r="B952" s="2526"/>
      <c r="C952" s="2521"/>
      <c r="D952" s="2521"/>
      <c r="E952" s="2521"/>
      <c r="F952" s="2521"/>
      <c r="G952" s="2521"/>
      <c r="H952" s="2521"/>
      <c r="I952" s="2521"/>
      <c r="J952" s="2521"/>
      <c r="K952" s="2521"/>
      <c r="L952" s="2521"/>
      <c r="M952" s="2521"/>
      <c r="N952" s="2521"/>
      <c r="O952" s="2521"/>
      <c r="P952" s="2521"/>
      <c r="Q952" s="2521"/>
      <c r="R952" s="2521"/>
      <c r="S952" s="2521"/>
      <c r="T952" s="2521"/>
      <c r="U952" s="2521"/>
      <c r="V952" s="2521"/>
      <c r="W952" s="2521"/>
      <c r="X952" s="2521"/>
      <c r="Y952" s="2521"/>
      <c r="Z952" s="2521"/>
    </row>
    <row r="953" spans="1:26" ht="16.5" customHeight="1">
      <c r="A953" s="2521"/>
      <c r="B953" s="2526"/>
      <c r="C953" s="2521"/>
      <c r="D953" s="2521"/>
      <c r="E953" s="2521"/>
      <c r="F953" s="2521"/>
      <c r="G953" s="2521"/>
      <c r="H953" s="2521"/>
      <c r="I953" s="2521"/>
      <c r="J953" s="2521"/>
      <c r="K953" s="2521"/>
      <c r="L953" s="2521"/>
      <c r="M953" s="2521"/>
      <c r="N953" s="2521"/>
      <c r="O953" s="2521"/>
      <c r="P953" s="2521"/>
      <c r="Q953" s="2521"/>
      <c r="R953" s="2521"/>
      <c r="S953" s="2521"/>
      <c r="T953" s="2521"/>
      <c r="U953" s="2521"/>
      <c r="V953" s="2521"/>
      <c r="W953" s="2521"/>
      <c r="X953" s="2521"/>
      <c r="Y953" s="2521"/>
      <c r="Z953" s="2521"/>
    </row>
    <row r="954" spans="1:26" ht="16.5" customHeight="1">
      <c r="A954" s="2521"/>
      <c r="B954" s="2526"/>
      <c r="C954" s="2521"/>
      <c r="D954" s="2521"/>
      <c r="E954" s="2521"/>
      <c r="F954" s="2521"/>
      <c r="G954" s="2521"/>
      <c r="H954" s="2521"/>
      <c r="I954" s="2521"/>
      <c r="J954" s="2521"/>
      <c r="K954" s="2521"/>
      <c r="L954" s="2521"/>
      <c r="M954" s="2521"/>
      <c r="N954" s="2521"/>
      <c r="O954" s="2521"/>
      <c r="P954" s="2521"/>
      <c r="Q954" s="2521"/>
      <c r="R954" s="2521"/>
      <c r="S954" s="2521"/>
      <c r="T954" s="2521"/>
      <c r="U954" s="2521"/>
      <c r="V954" s="2521"/>
      <c r="W954" s="2521"/>
      <c r="X954" s="2521"/>
      <c r="Y954" s="2521"/>
      <c r="Z954" s="2521"/>
    </row>
    <row r="955" spans="1:26" ht="16.5" customHeight="1">
      <c r="A955" s="2521"/>
      <c r="B955" s="2526"/>
      <c r="C955" s="2521"/>
      <c r="D955" s="2521"/>
      <c r="E955" s="2521"/>
      <c r="F955" s="2521"/>
      <c r="G955" s="2521"/>
      <c r="H955" s="2521"/>
      <c r="I955" s="2521"/>
      <c r="J955" s="2521"/>
      <c r="K955" s="2521"/>
      <c r="L955" s="2521"/>
      <c r="M955" s="2521"/>
      <c r="N955" s="2521"/>
      <c r="O955" s="2521"/>
      <c r="P955" s="2521"/>
      <c r="Q955" s="2521"/>
      <c r="R955" s="2521"/>
      <c r="S955" s="2521"/>
      <c r="T955" s="2521"/>
      <c r="U955" s="2521"/>
      <c r="V955" s="2521"/>
      <c r="W955" s="2521"/>
      <c r="X955" s="2521"/>
      <c r="Y955" s="2521"/>
      <c r="Z955" s="2521"/>
    </row>
    <row r="956" spans="1:26" ht="16.5" customHeight="1">
      <c r="A956" s="2521"/>
      <c r="B956" s="2526"/>
      <c r="C956" s="2521"/>
      <c r="D956" s="2521"/>
      <c r="E956" s="2521"/>
      <c r="F956" s="2521"/>
      <c r="G956" s="2521"/>
      <c r="H956" s="2521"/>
      <c r="I956" s="2521"/>
      <c r="J956" s="2521"/>
      <c r="K956" s="2521"/>
      <c r="L956" s="2521"/>
      <c r="M956" s="2521"/>
      <c r="N956" s="2521"/>
      <c r="O956" s="2521"/>
      <c r="P956" s="2521"/>
      <c r="Q956" s="2521"/>
      <c r="R956" s="2521"/>
      <c r="S956" s="2521"/>
      <c r="T956" s="2521"/>
      <c r="U956" s="2521"/>
      <c r="V956" s="2521"/>
      <c r="W956" s="2521"/>
      <c r="X956" s="2521"/>
      <c r="Y956" s="2521"/>
      <c r="Z956" s="2521"/>
    </row>
    <row r="957" spans="1:26" ht="16.5" customHeight="1">
      <c r="A957" s="2521"/>
      <c r="B957" s="2526"/>
      <c r="C957" s="2521"/>
      <c r="D957" s="2521"/>
      <c r="E957" s="2521"/>
      <c r="F957" s="2521"/>
      <c r="G957" s="2521"/>
      <c r="H957" s="2521"/>
      <c r="I957" s="2521"/>
      <c r="J957" s="2521"/>
      <c r="K957" s="2521"/>
      <c r="L957" s="2521"/>
      <c r="M957" s="2521"/>
      <c r="N957" s="2521"/>
      <c r="O957" s="2521"/>
      <c r="P957" s="2521"/>
      <c r="Q957" s="2521"/>
      <c r="R957" s="2521"/>
      <c r="S957" s="2521"/>
      <c r="T957" s="2521"/>
      <c r="U957" s="2521"/>
      <c r="V957" s="2521"/>
      <c r="W957" s="2521"/>
      <c r="X957" s="2521"/>
      <c r="Y957" s="2521"/>
      <c r="Z957" s="2521"/>
    </row>
    <row r="958" spans="1:26" ht="16.5" customHeight="1">
      <c r="A958" s="2521"/>
      <c r="B958" s="2526"/>
      <c r="C958" s="2521"/>
      <c r="D958" s="2521"/>
      <c r="E958" s="2521"/>
      <c r="F958" s="2521"/>
      <c r="G958" s="2521"/>
      <c r="H958" s="2521"/>
      <c r="I958" s="2521"/>
      <c r="J958" s="2521"/>
      <c r="K958" s="2521"/>
      <c r="L958" s="2521"/>
      <c r="M958" s="2521"/>
      <c r="N958" s="2521"/>
      <c r="O958" s="2521"/>
      <c r="P958" s="2521"/>
      <c r="Q958" s="2521"/>
      <c r="R958" s="2521"/>
      <c r="S958" s="2521"/>
      <c r="T958" s="2521"/>
      <c r="U958" s="2521"/>
      <c r="V958" s="2521"/>
      <c r="W958" s="2521"/>
      <c r="X958" s="2521"/>
      <c r="Y958" s="2521"/>
      <c r="Z958" s="2521"/>
    </row>
    <row r="959" spans="1:26" ht="16.5" customHeight="1">
      <c r="A959" s="2521"/>
      <c r="B959" s="2526"/>
      <c r="C959" s="2521"/>
      <c r="D959" s="2521"/>
      <c r="E959" s="2521"/>
      <c r="F959" s="2521"/>
      <c r="G959" s="2521"/>
      <c r="H959" s="2521"/>
      <c r="I959" s="2521"/>
      <c r="J959" s="2521"/>
      <c r="K959" s="2521"/>
      <c r="L959" s="2521"/>
      <c r="M959" s="2521"/>
      <c r="N959" s="2521"/>
      <c r="O959" s="2521"/>
      <c r="P959" s="2521"/>
      <c r="Q959" s="2521"/>
      <c r="R959" s="2521"/>
      <c r="S959" s="2521"/>
      <c r="T959" s="2521"/>
      <c r="U959" s="2521"/>
      <c r="V959" s="2521"/>
      <c r="W959" s="2521"/>
      <c r="X959" s="2521"/>
      <c r="Y959" s="2521"/>
      <c r="Z959" s="2521"/>
    </row>
    <row r="960" spans="1:26" ht="16.5" customHeight="1">
      <c r="A960" s="2521"/>
      <c r="B960" s="2526"/>
      <c r="C960" s="2521"/>
      <c r="D960" s="2521"/>
      <c r="E960" s="2521"/>
      <c r="F960" s="2521"/>
      <c r="G960" s="2521"/>
      <c r="H960" s="2521"/>
      <c r="I960" s="2521"/>
      <c r="J960" s="2521"/>
      <c r="K960" s="2521"/>
      <c r="L960" s="2521"/>
      <c r="M960" s="2521"/>
      <c r="N960" s="2521"/>
      <c r="O960" s="2521"/>
      <c r="P960" s="2521"/>
      <c r="Q960" s="2521"/>
      <c r="R960" s="2521"/>
      <c r="S960" s="2521"/>
      <c r="T960" s="2521"/>
      <c r="U960" s="2521"/>
      <c r="V960" s="2521"/>
      <c r="W960" s="2521"/>
      <c r="X960" s="2521"/>
      <c r="Y960" s="2521"/>
      <c r="Z960" s="2521"/>
    </row>
    <row r="961" spans="1:26" ht="16.5" customHeight="1">
      <c r="A961" s="2521"/>
      <c r="B961" s="2526"/>
      <c r="C961" s="2521"/>
      <c r="D961" s="2521"/>
      <c r="E961" s="2521"/>
      <c r="F961" s="2521"/>
      <c r="G961" s="2521"/>
      <c r="H961" s="2521"/>
      <c r="I961" s="2521"/>
      <c r="J961" s="2521"/>
      <c r="K961" s="2521"/>
      <c r="L961" s="2521"/>
      <c r="M961" s="2521"/>
      <c r="N961" s="2521"/>
      <c r="O961" s="2521"/>
      <c r="P961" s="2521"/>
      <c r="Q961" s="2521"/>
      <c r="R961" s="2521"/>
      <c r="S961" s="2521"/>
      <c r="T961" s="2521"/>
      <c r="U961" s="2521"/>
      <c r="V961" s="2521"/>
      <c r="W961" s="2521"/>
      <c r="X961" s="2521"/>
      <c r="Y961" s="2521"/>
      <c r="Z961" s="2521"/>
    </row>
    <row r="962" spans="1:26" ht="16.5" customHeight="1">
      <c r="A962" s="2521"/>
      <c r="B962" s="2526"/>
      <c r="C962" s="2521"/>
      <c r="D962" s="2521"/>
      <c r="E962" s="2521"/>
      <c r="F962" s="2521"/>
      <c r="G962" s="2521"/>
      <c r="H962" s="2521"/>
      <c r="I962" s="2521"/>
      <c r="J962" s="2521"/>
      <c r="K962" s="2521"/>
      <c r="L962" s="2521"/>
      <c r="M962" s="2521"/>
      <c r="N962" s="2521"/>
      <c r="O962" s="2521"/>
      <c r="P962" s="2521"/>
      <c r="Q962" s="2521"/>
      <c r="R962" s="2521"/>
      <c r="S962" s="2521"/>
      <c r="T962" s="2521"/>
      <c r="U962" s="2521"/>
      <c r="V962" s="2521"/>
      <c r="W962" s="2521"/>
      <c r="X962" s="2521"/>
      <c r="Y962" s="2521"/>
      <c r="Z962" s="2521"/>
    </row>
    <row r="963" spans="1:26" ht="16.5" customHeight="1">
      <c r="A963" s="2521"/>
      <c r="B963" s="2526"/>
      <c r="C963" s="2521"/>
      <c r="D963" s="2521"/>
      <c r="E963" s="2521"/>
      <c r="F963" s="2521"/>
      <c r="G963" s="2521"/>
      <c r="H963" s="2521"/>
      <c r="I963" s="2521"/>
      <c r="J963" s="2521"/>
      <c r="K963" s="2521"/>
      <c r="L963" s="2521"/>
      <c r="M963" s="2521"/>
      <c r="N963" s="2521"/>
      <c r="O963" s="2521"/>
      <c r="P963" s="2521"/>
      <c r="Q963" s="2521"/>
      <c r="R963" s="2521"/>
      <c r="S963" s="2521"/>
      <c r="T963" s="2521"/>
      <c r="U963" s="2521"/>
      <c r="V963" s="2521"/>
      <c r="W963" s="2521"/>
      <c r="X963" s="2521"/>
      <c r="Y963" s="2521"/>
      <c r="Z963" s="2521"/>
    </row>
    <row r="964" spans="1:26" ht="16.5" customHeight="1">
      <c r="A964" s="2521"/>
      <c r="B964" s="2526"/>
      <c r="C964" s="2521"/>
      <c r="D964" s="2521"/>
      <c r="E964" s="2521"/>
      <c r="F964" s="2521"/>
      <c r="G964" s="2521"/>
      <c r="H964" s="2521"/>
      <c r="I964" s="2521"/>
      <c r="J964" s="2521"/>
      <c r="K964" s="2521"/>
      <c r="L964" s="2521"/>
      <c r="M964" s="2521"/>
      <c r="N964" s="2521"/>
      <c r="O964" s="2521"/>
      <c r="P964" s="2521"/>
      <c r="Q964" s="2521"/>
      <c r="R964" s="2521"/>
      <c r="S964" s="2521"/>
      <c r="T964" s="2521"/>
      <c r="U964" s="2521"/>
      <c r="V964" s="2521"/>
      <c r="W964" s="2521"/>
      <c r="X964" s="2521"/>
      <c r="Y964" s="2521"/>
      <c r="Z964" s="2521"/>
    </row>
    <row r="965" spans="1:26" ht="16.5" customHeight="1">
      <c r="A965" s="2521"/>
      <c r="B965" s="2526"/>
      <c r="C965" s="2521"/>
      <c r="D965" s="2521"/>
      <c r="E965" s="2521"/>
      <c r="F965" s="2521"/>
      <c r="G965" s="2521"/>
      <c r="H965" s="2521"/>
      <c r="I965" s="2521"/>
      <c r="J965" s="2521"/>
      <c r="K965" s="2521"/>
      <c r="L965" s="2521"/>
      <c r="M965" s="2521"/>
      <c r="N965" s="2521"/>
      <c r="O965" s="2521"/>
      <c r="P965" s="2521"/>
      <c r="Q965" s="2521"/>
      <c r="R965" s="2521"/>
      <c r="S965" s="2521"/>
      <c r="T965" s="2521"/>
      <c r="U965" s="2521"/>
      <c r="V965" s="2521"/>
      <c r="W965" s="2521"/>
      <c r="X965" s="2521"/>
      <c r="Y965" s="2521"/>
      <c r="Z965" s="2521"/>
    </row>
    <row r="966" spans="1:26" ht="16.5" customHeight="1">
      <c r="A966" s="2521"/>
      <c r="B966" s="2526"/>
      <c r="C966" s="2521"/>
      <c r="D966" s="2521"/>
      <c r="E966" s="2521"/>
      <c r="F966" s="2521"/>
      <c r="G966" s="2521"/>
      <c r="H966" s="2521"/>
      <c r="I966" s="2521"/>
      <c r="J966" s="2521"/>
      <c r="K966" s="2521"/>
      <c r="L966" s="2521"/>
      <c r="M966" s="2521"/>
      <c r="N966" s="2521"/>
      <c r="O966" s="2521"/>
      <c r="P966" s="2521"/>
      <c r="Q966" s="2521"/>
      <c r="R966" s="2521"/>
      <c r="S966" s="2521"/>
      <c r="T966" s="2521"/>
      <c r="U966" s="2521"/>
      <c r="V966" s="2521"/>
      <c r="W966" s="2521"/>
      <c r="X966" s="2521"/>
      <c r="Y966" s="2521"/>
      <c r="Z966" s="2521"/>
    </row>
    <row r="967" spans="1:26" ht="16.5" customHeight="1">
      <c r="A967" s="2521"/>
      <c r="B967" s="2526"/>
      <c r="C967" s="2521"/>
      <c r="D967" s="2521"/>
      <c r="E967" s="2521"/>
      <c r="F967" s="2521"/>
      <c r="G967" s="2521"/>
      <c r="H967" s="2521"/>
      <c r="I967" s="2521"/>
      <c r="J967" s="2521"/>
      <c r="K967" s="2521"/>
      <c r="L967" s="2521"/>
      <c r="M967" s="2521"/>
      <c r="N967" s="2521"/>
      <c r="O967" s="2521"/>
      <c r="P967" s="2521"/>
      <c r="Q967" s="2521"/>
      <c r="R967" s="2521"/>
      <c r="S967" s="2521"/>
      <c r="T967" s="2521"/>
      <c r="U967" s="2521"/>
      <c r="V967" s="2521"/>
      <c r="W967" s="2521"/>
      <c r="X967" s="2521"/>
      <c r="Y967" s="2521"/>
      <c r="Z967" s="2521"/>
    </row>
    <row r="968" spans="1:26" ht="16.5" customHeight="1">
      <c r="A968" s="2521"/>
      <c r="B968" s="2526"/>
      <c r="C968" s="2521"/>
      <c r="D968" s="2521"/>
      <c r="E968" s="2521"/>
      <c r="F968" s="2521"/>
      <c r="G968" s="2521"/>
      <c r="H968" s="2521"/>
      <c r="I968" s="2521"/>
      <c r="J968" s="2521"/>
      <c r="K968" s="2521"/>
      <c r="L968" s="2521"/>
      <c r="M968" s="2521"/>
      <c r="N968" s="2521"/>
      <c r="O968" s="2521"/>
      <c r="P968" s="2521"/>
      <c r="Q968" s="2521"/>
      <c r="R968" s="2521"/>
      <c r="S968" s="2521"/>
      <c r="T968" s="2521"/>
      <c r="U968" s="2521"/>
      <c r="V968" s="2521"/>
      <c r="W968" s="2521"/>
      <c r="X968" s="2521"/>
      <c r="Y968" s="2521"/>
      <c r="Z968" s="2521"/>
    </row>
    <row r="969" spans="1:26" ht="16.5" customHeight="1">
      <c r="A969" s="2521"/>
      <c r="B969" s="2526"/>
      <c r="C969" s="2521"/>
      <c r="D969" s="2521"/>
      <c r="E969" s="2521"/>
      <c r="F969" s="2521"/>
      <c r="G969" s="2521"/>
      <c r="H969" s="2521"/>
      <c r="I969" s="2521"/>
      <c r="J969" s="2521"/>
      <c r="K969" s="2521"/>
      <c r="L969" s="2521"/>
      <c r="M969" s="2521"/>
      <c r="N969" s="2521"/>
      <c r="O969" s="2521"/>
      <c r="P969" s="2521"/>
      <c r="Q969" s="2521"/>
      <c r="R969" s="2521"/>
      <c r="S969" s="2521"/>
      <c r="T969" s="2521"/>
      <c r="U969" s="2521"/>
      <c r="V969" s="2521"/>
      <c r="W969" s="2521"/>
      <c r="X969" s="2521"/>
      <c r="Y969" s="2521"/>
      <c r="Z969" s="2521"/>
    </row>
    <row r="970" spans="1:26" ht="16.5" customHeight="1">
      <c r="A970" s="2521"/>
      <c r="B970" s="2526"/>
      <c r="C970" s="2521"/>
      <c r="D970" s="2521"/>
      <c r="E970" s="2521"/>
      <c r="F970" s="2521"/>
      <c r="G970" s="2521"/>
      <c r="H970" s="2521"/>
      <c r="I970" s="2521"/>
      <c r="J970" s="2521"/>
      <c r="K970" s="2521"/>
      <c r="L970" s="2521"/>
      <c r="M970" s="2521"/>
      <c r="N970" s="2521"/>
      <c r="O970" s="2521"/>
      <c r="P970" s="2521"/>
      <c r="Q970" s="2521"/>
      <c r="R970" s="2521"/>
      <c r="S970" s="2521"/>
      <c r="T970" s="2521"/>
      <c r="U970" s="2521"/>
      <c r="V970" s="2521"/>
      <c r="W970" s="2521"/>
      <c r="X970" s="2521"/>
      <c r="Y970" s="2521"/>
      <c r="Z970" s="2521"/>
    </row>
    <row r="971" spans="1:26" ht="16.5" customHeight="1">
      <c r="A971" s="2521"/>
      <c r="B971" s="2526"/>
      <c r="C971" s="2521"/>
      <c r="D971" s="2521"/>
      <c r="E971" s="2521"/>
      <c r="F971" s="2521"/>
      <c r="G971" s="2521"/>
      <c r="H971" s="2521"/>
      <c r="I971" s="2521"/>
      <c r="J971" s="2521"/>
      <c r="K971" s="2521"/>
      <c r="L971" s="2521"/>
      <c r="M971" s="2521"/>
      <c r="N971" s="2521"/>
      <c r="O971" s="2521"/>
      <c r="P971" s="2521"/>
      <c r="Q971" s="2521"/>
      <c r="R971" s="2521"/>
      <c r="S971" s="2521"/>
      <c r="T971" s="2521"/>
      <c r="U971" s="2521"/>
      <c r="V971" s="2521"/>
      <c r="W971" s="2521"/>
      <c r="X971" s="2521"/>
      <c r="Y971" s="2521"/>
      <c r="Z971" s="2521"/>
    </row>
    <row r="972" spans="1:26" ht="16.5" customHeight="1">
      <c r="A972" s="2521"/>
      <c r="B972" s="2526"/>
      <c r="C972" s="2521"/>
      <c r="D972" s="2521"/>
      <c r="E972" s="2521"/>
      <c r="F972" s="2521"/>
      <c r="G972" s="2521"/>
      <c r="H972" s="2521"/>
      <c r="I972" s="2521"/>
      <c r="J972" s="2521"/>
      <c r="K972" s="2521"/>
      <c r="L972" s="2521"/>
      <c r="M972" s="2521"/>
      <c r="N972" s="2521"/>
      <c r="O972" s="2521"/>
      <c r="P972" s="2521"/>
      <c r="Q972" s="2521"/>
      <c r="R972" s="2521"/>
      <c r="S972" s="2521"/>
      <c r="T972" s="2521"/>
      <c r="U972" s="2521"/>
      <c r="V972" s="2521"/>
      <c r="W972" s="2521"/>
      <c r="X972" s="2521"/>
      <c r="Y972" s="2521"/>
      <c r="Z972" s="2521"/>
    </row>
    <row r="973" spans="1:26" ht="16.5" customHeight="1">
      <c r="A973" s="2521"/>
      <c r="B973" s="2526"/>
      <c r="C973" s="2521"/>
      <c r="D973" s="2521"/>
      <c r="E973" s="2521"/>
      <c r="F973" s="2521"/>
      <c r="G973" s="2521"/>
      <c r="H973" s="2521"/>
      <c r="I973" s="2521"/>
      <c r="J973" s="2521"/>
      <c r="K973" s="2521"/>
      <c r="L973" s="2521"/>
      <c r="M973" s="2521"/>
      <c r="N973" s="2521"/>
      <c r="O973" s="2521"/>
      <c r="P973" s="2521"/>
      <c r="Q973" s="2521"/>
      <c r="R973" s="2521"/>
      <c r="S973" s="2521"/>
      <c r="T973" s="2521"/>
      <c r="U973" s="2521"/>
      <c r="V973" s="2521"/>
      <c r="W973" s="2521"/>
      <c r="X973" s="2521"/>
      <c r="Y973" s="2521"/>
      <c r="Z973" s="2521"/>
    </row>
    <row r="974" spans="1:26" ht="16.5" customHeight="1">
      <c r="A974" s="2521"/>
      <c r="B974" s="2526"/>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row>
    <row r="975" spans="1:26" ht="16.5" customHeight="1">
      <c r="A975" s="2521"/>
      <c r="B975" s="2526"/>
      <c r="C975" s="2521"/>
      <c r="D975" s="2521"/>
      <c r="E975" s="2521"/>
      <c r="F975" s="2521"/>
      <c r="G975" s="2521"/>
      <c r="H975" s="2521"/>
      <c r="I975" s="2521"/>
      <c r="J975" s="2521"/>
      <c r="K975" s="2521"/>
      <c r="L975" s="2521"/>
      <c r="M975" s="2521"/>
      <c r="N975" s="2521"/>
      <c r="O975" s="2521"/>
      <c r="P975" s="2521"/>
      <c r="Q975" s="2521"/>
      <c r="R975" s="2521"/>
      <c r="S975" s="2521"/>
      <c r="T975" s="2521"/>
      <c r="U975" s="2521"/>
      <c r="V975" s="2521"/>
      <c r="W975" s="2521"/>
      <c r="X975" s="2521"/>
      <c r="Y975" s="2521"/>
      <c r="Z975" s="2521"/>
    </row>
    <row r="976" spans="1:26" ht="16.5" customHeight="1">
      <c r="A976" s="2521"/>
      <c r="B976" s="2526"/>
      <c r="C976" s="2521"/>
      <c r="D976" s="2521"/>
      <c r="E976" s="2521"/>
      <c r="F976" s="2521"/>
      <c r="G976" s="2521"/>
      <c r="H976" s="2521"/>
      <c r="I976" s="2521"/>
      <c r="J976" s="2521"/>
      <c r="K976" s="2521"/>
      <c r="L976" s="2521"/>
      <c r="M976" s="2521"/>
      <c r="N976" s="2521"/>
      <c r="O976" s="2521"/>
      <c r="P976" s="2521"/>
      <c r="Q976" s="2521"/>
      <c r="R976" s="2521"/>
      <c r="S976" s="2521"/>
      <c r="T976" s="2521"/>
      <c r="U976" s="2521"/>
      <c r="V976" s="2521"/>
      <c r="W976" s="2521"/>
      <c r="X976" s="2521"/>
      <c r="Y976" s="2521"/>
      <c r="Z976" s="2521"/>
    </row>
    <row r="977" spans="1:26" ht="16.5" customHeight="1">
      <c r="A977" s="2521"/>
      <c r="B977" s="2526"/>
      <c r="C977" s="2521"/>
      <c r="D977" s="2521"/>
      <c r="E977" s="2521"/>
      <c r="F977" s="2521"/>
      <c r="G977" s="2521"/>
      <c r="H977" s="2521"/>
      <c r="I977" s="2521"/>
      <c r="J977" s="2521"/>
      <c r="K977" s="2521"/>
      <c r="L977" s="2521"/>
      <c r="M977" s="2521"/>
      <c r="N977" s="2521"/>
      <c r="O977" s="2521"/>
      <c r="P977" s="2521"/>
      <c r="Q977" s="2521"/>
      <c r="R977" s="2521"/>
      <c r="S977" s="2521"/>
      <c r="T977" s="2521"/>
      <c r="U977" s="2521"/>
      <c r="V977" s="2521"/>
      <c r="W977" s="2521"/>
      <c r="X977" s="2521"/>
      <c r="Y977" s="2521"/>
      <c r="Z977" s="2521"/>
    </row>
    <row r="978" spans="1:26" ht="16.5" customHeight="1">
      <c r="A978" s="2521"/>
      <c r="B978" s="2526"/>
      <c r="C978" s="2521"/>
      <c r="D978" s="2521"/>
      <c r="E978" s="2521"/>
      <c r="F978" s="2521"/>
      <c r="G978" s="2521"/>
      <c r="H978" s="2521"/>
      <c r="I978" s="2521"/>
      <c r="J978" s="2521"/>
      <c r="K978" s="2521"/>
      <c r="L978" s="2521"/>
      <c r="M978" s="2521"/>
      <c r="N978" s="2521"/>
      <c r="O978" s="2521"/>
      <c r="P978" s="2521"/>
      <c r="Q978" s="2521"/>
      <c r="R978" s="2521"/>
      <c r="S978" s="2521"/>
      <c r="T978" s="2521"/>
      <c r="U978" s="2521"/>
      <c r="V978" s="2521"/>
      <c r="W978" s="2521"/>
      <c r="X978" s="2521"/>
      <c r="Y978" s="2521"/>
      <c r="Z978" s="2521"/>
    </row>
    <row r="979" spans="1:26" ht="16.5" customHeight="1">
      <c r="A979" s="2521"/>
      <c r="B979" s="2526"/>
      <c r="C979" s="2521"/>
      <c r="D979" s="2521"/>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row>
    <row r="980" spans="1:26" ht="16.5" customHeight="1">
      <c r="A980" s="2521"/>
      <c r="B980" s="2526"/>
      <c r="C980" s="2521"/>
      <c r="D980" s="2521"/>
      <c r="E980" s="2521"/>
      <c r="F980" s="2521"/>
      <c r="G980" s="2521"/>
      <c r="H980" s="2521"/>
      <c r="I980" s="2521"/>
      <c r="J980" s="2521"/>
      <c r="K980" s="2521"/>
      <c r="L980" s="2521"/>
      <c r="M980" s="2521"/>
      <c r="N980" s="2521"/>
      <c r="O980" s="2521"/>
      <c r="P980" s="2521"/>
      <c r="Q980" s="2521"/>
      <c r="R980" s="2521"/>
      <c r="S980" s="2521"/>
      <c r="T980" s="2521"/>
      <c r="U980" s="2521"/>
      <c r="V980" s="2521"/>
      <c r="W980" s="2521"/>
      <c r="X980" s="2521"/>
      <c r="Y980" s="2521"/>
      <c r="Z980" s="2521"/>
    </row>
    <row r="981" spans="1:26" ht="16.5" customHeight="1">
      <c r="A981" s="2521"/>
      <c r="B981" s="2526"/>
      <c r="C981" s="2521"/>
      <c r="D981" s="2521"/>
      <c r="E981" s="2521"/>
      <c r="F981" s="2521"/>
      <c r="G981" s="2521"/>
      <c r="H981" s="2521"/>
      <c r="I981" s="2521"/>
      <c r="J981" s="2521"/>
      <c r="K981" s="2521"/>
      <c r="L981" s="2521"/>
      <c r="M981" s="2521"/>
      <c r="N981" s="2521"/>
      <c r="O981" s="2521"/>
      <c r="P981" s="2521"/>
      <c r="Q981" s="2521"/>
      <c r="R981" s="2521"/>
      <c r="S981" s="2521"/>
      <c r="T981" s="2521"/>
      <c r="U981" s="2521"/>
      <c r="V981" s="2521"/>
      <c r="W981" s="2521"/>
      <c r="X981" s="2521"/>
      <c r="Y981" s="2521"/>
      <c r="Z981" s="2521"/>
    </row>
    <row r="982" spans="1:26" ht="16.5" customHeight="1">
      <c r="A982" s="2521"/>
      <c r="B982" s="2526"/>
      <c r="C982" s="2521"/>
      <c r="D982" s="2521"/>
      <c r="E982" s="2521"/>
      <c r="F982" s="2521"/>
      <c r="G982" s="2521"/>
      <c r="H982" s="2521"/>
      <c r="I982" s="2521"/>
      <c r="J982" s="2521"/>
      <c r="K982" s="2521"/>
      <c r="L982" s="2521"/>
      <c r="M982" s="2521"/>
      <c r="N982" s="2521"/>
      <c r="O982" s="2521"/>
      <c r="P982" s="2521"/>
      <c r="Q982" s="2521"/>
      <c r="R982" s="2521"/>
      <c r="S982" s="2521"/>
      <c r="T982" s="2521"/>
      <c r="U982" s="2521"/>
      <c r="V982" s="2521"/>
      <c r="W982" s="2521"/>
      <c r="X982" s="2521"/>
      <c r="Y982" s="2521"/>
      <c r="Z982" s="2521"/>
    </row>
    <row r="983" spans="1:26" ht="16.5" customHeight="1">
      <c r="A983" s="2521"/>
      <c r="B983" s="2526"/>
      <c r="C983" s="2521"/>
      <c r="D983" s="2521"/>
      <c r="E983" s="2521"/>
      <c r="F983" s="2521"/>
      <c r="G983" s="2521"/>
      <c r="H983" s="2521"/>
      <c r="I983" s="2521"/>
      <c r="J983" s="2521"/>
      <c r="K983" s="2521"/>
      <c r="L983" s="2521"/>
      <c r="M983" s="2521"/>
      <c r="N983" s="2521"/>
      <c r="O983" s="2521"/>
      <c r="P983" s="2521"/>
      <c r="Q983" s="2521"/>
      <c r="R983" s="2521"/>
      <c r="S983" s="2521"/>
      <c r="T983" s="2521"/>
      <c r="U983" s="2521"/>
      <c r="V983" s="2521"/>
      <c r="W983" s="2521"/>
      <c r="X983" s="2521"/>
      <c r="Y983" s="2521"/>
      <c r="Z983" s="2521"/>
    </row>
    <row r="984" spans="1:26" ht="16.5" customHeight="1">
      <c r="A984" s="2521"/>
      <c r="B984" s="2526"/>
      <c r="C984" s="2521"/>
      <c r="D984" s="2521"/>
      <c r="E984" s="2521"/>
      <c r="F984" s="2521"/>
      <c r="G984" s="2521"/>
      <c r="H984" s="2521"/>
      <c r="I984" s="2521"/>
      <c r="J984" s="2521"/>
      <c r="K984" s="2521"/>
      <c r="L984" s="2521"/>
      <c r="M984" s="2521"/>
      <c r="N984" s="2521"/>
      <c r="O984" s="2521"/>
      <c r="P984" s="2521"/>
      <c r="Q984" s="2521"/>
      <c r="R984" s="2521"/>
      <c r="S984" s="2521"/>
      <c r="T984" s="2521"/>
      <c r="U984" s="2521"/>
      <c r="V984" s="2521"/>
      <c r="W984" s="2521"/>
      <c r="X984" s="2521"/>
      <c r="Y984" s="2521"/>
      <c r="Z984" s="2521"/>
    </row>
    <row r="985" spans="1:26" ht="16.5" customHeight="1">
      <c r="A985" s="2521"/>
      <c r="B985" s="2526"/>
      <c r="C985" s="2521"/>
      <c r="D985" s="2521"/>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row>
    <row r="986" spans="1:26" ht="16.5" customHeight="1">
      <c r="A986" s="2521"/>
      <c r="B986" s="2526"/>
      <c r="C986" s="2521"/>
      <c r="D986" s="2521"/>
      <c r="E986" s="2521"/>
      <c r="F986" s="2521"/>
      <c r="G986" s="2521"/>
      <c r="H986" s="2521"/>
      <c r="I986" s="2521"/>
      <c r="J986" s="2521"/>
      <c r="K986" s="2521"/>
      <c r="L986" s="2521"/>
      <c r="M986" s="2521"/>
      <c r="N986" s="2521"/>
      <c r="O986" s="2521"/>
      <c r="P986" s="2521"/>
      <c r="Q986" s="2521"/>
      <c r="R986" s="2521"/>
      <c r="S986" s="2521"/>
      <c r="T986" s="2521"/>
      <c r="U986" s="2521"/>
      <c r="V986" s="2521"/>
      <c r="W986" s="2521"/>
      <c r="X986" s="2521"/>
      <c r="Y986" s="2521"/>
      <c r="Z986" s="2521"/>
    </row>
    <row r="987" spans="1:26" ht="16.5" customHeight="1">
      <c r="A987" s="2521"/>
      <c r="B987" s="2526"/>
      <c r="C987" s="2521"/>
      <c r="D987" s="2521"/>
      <c r="E987" s="2521"/>
      <c r="F987" s="2521"/>
      <c r="G987" s="2521"/>
      <c r="H987" s="2521"/>
      <c r="I987" s="2521"/>
      <c r="J987" s="2521"/>
      <c r="K987" s="2521"/>
      <c r="L987" s="2521"/>
      <c r="M987" s="2521"/>
      <c r="N987" s="2521"/>
      <c r="O987" s="2521"/>
      <c r="P987" s="2521"/>
      <c r="Q987" s="2521"/>
      <c r="R987" s="2521"/>
      <c r="S987" s="2521"/>
      <c r="T987" s="2521"/>
      <c r="U987" s="2521"/>
      <c r="V987" s="2521"/>
      <c r="W987" s="2521"/>
      <c r="X987" s="2521"/>
      <c r="Y987" s="2521"/>
      <c r="Z987" s="2521"/>
    </row>
    <row r="988" spans="1:26" ht="16.5" customHeight="1">
      <c r="A988" s="2521"/>
      <c r="B988" s="2526"/>
      <c r="C988" s="2521"/>
      <c r="D988" s="2521"/>
      <c r="E988" s="2521"/>
      <c r="F988" s="2521"/>
      <c r="G988" s="2521"/>
      <c r="H988" s="2521"/>
      <c r="I988" s="2521"/>
      <c r="J988" s="2521"/>
      <c r="K988" s="2521"/>
      <c r="L988" s="2521"/>
      <c r="M988" s="2521"/>
      <c r="N988" s="2521"/>
      <c r="O988" s="2521"/>
      <c r="P988" s="2521"/>
      <c r="Q988" s="2521"/>
      <c r="R988" s="2521"/>
      <c r="S988" s="2521"/>
      <c r="T988" s="2521"/>
      <c r="U988" s="2521"/>
      <c r="V988" s="2521"/>
      <c r="W988" s="2521"/>
      <c r="X988" s="2521"/>
      <c r="Y988" s="2521"/>
      <c r="Z988" s="2521"/>
    </row>
    <row r="989" spans="1:26" ht="16.5" customHeight="1">
      <c r="A989" s="2521"/>
      <c r="B989" s="2526"/>
      <c r="C989" s="2521"/>
      <c r="D989" s="2521"/>
      <c r="E989" s="2521"/>
      <c r="F989" s="2521"/>
      <c r="G989" s="2521"/>
      <c r="H989" s="2521"/>
      <c r="I989" s="2521"/>
      <c r="J989" s="2521"/>
      <c r="K989" s="2521"/>
      <c r="L989" s="2521"/>
      <c r="M989" s="2521"/>
      <c r="N989" s="2521"/>
      <c r="O989" s="2521"/>
      <c r="P989" s="2521"/>
      <c r="Q989" s="2521"/>
      <c r="R989" s="2521"/>
      <c r="S989" s="2521"/>
      <c r="T989" s="2521"/>
      <c r="U989" s="2521"/>
      <c r="V989" s="2521"/>
      <c r="W989" s="2521"/>
      <c r="X989" s="2521"/>
      <c r="Y989" s="2521"/>
      <c r="Z989" s="2521"/>
    </row>
    <row r="990" spans="1:26" ht="16.5" customHeight="1">
      <c r="A990" s="2521"/>
      <c r="B990" s="2526"/>
      <c r="C990" s="2521"/>
      <c r="D990" s="2521"/>
      <c r="E990" s="2521"/>
      <c r="F990" s="2521"/>
      <c r="G990" s="2521"/>
      <c r="H990" s="2521"/>
      <c r="I990" s="2521"/>
      <c r="J990" s="2521"/>
      <c r="K990" s="2521"/>
      <c r="L990" s="2521"/>
      <c r="M990" s="2521"/>
      <c r="N990" s="2521"/>
      <c r="O990" s="2521"/>
      <c r="P990" s="2521"/>
      <c r="Q990" s="2521"/>
      <c r="R990" s="2521"/>
      <c r="S990" s="2521"/>
      <c r="T990" s="2521"/>
      <c r="U990" s="2521"/>
      <c r="V990" s="2521"/>
      <c r="W990" s="2521"/>
      <c r="X990" s="2521"/>
      <c r="Y990" s="2521"/>
      <c r="Z990" s="2521"/>
    </row>
    <row r="991" spans="1:26" ht="16.5" customHeight="1">
      <c r="A991" s="2521"/>
      <c r="B991" s="2526"/>
      <c r="C991" s="2521"/>
      <c r="D991" s="2521"/>
      <c r="E991" s="2521"/>
      <c r="F991" s="2521"/>
      <c r="G991" s="2521"/>
      <c r="H991" s="2521"/>
      <c r="I991" s="2521"/>
      <c r="J991" s="2521"/>
      <c r="K991" s="2521"/>
      <c r="L991" s="2521"/>
      <c r="M991" s="2521"/>
      <c r="N991" s="2521"/>
      <c r="O991" s="2521"/>
      <c r="P991" s="2521"/>
      <c r="Q991" s="2521"/>
      <c r="R991" s="2521"/>
      <c r="S991" s="2521"/>
      <c r="T991" s="2521"/>
      <c r="U991" s="2521"/>
      <c r="V991" s="2521"/>
      <c r="W991" s="2521"/>
      <c r="X991" s="2521"/>
      <c r="Y991" s="2521"/>
      <c r="Z991" s="2521"/>
    </row>
    <row r="992" spans="1:26" ht="16.5" customHeight="1">
      <c r="A992" s="2521"/>
      <c r="B992" s="2526"/>
      <c r="C992" s="2521"/>
      <c r="D992" s="2521"/>
      <c r="E992" s="2521"/>
      <c r="F992" s="2521"/>
      <c r="G992" s="2521"/>
      <c r="H992" s="2521"/>
      <c r="I992" s="2521"/>
      <c r="J992" s="2521"/>
      <c r="K992" s="2521"/>
      <c r="L992" s="2521"/>
      <c r="M992" s="2521"/>
      <c r="N992" s="2521"/>
      <c r="O992" s="2521"/>
      <c r="P992" s="2521"/>
      <c r="Q992" s="2521"/>
      <c r="R992" s="2521"/>
      <c r="S992" s="2521"/>
      <c r="T992" s="2521"/>
      <c r="U992" s="2521"/>
      <c r="V992" s="2521"/>
      <c r="W992" s="2521"/>
      <c r="X992" s="2521"/>
      <c r="Y992" s="2521"/>
      <c r="Z992" s="2521"/>
    </row>
    <row r="993" spans="1:26" ht="16.5" customHeight="1">
      <c r="A993" s="2521"/>
      <c r="B993" s="2526"/>
      <c r="C993" s="2521"/>
      <c r="D993" s="2521"/>
      <c r="E993" s="2521"/>
      <c r="F993" s="2521"/>
      <c r="G993" s="2521"/>
      <c r="H993" s="2521"/>
      <c r="I993" s="2521"/>
      <c r="J993" s="2521"/>
      <c r="K993" s="2521"/>
      <c r="L993" s="2521"/>
      <c r="M993" s="2521"/>
      <c r="N993" s="2521"/>
      <c r="O993" s="2521"/>
      <c r="P993" s="2521"/>
      <c r="Q993" s="2521"/>
      <c r="R993" s="2521"/>
      <c r="S993" s="2521"/>
      <c r="T993" s="2521"/>
      <c r="U993" s="2521"/>
      <c r="V993" s="2521"/>
      <c r="W993" s="2521"/>
      <c r="X993" s="2521"/>
      <c r="Y993" s="2521"/>
      <c r="Z993" s="2521"/>
    </row>
    <row r="994" spans="1:26" ht="16.5" customHeight="1">
      <c r="A994" s="2521"/>
      <c r="B994" s="2526"/>
      <c r="C994" s="2521"/>
      <c r="D994" s="2521"/>
      <c r="E994" s="2521"/>
      <c r="F994" s="2521"/>
      <c r="G994" s="2521"/>
      <c r="H994" s="2521"/>
      <c r="I994" s="2521"/>
      <c r="J994" s="2521"/>
      <c r="K994" s="2521"/>
      <c r="L994" s="2521"/>
      <c r="M994" s="2521"/>
      <c r="N994" s="2521"/>
      <c r="O994" s="2521"/>
      <c r="P994" s="2521"/>
      <c r="Q994" s="2521"/>
      <c r="R994" s="2521"/>
      <c r="S994" s="2521"/>
      <c r="T994" s="2521"/>
      <c r="U994" s="2521"/>
      <c r="V994" s="2521"/>
      <c r="W994" s="2521"/>
      <c r="X994" s="2521"/>
      <c r="Y994" s="2521"/>
      <c r="Z994" s="2521"/>
    </row>
    <row r="995" spans="1:26" ht="16.5" customHeight="1">
      <c r="A995" s="2521"/>
      <c r="B995" s="2526"/>
      <c r="C995" s="2521"/>
      <c r="D995" s="2521"/>
      <c r="E995" s="2521"/>
      <c r="F995" s="2521"/>
      <c r="G995" s="2521"/>
      <c r="H995" s="2521"/>
      <c r="I995" s="2521"/>
      <c r="J995" s="2521"/>
      <c r="K995" s="2521"/>
      <c r="L995" s="2521"/>
      <c r="M995" s="2521"/>
      <c r="N995" s="2521"/>
      <c r="O995" s="2521"/>
      <c r="P995" s="2521"/>
      <c r="Q995" s="2521"/>
      <c r="R995" s="2521"/>
      <c r="S995" s="2521"/>
      <c r="T995" s="2521"/>
      <c r="U995" s="2521"/>
      <c r="V995" s="2521"/>
      <c r="W995" s="2521"/>
      <c r="X995" s="2521"/>
      <c r="Y995" s="2521"/>
      <c r="Z995" s="2521"/>
    </row>
    <row r="996" spans="1:26" ht="16.5" customHeight="1">
      <c r="A996" s="2521"/>
      <c r="B996" s="2526"/>
      <c r="C996" s="2521"/>
      <c r="D996" s="2521"/>
      <c r="E996" s="2521"/>
      <c r="F996" s="2521"/>
      <c r="G996" s="2521"/>
      <c r="H996" s="2521"/>
      <c r="I996" s="2521"/>
      <c r="J996" s="2521"/>
      <c r="K996" s="2521"/>
      <c r="L996" s="2521"/>
      <c r="M996" s="2521"/>
      <c r="N996" s="2521"/>
      <c r="O996" s="2521"/>
      <c r="P996" s="2521"/>
      <c r="Q996" s="2521"/>
      <c r="R996" s="2521"/>
      <c r="S996" s="2521"/>
      <c r="T996" s="2521"/>
      <c r="U996" s="2521"/>
      <c r="V996" s="2521"/>
      <c r="W996" s="2521"/>
      <c r="X996" s="2521"/>
      <c r="Y996" s="2521"/>
      <c r="Z996" s="2521"/>
    </row>
    <row r="997" spans="1:26" ht="16.5" customHeight="1">
      <c r="A997" s="2521"/>
      <c r="B997" s="2526"/>
      <c r="C997" s="2521"/>
      <c r="D997" s="2521"/>
      <c r="E997" s="2521"/>
      <c r="F997" s="2521"/>
      <c r="G997" s="2521"/>
      <c r="H997" s="2521"/>
      <c r="I997" s="2521"/>
      <c r="J997" s="2521"/>
      <c r="K997" s="2521"/>
      <c r="L997" s="2521"/>
      <c r="M997" s="2521"/>
      <c r="N997" s="2521"/>
      <c r="O997" s="2521"/>
      <c r="P997" s="2521"/>
      <c r="Q997" s="2521"/>
      <c r="R997" s="2521"/>
      <c r="S997" s="2521"/>
      <c r="T997" s="2521"/>
      <c r="U997" s="2521"/>
      <c r="V997" s="2521"/>
      <c r="W997" s="2521"/>
      <c r="X997" s="2521"/>
      <c r="Y997" s="2521"/>
      <c r="Z997" s="2521"/>
    </row>
    <row r="998" spans="1:26" ht="16.5" customHeight="1">
      <c r="A998" s="2521"/>
      <c r="B998" s="2526"/>
      <c r="C998" s="2521"/>
      <c r="D998" s="2521"/>
      <c r="E998" s="2521"/>
      <c r="F998" s="2521"/>
      <c r="G998" s="2521"/>
      <c r="H998" s="2521"/>
      <c r="I998" s="2521"/>
      <c r="J998" s="2521"/>
      <c r="K998" s="2521"/>
      <c r="L998" s="2521"/>
      <c r="M998" s="2521"/>
      <c r="N998" s="2521"/>
      <c r="O998" s="2521"/>
      <c r="P998" s="2521"/>
      <c r="Q998" s="2521"/>
      <c r="R998" s="2521"/>
      <c r="S998" s="2521"/>
      <c r="T998" s="2521"/>
      <c r="U998" s="2521"/>
      <c r="V998" s="2521"/>
      <c r="W998" s="2521"/>
      <c r="X998" s="2521"/>
      <c r="Y998" s="2521"/>
      <c r="Z998" s="2521"/>
    </row>
    <row r="999" spans="1:26" ht="16.5" customHeight="1">
      <c r="A999" s="2521"/>
      <c r="B999" s="2526"/>
      <c r="C999" s="2521"/>
      <c r="D999" s="2521"/>
      <c r="E999" s="2521"/>
      <c r="F999" s="2521"/>
      <c r="G999" s="2521"/>
      <c r="H999" s="2521"/>
      <c r="I999" s="2521"/>
      <c r="J999" s="2521"/>
      <c r="K999" s="2521"/>
      <c r="L999" s="2521"/>
      <c r="M999" s="2521"/>
      <c r="N999" s="2521"/>
      <c r="O999" s="2521"/>
      <c r="P999" s="2521"/>
      <c r="Q999" s="2521"/>
      <c r="R999" s="2521"/>
      <c r="S999" s="2521"/>
      <c r="T999" s="2521"/>
      <c r="U999" s="2521"/>
      <c r="V999" s="2521"/>
      <c r="W999" s="2521"/>
      <c r="X999" s="2521"/>
      <c r="Y999" s="2521"/>
      <c r="Z999" s="2521"/>
    </row>
    <row r="1000" spans="1:26" ht="16.5" customHeight="1">
      <c r="A1000" s="2521"/>
      <c r="B1000" s="2526"/>
      <c r="C1000" s="2521"/>
      <c r="D1000" s="2521"/>
      <c r="E1000" s="2521"/>
      <c r="F1000" s="2521"/>
      <c r="G1000" s="2521"/>
      <c r="H1000" s="2521"/>
      <c r="I1000" s="2521"/>
      <c r="J1000" s="2521"/>
      <c r="K1000" s="2521"/>
      <c r="L1000" s="2521"/>
      <c r="M1000" s="2521"/>
      <c r="N1000" s="2521"/>
      <c r="O1000" s="2521"/>
      <c r="P1000" s="2521"/>
      <c r="Q1000" s="2521"/>
      <c r="R1000" s="2521"/>
      <c r="S1000" s="2521"/>
      <c r="T1000" s="2521"/>
      <c r="U1000" s="2521"/>
      <c r="V1000" s="2521"/>
      <c r="W1000" s="2521"/>
      <c r="X1000" s="2521"/>
      <c r="Y1000" s="2521"/>
      <c r="Z1000" s="2521"/>
    </row>
  </sheetData>
  <sheetProtection algorithmName="SHA-512" hashValue="o2MGSm7L9HwwACIHvVFVrXJrLxQqqOaXmQPK0XaE+kk5/yWVvTp9XU+a39Chsc2HEjLK6SgbMrTzX4MjVMmgwA==" saltValue="uFYUL/m4ZNCgQ8uYMNP3/A==" spinCount="100000" sheet="1" objects="1" scenarios="1"/>
  <autoFilter ref="A7:K73"/>
  <mergeCells count="6">
    <mergeCell ref="A1:B1"/>
    <mergeCell ref="A2:B2"/>
    <mergeCell ref="A4:K4"/>
    <mergeCell ref="A5:K5"/>
    <mergeCell ref="C7:D7"/>
    <mergeCell ref="E7:F7"/>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workbookViewId="0">
      <pane xSplit="3" ySplit="7" topLeftCell="H30"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5" customWidth="1"/>
    <col min="2" max="2" width="10.7109375" customWidth="1"/>
    <col min="3" max="3" width="37.42578125" customWidth="1"/>
    <col min="4" max="4" width="14" hidden="1" customWidth="1"/>
    <col min="5" max="5" width="15.42578125" hidden="1" customWidth="1"/>
    <col min="6" max="6" width="16.42578125" hidden="1" customWidth="1"/>
    <col min="7" max="7" width="14.28515625" hidden="1" customWidth="1"/>
    <col min="8" max="8" width="10.28515625" customWidth="1"/>
    <col min="9" max="10" width="10.7109375" customWidth="1"/>
    <col min="11" max="11" width="10.28515625" customWidth="1"/>
    <col min="12" max="12" width="18.42578125" customWidth="1"/>
    <col min="13" max="24" width="9" customWidth="1"/>
  </cols>
  <sheetData>
    <row r="1" spans="1:13" ht="20.25" customHeight="1">
      <c r="A1" s="2775" t="s">
        <v>23</v>
      </c>
      <c r="B1" s="2732"/>
      <c r="C1" s="2732"/>
      <c r="D1" s="14"/>
      <c r="E1" s="14"/>
      <c r="F1" s="14"/>
      <c r="G1" s="15"/>
      <c r="H1" s="15"/>
      <c r="I1" s="15"/>
      <c r="J1" s="15"/>
      <c r="K1" s="16" t="s">
        <v>182</v>
      </c>
    </row>
    <row r="2" spans="1:13" ht="15.75" customHeight="1">
      <c r="A2" s="2773" t="s">
        <v>183</v>
      </c>
      <c r="B2" s="2732"/>
      <c r="C2" s="2732"/>
      <c r="D2" s="14"/>
      <c r="E2" s="14"/>
      <c r="F2" s="14"/>
      <c r="G2" s="14"/>
      <c r="H2" s="15"/>
      <c r="I2" s="15"/>
      <c r="J2" s="15"/>
      <c r="K2" s="15"/>
    </row>
    <row r="3" spans="1:13" ht="5.25" customHeight="1">
      <c r="A3" s="18"/>
      <c r="B3" s="18"/>
      <c r="C3" s="19"/>
      <c r="D3" s="14"/>
      <c r="E3" s="14"/>
      <c r="F3" s="14"/>
      <c r="G3" s="14"/>
      <c r="H3" s="15"/>
      <c r="I3" s="15"/>
      <c r="J3" s="15"/>
      <c r="K3" s="15"/>
    </row>
    <row r="4" spans="1:13" ht="27" customHeight="1">
      <c r="A4" s="2776" t="s">
        <v>184</v>
      </c>
      <c r="B4" s="2732"/>
      <c r="C4" s="2732"/>
      <c r="D4" s="2732"/>
      <c r="E4" s="2732"/>
      <c r="F4" s="2732"/>
      <c r="G4" s="2732"/>
      <c r="H4" s="2732"/>
      <c r="I4" s="2732"/>
      <c r="J4" s="2732"/>
      <c r="K4" s="2732"/>
    </row>
    <row r="5" spans="1:13" ht="23.25" customHeight="1">
      <c r="A5" s="2777" t="s">
        <v>185</v>
      </c>
      <c r="B5" s="2732"/>
      <c r="C5" s="2732"/>
      <c r="D5" s="2732"/>
      <c r="E5" s="2732"/>
      <c r="F5" s="2732"/>
      <c r="G5" s="2732"/>
      <c r="H5" s="2732"/>
      <c r="I5" s="2732"/>
      <c r="J5" s="2732"/>
      <c r="K5" s="2732"/>
    </row>
    <row r="6" spans="1:13" ht="26.25" customHeight="1">
      <c r="A6" s="2778" t="s">
        <v>186</v>
      </c>
      <c r="B6" s="2778" t="s">
        <v>187</v>
      </c>
      <c r="C6" s="2780" t="s">
        <v>188</v>
      </c>
      <c r="D6" s="2781" t="s">
        <v>189</v>
      </c>
      <c r="E6" s="2782"/>
      <c r="F6" s="2782"/>
      <c r="G6" s="2783"/>
      <c r="H6" s="2784" t="s">
        <v>190</v>
      </c>
      <c r="I6" s="2782"/>
      <c r="J6" s="2782"/>
      <c r="K6" s="2783"/>
      <c r="L6" s="2612"/>
    </row>
    <row r="7" spans="1:13" ht="87" customHeight="1">
      <c r="A7" s="2779"/>
      <c r="B7" s="2779"/>
      <c r="C7" s="2779"/>
      <c r="D7" s="20" t="s">
        <v>191</v>
      </c>
      <c r="E7" s="20" t="s">
        <v>192</v>
      </c>
      <c r="F7" s="21" t="s">
        <v>193</v>
      </c>
      <c r="G7" s="20" t="s">
        <v>194</v>
      </c>
      <c r="H7" s="22" t="s">
        <v>195</v>
      </c>
      <c r="I7" s="22" t="s">
        <v>196</v>
      </c>
      <c r="J7" s="23" t="s">
        <v>197</v>
      </c>
      <c r="K7" s="2609" t="s">
        <v>198</v>
      </c>
      <c r="L7" s="2614" t="s">
        <v>199</v>
      </c>
      <c r="M7" s="2612"/>
    </row>
    <row r="8" spans="1:13" ht="21.75" customHeight="1">
      <c r="A8" s="22" t="s">
        <v>200</v>
      </c>
      <c r="B8" s="24" t="s">
        <v>201</v>
      </c>
      <c r="C8" s="25" t="s">
        <v>202</v>
      </c>
      <c r="D8" s="26">
        <f t="shared" ref="D8:K8" si="0">SUM(D9:D11)</f>
        <v>17189</v>
      </c>
      <c r="E8" s="26">
        <f t="shared" si="0"/>
        <v>3500</v>
      </c>
      <c r="F8" s="26">
        <f t="shared" si="0"/>
        <v>5038</v>
      </c>
      <c r="G8" s="26">
        <f t="shared" si="0"/>
        <v>18727</v>
      </c>
      <c r="H8" s="27">
        <f t="shared" si="0"/>
        <v>4506</v>
      </c>
      <c r="I8" s="27">
        <f t="shared" si="0"/>
        <v>749</v>
      </c>
      <c r="J8" s="27">
        <f t="shared" si="0"/>
        <v>1412</v>
      </c>
      <c r="K8" s="2620">
        <f t="shared" si="0"/>
        <v>5169</v>
      </c>
      <c r="L8" s="2613"/>
      <c r="M8" s="2612"/>
    </row>
    <row r="9" spans="1:13" ht="21.75" customHeight="1">
      <c r="A9" s="28"/>
      <c r="B9" s="24" t="s">
        <v>201</v>
      </c>
      <c r="C9" s="24" t="s">
        <v>203</v>
      </c>
      <c r="D9" s="29">
        <v>16916</v>
      </c>
      <c r="E9" s="29">
        <v>3431</v>
      </c>
      <c r="F9" s="29">
        <v>4897</v>
      </c>
      <c r="G9" s="29">
        <f t="shared" ref="G9:G11" si="1">+D9-E9+F9</f>
        <v>18382</v>
      </c>
      <c r="H9" s="30">
        <f>'Bieu 1a - Quy mo Chinh quy (SP)'!D9+'Bieu 1a - Quy mo Chinh quy (SP)'!D73</f>
        <v>4503</v>
      </c>
      <c r="I9" s="30">
        <f>'Bieu 1a - Quy mo Chinh quy (SP)'!D23+'Bieu 1a - Quy mo Chinh quy (SP)'!D78</f>
        <v>749</v>
      </c>
      <c r="J9" s="30">
        <f>'Bieu 1a - Quy mo Chinh quy (SP)'!D34</f>
        <v>1410</v>
      </c>
      <c r="K9" s="2621">
        <f t="shared" ref="K9:K17" si="2">(H9-I9+J9)</f>
        <v>5164</v>
      </c>
      <c r="L9" s="2613"/>
      <c r="M9" s="2612"/>
    </row>
    <row r="10" spans="1:13" ht="21.75" customHeight="1">
      <c r="A10" s="28"/>
      <c r="B10" s="24" t="s">
        <v>201</v>
      </c>
      <c r="C10" s="28" t="s">
        <v>204</v>
      </c>
      <c r="D10" s="29">
        <v>252</v>
      </c>
      <c r="E10" s="29">
        <v>48</v>
      </c>
      <c r="F10" s="29">
        <v>120</v>
      </c>
      <c r="G10" s="29">
        <f t="shared" si="1"/>
        <v>324</v>
      </c>
      <c r="H10" s="30">
        <f>'Bieu 1a - Quy mo Chinh quy (SP)'!D87</f>
        <v>3</v>
      </c>
      <c r="I10" s="30">
        <v>0</v>
      </c>
      <c r="J10" s="30">
        <f>'Bieu 1a - Quy mo Chinh quy (SP)'!D100</f>
        <v>2</v>
      </c>
      <c r="K10" s="2621">
        <f t="shared" si="2"/>
        <v>5</v>
      </c>
      <c r="L10" s="2613"/>
      <c r="M10" s="2612"/>
    </row>
    <row r="11" spans="1:13" ht="21.75" customHeight="1">
      <c r="A11" s="28"/>
      <c r="B11" s="24" t="s">
        <v>201</v>
      </c>
      <c r="C11" s="28" t="s">
        <v>205</v>
      </c>
      <c r="D11" s="29">
        <v>21</v>
      </c>
      <c r="E11" s="29">
        <v>21</v>
      </c>
      <c r="F11" s="29">
        <v>21</v>
      </c>
      <c r="G11" s="29">
        <f t="shared" si="1"/>
        <v>21</v>
      </c>
      <c r="H11" s="30">
        <v>0</v>
      </c>
      <c r="I11" s="30">
        <v>0</v>
      </c>
      <c r="J11" s="30">
        <v>0</v>
      </c>
      <c r="K11" s="2621">
        <f t="shared" si="2"/>
        <v>0</v>
      </c>
      <c r="L11" s="2613"/>
      <c r="M11" s="2612"/>
    </row>
    <row r="12" spans="1:13" ht="21.75" customHeight="1">
      <c r="A12" s="22" t="s">
        <v>206</v>
      </c>
      <c r="B12" s="24" t="s">
        <v>207</v>
      </c>
      <c r="C12" s="25" t="s">
        <v>208</v>
      </c>
      <c r="D12" s="26">
        <f t="shared" ref="D12:J12" si="3">SUM(D13:D14)</f>
        <v>2322</v>
      </c>
      <c r="E12" s="26">
        <f t="shared" si="3"/>
        <v>1713</v>
      </c>
      <c r="F12" s="26">
        <f t="shared" si="3"/>
        <v>740</v>
      </c>
      <c r="G12" s="26">
        <f t="shared" si="3"/>
        <v>1349</v>
      </c>
      <c r="H12" s="27">
        <f t="shared" si="3"/>
        <v>843</v>
      </c>
      <c r="I12" s="27">
        <f t="shared" si="3"/>
        <v>403</v>
      </c>
      <c r="J12" s="27">
        <f t="shared" si="3"/>
        <v>554</v>
      </c>
      <c r="K12" s="2622">
        <f t="shared" si="2"/>
        <v>994</v>
      </c>
      <c r="L12" s="2613"/>
      <c r="M12" s="2612"/>
    </row>
    <row r="13" spans="1:13" ht="21.75" customHeight="1">
      <c r="A13" s="28"/>
      <c r="B13" s="24" t="s">
        <v>207</v>
      </c>
      <c r="C13" s="28" t="s">
        <v>209</v>
      </c>
      <c r="D13" s="29">
        <v>2229</v>
      </c>
      <c r="E13" s="29">
        <v>1672</v>
      </c>
      <c r="F13" s="29">
        <v>720</v>
      </c>
      <c r="G13" s="29">
        <f t="shared" ref="G13:G14" si="4">+D13-E13+F13</f>
        <v>1277</v>
      </c>
      <c r="H13" s="30">
        <f>'Bieu 1b - Quy mo Sau dai hoc'!D9</f>
        <v>794</v>
      </c>
      <c r="I13" s="30">
        <f>'Bieu 1b - Quy mo Sau dai hoc'!D17</f>
        <v>378</v>
      </c>
      <c r="J13" s="30">
        <f>'Bieu 1b - Quy mo Sau dai hoc'!D22</f>
        <v>530</v>
      </c>
      <c r="K13" s="2621">
        <f t="shared" si="2"/>
        <v>946</v>
      </c>
      <c r="L13" s="2613"/>
      <c r="M13" s="2612"/>
    </row>
    <row r="14" spans="1:13" ht="21.75" customHeight="1">
      <c r="A14" s="28"/>
      <c r="B14" s="24" t="s">
        <v>207</v>
      </c>
      <c r="C14" s="28" t="s">
        <v>210</v>
      </c>
      <c r="D14" s="29">
        <v>93</v>
      </c>
      <c r="E14" s="29">
        <v>41</v>
      </c>
      <c r="F14" s="29">
        <v>20</v>
      </c>
      <c r="G14" s="29">
        <f t="shared" si="4"/>
        <v>72</v>
      </c>
      <c r="H14" s="30">
        <f>'Bieu 1b - Quy mo Sau dai hoc'!D38</f>
        <v>49</v>
      </c>
      <c r="I14" s="30">
        <f>'Bieu 1b - Quy mo Sau dai hoc'!D45</f>
        <v>25</v>
      </c>
      <c r="J14" s="30">
        <f>'Bieu 1b - Quy mo Sau dai hoc'!D52</f>
        <v>24</v>
      </c>
      <c r="K14" s="2621">
        <f t="shared" si="2"/>
        <v>48</v>
      </c>
      <c r="L14" s="2613"/>
      <c r="M14" s="2612"/>
    </row>
    <row r="15" spans="1:13" ht="21.75" customHeight="1">
      <c r="A15" s="22" t="s">
        <v>211</v>
      </c>
      <c r="B15" s="24" t="s">
        <v>201</v>
      </c>
      <c r="C15" s="25" t="s">
        <v>212</v>
      </c>
      <c r="D15" s="26">
        <f t="shared" ref="D15:J15" si="5">SUM(D16:D17)</f>
        <v>21336</v>
      </c>
      <c r="E15" s="26">
        <f t="shared" si="5"/>
        <v>12187</v>
      </c>
      <c r="F15" s="26">
        <f t="shared" si="5"/>
        <v>4220</v>
      </c>
      <c r="G15" s="26">
        <f t="shared" si="5"/>
        <v>13369</v>
      </c>
      <c r="H15" s="27">
        <f t="shared" si="5"/>
        <v>10064</v>
      </c>
      <c r="I15" s="27">
        <f t="shared" si="5"/>
        <v>5585</v>
      </c>
      <c r="J15" s="27">
        <f t="shared" si="5"/>
        <v>1800</v>
      </c>
      <c r="K15" s="2622">
        <f t="shared" si="2"/>
        <v>6279</v>
      </c>
      <c r="L15" s="2613"/>
      <c r="M15" s="2612"/>
    </row>
    <row r="16" spans="1:13" ht="21.75" customHeight="1">
      <c r="A16" s="28"/>
      <c r="B16" s="24" t="s">
        <v>201</v>
      </c>
      <c r="C16" s="28" t="s">
        <v>213</v>
      </c>
      <c r="D16" s="29">
        <v>16623</v>
      </c>
      <c r="E16" s="29">
        <v>9084</v>
      </c>
      <c r="F16" s="29">
        <v>3000</v>
      </c>
      <c r="G16" s="29">
        <f t="shared" ref="G16:G17" si="6">+D16-E16+F16</f>
        <v>10539</v>
      </c>
      <c r="H16" s="30">
        <f>'Bieu 1c- Quy mo VLVH - TX (SP)'!D27</f>
        <v>10064</v>
      </c>
      <c r="I16" s="30">
        <f>'Bieu 1c- Quy mo VLVH - TX (SP)'!D32</f>
        <v>5585</v>
      </c>
      <c r="J16" s="30">
        <f>'Bieu 1c- Quy mo VLVH - TX (SP)'!D43</f>
        <v>1800</v>
      </c>
      <c r="K16" s="2621">
        <f t="shared" si="2"/>
        <v>6279</v>
      </c>
      <c r="L16" s="2613"/>
      <c r="M16" s="2612"/>
    </row>
    <row r="17" spans="1:23" ht="15" customHeight="1">
      <c r="A17" s="28"/>
      <c r="B17" s="24" t="s">
        <v>201</v>
      </c>
      <c r="C17" s="28" t="s">
        <v>214</v>
      </c>
      <c r="D17" s="29">
        <v>4713</v>
      </c>
      <c r="E17" s="29">
        <v>3103</v>
      </c>
      <c r="F17" s="29">
        <v>1220</v>
      </c>
      <c r="G17" s="29">
        <f t="shared" si="6"/>
        <v>2830</v>
      </c>
      <c r="H17" s="30">
        <f>'Bieu 1c- Quy mo VLVH - TX (SP)'!D9</f>
        <v>0</v>
      </c>
      <c r="I17" s="30">
        <f>'Bieu 1c- Quy mo VLVH - TX (SP)'!D14</f>
        <v>0</v>
      </c>
      <c r="J17" s="30">
        <f>'Bieu 1c- Quy mo VLVH - TX (SP)'!D19</f>
        <v>0</v>
      </c>
      <c r="K17" s="2621">
        <f t="shared" si="2"/>
        <v>0</v>
      </c>
      <c r="L17" s="2618"/>
      <c r="M17" s="2624"/>
      <c r="N17" s="15"/>
      <c r="O17" s="15"/>
      <c r="P17" s="15"/>
      <c r="Q17" s="15"/>
      <c r="R17" s="15"/>
      <c r="S17" s="15"/>
      <c r="T17" s="15"/>
      <c r="U17" s="15"/>
      <c r="V17" s="15"/>
      <c r="W17" s="15"/>
    </row>
    <row r="18" spans="1:23" ht="15" customHeight="1">
      <c r="A18" s="22" t="s">
        <v>215</v>
      </c>
      <c r="B18" s="24" t="s">
        <v>201</v>
      </c>
      <c r="C18" s="25" t="s">
        <v>216</v>
      </c>
      <c r="D18" s="26">
        <f t="shared" ref="D18:K18" si="7">SUM(D19:D20)</f>
        <v>199</v>
      </c>
      <c r="E18" s="26">
        <f t="shared" si="7"/>
        <v>87</v>
      </c>
      <c r="F18" s="26" t="e">
        <f t="shared" si="7"/>
        <v>#REF!</v>
      </c>
      <c r="G18" s="26" t="e">
        <f t="shared" si="7"/>
        <v>#REF!</v>
      </c>
      <c r="H18" s="27">
        <f t="shared" si="7"/>
        <v>0</v>
      </c>
      <c r="I18" s="27">
        <f t="shared" si="7"/>
        <v>0</v>
      </c>
      <c r="J18" s="27">
        <f t="shared" si="7"/>
        <v>0</v>
      </c>
      <c r="K18" s="2620">
        <f t="shared" si="7"/>
        <v>0</v>
      </c>
      <c r="L18" s="2619"/>
      <c r="M18" s="2625"/>
      <c r="N18" s="14"/>
      <c r="O18" s="14"/>
      <c r="P18" s="14"/>
      <c r="Q18" s="14"/>
      <c r="R18" s="14"/>
      <c r="S18" s="14"/>
      <c r="T18" s="14"/>
      <c r="U18" s="14"/>
      <c r="V18" s="14"/>
      <c r="W18" s="14"/>
    </row>
    <row r="19" spans="1:23" ht="15" customHeight="1">
      <c r="A19" s="28"/>
      <c r="B19" s="24" t="s">
        <v>201</v>
      </c>
      <c r="C19" s="28" t="s">
        <v>217</v>
      </c>
      <c r="D19" s="31">
        <v>199</v>
      </c>
      <c r="E19" s="31">
        <v>87</v>
      </c>
      <c r="F19" s="31" t="e">
        <v>#REF!</v>
      </c>
      <c r="G19" s="29" t="e">
        <f t="shared" ref="G19:G20" si="8">+D19-E19+F19</f>
        <v>#REF!</v>
      </c>
      <c r="H19" s="28"/>
      <c r="I19" s="28"/>
      <c r="J19" s="28"/>
      <c r="K19" s="2621"/>
      <c r="L19" s="2618"/>
      <c r="M19" s="2624"/>
      <c r="N19" s="15"/>
      <c r="O19" s="15"/>
      <c r="P19" s="15"/>
      <c r="Q19" s="15"/>
      <c r="R19" s="15"/>
      <c r="S19" s="15"/>
      <c r="T19" s="15"/>
      <c r="U19" s="15"/>
      <c r="V19" s="15"/>
      <c r="W19" s="15"/>
    </row>
    <row r="20" spans="1:23" ht="15" customHeight="1">
      <c r="A20" s="28"/>
      <c r="B20" s="24" t="s">
        <v>201</v>
      </c>
      <c r="C20" s="28" t="s">
        <v>218</v>
      </c>
      <c r="D20" s="31"/>
      <c r="E20" s="31"/>
      <c r="F20" s="31">
        <v>2119</v>
      </c>
      <c r="G20" s="29">
        <f t="shared" si="8"/>
        <v>2119</v>
      </c>
      <c r="H20" s="28"/>
      <c r="I20" s="28"/>
      <c r="J20" s="28"/>
      <c r="K20" s="2621"/>
      <c r="L20" s="2618"/>
      <c r="M20" s="2624"/>
      <c r="N20" s="15"/>
      <c r="O20" s="15"/>
      <c r="P20" s="15"/>
      <c r="Q20" s="15"/>
      <c r="R20" s="15"/>
      <c r="S20" s="15"/>
      <c r="T20" s="15"/>
      <c r="U20" s="15"/>
      <c r="V20" s="15"/>
      <c r="W20" s="15"/>
    </row>
    <row r="21" spans="1:23" ht="15" customHeight="1">
      <c r="A21" s="22" t="s">
        <v>219</v>
      </c>
      <c r="B21" s="24" t="s">
        <v>220</v>
      </c>
      <c r="C21" s="25" t="s">
        <v>221</v>
      </c>
      <c r="D21" s="32">
        <f t="shared" ref="D21:K21" si="9">SUM(D22:D23)</f>
        <v>1440</v>
      </c>
      <c r="E21" s="32">
        <f t="shared" si="9"/>
        <v>469</v>
      </c>
      <c r="F21" s="32">
        <f t="shared" si="9"/>
        <v>440</v>
      </c>
      <c r="G21" s="32">
        <f t="shared" si="9"/>
        <v>1411</v>
      </c>
      <c r="H21" s="33">
        <f t="shared" si="9"/>
        <v>0</v>
      </c>
      <c r="I21" s="33">
        <f t="shared" si="9"/>
        <v>0</v>
      </c>
      <c r="J21" s="33">
        <f t="shared" si="9"/>
        <v>0</v>
      </c>
      <c r="K21" s="2623">
        <f t="shared" si="9"/>
        <v>0</v>
      </c>
      <c r="L21" s="2619"/>
      <c r="M21" s="2625"/>
      <c r="N21" s="14"/>
      <c r="O21" s="14"/>
      <c r="P21" s="14"/>
      <c r="Q21" s="14"/>
      <c r="R21" s="14"/>
      <c r="S21" s="14"/>
      <c r="T21" s="14"/>
      <c r="U21" s="14"/>
      <c r="V21" s="14"/>
      <c r="W21" s="14"/>
    </row>
    <row r="22" spans="1:23" ht="15" customHeight="1">
      <c r="A22" s="28"/>
      <c r="B22" s="24" t="s">
        <v>220</v>
      </c>
      <c r="C22" s="28" t="s">
        <v>222</v>
      </c>
      <c r="D22" s="31">
        <v>1105</v>
      </c>
      <c r="E22" s="31">
        <v>379</v>
      </c>
      <c r="F22" s="31">
        <v>320</v>
      </c>
      <c r="G22" s="29">
        <f t="shared" ref="G22:G23" si="10">+D22-E22+F22</f>
        <v>1046</v>
      </c>
      <c r="H22" s="28"/>
      <c r="I22" s="28"/>
      <c r="J22" s="28"/>
      <c r="K22" s="2621"/>
      <c r="L22" s="2618"/>
      <c r="M22" s="2624"/>
      <c r="N22" s="15"/>
      <c r="O22" s="15"/>
      <c r="P22" s="15"/>
      <c r="Q22" s="15"/>
      <c r="R22" s="15"/>
      <c r="S22" s="15"/>
      <c r="T22" s="15"/>
      <c r="U22" s="15"/>
      <c r="V22" s="15"/>
      <c r="W22" s="15"/>
    </row>
    <row r="23" spans="1:23" ht="15" customHeight="1">
      <c r="A23" s="28"/>
      <c r="B23" s="24" t="s">
        <v>220</v>
      </c>
      <c r="C23" s="28" t="s">
        <v>223</v>
      </c>
      <c r="D23" s="31">
        <v>335</v>
      </c>
      <c r="E23" s="31">
        <v>90</v>
      </c>
      <c r="F23" s="31">
        <v>120</v>
      </c>
      <c r="G23" s="29">
        <f t="shared" si="10"/>
        <v>365</v>
      </c>
      <c r="H23" s="28"/>
      <c r="I23" s="28"/>
      <c r="J23" s="28"/>
      <c r="K23" s="2621"/>
      <c r="L23" s="2618"/>
      <c r="M23" s="2624"/>
      <c r="N23" s="15"/>
      <c r="O23" s="15"/>
      <c r="P23" s="15"/>
      <c r="Q23" s="15"/>
      <c r="R23" s="15"/>
      <c r="S23" s="15"/>
      <c r="T23" s="15"/>
      <c r="U23" s="15"/>
      <c r="V23" s="15"/>
      <c r="W23" s="15"/>
    </row>
    <row r="24" spans="1:23" ht="15" customHeight="1">
      <c r="A24" s="22" t="s">
        <v>224</v>
      </c>
      <c r="B24" s="24" t="s">
        <v>225</v>
      </c>
      <c r="C24" s="25" t="s">
        <v>226</v>
      </c>
      <c r="D24" s="32">
        <f t="shared" ref="D24:K24" si="11">SUM(D25:D27)</f>
        <v>2201</v>
      </c>
      <c r="E24" s="32">
        <f t="shared" si="11"/>
        <v>460</v>
      </c>
      <c r="F24" s="32">
        <f t="shared" si="11"/>
        <v>550</v>
      </c>
      <c r="G24" s="32">
        <f t="shared" si="11"/>
        <v>2291</v>
      </c>
      <c r="H24" s="33">
        <f t="shared" si="11"/>
        <v>0</v>
      </c>
      <c r="I24" s="33">
        <f t="shared" si="11"/>
        <v>0</v>
      </c>
      <c r="J24" s="33">
        <f t="shared" si="11"/>
        <v>0</v>
      </c>
      <c r="K24" s="2623">
        <f t="shared" si="11"/>
        <v>0</v>
      </c>
      <c r="L24" s="2619"/>
      <c r="M24" s="2625"/>
      <c r="N24" s="14"/>
      <c r="O24" s="14"/>
      <c r="P24" s="14"/>
      <c r="Q24" s="14"/>
      <c r="R24" s="14"/>
      <c r="S24" s="14"/>
      <c r="T24" s="14"/>
      <c r="U24" s="14"/>
      <c r="V24" s="14"/>
      <c r="W24" s="14"/>
    </row>
    <row r="25" spans="1:23" ht="15" customHeight="1">
      <c r="A25" s="28"/>
      <c r="B25" s="24" t="s">
        <v>225</v>
      </c>
      <c r="C25" s="28" t="s">
        <v>227</v>
      </c>
      <c r="D25" s="31">
        <v>603</v>
      </c>
      <c r="E25" s="31">
        <v>150</v>
      </c>
      <c r="F25" s="31">
        <v>150</v>
      </c>
      <c r="G25" s="29">
        <f t="shared" ref="G25:G27" si="12">+D25-E25+F25</f>
        <v>603</v>
      </c>
      <c r="H25" s="28"/>
      <c r="I25" s="28"/>
      <c r="J25" s="28"/>
      <c r="K25" s="2621"/>
      <c r="L25" s="2618"/>
      <c r="M25" s="2624"/>
      <c r="N25" s="15"/>
      <c r="O25" s="15"/>
      <c r="P25" s="15"/>
      <c r="Q25" s="15"/>
      <c r="R25" s="15"/>
      <c r="S25" s="15"/>
      <c r="T25" s="15"/>
      <c r="U25" s="15"/>
      <c r="V25" s="15"/>
      <c r="W25" s="15"/>
    </row>
    <row r="26" spans="1:23" ht="15" customHeight="1">
      <c r="A26" s="28"/>
      <c r="B26" s="24" t="s">
        <v>225</v>
      </c>
      <c r="C26" s="28" t="s">
        <v>228</v>
      </c>
      <c r="D26" s="31">
        <v>915</v>
      </c>
      <c r="E26" s="31">
        <v>155</v>
      </c>
      <c r="F26" s="31">
        <v>200</v>
      </c>
      <c r="G26" s="29">
        <f t="shared" si="12"/>
        <v>960</v>
      </c>
      <c r="H26" s="28"/>
      <c r="I26" s="28"/>
      <c r="J26" s="28"/>
      <c r="K26" s="2621"/>
      <c r="L26" s="2618"/>
      <c r="M26" s="2624"/>
      <c r="N26" s="15"/>
      <c r="O26" s="15"/>
      <c r="P26" s="15"/>
      <c r="Q26" s="15"/>
      <c r="R26" s="15"/>
      <c r="S26" s="15"/>
      <c r="T26" s="15"/>
      <c r="U26" s="15"/>
      <c r="V26" s="15"/>
      <c r="W26" s="15"/>
    </row>
    <row r="27" spans="1:23" ht="15" customHeight="1">
      <c r="A27" s="28"/>
      <c r="B27" s="24" t="s">
        <v>225</v>
      </c>
      <c r="C27" s="28" t="s">
        <v>229</v>
      </c>
      <c r="D27" s="31">
        <v>683</v>
      </c>
      <c r="E27" s="31">
        <v>155</v>
      </c>
      <c r="F27" s="31">
        <v>200</v>
      </c>
      <c r="G27" s="29">
        <f t="shared" si="12"/>
        <v>728</v>
      </c>
      <c r="H27" s="28"/>
      <c r="I27" s="28"/>
      <c r="J27" s="28"/>
      <c r="K27" s="2621"/>
      <c r="L27" s="2618"/>
      <c r="M27" s="2624"/>
      <c r="N27" s="15"/>
      <c r="O27" s="15"/>
      <c r="P27" s="15"/>
      <c r="Q27" s="15"/>
      <c r="R27" s="15"/>
      <c r="S27" s="15"/>
      <c r="T27" s="15"/>
      <c r="U27" s="15"/>
      <c r="V27" s="15"/>
      <c r="W27" s="15"/>
    </row>
    <row r="28" spans="1:23" ht="21.75" customHeight="1">
      <c r="A28" s="22"/>
      <c r="B28" s="22"/>
      <c r="C28" s="25" t="s">
        <v>230</v>
      </c>
      <c r="D28" s="32">
        <f t="shared" ref="D28:K28" si="13">+D8+D12+D15+D18+D21+D24</f>
        <v>44687</v>
      </c>
      <c r="E28" s="32">
        <f t="shared" si="13"/>
        <v>18416</v>
      </c>
      <c r="F28" s="32" t="e">
        <f t="shared" si="13"/>
        <v>#REF!</v>
      </c>
      <c r="G28" s="32" t="e">
        <f t="shared" si="13"/>
        <v>#REF!</v>
      </c>
      <c r="H28" s="33">
        <f t="shared" si="13"/>
        <v>15413</v>
      </c>
      <c r="I28" s="33">
        <f t="shared" si="13"/>
        <v>6737</v>
      </c>
      <c r="J28" s="33">
        <f t="shared" si="13"/>
        <v>3766</v>
      </c>
      <c r="K28" s="2623">
        <f t="shared" si="13"/>
        <v>12442</v>
      </c>
      <c r="L28" s="2619"/>
      <c r="M28" s="2625"/>
      <c r="N28" s="14"/>
      <c r="O28" s="14"/>
      <c r="P28" s="14"/>
      <c r="Q28" s="14"/>
      <c r="R28" s="14"/>
      <c r="S28" s="14"/>
      <c r="T28" s="14"/>
      <c r="U28" s="14"/>
      <c r="V28" s="14"/>
      <c r="W28" s="14"/>
    </row>
    <row r="29" spans="1:23" ht="21.75" customHeight="1">
      <c r="A29" s="19"/>
      <c r="B29" s="19"/>
      <c r="C29" s="34"/>
      <c r="D29" s="1862"/>
      <c r="E29" s="1862"/>
      <c r="F29" s="1862"/>
      <c r="G29" s="1862"/>
      <c r="H29" s="35"/>
      <c r="I29" s="35"/>
      <c r="J29" s="35"/>
      <c r="K29" s="35"/>
      <c r="L29" s="2625"/>
      <c r="M29" s="14"/>
      <c r="N29" s="14"/>
      <c r="O29" s="14"/>
      <c r="P29" s="14"/>
      <c r="Q29" s="14"/>
      <c r="R29" s="14"/>
      <c r="S29" s="14"/>
      <c r="T29" s="14"/>
      <c r="U29" s="14"/>
      <c r="V29" s="14"/>
      <c r="W29" s="14"/>
    </row>
    <row r="30" spans="1:23" ht="15.75" customHeight="1">
      <c r="A30" s="15"/>
      <c r="B30" s="15"/>
      <c r="C30" s="15"/>
      <c r="D30" s="15"/>
      <c r="E30" s="15"/>
      <c r="F30" s="15"/>
      <c r="G30" s="15"/>
      <c r="H30" s="2785" t="s">
        <v>231</v>
      </c>
      <c r="I30" s="2732"/>
      <c r="J30" s="2732"/>
      <c r="K30" s="2732"/>
      <c r="L30" s="15"/>
      <c r="M30" s="15"/>
      <c r="N30" s="15"/>
      <c r="O30" s="15"/>
      <c r="P30" s="15"/>
      <c r="Q30" s="15"/>
      <c r="R30" s="15"/>
      <c r="S30" s="15"/>
      <c r="T30" s="15"/>
      <c r="U30" s="15"/>
      <c r="V30" s="15"/>
      <c r="W30" s="15"/>
    </row>
    <row r="31" spans="1:23" ht="27" customHeight="1">
      <c r="A31" s="2774" t="s">
        <v>232</v>
      </c>
      <c r="B31" s="2732"/>
      <c r="C31" s="2732"/>
      <c r="D31" s="2732"/>
      <c r="E31" s="2732"/>
      <c r="F31" s="2732"/>
      <c r="G31" s="2732"/>
      <c r="H31" s="2732"/>
      <c r="I31" s="2774" t="s">
        <v>233</v>
      </c>
      <c r="J31" s="2732"/>
      <c r="K31" s="2732"/>
      <c r="L31" s="37"/>
      <c r="M31" s="38"/>
      <c r="N31" s="38"/>
      <c r="O31" s="38"/>
      <c r="P31" s="38"/>
      <c r="Q31" s="38"/>
      <c r="R31" s="38"/>
      <c r="S31" s="38"/>
      <c r="T31" s="38"/>
      <c r="U31" s="38"/>
      <c r="V31" s="2773"/>
      <c r="W31" s="2732"/>
    </row>
    <row r="37" spans="1:11" ht="15.75" customHeight="1">
      <c r="A37" s="38" t="s">
        <v>234</v>
      </c>
      <c r="B37" s="38"/>
      <c r="C37" s="38"/>
      <c r="D37" s="38"/>
      <c r="E37" s="38"/>
      <c r="F37" s="38"/>
      <c r="G37" s="38"/>
      <c r="H37" s="38"/>
      <c r="I37" s="2774" t="s">
        <v>235</v>
      </c>
      <c r="J37" s="2732"/>
      <c r="K37" s="2732"/>
    </row>
    <row r="38" spans="1:11" ht="27" customHeight="1">
      <c r="A38" s="38"/>
      <c r="B38" s="38"/>
      <c r="C38" s="38" t="s">
        <v>236</v>
      </c>
      <c r="D38" s="13"/>
      <c r="E38" s="13"/>
      <c r="F38" s="13"/>
      <c r="G38" s="13"/>
      <c r="H38" s="13"/>
      <c r="I38" s="13"/>
      <c r="J38" s="13"/>
      <c r="K38" s="13"/>
    </row>
  </sheetData>
  <sheetProtection algorithmName="SHA-512" hashValue="LX9R4T2DNZ/SaiT/+XoplP47ok6nkA3FF1Iw1DPgiILvv/5RMn5yELWMwwCFLkkT15xPr3qx0mItmUF9r78wCA==" saltValue="DxgFmVtgAsoUyyJn5Vk5/A==" spinCount="100000" sheet="1" objects="1" scenarios="1"/>
  <protectedRanges>
    <protectedRange sqref="L8:L28" name="VÀNG"/>
  </protectedRanges>
  <mergeCells count="14">
    <mergeCell ref="V31:W31"/>
    <mergeCell ref="I37:K37"/>
    <mergeCell ref="A1:C1"/>
    <mergeCell ref="A2:C2"/>
    <mergeCell ref="A4:K4"/>
    <mergeCell ref="A5:K5"/>
    <mergeCell ref="A6:A7"/>
    <mergeCell ref="B6:B7"/>
    <mergeCell ref="C6:C7"/>
    <mergeCell ref="D6:G6"/>
    <mergeCell ref="H6:K6"/>
    <mergeCell ref="H30:K30"/>
    <mergeCell ref="A31:H31"/>
    <mergeCell ref="I31:K31"/>
  </mergeCells>
  <pageMargins left="0.43" right="0.31" top="0.52" bottom="0.22"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81"/>
  <sheetViews>
    <sheetView workbookViewId="0">
      <pane xSplit="4" ySplit="6" topLeftCell="E7" activePane="bottomRight" state="frozen"/>
      <selection pane="topRight" activeCell="E1" sqref="E1"/>
      <selection pane="bottomLeft" activeCell="A7" sqref="A7"/>
      <selection pane="bottomRight" activeCell="E1" sqref="E1"/>
    </sheetView>
  </sheetViews>
  <sheetFormatPr defaultColWidth="14.42578125" defaultRowHeight="15" customHeight="1"/>
  <cols>
    <col min="1" max="1" width="4.7109375" customWidth="1"/>
    <col min="2" max="2" width="43.7109375" customWidth="1"/>
    <col min="3" max="10" width="8.140625" customWidth="1"/>
    <col min="11" max="11" width="6.7109375" customWidth="1"/>
    <col min="12" max="12" width="7.28515625" customWidth="1"/>
    <col min="13" max="13" width="7.140625" customWidth="1"/>
    <col min="14" max="14" width="7.42578125" customWidth="1"/>
    <col min="15" max="15" width="7.28515625" customWidth="1"/>
    <col min="16" max="16" width="6.7109375" customWidth="1"/>
    <col min="17" max="17" width="7.42578125" customWidth="1"/>
    <col min="18" max="18" width="8.140625" customWidth="1"/>
    <col min="19" max="19" width="68.7109375" customWidth="1"/>
    <col min="20" max="32" width="8.7109375" customWidth="1"/>
  </cols>
  <sheetData>
    <row r="1" spans="1:18" ht="14.25" customHeight="1">
      <c r="A1" s="2788" t="s">
        <v>23</v>
      </c>
      <c r="B1" s="2732"/>
      <c r="C1" s="2732"/>
      <c r="D1" s="40"/>
      <c r="E1" s="40"/>
      <c r="F1" s="40"/>
      <c r="G1" s="40"/>
      <c r="H1" s="40"/>
      <c r="I1" s="40"/>
      <c r="J1" s="40"/>
      <c r="K1" s="40"/>
      <c r="L1" s="40"/>
      <c r="M1" s="40"/>
      <c r="N1" s="40"/>
      <c r="O1" s="40"/>
      <c r="P1" s="40"/>
      <c r="Q1" s="2789" t="s">
        <v>237</v>
      </c>
      <c r="R1" s="2732"/>
    </row>
    <row r="2" spans="1:18">
      <c r="A2" s="2790" t="s">
        <v>238</v>
      </c>
      <c r="B2" s="2732"/>
      <c r="C2" s="2732"/>
      <c r="D2" s="40"/>
      <c r="E2" s="40"/>
      <c r="F2" s="40"/>
      <c r="G2" s="40"/>
      <c r="H2" s="40"/>
      <c r="I2" s="40"/>
      <c r="J2" s="40"/>
      <c r="K2" s="40"/>
      <c r="L2" s="40"/>
      <c r="M2" s="40"/>
      <c r="N2" s="40"/>
      <c r="O2" s="40"/>
      <c r="P2" s="40"/>
      <c r="Q2" s="41"/>
      <c r="R2" s="41"/>
    </row>
    <row r="3" spans="1:18" ht="34.5" customHeight="1">
      <c r="A3" s="2791" t="s">
        <v>239</v>
      </c>
      <c r="B3" s="2732"/>
      <c r="C3" s="2732"/>
      <c r="D3" s="2732"/>
      <c r="E3" s="2732"/>
      <c r="F3" s="2732"/>
      <c r="G3" s="2732"/>
      <c r="H3" s="2732"/>
      <c r="I3" s="2732"/>
      <c r="J3" s="2732"/>
      <c r="K3" s="2732"/>
      <c r="L3" s="2732"/>
      <c r="M3" s="2732"/>
      <c r="N3" s="2732"/>
      <c r="O3" s="2732"/>
      <c r="P3" s="2732"/>
      <c r="Q3" s="2732"/>
      <c r="R3" s="2732"/>
    </row>
    <row r="4" spans="1:18" ht="22.5" customHeight="1">
      <c r="A4" s="2792" t="s">
        <v>240</v>
      </c>
      <c r="B4" s="2732"/>
      <c r="C4" s="2732"/>
      <c r="D4" s="2732"/>
      <c r="E4" s="2732"/>
      <c r="F4" s="2732"/>
      <c r="G4" s="2732"/>
      <c r="H4" s="2732"/>
      <c r="I4" s="2732"/>
      <c r="J4" s="2732"/>
      <c r="K4" s="2732"/>
      <c r="L4" s="2732"/>
      <c r="M4" s="2732"/>
      <c r="N4" s="2732"/>
      <c r="O4" s="2732"/>
      <c r="P4" s="2732"/>
      <c r="Q4" s="2732"/>
      <c r="R4" s="2732"/>
    </row>
    <row r="5" spans="1:18" ht="23.25" customHeight="1">
      <c r="A5" s="46"/>
      <c r="B5" s="46"/>
      <c r="C5" s="46"/>
      <c r="D5" s="46"/>
      <c r="E5" s="46"/>
      <c r="F5" s="46"/>
      <c r="G5" s="46"/>
      <c r="H5" s="46"/>
      <c r="I5" s="46"/>
      <c r="J5" s="46"/>
      <c r="K5" s="46"/>
      <c r="L5" s="46"/>
      <c r="M5" s="46"/>
      <c r="N5" s="46"/>
      <c r="O5" s="46"/>
      <c r="P5" s="46"/>
      <c r="Q5" s="46"/>
      <c r="R5" s="47" t="s">
        <v>241</v>
      </c>
    </row>
    <row r="6" spans="1:18" ht="35.25" customHeight="1">
      <c r="A6" s="48" t="s">
        <v>186</v>
      </c>
      <c r="B6" s="49" t="s">
        <v>28</v>
      </c>
      <c r="C6" s="49" t="s">
        <v>242</v>
      </c>
      <c r="D6" s="49" t="s">
        <v>243</v>
      </c>
      <c r="E6" s="2626" t="s">
        <v>244</v>
      </c>
      <c r="F6" s="2626" t="s">
        <v>245</v>
      </c>
      <c r="G6" s="2626" t="s">
        <v>246</v>
      </c>
      <c r="H6" s="2626" t="s">
        <v>247</v>
      </c>
      <c r="I6" s="2626" t="s">
        <v>248</v>
      </c>
      <c r="J6" s="2626" t="s">
        <v>249</v>
      </c>
      <c r="K6" s="2626" t="s">
        <v>250</v>
      </c>
      <c r="L6" s="2626" t="s">
        <v>251</v>
      </c>
      <c r="M6" s="2626" t="s">
        <v>252</v>
      </c>
      <c r="N6" s="2626" t="s">
        <v>253</v>
      </c>
      <c r="O6" s="2626" t="s">
        <v>254</v>
      </c>
      <c r="P6" s="2626" t="s">
        <v>255</v>
      </c>
      <c r="Q6" s="49" t="s">
        <v>256</v>
      </c>
      <c r="R6" s="50" t="s">
        <v>32</v>
      </c>
    </row>
    <row r="7" spans="1:18" ht="19.5" customHeight="1">
      <c r="A7" s="51" t="s">
        <v>200</v>
      </c>
      <c r="B7" s="52" t="s">
        <v>257</v>
      </c>
      <c r="C7" s="53"/>
      <c r="D7" s="54"/>
      <c r="E7" s="2627"/>
      <c r="F7" s="2627"/>
      <c r="G7" s="2627"/>
      <c r="H7" s="2627"/>
      <c r="I7" s="2627"/>
      <c r="J7" s="2627"/>
      <c r="K7" s="2627"/>
      <c r="L7" s="2627"/>
      <c r="M7" s="2627"/>
      <c r="N7" s="2627"/>
      <c r="O7" s="2627"/>
      <c r="P7" s="2627"/>
      <c r="Q7" s="54"/>
      <c r="R7" s="55"/>
    </row>
    <row r="8" spans="1:18" ht="19.5" customHeight="1">
      <c r="A8" s="57" t="s">
        <v>258</v>
      </c>
      <c r="B8" s="58" t="s">
        <v>259</v>
      </c>
      <c r="C8" s="59"/>
      <c r="D8" s="60"/>
      <c r="E8" s="2627"/>
      <c r="F8" s="2627"/>
      <c r="G8" s="2627"/>
      <c r="H8" s="2627"/>
      <c r="I8" s="2627"/>
      <c r="J8" s="2627"/>
      <c r="K8" s="2627"/>
      <c r="L8" s="2627"/>
      <c r="M8" s="2627"/>
      <c r="N8" s="2627"/>
      <c r="O8" s="2627"/>
      <c r="P8" s="2627"/>
      <c r="Q8" s="60"/>
      <c r="R8" s="61"/>
    </row>
    <row r="9" spans="1:18" ht="73.5" customHeight="1">
      <c r="A9" s="62" t="s">
        <v>260</v>
      </c>
      <c r="B9" s="63" t="s">
        <v>261</v>
      </c>
      <c r="C9" s="64" t="s">
        <v>262</v>
      </c>
      <c r="D9" s="65">
        <v>794</v>
      </c>
      <c r="E9" s="2628"/>
      <c r="F9" s="2628"/>
      <c r="G9" s="2628"/>
      <c r="H9" s="2628"/>
      <c r="I9" s="2628"/>
      <c r="J9" s="2628"/>
      <c r="K9" s="2628"/>
      <c r="L9" s="2628"/>
      <c r="M9" s="2628"/>
      <c r="N9" s="2628"/>
      <c r="O9" s="2628"/>
      <c r="P9" s="2628"/>
      <c r="Q9" s="65">
        <v>794</v>
      </c>
      <c r="R9" s="66"/>
    </row>
    <row r="10" spans="1:18">
      <c r="A10" s="62" t="s">
        <v>263</v>
      </c>
      <c r="B10" s="67" t="s">
        <v>264</v>
      </c>
      <c r="C10" s="64" t="s">
        <v>262</v>
      </c>
      <c r="D10" s="68">
        <v>340</v>
      </c>
      <c r="E10" s="2629"/>
      <c r="F10" s="2629"/>
      <c r="G10" s="2629"/>
      <c r="H10" s="2629"/>
      <c r="I10" s="2629"/>
      <c r="J10" s="2629"/>
      <c r="K10" s="2629">
        <v>8</v>
      </c>
      <c r="L10" s="2629"/>
      <c r="M10" s="2629"/>
      <c r="N10" s="2629"/>
      <c r="O10" s="2629"/>
      <c r="P10" s="2629"/>
      <c r="Q10" s="68">
        <v>340</v>
      </c>
      <c r="R10" s="66"/>
    </row>
    <row r="11" spans="1:18">
      <c r="A11" s="62" t="s">
        <v>265</v>
      </c>
      <c r="B11" s="67" t="s">
        <v>266</v>
      </c>
      <c r="C11" s="64"/>
      <c r="D11" s="68">
        <v>424</v>
      </c>
      <c r="E11" s="2629"/>
      <c r="F11" s="2629"/>
      <c r="G11" s="2629"/>
      <c r="H11" s="2629"/>
      <c r="I11" s="2629"/>
      <c r="J11" s="2629"/>
      <c r="K11" s="2629">
        <v>4</v>
      </c>
      <c r="L11" s="2629"/>
      <c r="M11" s="2629"/>
      <c r="N11" s="2629"/>
      <c r="O11" s="2629"/>
      <c r="P11" s="2629"/>
      <c r="Q11" s="68">
        <v>424</v>
      </c>
      <c r="R11" s="66"/>
    </row>
    <row r="12" spans="1:18" ht="33" customHeight="1">
      <c r="A12" s="62" t="s">
        <v>267</v>
      </c>
      <c r="B12" s="67" t="s">
        <v>268</v>
      </c>
      <c r="C12" s="64" t="s">
        <v>269</v>
      </c>
      <c r="D12" s="69">
        <v>0</v>
      </c>
      <c r="E12" s="2630"/>
      <c r="F12" s="2630"/>
      <c r="G12" s="2630"/>
      <c r="H12" s="2630"/>
      <c r="I12" s="2630"/>
      <c r="J12" s="2630"/>
      <c r="K12" s="2630">
        <v>0</v>
      </c>
      <c r="L12" s="2631"/>
      <c r="M12" s="2631"/>
      <c r="N12" s="2631"/>
      <c r="O12" s="2631"/>
      <c r="P12" s="2631"/>
      <c r="Q12" s="70">
        <v>0</v>
      </c>
      <c r="R12" s="66"/>
    </row>
    <row r="13" spans="1:18">
      <c r="A13" s="72"/>
      <c r="B13" s="73" t="s">
        <v>270</v>
      </c>
      <c r="C13" s="64" t="s">
        <v>269</v>
      </c>
      <c r="D13" s="74">
        <v>0</v>
      </c>
      <c r="E13" s="2632"/>
      <c r="F13" s="2632"/>
      <c r="G13" s="2632"/>
      <c r="H13" s="2632"/>
      <c r="I13" s="2632"/>
      <c r="J13" s="2632"/>
      <c r="K13" s="2632">
        <v>0</v>
      </c>
      <c r="L13" s="2633"/>
      <c r="M13" s="2633"/>
      <c r="N13" s="2633"/>
      <c r="O13" s="2633"/>
      <c r="P13" s="2633"/>
      <c r="Q13" s="75">
        <v>0</v>
      </c>
      <c r="R13" s="76"/>
    </row>
    <row r="14" spans="1:18" ht="25.5">
      <c r="A14" s="72"/>
      <c r="B14" s="73" t="s">
        <v>271</v>
      </c>
      <c r="C14" s="64" t="s">
        <v>269</v>
      </c>
      <c r="D14" s="74">
        <v>22</v>
      </c>
      <c r="E14" s="2632"/>
      <c r="F14" s="2632"/>
      <c r="G14" s="2632"/>
      <c r="H14" s="2632"/>
      <c r="I14" s="2632"/>
      <c r="J14" s="2632"/>
      <c r="K14" s="2632">
        <v>0</v>
      </c>
      <c r="L14" s="2633"/>
      <c r="M14" s="2633"/>
      <c r="N14" s="2633"/>
      <c r="O14" s="2633"/>
      <c r="P14" s="2633"/>
      <c r="Q14" s="75">
        <v>22</v>
      </c>
      <c r="R14" s="76"/>
    </row>
    <row r="15" spans="1:18" ht="25.5">
      <c r="A15" s="72"/>
      <c r="B15" s="73" t="s">
        <v>272</v>
      </c>
      <c r="C15" s="64" t="s">
        <v>269</v>
      </c>
      <c r="D15" s="74">
        <v>3</v>
      </c>
      <c r="E15" s="2632"/>
      <c r="F15" s="2632"/>
      <c r="G15" s="2632"/>
      <c r="H15" s="2632"/>
      <c r="I15" s="2632"/>
      <c r="J15" s="2632"/>
      <c r="K15" s="2632">
        <v>0</v>
      </c>
      <c r="L15" s="2633"/>
      <c r="M15" s="2633"/>
      <c r="N15" s="2633"/>
      <c r="O15" s="2633"/>
      <c r="P15" s="2633"/>
      <c r="Q15" s="75">
        <v>3</v>
      </c>
      <c r="R15" s="76"/>
    </row>
    <row r="16" spans="1:18">
      <c r="A16" s="72"/>
      <c r="B16" s="73" t="s">
        <v>273</v>
      </c>
      <c r="C16" s="64" t="s">
        <v>269</v>
      </c>
      <c r="D16" s="74">
        <v>5</v>
      </c>
      <c r="E16" s="2632"/>
      <c r="F16" s="2632"/>
      <c r="G16" s="2632"/>
      <c r="H16" s="2632"/>
      <c r="I16" s="2632"/>
      <c r="J16" s="2632"/>
      <c r="K16" s="2632">
        <v>0</v>
      </c>
      <c r="L16" s="2633"/>
      <c r="M16" s="2633"/>
      <c r="N16" s="2633"/>
      <c r="O16" s="2633"/>
      <c r="P16" s="2633"/>
      <c r="Q16" s="75">
        <v>5</v>
      </c>
      <c r="R16" s="76"/>
    </row>
    <row r="17" spans="1:18" ht="62.25" customHeight="1">
      <c r="A17" s="62" t="s">
        <v>274</v>
      </c>
      <c r="B17" s="63" t="s">
        <v>275</v>
      </c>
      <c r="C17" s="64" t="s">
        <v>262</v>
      </c>
      <c r="D17" s="68">
        <f t="shared" ref="D17:Q17" si="0">SUM(D18:D20)</f>
        <v>378</v>
      </c>
      <c r="E17" s="2629"/>
      <c r="F17" s="2629"/>
      <c r="G17" s="2629"/>
      <c r="H17" s="2629"/>
      <c r="I17" s="2629"/>
      <c r="J17" s="2629"/>
      <c r="K17" s="2629">
        <v>0</v>
      </c>
      <c r="L17" s="2629"/>
      <c r="M17" s="2629"/>
      <c r="N17" s="2629"/>
      <c r="O17" s="2629"/>
      <c r="P17" s="2629"/>
      <c r="Q17" s="68">
        <f t="shared" si="0"/>
        <v>0</v>
      </c>
      <c r="R17" s="66"/>
    </row>
    <row r="18" spans="1:18" ht="36" customHeight="1">
      <c r="A18" s="62"/>
      <c r="B18" s="67" t="s">
        <v>276</v>
      </c>
      <c r="C18" s="64" t="s">
        <v>262</v>
      </c>
      <c r="D18" s="68">
        <v>38</v>
      </c>
      <c r="E18" s="2629"/>
      <c r="F18" s="2629"/>
      <c r="G18" s="2629"/>
      <c r="H18" s="2629"/>
      <c r="I18" s="2629"/>
      <c r="J18" s="2629"/>
      <c r="K18" s="2629">
        <v>0</v>
      </c>
      <c r="L18" s="2629"/>
      <c r="M18" s="2629"/>
      <c r="N18" s="2629"/>
      <c r="O18" s="2629"/>
      <c r="P18" s="2629"/>
      <c r="Q18" s="68"/>
      <c r="R18" s="66"/>
    </row>
    <row r="19" spans="1:18" ht="36" customHeight="1">
      <c r="A19" s="62"/>
      <c r="B19" s="67" t="s">
        <v>277</v>
      </c>
      <c r="C19" s="64" t="s">
        <v>262</v>
      </c>
      <c r="D19" s="68">
        <v>340</v>
      </c>
      <c r="E19" s="2629"/>
      <c r="F19" s="2629"/>
      <c r="G19" s="2629"/>
      <c r="H19" s="2629"/>
      <c r="I19" s="2629"/>
      <c r="J19" s="2629"/>
      <c r="K19" s="2629">
        <v>0</v>
      </c>
      <c r="L19" s="2629"/>
      <c r="M19" s="2629"/>
      <c r="N19" s="2629"/>
      <c r="O19" s="2629"/>
      <c r="P19" s="2629"/>
      <c r="Q19" s="68"/>
      <c r="R19" s="66"/>
    </row>
    <row r="20" spans="1:18" ht="36" customHeight="1">
      <c r="A20" s="62"/>
      <c r="B20" s="67" t="s">
        <v>278</v>
      </c>
      <c r="C20" s="64" t="s">
        <v>262</v>
      </c>
      <c r="D20" s="68">
        <v>0</v>
      </c>
      <c r="E20" s="2629"/>
      <c r="F20" s="2629"/>
      <c r="G20" s="2629"/>
      <c r="H20" s="2629"/>
      <c r="I20" s="2629"/>
      <c r="J20" s="2629"/>
      <c r="K20" s="2629">
        <v>0</v>
      </c>
      <c r="L20" s="2629"/>
      <c r="M20" s="2629"/>
      <c r="N20" s="2629"/>
      <c r="O20" s="2629"/>
      <c r="P20" s="2629"/>
      <c r="Q20" s="68"/>
      <c r="R20" s="66"/>
    </row>
    <row r="21" spans="1:18" ht="36" customHeight="1">
      <c r="A21" s="62" t="s">
        <v>279</v>
      </c>
      <c r="B21" s="77" t="s">
        <v>280</v>
      </c>
      <c r="C21" s="64" t="s">
        <v>262</v>
      </c>
      <c r="D21" s="68">
        <v>530</v>
      </c>
      <c r="E21" s="2629"/>
      <c r="F21" s="2629"/>
      <c r="G21" s="2629"/>
      <c r="H21" s="2629"/>
      <c r="I21" s="2629"/>
      <c r="J21" s="2629"/>
      <c r="K21" s="2629"/>
      <c r="L21" s="2629"/>
      <c r="M21" s="2629"/>
      <c r="N21" s="2629"/>
      <c r="O21" s="2629"/>
      <c r="P21" s="2629"/>
      <c r="Q21" s="68"/>
      <c r="R21" s="66"/>
    </row>
    <row r="22" spans="1:18" ht="15.75" customHeight="1">
      <c r="A22" s="62"/>
      <c r="B22" s="67" t="s">
        <v>281</v>
      </c>
      <c r="C22" s="64" t="s">
        <v>262</v>
      </c>
      <c r="D22" s="68">
        <v>530</v>
      </c>
      <c r="E22" s="2629"/>
      <c r="F22" s="2629"/>
      <c r="G22" s="2629"/>
      <c r="H22" s="2629"/>
      <c r="I22" s="2629"/>
      <c r="J22" s="2629"/>
      <c r="K22" s="2629">
        <v>10</v>
      </c>
      <c r="L22" s="2629"/>
      <c r="M22" s="2629"/>
      <c r="N22" s="2629"/>
      <c r="O22" s="2629"/>
      <c r="P22" s="2629"/>
      <c r="Q22" s="68"/>
      <c r="R22" s="66"/>
    </row>
    <row r="23" spans="1:18" ht="86.25" customHeight="1">
      <c r="A23" s="62" t="s">
        <v>282</v>
      </c>
      <c r="B23" s="63" t="s">
        <v>283</v>
      </c>
      <c r="C23" s="64" t="s">
        <v>262</v>
      </c>
      <c r="D23" s="78">
        <f t="shared" ref="D23:Q23" si="1">+D9-D17+D21</f>
        <v>946</v>
      </c>
      <c r="E23" s="2634"/>
      <c r="F23" s="2634"/>
      <c r="G23" s="2634"/>
      <c r="H23" s="2634"/>
      <c r="I23" s="2634"/>
      <c r="J23" s="2634"/>
      <c r="K23" s="2634">
        <v>10</v>
      </c>
      <c r="L23" s="2634"/>
      <c r="M23" s="2634"/>
      <c r="N23" s="2634">
        <v>100</v>
      </c>
      <c r="O23" s="2634"/>
      <c r="P23" s="2634"/>
      <c r="Q23" s="78">
        <f t="shared" si="1"/>
        <v>794</v>
      </c>
      <c r="R23" s="79"/>
    </row>
    <row r="24" spans="1:18" ht="19.5" customHeight="1">
      <c r="A24" s="57" t="s">
        <v>284</v>
      </c>
      <c r="B24" s="58" t="s">
        <v>285</v>
      </c>
      <c r="C24" s="59"/>
      <c r="D24" s="60"/>
      <c r="E24" s="2627"/>
      <c r="F24" s="2627"/>
      <c r="G24" s="2627"/>
      <c r="H24" s="2627"/>
      <c r="I24" s="2627"/>
      <c r="J24" s="2627"/>
      <c r="K24" s="2627">
        <v>0</v>
      </c>
      <c r="L24" s="2627"/>
      <c r="M24" s="2627"/>
      <c r="N24" s="2627"/>
      <c r="O24" s="2627"/>
      <c r="P24" s="2627"/>
      <c r="Q24" s="60"/>
      <c r="R24" s="61"/>
    </row>
    <row r="25" spans="1:18" ht="73.5" customHeight="1">
      <c r="A25" s="62" t="s">
        <v>260</v>
      </c>
      <c r="B25" s="63" t="s">
        <v>286</v>
      </c>
      <c r="C25" s="64" t="s">
        <v>262</v>
      </c>
      <c r="D25" s="68">
        <v>0</v>
      </c>
      <c r="E25" s="2629"/>
      <c r="F25" s="2629"/>
      <c r="G25" s="2629"/>
      <c r="H25" s="2629"/>
      <c r="I25" s="2629"/>
      <c r="J25" s="2629"/>
      <c r="K25" s="2629">
        <v>0</v>
      </c>
      <c r="L25" s="2629"/>
      <c r="M25" s="2629"/>
      <c r="N25" s="2629"/>
      <c r="O25" s="2629"/>
      <c r="P25" s="2629"/>
      <c r="Q25" s="68">
        <f t="shared" ref="Q25" si="2">SUM(Q26:Q28)</f>
        <v>0</v>
      </c>
      <c r="R25" s="66"/>
    </row>
    <row r="26" spans="1:18" ht="15.75" customHeight="1">
      <c r="A26" s="62"/>
      <c r="B26" s="67" t="s">
        <v>287</v>
      </c>
      <c r="C26" s="64" t="s">
        <v>262</v>
      </c>
      <c r="D26" s="68">
        <v>0</v>
      </c>
      <c r="E26" s="2629"/>
      <c r="F26" s="2629"/>
      <c r="G26" s="2629"/>
      <c r="H26" s="2629"/>
      <c r="I26" s="2629"/>
      <c r="J26" s="2629"/>
      <c r="K26" s="2629">
        <v>0</v>
      </c>
      <c r="L26" s="2629"/>
      <c r="M26" s="2629"/>
      <c r="N26" s="2629"/>
      <c r="O26" s="2629"/>
      <c r="P26" s="2629"/>
      <c r="Q26" s="68">
        <f t="shared" ref="Q26:Q28" si="3">SUM(D26:P26)</f>
        <v>0</v>
      </c>
      <c r="R26" s="66"/>
    </row>
    <row r="27" spans="1:18" ht="15.75" customHeight="1">
      <c r="A27" s="62"/>
      <c r="B27" s="67" t="s">
        <v>264</v>
      </c>
      <c r="C27" s="64" t="s">
        <v>262</v>
      </c>
      <c r="D27" s="68">
        <v>0</v>
      </c>
      <c r="E27" s="2629"/>
      <c r="F27" s="2629"/>
      <c r="G27" s="2629"/>
      <c r="H27" s="2629"/>
      <c r="I27" s="2629"/>
      <c r="J27" s="2629"/>
      <c r="K27" s="2629">
        <v>0</v>
      </c>
      <c r="L27" s="2629"/>
      <c r="M27" s="2629"/>
      <c r="N27" s="2629"/>
      <c r="O27" s="2629"/>
      <c r="P27" s="2629"/>
      <c r="Q27" s="68">
        <f t="shared" si="3"/>
        <v>0</v>
      </c>
      <c r="R27" s="66"/>
    </row>
    <row r="28" spans="1:18" ht="15.75" customHeight="1">
      <c r="A28" s="62"/>
      <c r="B28" s="67" t="s">
        <v>266</v>
      </c>
      <c r="C28" s="64" t="s">
        <v>262</v>
      </c>
      <c r="D28" s="68">
        <v>0</v>
      </c>
      <c r="E28" s="2629"/>
      <c r="F28" s="2629"/>
      <c r="G28" s="2629"/>
      <c r="H28" s="2629"/>
      <c r="I28" s="2629"/>
      <c r="J28" s="2629"/>
      <c r="K28" s="2629">
        <v>0</v>
      </c>
      <c r="L28" s="2629"/>
      <c r="M28" s="2629"/>
      <c r="N28" s="2629"/>
      <c r="O28" s="2629"/>
      <c r="P28" s="2629"/>
      <c r="Q28" s="68">
        <f t="shared" si="3"/>
        <v>0</v>
      </c>
      <c r="R28" s="66"/>
    </row>
    <row r="29" spans="1:18" ht="62.25" customHeight="1">
      <c r="A29" s="62" t="s">
        <v>274</v>
      </c>
      <c r="B29" s="63" t="s">
        <v>288</v>
      </c>
      <c r="C29" s="64" t="s">
        <v>262</v>
      </c>
      <c r="D29" s="68">
        <f t="shared" ref="D29:Q29" si="4">SUM(D30:D32)</f>
        <v>0</v>
      </c>
      <c r="E29" s="2629"/>
      <c r="F29" s="2629"/>
      <c r="G29" s="2629"/>
      <c r="H29" s="2629"/>
      <c r="I29" s="2629"/>
      <c r="J29" s="2629"/>
      <c r="K29" s="2629">
        <v>0</v>
      </c>
      <c r="L29" s="2629"/>
      <c r="M29" s="2629"/>
      <c r="N29" s="2629"/>
      <c r="O29" s="2629"/>
      <c r="P29" s="2629"/>
      <c r="Q29" s="68">
        <f t="shared" si="4"/>
        <v>0</v>
      </c>
      <c r="R29" s="66"/>
    </row>
    <row r="30" spans="1:18" ht="15.75" customHeight="1">
      <c r="A30" s="62"/>
      <c r="B30" s="67" t="s">
        <v>276</v>
      </c>
      <c r="C30" s="64" t="s">
        <v>262</v>
      </c>
      <c r="D30" s="68"/>
      <c r="E30" s="2629"/>
      <c r="F30" s="2629"/>
      <c r="G30" s="2629"/>
      <c r="H30" s="2629"/>
      <c r="I30" s="2629"/>
      <c r="J30" s="2629"/>
      <c r="K30" s="2629">
        <v>0</v>
      </c>
      <c r="L30" s="2629"/>
      <c r="M30" s="2629"/>
      <c r="N30" s="2629"/>
      <c r="O30" s="2629"/>
      <c r="P30" s="2629"/>
      <c r="Q30" s="68">
        <f t="shared" ref="Q30:Q32" si="5">SUM(D30:P30)</f>
        <v>0</v>
      </c>
      <c r="R30" s="66"/>
    </row>
    <row r="31" spans="1:18" ht="15.75" customHeight="1">
      <c r="A31" s="62"/>
      <c r="B31" s="67" t="s">
        <v>277</v>
      </c>
      <c r="C31" s="64" t="s">
        <v>262</v>
      </c>
      <c r="D31" s="68"/>
      <c r="E31" s="2629"/>
      <c r="F31" s="2629"/>
      <c r="G31" s="2629"/>
      <c r="H31" s="2629"/>
      <c r="I31" s="2629"/>
      <c r="J31" s="2629"/>
      <c r="K31" s="2629">
        <v>0</v>
      </c>
      <c r="L31" s="2629"/>
      <c r="M31" s="2629"/>
      <c r="N31" s="2629"/>
      <c r="O31" s="2629"/>
      <c r="P31" s="2629"/>
      <c r="Q31" s="68">
        <f t="shared" si="5"/>
        <v>0</v>
      </c>
      <c r="R31" s="66"/>
    </row>
    <row r="32" spans="1:18" ht="15.75" customHeight="1">
      <c r="A32" s="62"/>
      <c r="B32" s="67" t="s">
        <v>278</v>
      </c>
      <c r="C32" s="64" t="s">
        <v>262</v>
      </c>
      <c r="D32" s="68"/>
      <c r="E32" s="2629"/>
      <c r="F32" s="2629"/>
      <c r="G32" s="2629"/>
      <c r="H32" s="2629"/>
      <c r="I32" s="2629"/>
      <c r="J32" s="2629"/>
      <c r="K32" s="2629">
        <v>0</v>
      </c>
      <c r="L32" s="2629"/>
      <c r="M32" s="2629"/>
      <c r="N32" s="2629"/>
      <c r="O32" s="2629"/>
      <c r="P32" s="2629"/>
      <c r="Q32" s="68">
        <f t="shared" si="5"/>
        <v>0</v>
      </c>
      <c r="R32" s="66"/>
    </row>
    <row r="33" spans="1:18" ht="15.75" customHeight="1">
      <c r="A33" s="62" t="s">
        <v>279</v>
      </c>
      <c r="B33" s="77" t="s">
        <v>289</v>
      </c>
      <c r="C33" s="64" t="s">
        <v>262</v>
      </c>
      <c r="D33" s="68">
        <f t="shared" ref="D33:Q33" si="6">SUM(D34)</f>
        <v>0</v>
      </c>
      <c r="E33" s="2629"/>
      <c r="F33" s="2629"/>
      <c r="G33" s="2629"/>
      <c r="H33" s="2629"/>
      <c r="I33" s="2629"/>
      <c r="J33" s="2629"/>
      <c r="K33" s="2629">
        <v>0</v>
      </c>
      <c r="L33" s="2629"/>
      <c r="M33" s="2629"/>
      <c r="N33" s="2629"/>
      <c r="O33" s="2629"/>
      <c r="P33" s="2629"/>
      <c r="Q33" s="68">
        <f t="shared" si="6"/>
        <v>15</v>
      </c>
      <c r="R33" s="66"/>
    </row>
    <row r="34" spans="1:18" ht="15.75" customHeight="1">
      <c r="A34" s="62"/>
      <c r="B34" s="67" t="s">
        <v>281</v>
      </c>
      <c r="C34" s="64" t="s">
        <v>262</v>
      </c>
      <c r="D34" s="68"/>
      <c r="E34" s="2629"/>
      <c r="F34" s="2629"/>
      <c r="G34" s="2629"/>
      <c r="H34" s="2629"/>
      <c r="I34" s="2629"/>
      <c r="J34" s="2629"/>
      <c r="K34" s="2629">
        <v>0</v>
      </c>
      <c r="L34" s="2629"/>
      <c r="M34" s="2629"/>
      <c r="N34" s="2629">
        <v>15</v>
      </c>
      <c r="O34" s="2629"/>
      <c r="P34" s="2629"/>
      <c r="Q34" s="68">
        <f>SUM(D34:P34)</f>
        <v>15</v>
      </c>
      <c r="R34" s="66"/>
    </row>
    <row r="35" spans="1:18" ht="81" customHeight="1">
      <c r="A35" s="62" t="s">
        <v>282</v>
      </c>
      <c r="B35" s="63" t="s">
        <v>290</v>
      </c>
      <c r="C35" s="64" t="s">
        <v>262</v>
      </c>
      <c r="D35" s="78">
        <f t="shared" ref="D35:Q35" si="7">+D25-D29+D33</f>
        <v>0</v>
      </c>
      <c r="E35" s="2634"/>
      <c r="F35" s="2634"/>
      <c r="G35" s="2634"/>
      <c r="H35" s="2634"/>
      <c r="I35" s="2634"/>
      <c r="J35" s="2634"/>
      <c r="K35" s="2634">
        <v>0</v>
      </c>
      <c r="L35" s="2634"/>
      <c r="M35" s="2634"/>
      <c r="N35" s="2634"/>
      <c r="O35" s="2634"/>
      <c r="P35" s="2634"/>
      <c r="Q35" s="78">
        <f t="shared" si="7"/>
        <v>15</v>
      </c>
      <c r="R35" s="79"/>
    </row>
    <row r="36" spans="1:18" ht="19.5" customHeight="1">
      <c r="A36" s="80" t="s">
        <v>200</v>
      </c>
      <c r="B36" s="52" t="s">
        <v>291</v>
      </c>
      <c r="C36" s="53"/>
      <c r="D36" s="81"/>
      <c r="E36" s="2628"/>
      <c r="F36" s="2628"/>
      <c r="G36" s="2628"/>
      <c r="H36" s="2628"/>
      <c r="I36" s="2628"/>
      <c r="J36" s="2628"/>
      <c r="K36" s="2628"/>
      <c r="L36" s="2628"/>
      <c r="M36" s="2628"/>
      <c r="N36" s="2628"/>
      <c r="O36" s="2628"/>
      <c r="P36" s="2628"/>
      <c r="Q36" s="81"/>
      <c r="R36" s="55"/>
    </row>
    <row r="37" spans="1:18" ht="21.75" customHeight="1">
      <c r="A37" s="57" t="s">
        <v>258</v>
      </c>
      <c r="B37" s="58" t="s">
        <v>292</v>
      </c>
      <c r="C37" s="59"/>
      <c r="D37" s="82"/>
      <c r="E37" s="2628"/>
      <c r="F37" s="2628"/>
      <c r="G37" s="2628"/>
      <c r="H37" s="2628"/>
      <c r="I37" s="2628"/>
      <c r="J37" s="2628"/>
      <c r="K37" s="2628"/>
      <c r="L37" s="2628"/>
      <c r="M37" s="2628"/>
      <c r="N37" s="2628"/>
      <c r="O37" s="2628"/>
      <c r="P37" s="2628"/>
      <c r="Q37" s="82"/>
      <c r="R37" s="61"/>
    </row>
    <row r="38" spans="1:18" ht="91.5" customHeight="1">
      <c r="A38" s="83" t="s">
        <v>260</v>
      </c>
      <c r="B38" s="63" t="s">
        <v>293</v>
      </c>
      <c r="C38" s="84" t="s">
        <v>294</v>
      </c>
      <c r="D38" s="78">
        <f t="shared" ref="D38:Q38" si="8">SUM(D39:D44)</f>
        <v>49</v>
      </c>
      <c r="E38" s="2634"/>
      <c r="F38" s="2634"/>
      <c r="G38" s="2634"/>
      <c r="H38" s="2634"/>
      <c r="I38" s="2634"/>
      <c r="J38" s="2634"/>
      <c r="K38" s="2634"/>
      <c r="L38" s="2634"/>
      <c r="M38" s="2634"/>
      <c r="N38" s="2634"/>
      <c r="O38" s="2634"/>
      <c r="P38" s="2634"/>
      <c r="Q38" s="78">
        <f t="shared" si="8"/>
        <v>51</v>
      </c>
      <c r="R38" s="79"/>
    </row>
    <row r="39" spans="1:18" ht="25.5" customHeight="1">
      <c r="A39" s="62"/>
      <c r="B39" s="67" t="s">
        <v>295</v>
      </c>
      <c r="C39" s="64"/>
      <c r="D39" s="68">
        <v>9</v>
      </c>
      <c r="E39" s="2629"/>
      <c r="F39" s="2629"/>
      <c r="G39" s="2629"/>
      <c r="H39" s="2629"/>
      <c r="I39" s="2629"/>
      <c r="J39" s="2629"/>
      <c r="K39" s="2629">
        <v>1</v>
      </c>
      <c r="L39" s="2629"/>
      <c r="M39" s="2629"/>
      <c r="N39" s="2629"/>
      <c r="O39" s="2629"/>
      <c r="P39" s="2629"/>
      <c r="Q39" s="68">
        <f t="shared" ref="Q39:Q44" si="9">SUM(D39:P39)</f>
        <v>10</v>
      </c>
      <c r="R39" s="66"/>
    </row>
    <row r="40" spans="1:18" ht="25.5" customHeight="1">
      <c r="A40" s="62"/>
      <c r="B40" s="67" t="s">
        <v>296</v>
      </c>
      <c r="C40" s="64"/>
      <c r="D40" s="68">
        <v>5</v>
      </c>
      <c r="E40" s="2629"/>
      <c r="F40" s="2629"/>
      <c r="G40" s="2629"/>
      <c r="H40" s="2629"/>
      <c r="I40" s="2629"/>
      <c r="J40" s="2629"/>
      <c r="K40" s="2629">
        <v>0</v>
      </c>
      <c r="L40" s="2629"/>
      <c r="M40" s="2629"/>
      <c r="N40" s="2629"/>
      <c r="O40" s="2629"/>
      <c r="P40" s="2629"/>
      <c r="Q40" s="68">
        <f t="shared" si="9"/>
        <v>5</v>
      </c>
      <c r="R40" s="66"/>
    </row>
    <row r="41" spans="1:18" ht="25.5" customHeight="1">
      <c r="A41" s="62"/>
      <c r="B41" s="67" t="s">
        <v>297</v>
      </c>
      <c r="C41" s="64"/>
      <c r="D41" s="68">
        <v>10</v>
      </c>
      <c r="E41" s="2629"/>
      <c r="F41" s="2629"/>
      <c r="G41" s="2629"/>
      <c r="H41" s="2629"/>
      <c r="I41" s="2629"/>
      <c r="J41" s="2629"/>
      <c r="K41" s="2629">
        <v>0</v>
      </c>
      <c r="L41" s="2629"/>
      <c r="M41" s="2629"/>
      <c r="N41" s="2629"/>
      <c r="O41" s="2629"/>
      <c r="P41" s="2629"/>
      <c r="Q41" s="68">
        <f t="shared" si="9"/>
        <v>10</v>
      </c>
      <c r="R41" s="66"/>
    </row>
    <row r="42" spans="1:18" ht="25.5" customHeight="1">
      <c r="A42" s="62"/>
      <c r="B42" s="67" t="s">
        <v>298</v>
      </c>
      <c r="C42" s="64"/>
      <c r="D42" s="68">
        <v>5</v>
      </c>
      <c r="E42" s="2629"/>
      <c r="F42" s="2629"/>
      <c r="G42" s="2629"/>
      <c r="H42" s="2629"/>
      <c r="I42" s="2629"/>
      <c r="J42" s="2629"/>
      <c r="K42" s="2629">
        <v>0</v>
      </c>
      <c r="L42" s="2629"/>
      <c r="M42" s="2629"/>
      <c r="N42" s="2629"/>
      <c r="O42" s="2629"/>
      <c r="P42" s="2629"/>
      <c r="Q42" s="68">
        <f t="shared" si="9"/>
        <v>5</v>
      </c>
      <c r="R42" s="66"/>
    </row>
    <row r="43" spans="1:18" ht="25.5" customHeight="1">
      <c r="A43" s="62"/>
      <c r="B43" s="67" t="s">
        <v>299</v>
      </c>
      <c r="C43" s="64"/>
      <c r="D43" s="68">
        <v>18</v>
      </c>
      <c r="E43" s="2629"/>
      <c r="F43" s="2629"/>
      <c r="G43" s="2629"/>
      <c r="H43" s="2629"/>
      <c r="I43" s="2629"/>
      <c r="J43" s="2629"/>
      <c r="K43" s="2629">
        <v>1</v>
      </c>
      <c r="L43" s="2629"/>
      <c r="M43" s="2629"/>
      <c r="N43" s="2629"/>
      <c r="O43" s="2629"/>
      <c r="P43" s="2629"/>
      <c r="Q43" s="68">
        <f t="shared" si="9"/>
        <v>19</v>
      </c>
      <c r="R43" s="66"/>
    </row>
    <row r="44" spans="1:18" ht="25.5" customHeight="1">
      <c r="A44" s="62"/>
      <c r="B44" s="67" t="s">
        <v>300</v>
      </c>
      <c r="C44" s="64"/>
      <c r="D44" s="68">
        <v>2</v>
      </c>
      <c r="E44" s="2629"/>
      <c r="F44" s="2629"/>
      <c r="G44" s="2629"/>
      <c r="H44" s="2629"/>
      <c r="I44" s="2629"/>
      <c r="J44" s="2629"/>
      <c r="K44" s="2629"/>
      <c r="L44" s="2629"/>
      <c r="M44" s="2629"/>
      <c r="N44" s="2629"/>
      <c r="O44" s="2629"/>
      <c r="P44" s="2629"/>
      <c r="Q44" s="68">
        <f t="shared" si="9"/>
        <v>2</v>
      </c>
      <c r="R44" s="66"/>
    </row>
    <row r="45" spans="1:18" ht="54">
      <c r="A45" s="83" t="s">
        <v>274</v>
      </c>
      <c r="B45" s="63" t="s">
        <v>301</v>
      </c>
      <c r="C45" s="84" t="s">
        <v>294</v>
      </c>
      <c r="D45" s="78">
        <f t="shared" ref="D45:Q45" si="10">SUM(D46:D51)</f>
        <v>25</v>
      </c>
      <c r="E45" s="2634"/>
      <c r="F45" s="2634"/>
      <c r="G45" s="2634"/>
      <c r="H45" s="2634"/>
      <c r="I45" s="2634"/>
      <c r="J45" s="2634"/>
      <c r="K45" s="2634"/>
      <c r="L45" s="2634"/>
      <c r="M45" s="2634"/>
      <c r="N45" s="2634"/>
      <c r="O45" s="2634"/>
      <c r="P45" s="2634"/>
      <c r="Q45" s="78">
        <f t="shared" si="10"/>
        <v>25</v>
      </c>
      <c r="R45" s="79"/>
    </row>
    <row r="46" spans="1:18" ht="21.75" customHeight="1">
      <c r="A46" s="62"/>
      <c r="B46" s="67" t="s">
        <v>295</v>
      </c>
      <c r="C46" s="64"/>
      <c r="D46" s="68">
        <v>0</v>
      </c>
      <c r="E46" s="2629"/>
      <c r="F46" s="2629"/>
      <c r="G46" s="2629"/>
      <c r="H46" s="2629"/>
      <c r="I46" s="2629"/>
      <c r="J46" s="2629"/>
      <c r="K46" s="2629"/>
      <c r="L46" s="2629"/>
      <c r="M46" s="2629"/>
      <c r="N46" s="2629"/>
      <c r="O46" s="2629"/>
      <c r="P46" s="2629"/>
      <c r="Q46" s="68">
        <f t="shared" ref="Q46:Q51" si="11">SUM(D46:P46)</f>
        <v>0</v>
      </c>
      <c r="R46" s="66"/>
    </row>
    <row r="47" spans="1:18" ht="21.75" customHeight="1">
      <c r="A47" s="62"/>
      <c r="B47" s="67" t="s">
        <v>296</v>
      </c>
      <c r="C47" s="64"/>
      <c r="D47" s="68">
        <v>0</v>
      </c>
      <c r="E47" s="2629"/>
      <c r="F47" s="2629"/>
      <c r="G47" s="2629"/>
      <c r="H47" s="2629"/>
      <c r="I47" s="2629"/>
      <c r="J47" s="2629"/>
      <c r="K47" s="2629"/>
      <c r="L47" s="2629"/>
      <c r="M47" s="2629"/>
      <c r="N47" s="2629"/>
      <c r="O47" s="2629"/>
      <c r="P47" s="2629"/>
      <c r="Q47" s="68">
        <f t="shared" si="11"/>
        <v>0</v>
      </c>
      <c r="R47" s="66"/>
    </row>
    <row r="48" spans="1:18" ht="21.75" customHeight="1">
      <c r="A48" s="62"/>
      <c r="B48" s="67" t="s">
        <v>297</v>
      </c>
      <c r="C48" s="64"/>
      <c r="D48" s="68">
        <v>0</v>
      </c>
      <c r="E48" s="2629"/>
      <c r="F48" s="2629"/>
      <c r="G48" s="2629"/>
      <c r="H48" s="2629"/>
      <c r="I48" s="2629"/>
      <c r="J48" s="2629"/>
      <c r="K48" s="2629"/>
      <c r="L48" s="2629"/>
      <c r="M48" s="2629"/>
      <c r="N48" s="2629"/>
      <c r="O48" s="2629"/>
      <c r="P48" s="2629"/>
      <c r="Q48" s="68">
        <f t="shared" si="11"/>
        <v>0</v>
      </c>
      <c r="R48" s="66"/>
    </row>
    <row r="49" spans="1:18" ht="25.5">
      <c r="A49" s="62"/>
      <c r="B49" s="67" t="s">
        <v>298</v>
      </c>
      <c r="C49" s="64"/>
      <c r="D49" s="68">
        <v>7</v>
      </c>
      <c r="E49" s="2629"/>
      <c r="F49" s="2629"/>
      <c r="G49" s="2629"/>
      <c r="H49" s="2629"/>
      <c r="I49" s="2629"/>
      <c r="J49" s="2629"/>
      <c r="K49" s="2629"/>
      <c r="L49" s="2629"/>
      <c r="M49" s="2629"/>
      <c r="N49" s="2629"/>
      <c r="O49" s="2629"/>
      <c r="P49" s="2629"/>
      <c r="Q49" s="68">
        <f t="shared" si="11"/>
        <v>7</v>
      </c>
      <c r="R49" s="66"/>
    </row>
    <row r="50" spans="1:18" ht="25.5">
      <c r="A50" s="62"/>
      <c r="B50" s="67" t="s">
        <v>299</v>
      </c>
      <c r="C50" s="64"/>
      <c r="D50" s="68">
        <v>16</v>
      </c>
      <c r="E50" s="2629"/>
      <c r="F50" s="2629"/>
      <c r="G50" s="2629"/>
      <c r="H50" s="2629"/>
      <c r="I50" s="2629"/>
      <c r="J50" s="2629"/>
      <c r="K50" s="2629"/>
      <c r="L50" s="2629"/>
      <c r="M50" s="2629"/>
      <c r="N50" s="2629"/>
      <c r="O50" s="2629"/>
      <c r="P50" s="2629"/>
      <c r="Q50" s="68">
        <f t="shared" si="11"/>
        <v>16</v>
      </c>
      <c r="R50" s="66"/>
    </row>
    <row r="51" spans="1:18" ht="25.5">
      <c r="A51" s="62"/>
      <c r="B51" s="67" t="s">
        <v>300</v>
      </c>
      <c r="C51" s="64"/>
      <c r="D51" s="68">
        <v>2</v>
      </c>
      <c r="E51" s="2629"/>
      <c r="F51" s="2629"/>
      <c r="G51" s="2629"/>
      <c r="H51" s="2629"/>
      <c r="I51" s="2629"/>
      <c r="J51" s="2629"/>
      <c r="K51" s="2629"/>
      <c r="L51" s="2629"/>
      <c r="M51" s="2629"/>
      <c r="N51" s="2629"/>
      <c r="O51" s="2629"/>
      <c r="P51" s="2629"/>
      <c r="Q51" s="68">
        <f t="shared" si="11"/>
        <v>2</v>
      </c>
      <c r="R51" s="66"/>
    </row>
    <row r="52" spans="1:18">
      <c r="A52" s="83" t="s">
        <v>279</v>
      </c>
      <c r="B52" s="63" t="s">
        <v>302</v>
      </c>
      <c r="C52" s="64" t="s">
        <v>294</v>
      </c>
      <c r="D52" s="78">
        <v>24</v>
      </c>
      <c r="E52" s="2634"/>
      <c r="F52" s="2634"/>
      <c r="G52" s="2634"/>
      <c r="H52" s="2634"/>
      <c r="I52" s="2634"/>
      <c r="J52" s="2634"/>
      <c r="K52" s="2634"/>
      <c r="L52" s="2634"/>
      <c r="M52" s="2634"/>
      <c r="N52" s="2634"/>
      <c r="O52" s="2634"/>
      <c r="P52" s="2634"/>
      <c r="Q52" s="68">
        <v>0</v>
      </c>
      <c r="R52" s="79"/>
    </row>
    <row r="53" spans="1:18">
      <c r="A53" s="62"/>
      <c r="B53" s="67" t="s">
        <v>303</v>
      </c>
      <c r="C53" s="64" t="s">
        <v>294</v>
      </c>
      <c r="D53" s="68">
        <v>24</v>
      </c>
      <c r="E53" s="2629"/>
      <c r="F53" s="2629"/>
      <c r="G53" s="2629"/>
      <c r="H53" s="2629"/>
      <c r="I53" s="2629"/>
      <c r="J53" s="2629"/>
      <c r="K53" s="2629">
        <v>5</v>
      </c>
      <c r="L53" s="2629"/>
      <c r="M53" s="2629"/>
      <c r="N53" s="2629"/>
      <c r="O53" s="2629"/>
      <c r="P53" s="2629"/>
      <c r="Q53" s="68">
        <f>SUM(D53:P53)</f>
        <v>29</v>
      </c>
      <c r="R53" s="66" t="s">
        <v>304</v>
      </c>
    </row>
    <row r="54" spans="1:18" ht="81.75" customHeight="1">
      <c r="A54" s="83" t="s">
        <v>282</v>
      </c>
      <c r="B54" s="63" t="s">
        <v>305</v>
      </c>
      <c r="C54" s="84" t="s">
        <v>294</v>
      </c>
      <c r="D54" s="78">
        <f t="shared" ref="D54:Q54" si="12">+D38-D45+D52</f>
        <v>48</v>
      </c>
      <c r="E54" s="2634"/>
      <c r="F54" s="2634"/>
      <c r="G54" s="2634"/>
      <c r="H54" s="2634"/>
      <c r="I54" s="2634"/>
      <c r="J54" s="2634"/>
      <c r="K54" s="2634">
        <v>6</v>
      </c>
      <c r="L54" s="2634"/>
      <c r="M54" s="2634"/>
      <c r="N54" s="2634"/>
      <c r="O54" s="2634"/>
      <c r="P54" s="2634"/>
      <c r="Q54" s="78">
        <f t="shared" si="12"/>
        <v>26</v>
      </c>
      <c r="R54" s="79"/>
    </row>
    <row r="55" spans="1:18">
      <c r="A55" s="57" t="s">
        <v>284</v>
      </c>
      <c r="B55" s="58" t="s">
        <v>306</v>
      </c>
      <c r="C55" s="59"/>
      <c r="D55" s="82"/>
      <c r="E55" s="2628"/>
      <c r="F55" s="2628"/>
      <c r="G55" s="2628"/>
      <c r="H55" s="2628"/>
      <c r="I55" s="2628"/>
      <c r="J55" s="2628"/>
      <c r="K55" s="2628">
        <v>0</v>
      </c>
      <c r="L55" s="2628"/>
      <c r="M55" s="2628"/>
      <c r="N55" s="2628"/>
      <c r="O55" s="2628"/>
      <c r="P55" s="2628"/>
      <c r="Q55" s="82"/>
      <c r="R55" s="61"/>
    </row>
    <row r="56" spans="1:18" ht="90" customHeight="1">
      <c r="A56" s="83" t="s">
        <v>260</v>
      </c>
      <c r="B56" s="63" t="s">
        <v>293</v>
      </c>
      <c r="C56" s="84" t="s">
        <v>294</v>
      </c>
      <c r="D56" s="78">
        <v>0</v>
      </c>
      <c r="E56" s="2634"/>
      <c r="F56" s="2634"/>
      <c r="G56" s="2634"/>
      <c r="H56" s="2634"/>
      <c r="I56" s="2634"/>
      <c r="J56" s="2634"/>
      <c r="K56" s="2634">
        <v>0</v>
      </c>
      <c r="L56" s="2634"/>
      <c r="M56" s="2634"/>
      <c r="N56" s="2634"/>
      <c r="O56" s="2634"/>
      <c r="P56" s="2634"/>
      <c r="Q56" s="78">
        <v>0</v>
      </c>
      <c r="R56" s="79"/>
    </row>
    <row r="57" spans="1:18" ht="25.5" customHeight="1">
      <c r="A57" s="62"/>
      <c r="B57" s="67" t="s">
        <v>307</v>
      </c>
      <c r="C57" s="64"/>
      <c r="D57" s="68"/>
      <c r="E57" s="2629"/>
      <c r="F57" s="2629"/>
      <c r="G57" s="2629"/>
      <c r="H57" s="2629"/>
      <c r="I57" s="2629"/>
      <c r="J57" s="2629"/>
      <c r="K57" s="2629">
        <v>0</v>
      </c>
      <c r="L57" s="2629"/>
      <c r="M57" s="2629"/>
      <c r="N57" s="2629"/>
      <c r="O57" s="2629"/>
      <c r="P57" s="2629"/>
      <c r="Q57" s="68">
        <f t="shared" ref="Q57:Q62" si="13">SUM(D57:P57)</f>
        <v>0</v>
      </c>
      <c r="R57" s="66"/>
    </row>
    <row r="58" spans="1:18" ht="25.5" customHeight="1">
      <c r="A58" s="62"/>
      <c r="B58" s="67" t="s">
        <v>308</v>
      </c>
      <c r="C58" s="64"/>
      <c r="D58" s="68"/>
      <c r="E58" s="2629"/>
      <c r="F58" s="2629"/>
      <c r="G58" s="2629"/>
      <c r="H58" s="2629"/>
      <c r="I58" s="2629"/>
      <c r="J58" s="2629"/>
      <c r="K58" s="2629">
        <v>0</v>
      </c>
      <c r="L58" s="2629"/>
      <c r="M58" s="2629"/>
      <c r="N58" s="2629"/>
      <c r="O58" s="2629"/>
      <c r="P58" s="2629"/>
      <c r="Q58" s="68">
        <f t="shared" si="13"/>
        <v>0</v>
      </c>
      <c r="R58" s="66"/>
    </row>
    <row r="59" spans="1:18" ht="25.5" customHeight="1">
      <c r="A59" s="62"/>
      <c r="B59" s="67" t="s">
        <v>309</v>
      </c>
      <c r="C59" s="64"/>
      <c r="D59" s="68"/>
      <c r="E59" s="2629"/>
      <c r="F59" s="2629"/>
      <c r="G59" s="2629"/>
      <c r="H59" s="2629"/>
      <c r="I59" s="2629"/>
      <c r="J59" s="2629"/>
      <c r="K59" s="2629">
        <v>0</v>
      </c>
      <c r="L59" s="2629"/>
      <c r="M59" s="2629"/>
      <c r="N59" s="2629"/>
      <c r="O59" s="2629"/>
      <c r="P59" s="2629"/>
      <c r="Q59" s="68">
        <f t="shared" si="13"/>
        <v>0</v>
      </c>
      <c r="R59" s="66"/>
    </row>
    <row r="60" spans="1:18" ht="25.5" customHeight="1">
      <c r="A60" s="62"/>
      <c r="B60" s="67" t="s">
        <v>310</v>
      </c>
      <c r="C60" s="64"/>
      <c r="D60" s="68"/>
      <c r="E60" s="2629"/>
      <c r="F60" s="2629"/>
      <c r="G60" s="2629"/>
      <c r="H60" s="2629"/>
      <c r="I60" s="2629"/>
      <c r="J60" s="2629"/>
      <c r="K60" s="2629">
        <v>0</v>
      </c>
      <c r="L60" s="2629"/>
      <c r="M60" s="2629"/>
      <c r="N60" s="2629"/>
      <c r="O60" s="2629"/>
      <c r="P60" s="2629"/>
      <c r="Q60" s="68">
        <f t="shared" si="13"/>
        <v>0</v>
      </c>
      <c r="R60" s="66"/>
    </row>
    <row r="61" spans="1:18" ht="25.5" customHeight="1">
      <c r="A61" s="62"/>
      <c r="B61" s="67" t="s">
        <v>311</v>
      </c>
      <c r="C61" s="64"/>
      <c r="D61" s="68"/>
      <c r="E61" s="2629"/>
      <c r="F61" s="2629"/>
      <c r="G61" s="2629"/>
      <c r="H61" s="2629"/>
      <c r="I61" s="2629"/>
      <c r="J61" s="2629"/>
      <c r="K61" s="2629">
        <v>0</v>
      </c>
      <c r="L61" s="2629"/>
      <c r="M61" s="2629"/>
      <c r="N61" s="2629"/>
      <c r="O61" s="2629"/>
      <c r="P61" s="2629"/>
      <c r="Q61" s="68">
        <f t="shared" si="13"/>
        <v>0</v>
      </c>
      <c r="R61" s="66"/>
    </row>
    <row r="62" spans="1:18" ht="25.5" customHeight="1">
      <c r="A62" s="62"/>
      <c r="B62" s="67" t="s">
        <v>312</v>
      </c>
      <c r="C62" s="64"/>
      <c r="D62" s="68"/>
      <c r="E62" s="2629"/>
      <c r="F62" s="2629"/>
      <c r="G62" s="2629"/>
      <c r="H62" s="2629"/>
      <c r="I62" s="2629"/>
      <c r="J62" s="2629"/>
      <c r="K62" s="2629">
        <v>0</v>
      </c>
      <c r="L62" s="2629"/>
      <c r="M62" s="2629"/>
      <c r="N62" s="2629"/>
      <c r="O62" s="2629"/>
      <c r="P62" s="2629"/>
      <c r="Q62" s="68">
        <f t="shared" si="13"/>
        <v>0</v>
      </c>
      <c r="R62" s="66"/>
    </row>
    <row r="63" spans="1:18" ht="28.5" customHeight="1">
      <c r="A63" s="83" t="s">
        <v>274</v>
      </c>
      <c r="B63" s="63" t="s">
        <v>313</v>
      </c>
      <c r="C63" s="84" t="s">
        <v>294</v>
      </c>
      <c r="D63" s="78">
        <v>0</v>
      </c>
      <c r="E63" s="2634"/>
      <c r="F63" s="2634"/>
      <c r="G63" s="2634"/>
      <c r="H63" s="2634"/>
      <c r="I63" s="2634"/>
      <c r="J63" s="2634"/>
      <c r="K63" s="2634">
        <v>0</v>
      </c>
      <c r="L63" s="2634"/>
      <c r="M63" s="2634"/>
      <c r="N63" s="2634"/>
      <c r="O63" s="2634"/>
      <c r="P63" s="2634"/>
      <c r="Q63" s="78">
        <v>0</v>
      </c>
      <c r="R63" s="79"/>
    </row>
    <row r="64" spans="1:18">
      <c r="A64" s="62"/>
      <c r="B64" s="67" t="s">
        <v>314</v>
      </c>
      <c r="C64" s="64"/>
      <c r="D64" s="68"/>
      <c r="E64" s="2629"/>
      <c r="F64" s="2629"/>
      <c r="G64" s="2629"/>
      <c r="H64" s="2629"/>
      <c r="I64" s="2629"/>
      <c r="J64" s="2629"/>
      <c r="K64" s="2629">
        <v>0</v>
      </c>
      <c r="L64" s="2629"/>
      <c r="M64" s="2629"/>
      <c r="N64" s="2629"/>
      <c r="O64" s="2629"/>
      <c r="P64" s="2629"/>
      <c r="Q64" s="68">
        <v>0</v>
      </c>
      <c r="R64" s="66"/>
    </row>
    <row r="65" spans="1:18">
      <c r="A65" s="62"/>
      <c r="B65" s="67" t="s">
        <v>315</v>
      </c>
      <c r="C65" s="64"/>
      <c r="D65" s="68"/>
      <c r="E65" s="2629"/>
      <c r="F65" s="2629"/>
      <c r="G65" s="2629"/>
      <c r="H65" s="2629"/>
      <c r="I65" s="2629"/>
      <c r="J65" s="2629"/>
      <c r="K65" s="2629">
        <v>0</v>
      </c>
      <c r="L65" s="2629"/>
      <c r="M65" s="2629"/>
      <c r="N65" s="2629"/>
      <c r="O65" s="2629"/>
      <c r="P65" s="2629"/>
      <c r="Q65" s="68">
        <v>0</v>
      </c>
      <c r="R65" s="66"/>
    </row>
    <row r="66" spans="1:18">
      <c r="A66" s="62"/>
      <c r="B66" s="67" t="s">
        <v>316</v>
      </c>
      <c r="C66" s="64"/>
      <c r="D66" s="68"/>
      <c r="E66" s="2629"/>
      <c r="F66" s="2629"/>
      <c r="G66" s="2629"/>
      <c r="H66" s="2629"/>
      <c r="I66" s="2629"/>
      <c r="J66" s="2629"/>
      <c r="K66" s="2629">
        <v>0</v>
      </c>
      <c r="L66" s="2629"/>
      <c r="M66" s="2629"/>
      <c r="N66" s="2629"/>
      <c r="O66" s="2629"/>
      <c r="P66" s="2629"/>
      <c r="Q66" s="68">
        <v>0</v>
      </c>
      <c r="R66" s="66"/>
    </row>
    <row r="67" spans="1:18">
      <c r="A67" s="62"/>
      <c r="B67" s="67" t="s">
        <v>317</v>
      </c>
      <c r="C67" s="64"/>
      <c r="D67" s="68"/>
      <c r="E67" s="2629"/>
      <c r="F67" s="2629"/>
      <c r="G67" s="2629"/>
      <c r="H67" s="2629"/>
      <c r="I67" s="2629"/>
      <c r="J67" s="2629"/>
      <c r="K67" s="2629">
        <v>0</v>
      </c>
      <c r="L67" s="2629"/>
      <c r="M67" s="2629"/>
      <c r="N67" s="2629"/>
      <c r="O67" s="2629"/>
      <c r="P67" s="2629"/>
      <c r="Q67" s="68">
        <v>0</v>
      </c>
      <c r="R67" s="66"/>
    </row>
    <row r="68" spans="1:18">
      <c r="A68" s="62"/>
      <c r="B68" s="67" t="s">
        <v>318</v>
      </c>
      <c r="C68" s="64"/>
      <c r="D68" s="68"/>
      <c r="E68" s="2629"/>
      <c r="F68" s="2629"/>
      <c r="G68" s="2629"/>
      <c r="H68" s="2629"/>
      <c r="I68" s="2629"/>
      <c r="J68" s="2629"/>
      <c r="K68" s="2629">
        <v>0</v>
      </c>
      <c r="L68" s="2629"/>
      <c r="M68" s="2629"/>
      <c r="N68" s="2629"/>
      <c r="O68" s="2629"/>
      <c r="P68" s="2629"/>
      <c r="Q68" s="68">
        <v>0</v>
      </c>
      <c r="R68" s="66"/>
    </row>
    <row r="69" spans="1:18">
      <c r="A69" s="62"/>
      <c r="B69" s="67" t="s">
        <v>319</v>
      </c>
      <c r="C69" s="64"/>
      <c r="D69" s="68"/>
      <c r="E69" s="2629"/>
      <c r="F69" s="2629"/>
      <c r="G69" s="2629"/>
      <c r="H69" s="2629"/>
      <c r="I69" s="2629"/>
      <c r="J69" s="2629"/>
      <c r="K69" s="2629">
        <v>0</v>
      </c>
      <c r="L69" s="2629"/>
      <c r="M69" s="2629"/>
      <c r="N69" s="2629"/>
      <c r="O69" s="2629"/>
      <c r="P69" s="2629"/>
      <c r="Q69" s="68">
        <v>0</v>
      </c>
      <c r="R69" s="66"/>
    </row>
    <row r="70" spans="1:18" ht="17.25" customHeight="1">
      <c r="A70" s="83" t="s">
        <v>279</v>
      </c>
      <c r="B70" s="63" t="s">
        <v>320</v>
      </c>
      <c r="C70" s="64" t="s">
        <v>294</v>
      </c>
      <c r="D70" s="78">
        <v>0</v>
      </c>
      <c r="E70" s="2634"/>
      <c r="F70" s="2634"/>
      <c r="G70" s="2634"/>
      <c r="H70" s="2634"/>
      <c r="I70" s="2634"/>
      <c r="J70" s="2634"/>
      <c r="K70" s="2634">
        <v>0</v>
      </c>
      <c r="L70" s="2634"/>
      <c r="M70" s="2634"/>
      <c r="N70" s="2634"/>
      <c r="O70" s="2634"/>
      <c r="P70" s="2634"/>
      <c r="Q70" s="68">
        <v>0</v>
      </c>
      <c r="R70" s="79"/>
    </row>
    <row r="71" spans="1:18" ht="17.25" customHeight="1">
      <c r="A71" s="62"/>
      <c r="B71" s="67" t="s">
        <v>303</v>
      </c>
      <c r="C71" s="64" t="s">
        <v>294</v>
      </c>
      <c r="D71" s="68"/>
      <c r="E71" s="2629"/>
      <c r="F71" s="2629"/>
      <c r="G71" s="2629"/>
      <c r="H71" s="2629"/>
      <c r="I71" s="2629"/>
      <c r="J71" s="2629"/>
      <c r="K71" s="2629">
        <v>0</v>
      </c>
      <c r="L71" s="2629"/>
      <c r="M71" s="2629"/>
      <c r="N71" s="2629"/>
      <c r="O71" s="2629"/>
      <c r="P71" s="2629"/>
      <c r="Q71" s="68"/>
      <c r="R71" s="66"/>
    </row>
    <row r="72" spans="1:18" ht="77.25" customHeight="1">
      <c r="A72" s="83" t="s">
        <v>282</v>
      </c>
      <c r="B72" s="63" t="s">
        <v>321</v>
      </c>
      <c r="C72" s="84" t="s">
        <v>294</v>
      </c>
      <c r="D72" s="78">
        <v>0</v>
      </c>
      <c r="E72" s="2634"/>
      <c r="F72" s="2634"/>
      <c r="G72" s="2634"/>
      <c r="H72" s="2634"/>
      <c r="I72" s="2634"/>
      <c r="J72" s="2634"/>
      <c r="K72" s="2634">
        <v>0</v>
      </c>
      <c r="L72" s="2634"/>
      <c r="M72" s="2634"/>
      <c r="N72" s="2634"/>
      <c r="O72" s="2634"/>
      <c r="P72" s="2634"/>
      <c r="Q72" s="78">
        <v>0</v>
      </c>
      <c r="R72" s="79"/>
    </row>
    <row r="73" spans="1:18" ht="15.75" customHeight="1">
      <c r="A73" s="85"/>
      <c r="B73" s="40"/>
      <c r="C73" s="40"/>
      <c r="D73" s="40"/>
      <c r="E73" s="40"/>
      <c r="F73" s="40"/>
      <c r="G73" s="40"/>
      <c r="H73" s="40"/>
      <c r="I73" s="40"/>
      <c r="J73" s="40"/>
      <c r="K73" s="40"/>
      <c r="L73" s="40"/>
      <c r="M73" s="40"/>
      <c r="N73" s="40"/>
      <c r="O73" s="40"/>
      <c r="P73" s="2793"/>
      <c r="Q73" s="2732"/>
      <c r="R73" s="2732"/>
    </row>
    <row r="74" spans="1:18" ht="15.75" customHeight="1">
      <c r="A74" s="1863"/>
      <c r="B74" s="1864"/>
      <c r="C74" s="1865"/>
      <c r="D74" s="1865"/>
      <c r="E74" s="1865"/>
      <c r="F74" s="1865"/>
      <c r="G74" s="1865"/>
      <c r="H74" s="1865"/>
      <c r="I74" s="1865"/>
      <c r="J74" s="1865"/>
      <c r="K74" s="1865"/>
      <c r="L74" s="1866"/>
      <c r="M74" s="1866"/>
      <c r="N74" s="2794" t="s">
        <v>322</v>
      </c>
      <c r="O74" s="2732"/>
      <c r="P74" s="2732"/>
      <c r="Q74" s="2732"/>
      <c r="R74" s="2732"/>
    </row>
    <row r="75" spans="1:18" ht="33" customHeight="1">
      <c r="A75" s="2795" t="s">
        <v>323</v>
      </c>
      <c r="B75" s="2796"/>
      <c r="C75" s="2797" t="s">
        <v>324</v>
      </c>
      <c r="D75" s="2796"/>
      <c r="E75" s="2796"/>
      <c r="F75" s="2796"/>
      <c r="G75" s="2796"/>
      <c r="H75" s="2796"/>
      <c r="I75" s="2796"/>
      <c r="J75" s="2796"/>
      <c r="K75" s="2796"/>
      <c r="L75" s="2796"/>
      <c r="M75" s="2796"/>
      <c r="N75" s="2798" t="s">
        <v>325</v>
      </c>
      <c r="O75" s="2732"/>
      <c r="P75" s="2732"/>
      <c r="Q75" s="2732"/>
      <c r="R75" s="2732"/>
    </row>
    <row r="76" spans="1:18" ht="15.75" customHeight="1">
      <c r="A76" s="1868"/>
      <c r="B76" s="1868"/>
      <c r="C76" s="1868"/>
      <c r="D76" s="1869"/>
      <c r="E76" s="1869"/>
      <c r="F76" s="1869"/>
      <c r="G76" s="1869"/>
      <c r="H76" s="1869"/>
      <c r="I76" s="1869"/>
      <c r="J76" s="1869"/>
      <c r="K76" s="1869"/>
      <c r="L76" s="1870"/>
      <c r="M76" s="1870"/>
      <c r="N76" s="1870"/>
      <c r="O76" s="1870"/>
      <c r="P76" s="2798"/>
      <c r="Q76" s="2732"/>
      <c r="R76" s="2732"/>
    </row>
    <row r="77" spans="1:18" ht="12.75" customHeight="1">
      <c r="A77" s="87"/>
      <c r="B77" s="87"/>
      <c r="C77" s="87"/>
      <c r="D77" s="87"/>
      <c r="E77" s="87"/>
      <c r="F77" s="87"/>
      <c r="G77" s="87"/>
      <c r="H77" s="87"/>
      <c r="I77" s="87"/>
      <c r="J77" s="87"/>
      <c r="K77" s="87"/>
      <c r="L77" s="87"/>
      <c r="M77" s="87"/>
      <c r="N77" s="87"/>
      <c r="O77" s="2799"/>
      <c r="P77" s="2732"/>
      <c r="Q77" s="2732"/>
      <c r="R77" s="2732"/>
    </row>
    <row r="78" spans="1:18" ht="12.75" customHeight="1">
      <c r="A78" s="87"/>
      <c r="B78" s="87"/>
      <c r="C78" s="87"/>
      <c r="D78" s="87"/>
      <c r="E78" s="87"/>
      <c r="F78" s="87"/>
      <c r="G78" s="87"/>
      <c r="H78" s="87"/>
      <c r="I78" s="87"/>
      <c r="J78" s="87"/>
      <c r="K78" s="87"/>
      <c r="L78" s="87"/>
      <c r="M78" s="87"/>
      <c r="N78" s="87"/>
      <c r="O78" s="88"/>
      <c r="P78" s="88"/>
      <c r="Q78" s="88"/>
      <c r="R78" s="71"/>
    </row>
    <row r="79" spans="1:18" ht="12.75" customHeight="1">
      <c r="A79" s="87"/>
      <c r="B79" s="87"/>
      <c r="C79" s="87"/>
      <c r="D79" s="87"/>
      <c r="E79" s="87"/>
      <c r="F79" s="87"/>
      <c r="G79" s="87"/>
      <c r="H79" s="87"/>
      <c r="I79" s="87"/>
      <c r="J79" s="87"/>
      <c r="K79" s="87"/>
      <c r="L79" s="87"/>
      <c r="M79" s="87"/>
      <c r="N79" s="87"/>
      <c r="O79" s="88"/>
      <c r="P79" s="2786"/>
      <c r="Q79" s="2732"/>
      <c r="R79" s="2732"/>
    </row>
    <row r="80" spans="1:18" ht="34.5" customHeight="1">
      <c r="A80" s="2787"/>
      <c r="B80" s="2732"/>
      <c r="C80" s="2732"/>
      <c r="D80" s="2732"/>
      <c r="E80" s="2732"/>
      <c r="F80" s="2732"/>
      <c r="G80" s="2732"/>
      <c r="H80" s="2732"/>
      <c r="I80" s="2732"/>
      <c r="J80" s="2732"/>
      <c r="K80" s="2732"/>
      <c r="L80" s="2732"/>
      <c r="M80" s="2732"/>
      <c r="N80" s="2732"/>
      <c r="O80" s="2732"/>
      <c r="P80" s="2732"/>
      <c r="Q80" s="2732"/>
      <c r="R80" s="2732"/>
    </row>
    <row r="81" spans="1:18" ht="33.75" customHeight="1">
      <c r="A81" s="2787"/>
      <c r="B81" s="2732"/>
      <c r="C81" s="2732"/>
      <c r="D81" s="2732"/>
      <c r="E81" s="2732"/>
      <c r="F81" s="2732"/>
      <c r="G81" s="2732"/>
      <c r="H81" s="2732"/>
      <c r="I81" s="2732"/>
      <c r="J81" s="2732"/>
      <c r="K81" s="2732"/>
      <c r="L81" s="2732"/>
      <c r="M81" s="2732"/>
      <c r="N81" s="2732"/>
      <c r="O81" s="2732"/>
      <c r="P81" s="2732"/>
      <c r="Q81" s="2732"/>
      <c r="R81" s="2732"/>
    </row>
  </sheetData>
  <mergeCells count="15">
    <mergeCell ref="P79:R79"/>
    <mergeCell ref="A80:R80"/>
    <mergeCell ref="A81:R81"/>
    <mergeCell ref="A1:C1"/>
    <mergeCell ref="Q1:R1"/>
    <mergeCell ref="A2:C2"/>
    <mergeCell ref="A3:R3"/>
    <mergeCell ref="A4:R4"/>
    <mergeCell ref="P73:R73"/>
    <mergeCell ref="N74:R74"/>
    <mergeCell ref="A75:B75"/>
    <mergeCell ref="C75:M75"/>
    <mergeCell ref="N75:R75"/>
    <mergeCell ref="P76:R76"/>
    <mergeCell ref="O77:R77"/>
  </mergeCells>
  <pageMargins left="0.67" right="0" top="0" bottom="0" header="0" footer="0"/>
  <pageSetup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76"/>
  <sheetViews>
    <sheetView workbookViewId="0">
      <pane xSplit="2" ySplit="8" topLeftCell="M34"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4.7109375" customWidth="1"/>
    <col min="2" max="2" width="63.42578125" customWidth="1"/>
    <col min="3" max="18" width="8.140625" customWidth="1"/>
    <col min="19" max="32" width="8.7109375" customWidth="1"/>
  </cols>
  <sheetData>
    <row r="1" spans="1:18">
      <c r="A1" s="2788" t="s">
        <v>23</v>
      </c>
      <c r="B1" s="2732"/>
      <c r="C1" s="2732"/>
      <c r="D1" s="40"/>
      <c r="E1" s="40"/>
      <c r="F1" s="40"/>
      <c r="G1" s="40"/>
      <c r="H1" s="40"/>
      <c r="I1" s="40"/>
      <c r="J1" s="40"/>
      <c r="K1" s="40"/>
      <c r="L1" s="40"/>
      <c r="M1" s="40"/>
      <c r="N1" s="40"/>
      <c r="O1" s="40"/>
      <c r="P1" s="40"/>
      <c r="Q1" s="2789" t="s">
        <v>237</v>
      </c>
      <c r="R1" s="2732"/>
    </row>
    <row r="2" spans="1:18">
      <c r="A2" s="2790" t="s">
        <v>238</v>
      </c>
      <c r="B2" s="2732"/>
      <c r="C2" s="2732"/>
      <c r="D2" s="40"/>
      <c r="E2" s="40"/>
      <c r="F2" s="40"/>
      <c r="G2" s="40"/>
      <c r="H2" s="40"/>
      <c r="I2" s="40"/>
      <c r="J2" s="40"/>
      <c r="K2" s="40"/>
      <c r="L2" s="40"/>
      <c r="M2" s="40"/>
      <c r="N2" s="40"/>
      <c r="O2" s="40"/>
      <c r="P2" s="40"/>
      <c r="Q2" s="41"/>
      <c r="R2" s="41"/>
    </row>
    <row r="3" spans="1:18" ht="27.75" customHeight="1">
      <c r="A3" s="2773" t="s">
        <v>326</v>
      </c>
      <c r="B3" s="2732"/>
      <c r="C3" s="2732"/>
      <c r="D3" s="2732"/>
      <c r="E3" s="2732"/>
      <c r="F3" s="2732"/>
      <c r="G3" s="2732"/>
      <c r="H3" s="2732"/>
      <c r="I3" s="2732"/>
      <c r="J3" s="2732"/>
      <c r="K3" s="2732"/>
      <c r="L3" s="2732"/>
      <c r="M3" s="2732"/>
      <c r="N3" s="2732"/>
      <c r="O3" s="2732"/>
      <c r="P3" s="2732"/>
      <c r="Q3" s="2732"/>
      <c r="R3" s="2732"/>
    </row>
    <row r="4" spans="1:18" ht="22.5" customHeight="1">
      <c r="A4" s="2792" t="s">
        <v>240</v>
      </c>
      <c r="B4" s="2732"/>
      <c r="C4" s="2732"/>
      <c r="D4" s="2732"/>
      <c r="E4" s="2732"/>
      <c r="F4" s="2732"/>
      <c r="G4" s="2732"/>
      <c r="H4" s="2732"/>
      <c r="I4" s="2732"/>
      <c r="J4" s="2732"/>
      <c r="K4" s="2732"/>
      <c r="L4" s="2732"/>
      <c r="M4" s="2732"/>
      <c r="N4" s="2732"/>
      <c r="O4" s="2732"/>
      <c r="P4" s="2732"/>
      <c r="Q4" s="2732"/>
      <c r="R4" s="2732"/>
    </row>
    <row r="5" spans="1:18">
      <c r="A5" s="46"/>
      <c r="B5" s="46"/>
      <c r="C5" s="46"/>
      <c r="D5" s="46"/>
      <c r="E5" s="46"/>
      <c r="F5" s="46"/>
      <c r="G5" s="46"/>
      <c r="H5" s="46"/>
      <c r="I5" s="46"/>
      <c r="J5" s="46"/>
      <c r="K5" s="46"/>
      <c r="L5" s="46"/>
      <c r="M5" s="46"/>
      <c r="N5" s="46"/>
      <c r="O5" s="46"/>
      <c r="P5" s="46"/>
      <c r="Q5" s="46"/>
      <c r="R5" s="47" t="s">
        <v>241</v>
      </c>
    </row>
    <row r="6" spans="1:18" ht="45" customHeight="1">
      <c r="A6" s="48" t="s">
        <v>186</v>
      </c>
      <c r="B6" s="49" t="s">
        <v>28</v>
      </c>
      <c r="C6" s="49" t="s">
        <v>242</v>
      </c>
      <c r="D6" s="49" t="s">
        <v>243</v>
      </c>
      <c r="E6" s="2626" t="s">
        <v>244</v>
      </c>
      <c r="F6" s="2626" t="s">
        <v>245</v>
      </c>
      <c r="G6" s="2626" t="s">
        <v>246</v>
      </c>
      <c r="H6" s="2626" t="s">
        <v>247</v>
      </c>
      <c r="I6" s="2626" t="s">
        <v>248</v>
      </c>
      <c r="J6" s="2626" t="s">
        <v>249</v>
      </c>
      <c r="K6" s="2626" t="s">
        <v>250</v>
      </c>
      <c r="L6" s="2626" t="s">
        <v>251</v>
      </c>
      <c r="M6" s="2626" t="s">
        <v>252</v>
      </c>
      <c r="N6" s="2626" t="s">
        <v>253</v>
      </c>
      <c r="O6" s="2626" t="s">
        <v>254</v>
      </c>
      <c r="P6" s="2626" t="s">
        <v>255</v>
      </c>
      <c r="Q6" s="49" t="s">
        <v>256</v>
      </c>
      <c r="R6" s="50" t="s">
        <v>32</v>
      </c>
    </row>
    <row r="7" spans="1:18">
      <c r="A7" s="121"/>
      <c r="B7" s="122"/>
      <c r="C7" s="122"/>
      <c r="D7" s="122"/>
      <c r="E7" s="2635"/>
      <c r="F7" s="2635"/>
      <c r="G7" s="2635"/>
      <c r="H7" s="2635"/>
      <c r="I7" s="2635"/>
      <c r="J7" s="2635"/>
      <c r="K7" s="2635"/>
      <c r="L7" s="2635"/>
      <c r="M7" s="2635"/>
      <c r="N7" s="2635"/>
      <c r="O7" s="2635"/>
      <c r="P7" s="2635"/>
      <c r="Q7" s="109"/>
      <c r="R7" s="123"/>
    </row>
    <row r="8" spans="1:18" ht="22.5" customHeight="1">
      <c r="A8" s="124" t="s">
        <v>258</v>
      </c>
      <c r="B8" s="125" t="s">
        <v>212</v>
      </c>
      <c r="C8" s="126"/>
      <c r="D8" s="127"/>
      <c r="E8" s="2630"/>
      <c r="F8" s="2630"/>
      <c r="G8" s="2630"/>
      <c r="H8" s="2630"/>
      <c r="I8" s="2630"/>
      <c r="J8" s="2630"/>
      <c r="K8" s="2630"/>
      <c r="L8" s="2630"/>
      <c r="M8" s="2630"/>
      <c r="N8" s="2630"/>
      <c r="O8" s="2630"/>
      <c r="P8" s="2630"/>
      <c r="Q8" s="128"/>
      <c r="R8" s="129"/>
    </row>
    <row r="9" spans="1:18" ht="40.5">
      <c r="A9" s="62" t="s">
        <v>260</v>
      </c>
      <c r="B9" s="63" t="s">
        <v>327</v>
      </c>
      <c r="C9" s="64" t="s">
        <v>269</v>
      </c>
      <c r="D9" s="70">
        <v>0</v>
      </c>
      <c r="E9" s="2631"/>
      <c r="F9" s="2631"/>
      <c r="G9" s="2631"/>
      <c r="H9" s="2631"/>
      <c r="I9" s="2631"/>
      <c r="J9" s="2631"/>
      <c r="K9" s="2631"/>
      <c r="L9" s="2636"/>
      <c r="M9" s="2631"/>
      <c r="N9" s="2631"/>
      <c r="O9" s="2631"/>
      <c r="P9" s="2636"/>
      <c r="Q9" s="110">
        <f t="shared" ref="Q9:Q11" si="0">L9+P9</f>
        <v>0</v>
      </c>
      <c r="R9" s="66"/>
    </row>
    <row r="10" spans="1:18">
      <c r="A10" s="62"/>
      <c r="B10" s="67" t="s">
        <v>328</v>
      </c>
      <c r="C10" s="64" t="s">
        <v>269</v>
      </c>
      <c r="D10" s="70">
        <v>0</v>
      </c>
      <c r="E10" s="2631"/>
      <c r="F10" s="2631"/>
      <c r="G10" s="2631"/>
      <c r="H10" s="2631"/>
      <c r="I10" s="2631"/>
      <c r="J10" s="2631"/>
      <c r="K10" s="2631"/>
      <c r="L10" s="2631"/>
      <c r="M10" s="2631"/>
      <c r="N10" s="2631"/>
      <c r="O10" s="2631"/>
      <c r="P10" s="2631"/>
      <c r="Q10" s="70">
        <f t="shared" si="0"/>
        <v>0</v>
      </c>
      <c r="R10" s="66"/>
    </row>
    <row r="11" spans="1:18">
      <c r="A11" s="62"/>
      <c r="B11" s="67" t="s">
        <v>329</v>
      </c>
      <c r="C11" s="64" t="s">
        <v>269</v>
      </c>
      <c r="D11" s="70">
        <v>0</v>
      </c>
      <c r="E11" s="2631"/>
      <c r="F11" s="2631"/>
      <c r="G11" s="2631"/>
      <c r="H11" s="2631"/>
      <c r="I11" s="2631"/>
      <c r="J11" s="2631"/>
      <c r="K11" s="2631"/>
      <c r="L11" s="2631"/>
      <c r="M11" s="2631"/>
      <c r="N11" s="2631"/>
      <c r="O11" s="2631"/>
      <c r="P11" s="2631"/>
      <c r="Q11" s="70">
        <f t="shared" si="0"/>
        <v>0</v>
      </c>
      <c r="R11" s="66"/>
    </row>
    <row r="12" spans="1:18">
      <c r="A12" s="62"/>
      <c r="B12" s="67" t="s">
        <v>330</v>
      </c>
      <c r="C12" s="64" t="s">
        <v>269</v>
      </c>
      <c r="D12" s="70">
        <v>0</v>
      </c>
      <c r="E12" s="2631"/>
      <c r="F12" s="2631"/>
      <c r="G12" s="2631"/>
      <c r="H12" s="2631"/>
      <c r="I12" s="2631"/>
      <c r="J12" s="2631"/>
      <c r="K12" s="2631"/>
      <c r="L12" s="2631"/>
      <c r="M12" s="2631"/>
      <c r="N12" s="2631"/>
      <c r="O12" s="2631"/>
      <c r="P12" s="2631"/>
      <c r="Q12" s="70">
        <f t="shared" ref="Q12:Q16" si="1">D12+P12</f>
        <v>0</v>
      </c>
      <c r="R12" s="66"/>
    </row>
    <row r="13" spans="1:18">
      <c r="A13" s="62"/>
      <c r="B13" s="67" t="s">
        <v>331</v>
      </c>
      <c r="C13" s="64" t="s">
        <v>269</v>
      </c>
      <c r="D13" s="70">
        <v>0</v>
      </c>
      <c r="E13" s="2631"/>
      <c r="F13" s="2631"/>
      <c r="G13" s="2631"/>
      <c r="H13" s="2631"/>
      <c r="I13" s="2631"/>
      <c r="J13" s="2631"/>
      <c r="K13" s="2631"/>
      <c r="L13" s="2631"/>
      <c r="M13" s="2631"/>
      <c r="N13" s="2631"/>
      <c r="O13" s="2631"/>
      <c r="P13" s="2631"/>
      <c r="Q13" s="70">
        <f t="shared" si="1"/>
        <v>0</v>
      </c>
      <c r="R13" s="66"/>
    </row>
    <row r="14" spans="1:18" ht="27">
      <c r="A14" s="83" t="s">
        <v>274</v>
      </c>
      <c r="B14" s="63" t="s">
        <v>332</v>
      </c>
      <c r="C14" s="64"/>
      <c r="D14" s="70">
        <v>0</v>
      </c>
      <c r="E14" s="2631"/>
      <c r="F14" s="2631"/>
      <c r="G14" s="2631"/>
      <c r="H14" s="2631"/>
      <c r="I14" s="2631"/>
      <c r="J14" s="2631"/>
      <c r="K14" s="2631"/>
      <c r="L14" s="2631"/>
      <c r="M14" s="2631"/>
      <c r="N14" s="2631"/>
      <c r="O14" s="2631"/>
      <c r="P14" s="2631"/>
      <c r="Q14" s="70">
        <f t="shared" si="1"/>
        <v>0</v>
      </c>
      <c r="R14" s="66"/>
    </row>
    <row r="15" spans="1:18">
      <c r="A15" s="62"/>
      <c r="B15" s="67" t="s">
        <v>328</v>
      </c>
      <c r="C15" s="64" t="s">
        <v>269</v>
      </c>
      <c r="D15" s="70">
        <v>0</v>
      </c>
      <c r="E15" s="2631"/>
      <c r="F15" s="2631"/>
      <c r="G15" s="2631"/>
      <c r="H15" s="2631"/>
      <c r="I15" s="2631"/>
      <c r="J15" s="2631"/>
      <c r="K15" s="2631"/>
      <c r="L15" s="2631"/>
      <c r="M15" s="2631"/>
      <c r="N15" s="2631"/>
      <c r="O15" s="2631"/>
      <c r="P15" s="2631"/>
      <c r="Q15" s="70">
        <f t="shared" si="1"/>
        <v>0</v>
      </c>
      <c r="R15" s="66"/>
    </row>
    <row r="16" spans="1:18">
      <c r="A16" s="62"/>
      <c r="B16" s="67" t="s">
        <v>329</v>
      </c>
      <c r="C16" s="64" t="s">
        <v>269</v>
      </c>
      <c r="D16" s="70">
        <v>0</v>
      </c>
      <c r="E16" s="2631"/>
      <c r="F16" s="2631"/>
      <c r="G16" s="2631"/>
      <c r="H16" s="2631"/>
      <c r="I16" s="2631"/>
      <c r="J16" s="2631"/>
      <c r="K16" s="2631"/>
      <c r="L16" s="2631"/>
      <c r="M16" s="2631"/>
      <c r="N16" s="2631"/>
      <c r="O16" s="2631"/>
      <c r="P16" s="2631"/>
      <c r="Q16" s="70">
        <f t="shared" si="1"/>
        <v>0</v>
      </c>
      <c r="R16" s="66"/>
    </row>
    <row r="17" spans="1:17">
      <c r="A17" s="62"/>
      <c r="B17" s="67" t="s">
        <v>330</v>
      </c>
      <c r="C17" s="64" t="s">
        <v>269</v>
      </c>
      <c r="D17" s="70">
        <v>0</v>
      </c>
      <c r="E17" s="2631"/>
      <c r="F17" s="2631"/>
      <c r="G17" s="2631"/>
      <c r="H17" s="2631"/>
      <c r="I17" s="2631"/>
      <c r="J17" s="2631"/>
      <c r="K17" s="2631"/>
      <c r="L17" s="2631"/>
      <c r="M17" s="2631"/>
      <c r="N17" s="2631"/>
      <c r="O17" s="2631"/>
      <c r="P17" s="2631"/>
      <c r="Q17" s="70">
        <f>SUM(D17:P17)</f>
        <v>0</v>
      </c>
    </row>
    <row r="18" spans="1:17">
      <c r="A18" s="62"/>
      <c r="B18" s="67" t="s">
        <v>331</v>
      </c>
      <c r="C18" s="64" t="s">
        <v>269</v>
      </c>
      <c r="D18" s="70">
        <v>0</v>
      </c>
      <c r="E18" s="2631"/>
      <c r="F18" s="2631"/>
      <c r="G18" s="2631"/>
      <c r="H18" s="2631"/>
      <c r="I18" s="2631"/>
      <c r="J18" s="2631"/>
      <c r="K18" s="2631"/>
      <c r="L18" s="2631"/>
      <c r="M18" s="2631"/>
      <c r="N18" s="2631"/>
      <c r="O18" s="2631"/>
      <c r="P18" s="2631"/>
      <c r="Q18" s="70"/>
    </row>
    <row r="19" spans="1:17" ht="27">
      <c r="A19" s="83" t="s">
        <v>279</v>
      </c>
      <c r="B19" s="77" t="s">
        <v>333</v>
      </c>
      <c r="C19" s="64" t="s">
        <v>269</v>
      </c>
      <c r="D19" s="70">
        <v>0</v>
      </c>
      <c r="E19" s="2631"/>
      <c r="F19" s="2631"/>
      <c r="G19" s="2631"/>
      <c r="H19" s="2631"/>
      <c r="I19" s="2631"/>
      <c r="J19" s="2631"/>
      <c r="K19" s="2631"/>
      <c r="L19" s="2631"/>
      <c r="M19" s="2631"/>
      <c r="N19" s="2631"/>
      <c r="O19" s="2631"/>
      <c r="P19" s="2631"/>
      <c r="Q19" s="70">
        <f t="shared" ref="Q19" si="2">SUM(D19:P19)</f>
        <v>0</v>
      </c>
    </row>
    <row r="20" spans="1:17">
      <c r="A20" s="83"/>
      <c r="B20" s="67" t="s">
        <v>334</v>
      </c>
      <c r="C20" s="64" t="s">
        <v>269</v>
      </c>
      <c r="D20" s="70">
        <v>0</v>
      </c>
      <c r="E20" s="2631"/>
      <c r="F20" s="2631"/>
      <c r="G20" s="2631"/>
      <c r="H20" s="2631"/>
      <c r="I20" s="2631"/>
      <c r="J20" s="2631"/>
      <c r="K20" s="2631"/>
      <c r="L20" s="2631"/>
      <c r="M20" s="2631"/>
      <c r="N20" s="2631">
        <v>594</v>
      </c>
      <c r="O20" s="2631"/>
      <c r="P20" s="2631"/>
      <c r="Q20" s="70">
        <f>SUM(D20:P20)</f>
        <v>594</v>
      </c>
    </row>
    <row r="21" spans="1:17" ht="15.75" customHeight="1">
      <c r="A21" s="83" t="s">
        <v>282</v>
      </c>
      <c r="B21" s="63" t="s">
        <v>335</v>
      </c>
      <c r="C21" s="84" t="s">
        <v>269</v>
      </c>
      <c r="D21" s="130">
        <v>0</v>
      </c>
      <c r="E21" s="2637"/>
      <c r="F21" s="2637"/>
      <c r="G21" s="2637"/>
      <c r="H21" s="2637"/>
      <c r="I21" s="2637"/>
      <c r="J21" s="2637"/>
      <c r="K21" s="2637"/>
      <c r="L21" s="2637"/>
      <c r="M21" s="2637"/>
      <c r="N21" s="2637"/>
      <c r="O21" s="2637"/>
      <c r="P21" s="2637"/>
      <c r="Q21" s="130">
        <f>D21+P21</f>
        <v>0</v>
      </c>
    </row>
    <row r="22" spans="1:17" ht="15.75" customHeight="1">
      <c r="A22" s="62"/>
      <c r="B22" s="67" t="s">
        <v>329</v>
      </c>
      <c r="C22" s="64" t="s">
        <v>269</v>
      </c>
      <c r="D22" s="70">
        <v>0</v>
      </c>
      <c r="E22" s="2631"/>
      <c r="F22" s="2631"/>
      <c r="G22" s="2631"/>
      <c r="H22" s="2631"/>
      <c r="I22" s="2631"/>
      <c r="J22" s="2631"/>
      <c r="K22" s="2631"/>
      <c r="L22" s="2631"/>
      <c r="M22" s="2631"/>
      <c r="N22" s="2631"/>
      <c r="O22" s="2631"/>
      <c r="P22" s="2631"/>
      <c r="Q22" s="70">
        <v>0</v>
      </c>
    </row>
    <row r="23" spans="1:17" ht="36" customHeight="1">
      <c r="A23" s="62"/>
      <c r="B23" s="67" t="s">
        <v>330</v>
      </c>
      <c r="C23" s="64" t="s">
        <v>269</v>
      </c>
      <c r="D23" s="70">
        <v>0</v>
      </c>
      <c r="E23" s="2631"/>
      <c r="F23" s="2631"/>
      <c r="G23" s="2631"/>
      <c r="H23" s="2631"/>
      <c r="I23" s="2631"/>
      <c r="J23" s="2631"/>
      <c r="K23" s="2631"/>
      <c r="L23" s="2631"/>
      <c r="M23" s="2631"/>
      <c r="N23" s="2631"/>
      <c r="O23" s="2631"/>
      <c r="P23" s="2631"/>
      <c r="Q23" s="70">
        <f>SUM(D23:P23)</f>
        <v>0</v>
      </c>
    </row>
    <row r="24" spans="1:17" ht="15.75" customHeight="1">
      <c r="A24" s="62"/>
      <c r="B24" s="67" t="s">
        <v>331</v>
      </c>
      <c r="C24" s="64" t="s">
        <v>269</v>
      </c>
      <c r="D24" s="70">
        <v>0</v>
      </c>
      <c r="E24" s="2631"/>
      <c r="F24" s="2631"/>
      <c r="G24" s="2631"/>
      <c r="H24" s="2631"/>
      <c r="I24" s="2631"/>
      <c r="J24" s="2631"/>
      <c r="K24" s="2631"/>
      <c r="L24" s="2631"/>
      <c r="M24" s="2631"/>
      <c r="N24" s="2631"/>
      <c r="O24" s="2631"/>
      <c r="P24" s="2631"/>
      <c r="Q24" s="70">
        <v>0</v>
      </c>
    </row>
    <row r="25" spans="1:17" ht="15.75" customHeight="1">
      <c r="A25" s="62"/>
      <c r="B25" s="67" t="s">
        <v>334</v>
      </c>
      <c r="C25" s="64" t="s">
        <v>269</v>
      </c>
      <c r="D25" s="70">
        <v>0</v>
      </c>
      <c r="E25" s="2631"/>
      <c r="F25" s="2631"/>
      <c r="G25" s="2631"/>
      <c r="H25" s="2631"/>
      <c r="I25" s="2631"/>
      <c r="J25" s="2631"/>
      <c r="K25" s="2631"/>
      <c r="L25" s="2631"/>
      <c r="M25" s="2631"/>
      <c r="N25" s="2631"/>
      <c r="O25" s="2631"/>
      <c r="P25" s="2631"/>
      <c r="Q25" s="70">
        <v>0</v>
      </c>
    </row>
    <row r="26" spans="1:17" ht="48" customHeight="1">
      <c r="A26" s="124" t="s">
        <v>284</v>
      </c>
      <c r="B26" s="125" t="s">
        <v>336</v>
      </c>
      <c r="C26" s="126"/>
      <c r="D26" s="127"/>
      <c r="E26" s="2630"/>
      <c r="F26" s="2630"/>
      <c r="G26" s="2630"/>
      <c r="H26" s="2630"/>
      <c r="I26" s="2630"/>
      <c r="J26" s="2630"/>
      <c r="K26" s="2630"/>
      <c r="L26" s="2630"/>
      <c r="M26" s="2630"/>
      <c r="N26" s="2630"/>
      <c r="O26" s="2630"/>
      <c r="P26" s="2630"/>
      <c r="Q26" s="128"/>
    </row>
    <row r="27" spans="1:17" ht="51.75" customHeight="1">
      <c r="A27" s="62" t="s">
        <v>260</v>
      </c>
      <c r="B27" s="63" t="s">
        <v>327</v>
      </c>
      <c r="C27" s="64" t="s">
        <v>269</v>
      </c>
      <c r="D27" s="70">
        <v>10064</v>
      </c>
      <c r="E27" s="2631"/>
      <c r="F27" s="2631"/>
      <c r="G27" s="2631"/>
      <c r="H27" s="2631"/>
      <c r="I27" s="2631"/>
      <c r="J27" s="2631"/>
      <c r="K27" s="2631"/>
      <c r="L27" s="2631"/>
      <c r="M27" s="2631"/>
      <c r="N27" s="2631"/>
      <c r="O27" s="2631"/>
      <c r="P27" s="2631"/>
      <c r="Q27" s="70">
        <v>10064</v>
      </c>
    </row>
    <row r="28" spans="1:17" ht="15.75" customHeight="1">
      <c r="A28" s="62"/>
      <c r="B28" s="67" t="s">
        <v>337</v>
      </c>
      <c r="C28" s="64" t="s">
        <v>269</v>
      </c>
      <c r="D28" s="70">
        <v>721</v>
      </c>
      <c r="E28" s="2631"/>
      <c r="F28" s="2631"/>
      <c r="G28" s="2631"/>
      <c r="H28" s="2631"/>
      <c r="I28" s="2631"/>
      <c r="J28" s="2631"/>
      <c r="K28" s="2631"/>
      <c r="L28" s="2631"/>
      <c r="M28" s="2631"/>
      <c r="N28" s="2631"/>
      <c r="O28" s="2631"/>
      <c r="P28" s="2631"/>
      <c r="Q28" s="70"/>
    </row>
    <row r="29" spans="1:17" ht="15.75" customHeight="1">
      <c r="A29" s="62"/>
      <c r="B29" s="67" t="s">
        <v>338</v>
      </c>
      <c r="C29" s="64" t="s">
        <v>269</v>
      </c>
      <c r="D29" s="70">
        <v>4864</v>
      </c>
      <c r="E29" s="2631"/>
      <c r="F29" s="2631"/>
      <c r="G29" s="2631"/>
      <c r="H29" s="2631"/>
      <c r="I29" s="2631"/>
      <c r="J29" s="2631"/>
      <c r="K29" s="2631"/>
      <c r="L29" s="2631"/>
      <c r="M29" s="2631"/>
      <c r="N29" s="2631"/>
      <c r="O29" s="2631"/>
      <c r="P29" s="2631"/>
      <c r="Q29" s="70"/>
    </row>
    <row r="30" spans="1:17" ht="15.75" customHeight="1">
      <c r="A30" s="62"/>
      <c r="B30" s="67" t="s">
        <v>339</v>
      </c>
      <c r="C30" s="64" t="s">
        <v>269</v>
      </c>
      <c r="D30" s="70">
        <v>3738</v>
      </c>
      <c r="E30" s="2631"/>
      <c r="F30" s="2631"/>
      <c r="G30" s="2631"/>
      <c r="H30" s="2631"/>
      <c r="I30" s="2631"/>
      <c r="J30" s="2631"/>
      <c r="K30" s="2631"/>
      <c r="L30" s="2631"/>
      <c r="M30" s="2631"/>
      <c r="N30" s="2631"/>
      <c r="O30" s="2631"/>
      <c r="P30" s="2631"/>
      <c r="Q30" s="70"/>
    </row>
    <row r="31" spans="1:17" ht="15.75" customHeight="1">
      <c r="A31" s="62"/>
      <c r="B31" s="67" t="s">
        <v>340</v>
      </c>
      <c r="C31" s="64" t="s">
        <v>269</v>
      </c>
      <c r="D31" s="70">
        <v>741</v>
      </c>
      <c r="E31" s="2631"/>
      <c r="F31" s="2631"/>
      <c r="G31" s="2631"/>
      <c r="H31" s="2631"/>
      <c r="I31" s="2631"/>
      <c r="J31" s="2631"/>
      <c r="K31" s="2631"/>
      <c r="L31" s="2631"/>
      <c r="M31" s="2631"/>
      <c r="N31" s="2631"/>
      <c r="O31" s="2631"/>
      <c r="P31" s="2631"/>
      <c r="Q31" s="70"/>
    </row>
    <row r="32" spans="1:17" ht="54" customHeight="1">
      <c r="A32" s="83" t="s">
        <v>274</v>
      </c>
      <c r="B32" s="63" t="s">
        <v>341</v>
      </c>
      <c r="C32" s="64"/>
      <c r="D32" s="70">
        <v>5585</v>
      </c>
      <c r="E32" s="2631"/>
      <c r="F32" s="2631"/>
      <c r="G32" s="2631"/>
      <c r="H32" s="2631"/>
      <c r="I32" s="2631"/>
      <c r="J32" s="2631"/>
      <c r="K32" s="2631"/>
      <c r="L32" s="2631"/>
      <c r="M32" s="2631"/>
      <c r="N32" s="2631"/>
      <c r="O32" s="2631"/>
      <c r="P32" s="2631"/>
      <c r="Q32" s="70">
        <f>SUM(D32:P32)</f>
        <v>5585</v>
      </c>
    </row>
    <row r="33" spans="1:17" ht="15.75" customHeight="1">
      <c r="A33" s="62"/>
      <c r="B33" s="67" t="s">
        <v>337</v>
      </c>
      <c r="C33" s="64" t="s">
        <v>269</v>
      </c>
      <c r="D33" s="70">
        <v>721</v>
      </c>
      <c r="E33" s="2631"/>
      <c r="F33" s="2631"/>
      <c r="G33" s="2631"/>
      <c r="H33" s="2631"/>
      <c r="I33" s="2631"/>
      <c r="J33" s="2631"/>
      <c r="K33" s="2631"/>
      <c r="L33" s="2631"/>
      <c r="M33" s="2631"/>
      <c r="N33" s="2631"/>
      <c r="O33" s="2631"/>
      <c r="P33" s="2631"/>
      <c r="Q33" s="70"/>
    </row>
    <row r="34" spans="1:17" ht="15.75" customHeight="1">
      <c r="A34" s="62"/>
      <c r="B34" s="67" t="s">
        <v>338</v>
      </c>
      <c r="C34" s="64" t="s">
        <v>269</v>
      </c>
      <c r="D34" s="70">
        <v>4864</v>
      </c>
      <c r="E34" s="2631"/>
      <c r="F34" s="2631"/>
      <c r="G34" s="2631"/>
      <c r="H34" s="2631"/>
      <c r="I34" s="2631"/>
      <c r="J34" s="2631"/>
      <c r="K34" s="2631"/>
      <c r="L34" s="2631"/>
      <c r="M34" s="2631"/>
      <c r="N34" s="2631"/>
      <c r="O34" s="2631"/>
      <c r="P34" s="2631"/>
      <c r="Q34" s="70"/>
    </row>
    <row r="35" spans="1:17" ht="15.75" customHeight="1">
      <c r="A35" s="62"/>
      <c r="B35" s="67" t="s">
        <v>339</v>
      </c>
      <c r="C35" s="64" t="s">
        <v>269</v>
      </c>
      <c r="D35" s="70">
        <f t="shared" ref="D35:D37" si="3">SUM(D36:D39)</f>
        <v>39792</v>
      </c>
      <c r="E35" s="2631"/>
      <c r="F35" s="2631"/>
      <c r="G35" s="2631"/>
      <c r="H35" s="2631"/>
      <c r="I35" s="2631"/>
      <c r="J35" s="2631"/>
      <c r="K35" s="2631"/>
      <c r="L35" s="2631"/>
      <c r="M35" s="2631"/>
      <c r="N35" s="2631"/>
      <c r="O35" s="2631"/>
      <c r="P35" s="2631"/>
      <c r="Q35" s="70"/>
    </row>
    <row r="36" spans="1:17" ht="15.75" customHeight="1">
      <c r="A36" s="62"/>
      <c r="B36" s="67" t="s">
        <v>340</v>
      </c>
      <c r="C36" s="64" t="s">
        <v>269</v>
      </c>
      <c r="D36" s="70">
        <f t="shared" si="3"/>
        <v>19896</v>
      </c>
      <c r="E36" s="2631"/>
      <c r="F36" s="2631"/>
      <c r="G36" s="2631"/>
      <c r="H36" s="2631"/>
      <c r="I36" s="2631"/>
      <c r="J36" s="2631"/>
      <c r="K36" s="2631"/>
      <c r="L36" s="2631"/>
      <c r="M36" s="2631"/>
      <c r="N36" s="2631"/>
      <c r="O36" s="2631"/>
      <c r="P36" s="2631"/>
      <c r="Q36" s="70"/>
    </row>
    <row r="37" spans="1:17" ht="39" customHeight="1">
      <c r="A37" s="83" t="s">
        <v>279</v>
      </c>
      <c r="B37" s="77" t="s">
        <v>342</v>
      </c>
      <c r="C37" s="64" t="s">
        <v>269</v>
      </c>
      <c r="D37" s="70">
        <f t="shared" si="3"/>
        <v>11817</v>
      </c>
      <c r="E37" s="2631"/>
      <c r="F37" s="2631"/>
      <c r="G37" s="2631"/>
      <c r="H37" s="2631"/>
      <c r="I37" s="2631"/>
      <c r="J37" s="2631"/>
      <c r="K37" s="2631"/>
      <c r="L37" s="2631"/>
      <c r="M37" s="2631"/>
      <c r="N37" s="2631"/>
      <c r="O37" s="2631"/>
      <c r="P37" s="2631"/>
      <c r="Q37" s="70"/>
    </row>
    <row r="38" spans="1:17" ht="15.75" customHeight="1">
      <c r="A38" s="83"/>
      <c r="B38" s="67" t="s">
        <v>343</v>
      </c>
      <c r="C38" s="64"/>
      <c r="D38" s="70">
        <v>1800</v>
      </c>
      <c r="E38" s="2638"/>
      <c r="F38" s="2638"/>
      <c r="G38" s="2638"/>
      <c r="H38" s="2638"/>
      <c r="I38" s="2638"/>
      <c r="J38" s="2638"/>
      <c r="K38" s="2639"/>
      <c r="L38" s="2631"/>
      <c r="M38" s="2631"/>
      <c r="N38" s="2631"/>
      <c r="O38" s="2631"/>
      <c r="P38" s="2631"/>
      <c r="Q38" s="70"/>
    </row>
    <row r="39" spans="1:17" ht="54" customHeight="1">
      <c r="A39" s="83" t="s">
        <v>282</v>
      </c>
      <c r="B39" s="63" t="s">
        <v>344</v>
      </c>
      <c r="C39" s="84" t="s">
        <v>269</v>
      </c>
      <c r="D39" s="70">
        <v>6279</v>
      </c>
      <c r="E39" s="2631"/>
      <c r="F39" s="2631"/>
      <c r="G39" s="2631"/>
      <c r="H39" s="2631"/>
      <c r="I39" s="2631"/>
      <c r="J39" s="2631"/>
      <c r="K39" s="2637"/>
      <c r="L39" s="2637"/>
      <c r="M39" s="2637"/>
      <c r="N39" s="2637"/>
      <c r="O39" s="2637"/>
      <c r="P39" s="2637"/>
      <c r="Q39" s="130">
        <f>SUM(D39:P39)</f>
        <v>6279</v>
      </c>
    </row>
    <row r="40" spans="1:17" ht="15.75" customHeight="1">
      <c r="A40" s="62"/>
      <c r="B40" s="67" t="s">
        <v>338</v>
      </c>
      <c r="C40" s="64" t="s">
        <v>269</v>
      </c>
      <c r="D40" s="70">
        <v>0</v>
      </c>
      <c r="E40" s="2631"/>
      <c r="F40" s="2631"/>
      <c r="G40" s="2631"/>
      <c r="H40" s="2631"/>
      <c r="I40" s="2631"/>
      <c r="J40" s="2631"/>
      <c r="K40" s="2631"/>
      <c r="L40" s="2631"/>
      <c r="M40" s="2631"/>
      <c r="N40" s="2631"/>
      <c r="O40" s="2631"/>
      <c r="P40" s="2631"/>
      <c r="Q40" s="70"/>
    </row>
    <row r="41" spans="1:17" ht="15.75" customHeight="1">
      <c r="A41" s="62"/>
      <c r="B41" s="67" t="s">
        <v>339</v>
      </c>
      <c r="C41" s="64" t="s">
        <v>269</v>
      </c>
      <c r="D41" s="70">
        <v>3738</v>
      </c>
      <c r="E41" s="2631"/>
      <c r="F41" s="2631"/>
      <c r="G41" s="2631"/>
      <c r="H41" s="2631"/>
      <c r="I41" s="2631"/>
      <c r="J41" s="2631"/>
      <c r="K41" s="2631"/>
      <c r="L41" s="2631"/>
      <c r="M41" s="2631"/>
      <c r="N41" s="2631"/>
      <c r="O41" s="2631"/>
      <c r="P41" s="2631"/>
      <c r="Q41" s="70"/>
    </row>
    <row r="42" spans="1:17" ht="15.75" customHeight="1">
      <c r="A42" s="62"/>
      <c r="B42" s="67" t="s">
        <v>340</v>
      </c>
      <c r="C42" s="64" t="s">
        <v>269</v>
      </c>
      <c r="D42" s="70">
        <v>741</v>
      </c>
      <c r="E42" s="2631"/>
      <c r="F42" s="2631"/>
      <c r="G42" s="2631"/>
      <c r="H42" s="2631"/>
      <c r="I42" s="2631"/>
      <c r="J42" s="2631"/>
      <c r="K42" s="2631"/>
      <c r="L42" s="2631"/>
      <c r="M42" s="2631"/>
      <c r="N42" s="2631"/>
      <c r="O42" s="2631"/>
      <c r="P42" s="2631"/>
      <c r="Q42" s="70"/>
    </row>
    <row r="43" spans="1:17" ht="15.75" customHeight="1">
      <c r="A43" s="62"/>
      <c r="B43" s="67" t="s">
        <v>343</v>
      </c>
      <c r="C43" s="64" t="s">
        <v>269</v>
      </c>
      <c r="D43" s="70">
        <v>1800</v>
      </c>
      <c r="E43" s="2631"/>
      <c r="F43" s="2631"/>
      <c r="G43" s="2631"/>
      <c r="H43" s="2631"/>
      <c r="I43" s="2631"/>
      <c r="J43" s="2631"/>
      <c r="K43" s="2631"/>
      <c r="L43" s="2631"/>
      <c r="M43" s="2631"/>
      <c r="N43" s="2631"/>
      <c r="O43" s="2631"/>
      <c r="P43" s="2631"/>
      <c r="Q43" s="70"/>
    </row>
    <row r="44" spans="1:17" ht="20.25" customHeight="1">
      <c r="A44" s="124" t="s">
        <v>345</v>
      </c>
      <c r="B44" s="125" t="s">
        <v>346</v>
      </c>
      <c r="C44" s="126"/>
      <c r="D44" s="127"/>
      <c r="E44" s="2630"/>
      <c r="F44" s="2630"/>
      <c r="G44" s="2630"/>
      <c r="H44" s="2630"/>
      <c r="I44" s="2630"/>
      <c r="J44" s="2630"/>
      <c r="K44" s="2630"/>
      <c r="L44" s="2630"/>
      <c r="M44" s="2630"/>
      <c r="N44" s="2630"/>
      <c r="O44" s="2630"/>
      <c r="P44" s="2630"/>
      <c r="Q44" s="128"/>
    </row>
    <row r="45" spans="1:17" ht="51.75" customHeight="1">
      <c r="A45" s="62" t="s">
        <v>260</v>
      </c>
      <c r="B45" s="63" t="s">
        <v>347</v>
      </c>
      <c r="C45" s="64" t="s">
        <v>269</v>
      </c>
      <c r="D45" s="70">
        <f t="shared" ref="D45" si="4">SUM(D46:D50)</f>
        <v>0</v>
      </c>
      <c r="E45" s="2631"/>
      <c r="F45" s="2631"/>
      <c r="G45" s="2631"/>
      <c r="H45" s="2631"/>
      <c r="I45" s="2631"/>
      <c r="J45" s="2631"/>
      <c r="K45" s="2631"/>
      <c r="L45" s="2631"/>
      <c r="M45" s="2631"/>
      <c r="N45" s="2631"/>
      <c r="O45" s="2631"/>
      <c r="P45" s="2631"/>
      <c r="Q45" s="70">
        <f t="shared" ref="Q45:Q50" si="5">SUM(D45:P45)</f>
        <v>0</v>
      </c>
    </row>
    <row r="46" spans="1:17" ht="15.75" customHeight="1">
      <c r="A46" s="62"/>
      <c r="B46" s="67" t="s">
        <v>348</v>
      </c>
      <c r="C46" s="64" t="s">
        <v>269</v>
      </c>
      <c r="D46" s="70">
        <f t="shared" ref="D46:D58" si="6">SUM(D47:D51)</f>
        <v>0</v>
      </c>
      <c r="E46" s="2631"/>
      <c r="F46" s="2631"/>
      <c r="G46" s="2631"/>
      <c r="H46" s="2631"/>
      <c r="I46" s="2631"/>
      <c r="J46" s="2631"/>
      <c r="K46" s="2631"/>
      <c r="L46" s="2631"/>
      <c r="M46" s="2631"/>
      <c r="N46" s="2631"/>
      <c r="O46" s="2631"/>
      <c r="P46" s="2631"/>
      <c r="Q46" s="70">
        <f t="shared" si="5"/>
        <v>0</v>
      </c>
    </row>
    <row r="47" spans="1:17" ht="15.75" customHeight="1">
      <c r="A47" s="62"/>
      <c r="B47" s="67" t="s">
        <v>349</v>
      </c>
      <c r="C47" s="64" t="s">
        <v>269</v>
      </c>
      <c r="D47" s="70">
        <f t="shared" si="6"/>
        <v>0</v>
      </c>
      <c r="E47" s="2631"/>
      <c r="F47" s="2631"/>
      <c r="G47" s="2631"/>
      <c r="H47" s="2631"/>
      <c r="I47" s="2631"/>
      <c r="J47" s="2631"/>
      <c r="K47" s="2631"/>
      <c r="L47" s="2631"/>
      <c r="M47" s="2631"/>
      <c r="N47" s="2631"/>
      <c r="O47" s="2631"/>
      <c r="P47" s="2631"/>
      <c r="Q47" s="70">
        <f t="shared" si="5"/>
        <v>0</v>
      </c>
    </row>
    <row r="48" spans="1:17" ht="15.75" customHeight="1">
      <c r="A48" s="62"/>
      <c r="B48" s="67" t="s">
        <v>350</v>
      </c>
      <c r="C48" s="64" t="s">
        <v>269</v>
      </c>
      <c r="D48" s="70">
        <f t="shared" si="6"/>
        <v>0</v>
      </c>
      <c r="E48" s="2631"/>
      <c r="F48" s="2631"/>
      <c r="G48" s="2631"/>
      <c r="H48" s="2631"/>
      <c r="I48" s="2631"/>
      <c r="J48" s="2631"/>
      <c r="K48" s="2631"/>
      <c r="L48" s="2631"/>
      <c r="M48" s="2631"/>
      <c r="N48" s="2631"/>
      <c r="O48" s="2631"/>
      <c r="P48" s="2631"/>
      <c r="Q48" s="70">
        <f t="shared" si="5"/>
        <v>0</v>
      </c>
    </row>
    <row r="49" spans="1:17" ht="15.75" customHeight="1">
      <c r="A49" s="62"/>
      <c r="B49" s="67" t="s">
        <v>351</v>
      </c>
      <c r="C49" s="64" t="s">
        <v>269</v>
      </c>
      <c r="D49" s="70">
        <f t="shared" si="6"/>
        <v>0</v>
      </c>
      <c r="E49" s="2631"/>
      <c r="F49" s="2631"/>
      <c r="G49" s="2631"/>
      <c r="H49" s="2631"/>
      <c r="I49" s="2631"/>
      <c r="J49" s="2631"/>
      <c r="K49" s="2631"/>
      <c r="L49" s="2631"/>
      <c r="M49" s="2631"/>
      <c r="N49" s="2631"/>
      <c r="O49" s="2631"/>
      <c r="P49" s="2631"/>
      <c r="Q49" s="70">
        <f t="shared" si="5"/>
        <v>0</v>
      </c>
    </row>
    <row r="50" spans="1:17" ht="15.75" customHeight="1">
      <c r="A50" s="62"/>
      <c r="B50" s="67" t="s">
        <v>352</v>
      </c>
      <c r="C50" s="64" t="s">
        <v>269</v>
      </c>
      <c r="D50" s="70">
        <f t="shared" si="6"/>
        <v>0</v>
      </c>
      <c r="E50" s="2631"/>
      <c r="F50" s="2631"/>
      <c r="G50" s="2631"/>
      <c r="H50" s="2631"/>
      <c r="I50" s="2631"/>
      <c r="J50" s="2631"/>
      <c r="K50" s="2631"/>
      <c r="L50" s="2631"/>
      <c r="M50" s="2631"/>
      <c r="N50" s="2631"/>
      <c r="O50" s="2631"/>
      <c r="P50" s="2631"/>
      <c r="Q50" s="70">
        <f t="shared" si="5"/>
        <v>0</v>
      </c>
    </row>
    <row r="51" spans="1:17" ht="15.75" customHeight="1">
      <c r="A51" s="62"/>
      <c r="B51" s="67" t="s">
        <v>353</v>
      </c>
      <c r="C51" s="64"/>
      <c r="D51" s="70">
        <f t="shared" si="6"/>
        <v>0</v>
      </c>
      <c r="E51" s="2631"/>
      <c r="F51" s="2631"/>
      <c r="G51" s="2631"/>
      <c r="H51" s="2631"/>
      <c r="I51" s="2631"/>
      <c r="J51" s="2631"/>
      <c r="K51" s="2631"/>
      <c r="L51" s="2631"/>
      <c r="M51" s="2631"/>
      <c r="N51" s="2631"/>
      <c r="O51" s="2631"/>
      <c r="P51" s="2631"/>
      <c r="Q51" s="70">
        <v>0</v>
      </c>
    </row>
    <row r="52" spans="1:17" ht="36.75" customHeight="1">
      <c r="A52" s="83" t="s">
        <v>274</v>
      </c>
      <c r="B52" s="63" t="s">
        <v>354</v>
      </c>
      <c r="C52" s="64"/>
      <c r="D52" s="70">
        <f t="shared" si="6"/>
        <v>0</v>
      </c>
      <c r="E52" s="2631"/>
      <c r="F52" s="2631"/>
      <c r="G52" s="2631"/>
      <c r="H52" s="2631"/>
      <c r="I52" s="2631"/>
      <c r="J52" s="2631"/>
      <c r="K52" s="2631"/>
      <c r="L52" s="2631"/>
      <c r="M52" s="2631"/>
      <c r="N52" s="2631"/>
      <c r="O52" s="2631"/>
      <c r="P52" s="2631"/>
      <c r="Q52" s="70">
        <f>SUM(D52:P52)</f>
        <v>0</v>
      </c>
    </row>
    <row r="53" spans="1:17" ht="15.75" customHeight="1">
      <c r="A53" s="62"/>
      <c r="B53" s="67" t="s">
        <v>348</v>
      </c>
      <c r="C53" s="64" t="s">
        <v>269</v>
      </c>
      <c r="D53" s="70">
        <f t="shared" si="6"/>
        <v>0</v>
      </c>
      <c r="E53" s="2631"/>
      <c r="F53" s="2631"/>
      <c r="G53" s="2631"/>
      <c r="H53" s="2631"/>
      <c r="I53" s="2631"/>
      <c r="J53" s="2631"/>
      <c r="K53" s="2631"/>
      <c r="L53" s="2631"/>
      <c r="M53" s="2631"/>
      <c r="N53" s="2631"/>
      <c r="O53" s="2631"/>
      <c r="P53" s="2631"/>
      <c r="Q53" s="70"/>
    </row>
    <row r="54" spans="1:17" ht="15.75" customHeight="1">
      <c r="A54" s="62"/>
      <c r="B54" s="67" t="s">
        <v>349</v>
      </c>
      <c r="C54" s="64" t="s">
        <v>269</v>
      </c>
      <c r="D54" s="70">
        <f t="shared" si="6"/>
        <v>0</v>
      </c>
      <c r="E54" s="2631"/>
      <c r="F54" s="2631"/>
      <c r="G54" s="2631"/>
      <c r="H54" s="2631"/>
      <c r="I54" s="2631"/>
      <c r="J54" s="2631"/>
      <c r="K54" s="2631"/>
      <c r="L54" s="2631"/>
      <c r="M54" s="2631"/>
      <c r="N54" s="2631"/>
      <c r="O54" s="2631"/>
      <c r="P54" s="2631"/>
      <c r="Q54" s="70"/>
    </row>
    <row r="55" spans="1:17" ht="15.75" customHeight="1">
      <c r="A55" s="62"/>
      <c r="B55" s="67" t="s">
        <v>350</v>
      </c>
      <c r="C55" s="64" t="s">
        <v>269</v>
      </c>
      <c r="D55" s="70">
        <f t="shared" si="6"/>
        <v>0</v>
      </c>
      <c r="E55" s="2631"/>
      <c r="F55" s="2631"/>
      <c r="G55" s="2631"/>
      <c r="H55" s="2631"/>
      <c r="I55" s="2631"/>
      <c r="J55" s="2631"/>
      <c r="K55" s="2631"/>
      <c r="L55" s="2631"/>
      <c r="M55" s="2631"/>
      <c r="N55" s="2631"/>
      <c r="O55" s="2631"/>
      <c r="P55" s="2631"/>
      <c r="Q55" s="70">
        <f>SUM(D55:P55)</f>
        <v>0</v>
      </c>
    </row>
    <row r="56" spans="1:17" ht="15.75" customHeight="1">
      <c r="A56" s="62"/>
      <c r="B56" s="67" t="s">
        <v>351</v>
      </c>
      <c r="C56" s="64" t="s">
        <v>269</v>
      </c>
      <c r="D56" s="70">
        <f t="shared" si="6"/>
        <v>0</v>
      </c>
      <c r="E56" s="2631"/>
      <c r="F56" s="2631"/>
      <c r="G56" s="2631"/>
      <c r="H56" s="2631"/>
      <c r="I56" s="2631"/>
      <c r="J56" s="2631"/>
      <c r="K56" s="2631"/>
      <c r="L56" s="2631"/>
      <c r="M56" s="2631"/>
      <c r="N56" s="2631"/>
      <c r="O56" s="2631"/>
      <c r="P56" s="2631"/>
      <c r="Q56" s="70"/>
    </row>
    <row r="57" spans="1:17" ht="15.75" customHeight="1">
      <c r="A57" s="62"/>
      <c r="B57" s="67" t="s">
        <v>352</v>
      </c>
      <c r="C57" s="64" t="s">
        <v>269</v>
      </c>
      <c r="D57" s="70">
        <f t="shared" si="6"/>
        <v>0</v>
      </c>
      <c r="E57" s="2631"/>
      <c r="F57" s="2631"/>
      <c r="G57" s="2631"/>
      <c r="H57" s="2631"/>
      <c r="I57" s="2631"/>
      <c r="J57" s="2631"/>
      <c r="K57" s="2631"/>
      <c r="L57" s="2631"/>
      <c r="M57" s="2631"/>
      <c r="N57" s="2631"/>
      <c r="O57" s="2631"/>
      <c r="P57" s="2631"/>
      <c r="Q57" s="70"/>
    </row>
    <row r="58" spans="1:17" ht="15.75" customHeight="1">
      <c r="A58" s="62"/>
      <c r="B58" s="67" t="s">
        <v>353</v>
      </c>
      <c r="C58" s="64"/>
      <c r="D58" s="70">
        <f t="shared" si="6"/>
        <v>0</v>
      </c>
      <c r="E58" s="2631"/>
      <c r="F58" s="2631"/>
      <c r="G58" s="2631"/>
      <c r="H58" s="2631"/>
      <c r="I58" s="2631"/>
      <c r="J58" s="2631"/>
      <c r="K58" s="2631"/>
      <c r="L58" s="2631"/>
      <c r="M58" s="2631"/>
      <c r="N58" s="2631"/>
      <c r="O58" s="2631"/>
      <c r="P58" s="2631"/>
      <c r="Q58" s="70"/>
    </row>
    <row r="59" spans="1:17" ht="31.5" customHeight="1">
      <c r="A59" s="83" t="s">
        <v>279</v>
      </c>
      <c r="B59" s="77" t="s">
        <v>355</v>
      </c>
      <c r="C59" s="64" t="s">
        <v>269</v>
      </c>
      <c r="D59" s="70">
        <f t="shared" ref="D59:Q59" si="7">SUM(D60)</f>
        <v>0</v>
      </c>
      <c r="E59" s="2631"/>
      <c r="F59" s="2631"/>
      <c r="G59" s="2631"/>
      <c r="H59" s="2631"/>
      <c r="I59" s="2631"/>
      <c r="J59" s="2631"/>
      <c r="K59" s="2631"/>
      <c r="L59" s="2631"/>
      <c r="M59" s="2631"/>
      <c r="N59" s="2631"/>
      <c r="O59" s="2631"/>
      <c r="P59" s="2631"/>
      <c r="Q59" s="70">
        <f t="shared" si="7"/>
        <v>0</v>
      </c>
    </row>
    <row r="60" spans="1:17" ht="15.75" customHeight="1">
      <c r="A60" s="83"/>
      <c r="B60" s="67" t="s">
        <v>356</v>
      </c>
      <c r="C60" s="64"/>
      <c r="D60" s="70"/>
      <c r="E60" s="2631"/>
      <c r="F60" s="2631"/>
      <c r="G60" s="2631"/>
      <c r="H60" s="2631"/>
      <c r="I60" s="2631"/>
      <c r="J60" s="2631"/>
      <c r="K60" s="2631"/>
      <c r="L60" s="2631"/>
      <c r="M60" s="2631"/>
      <c r="N60" s="2631"/>
      <c r="O60" s="2631"/>
      <c r="P60" s="2631"/>
      <c r="Q60" s="70">
        <f t="shared" ref="Q60:Q68" si="8">SUM(D60:P60)</f>
        <v>0</v>
      </c>
    </row>
    <row r="61" spans="1:17" ht="46.5" customHeight="1">
      <c r="A61" s="83" t="s">
        <v>282</v>
      </c>
      <c r="B61" s="63" t="s">
        <v>357</v>
      </c>
      <c r="C61" s="84" t="s">
        <v>269</v>
      </c>
      <c r="D61" s="130">
        <f t="shared" ref="D61" si="9">SUM(D62:D67)</f>
        <v>0</v>
      </c>
      <c r="E61" s="2637"/>
      <c r="F61" s="2637"/>
      <c r="G61" s="2637"/>
      <c r="H61" s="2637"/>
      <c r="I61" s="2637"/>
      <c r="J61" s="2637"/>
      <c r="K61" s="2637"/>
      <c r="L61" s="2637"/>
      <c r="M61" s="2637"/>
      <c r="N61" s="2637"/>
      <c r="O61" s="2637"/>
      <c r="P61" s="2637"/>
      <c r="Q61" s="130">
        <f t="shared" si="8"/>
        <v>0</v>
      </c>
    </row>
    <row r="62" spans="1:17" ht="15.75" customHeight="1">
      <c r="A62" s="62"/>
      <c r="B62" s="67" t="s">
        <v>348</v>
      </c>
      <c r="C62" s="64" t="s">
        <v>269</v>
      </c>
      <c r="D62" s="130">
        <f>SUM(D63:D68)</f>
        <v>0</v>
      </c>
      <c r="E62" s="2637"/>
      <c r="F62" s="2637"/>
      <c r="G62" s="2637"/>
      <c r="H62" s="2637"/>
      <c r="I62" s="2637"/>
      <c r="J62" s="2637"/>
      <c r="K62" s="2631"/>
      <c r="L62" s="2631"/>
      <c r="M62" s="2631"/>
      <c r="N62" s="2631"/>
      <c r="O62" s="2631"/>
      <c r="P62" s="2631"/>
      <c r="Q62" s="70">
        <f t="shared" si="8"/>
        <v>0</v>
      </c>
    </row>
    <row r="63" spans="1:17" ht="15.75" customHeight="1">
      <c r="A63" s="62"/>
      <c r="B63" s="67" t="s">
        <v>349</v>
      </c>
      <c r="C63" s="64" t="s">
        <v>269</v>
      </c>
      <c r="D63" s="130">
        <f t="shared" ref="D63:D67" si="10">SUM(D64:D70)</f>
        <v>0</v>
      </c>
      <c r="E63" s="2637"/>
      <c r="F63" s="2637"/>
      <c r="G63" s="2637"/>
      <c r="H63" s="2637"/>
      <c r="I63" s="2637"/>
      <c r="J63" s="2637"/>
      <c r="K63" s="2631"/>
      <c r="L63" s="2631"/>
      <c r="M63" s="2631"/>
      <c r="N63" s="2631"/>
      <c r="O63" s="2631"/>
      <c r="P63" s="2631"/>
      <c r="Q63" s="70">
        <f t="shared" si="8"/>
        <v>0</v>
      </c>
    </row>
    <row r="64" spans="1:17" ht="15.75" customHeight="1">
      <c r="A64" s="62"/>
      <c r="B64" s="67" t="s">
        <v>350</v>
      </c>
      <c r="C64" s="64" t="s">
        <v>269</v>
      </c>
      <c r="D64" s="130">
        <f t="shared" si="10"/>
        <v>0</v>
      </c>
      <c r="E64" s="2637"/>
      <c r="F64" s="2637"/>
      <c r="G64" s="2637"/>
      <c r="H64" s="2637"/>
      <c r="I64" s="2637"/>
      <c r="J64" s="2637"/>
      <c r="K64" s="2631"/>
      <c r="L64" s="2631"/>
      <c r="M64" s="2631"/>
      <c r="N64" s="2631"/>
      <c r="O64" s="2631"/>
      <c r="P64" s="2631"/>
      <c r="Q64" s="70">
        <f t="shared" si="8"/>
        <v>0</v>
      </c>
    </row>
    <row r="65" spans="1:18" ht="15.75" customHeight="1">
      <c r="A65" s="62"/>
      <c r="B65" s="67" t="s">
        <v>351</v>
      </c>
      <c r="C65" s="64" t="s">
        <v>269</v>
      </c>
      <c r="D65" s="130">
        <f t="shared" si="10"/>
        <v>0</v>
      </c>
      <c r="E65" s="2637"/>
      <c r="F65" s="2637"/>
      <c r="G65" s="2637"/>
      <c r="H65" s="2637"/>
      <c r="I65" s="2637"/>
      <c r="J65" s="2637"/>
      <c r="K65" s="2631"/>
      <c r="L65" s="2631"/>
      <c r="M65" s="2631"/>
      <c r="N65" s="2631"/>
      <c r="O65" s="2631"/>
      <c r="P65" s="2631"/>
      <c r="Q65" s="70">
        <f t="shared" si="8"/>
        <v>0</v>
      </c>
      <c r="R65" s="66"/>
    </row>
    <row r="66" spans="1:18" ht="15.75" customHeight="1">
      <c r="A66" s="62"/>
      <c r="B66" s="67" t="s">
        <v>352</v>
      </c>
      <c r="C66" s="64" t="s">
        <v>269</v>
      </c>
      <c r="D66" s="130">
        <f t="shared" si="10"/>
        <v>0</v>
      </c>
      <c r="E66" s="2637"/>
      <c r="F66" s="2637"/>
      <c r="G66" s="2637"/>
      <c r="H66" s="2637"/>
      <c r="I66" s="2637"/>
      <c r="J66" s="2637"/>
      <c r="K66" s="2631"/>
      <c r="L66" s="2631"/>
      <c r="M66" s="2631"/>
      <c r="N66" s="2631"/>
      <c r="O66" s="2631"/>
      <c r="P66" s="2631"/>
      <c r="Q66" s="70">
        <f t="shared" si="8"/>
        <v>0</v>
      </c>
      <c r="R66" s="66"/>
    </row>
    <row r="67" spans="1:18" ht="15.75" customHeight="1">
      <c r="A67" s="62"/>
      <c r="B67" s="67" t="s">
        <v>353</v>
      </c>
      <c r="C67" s="64" t="s">
        <v>269</v>
      </c>
      <c r="D67" s="130">
        <f t="shared" si="10"/>
        <v>0</v>
      </c>
      <c r="E67" s="2637"/>
      <c r="F67" s="2637"/>
      <c r="G67" s="2637"/>
      <c r="H67" s="2637"/>
      <c r="I67" s="2637"/>
      <c r="J67" s="2637"/>
      <c r="K67" s="2631"/>
      <c r="L67" s="2631"/>
      <c r="M67" s="2631"/>
      <c r="N67" s="2631"/>
      <c r="O67" s="2631"/>
      <c r="P67" s="2631"/>
      <c r="Q67" s="70">
        <f t="shared" si="8"/>
        <v>0</v>
      </c>
      <c r="R67" s="66"/>
    </row>
    <row r="68" spans="1:18" ht="15.75" customHeight="1">
      <c r="A68" s="132"/>
      <c r="B68" s="133" t="s">
        <v>356</v>
      </c>
      <c r="C68" s="134"/>
      <c r="D68" s="134">
        <f>SUM(D70:D75)</f>
        <v>0</v>
      </c>
      <c r="E68" s="2640"/>
      <c r="F68" s="2640"/>
      <c r="G68" s="2640"/>
      <c r="H68" s="2640"/>
      <c r="I68" s="2640"/>
      <c r="J68" s="2640"/>
      <c r="K68" s="2641"/>
      <c r="L68" s="2641"/>
      <c r="M68" s="2641"/>
      <c r="N68" s="2641"/>
      <c r="O68" s="2641"/>
      <c r="P68" s="2641"/>
      <c r="Q68" s="70">
        <f t="shared" si="8"/>
        <v>0</v>
      </c>
      <c r="R68" s="135"/>
    </row>
    <row r="69" spans="1:18" ht="15.75" customHeight="1">
      <c r="A69" s="136"/>
      <c r="B69" s="137"/>
      <c r="C69" s="136"/>
      <c r="D69" s="136"/>
      <c r="E69" s="136"/>
      <c r="F69" s="136"/>
      <c r="G69" s="136"/>
      <c r="H69" s="136"/>
      <c r="I69" s="136"/>
      <c r="J69" s="136"/>
      <c r="K69" s="138"/>
      <c r="L69" s="138"/>
      <c r="M69" s="138"/>
      <c r="N69" s="138"/>
      <c r="O69" s="138"/>
      <c r="P69" s="138"/>
      <c r="Q69" s="138"/>
      <c r="R69" s="95"/>
    </row>
    <row r="70" spans="1:18" ht="16.5" customHeight="1">
      <c r="A70" s="1872"/>
      <c r="B70" s="1873"/>
      <c r="C70" s="1874"/>
      <c r="D70" s="1874"/>
      <c r="E70" s="1874"/>
      <c r="F70" s="1874"/>
      <c r="G70" s="1874"/>
      <c r="H70" s="1874"/>
      <c r="I70" s="1874"/>
      <c r="J70" s="1874"/>
      <c r="K70" s="1874"/>
      <c r="L70" s="1874"/>
      <c r="M70" s="1874"/>
      <c r="N70" s="2802" t="s">
        <v>358</v>
      </c>
      <c r="O70" s="2732"/>
      <c r="P70" s="2732"/>
      <c r="Q70" s="2732"/>
      <c r="R70" s="2732"/>
    </row>
    <row r="71" spans="1:18" ht="15" customHeight="1">
      <c r="A71" s="2803" t="s">
        <v>359</v>
      </c>
      <c r="B71" s="2796"/>
      <c r="C71" s="2800" t="s">
        <v>324</v>
      </c>
      <c r="D71" s="2796"/>
      <c r="E71" s="2796"/>
      <c r="F71" s="2796"/>
      <c r="G71" s="2796"/>
      <c r="H71" s="2796"/>
      <c r="I71" s="2796"/>
      <c r="J71" s="2796"/>
      <c r="K71" s="2796"/>
      <c r="L71" s="2796"/>
      <c r="M71" s="2796"/>
      <c r="N71" s="2776" t="s">
        <v>360</v>
      </c>
      <c r="O71" s="2732"/>
      <c r="P71" s="2732"/>
      <c r="Q71" s="2732"/>
      <c r="R71" s="2732"/>
    </row>
    <row r="72" spans="1:18" ht="15.75" customHeight="1">
      <c r="A72" s="1875"/>
      <c r="B72" s="1875"/>
      <c r="C72" s="1875"/>
      <c r="D72" s="1875"/>
      <c r="E72" s="1875"/>
      <c r="F72" s="1875"/>
      <c r="G72" s="1875"/>
      <c r="H72" s="1875"/>
      <c r="I72" s="1875"/>
      <c r="J72" s="1875"/>
      <c r="K72" s="1876"/>
      <c r="L72" s="1875"/>
      <c r="M72" s="1875"/>
      <c r="N72" s="1875"/>
      <c r="O72" s="1875"/>
      <c r="P72" s="1875"/>
      <c r="Q72" s="1875"/>
      <c r="R72" s="1875"/>
    </row>
    <row r="73" spans="1:18" ht="15.75" customHeight="1">
      <c r="A73" s="1875"/>
      <c r="B73" s="1875"/>
      <c r="C73" s="1875"/>
      <c r="D73" s="1875"/>
      <c r="E73" s="1875"/>
      <c r="F73" s="1875"/>
      <c r="G73" s="1875"/>
      <c r="H73" s="1875"/>
      <c r="I73" s="1875"/>
      <c r="J73" s="1875"/>
      <c r="K73" s="1875"/>
      <c r="L73" s="1875"/>
      <c r="M73" s="1875"/>
      <c r="N73" s="1875"/>
      <c r="O73" s="1875"/>
      <c r="P73" s="1875"/>
      <c r="Q73" s="1875"/>
      <c r="R73" s="1875"/>
    </row>
    <row r="74" spans="1:18" ht="15.75" customHeight="1">
      <c r="A74" s="1875"/>
      <c r="B74" s="1875"/>
      <c r="C74" s="1875"/>
      <c r="D74" s="1875"/>
      <c r="E74" s="1875"/>
      <c r="F74" s="1875"/>
      <c r="G74" s="1875"/>
      <c r="H74" s="1875"/>
      <c r="I74" s="1875"/>
      <c r="J74" s="1875"/>
      <c r="K74" s="1875"/>
      <c r="L74" s="1875"/>
      <c r="M74" s="1875"/>
      <c r="N74" s="1875"/>
      <c r="O74" s="1875"/>
      <c r="P74" s="1875"/>
      <c r="Q74" s="1875"/>
      <c r="R74" s="1875"/>
    </row>
    <row r="75" spans="1:18" ht="15.75" customHeight="1">
      <c r="A75" s="1875"/>
      <c r="B75" s="1875"/>
      <c r="C75" s="1875"/>
      <c r="D75" s="1875"/>
      <c r="E75" s="1875"/>
      <c r="F75" s="1875"/>
      <c r="G75" s="1875"/>
      <c r="H75" s="1875"/>
      <c r="I75" s="1875"/>
      <c r="J75" s="1875"/>
      <c r="K75" s="1875"/>
      <c r="L75" s="1875"/>
      <c r="M75" s="1875"/>
      <c r="N75" s="1875"/>
      <c r="O75" s="1875"/>
      <c r="P75" s="1875"/>
      <c r="Q75" s="1875"/>
      <c r="R75" s="1875"/>
    </row>
    <row r="76" spans="1:18" ht="15.75" customHeight="1">
      <c r="A76" s="1875"/>
      <c r="B76" s="1875"/>
      <c r="C76" s="1875"/>
      <c r="D76" s="1875"/>
      <c r="E76" s="1875"/>
      <c r="F76" s="1875"/>
      <c r="G76" s="1875"/>
      <c r="H76" s="1875"/>
      <c r="I76" s="1875"/>
      <c r="J76" s="1875"/>
      <c r="K76" s="1875"/>
      <c r="L76" s="1875"/>
      <c r="M76" s="1875"/>
      <c r="N76" s="1875"/>
      <c r="O76" s="2801"/>
      <c r="P76" s="2796"/>
      <c r="Q76" s="2796"/>
      <c r="R76" s="2796"/>
    </row>
  </sheetData>
  <mergeCells count="10">
    <mergeCell ref="C71:M71"/>
    <mergeCell ref="N71:R71"/>
    <mergeCell ref="O76:R76"/>
    <mergeCell ref="A1:C1"/>
    <mergeCell ref="Q1:R1"/>
    <mergeCell ref="A2:C2"/>
    <mergeCell ref="A3:R3"/>
    <mergeCell ref="A4:R4"/>
    <mergeCell ref="N70:R70"/>
    <mergeCell ref="A71:B71"/>
  </mergeCells>
  <pageMargins left="0.48" right="0.2" top="0.75" bottom="0.28000000000000003"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09"/>
  <sheetViews>
    <sheetView workbookViewId="0">
      <pane xSplit="3" ySplit="8" topLeftCell="D21" activePane="bottomRight" state="frozen"/>
      <selection pane="topRight" activeCell="A10" sqref="A10:M10"/>
      <selection pane="bottomLeft" activeCell="A10" sqref="A10:M10"/>
      <selection pane="bottomRight" activeCell="E16" sqref="E16"/>
    </sheetView>
  </sheetViews>
  <sheetFormatPr defaultColWidth="14.42578125" defaultRowHeight="15" customHeight="1"/>
  <cols>
    <col min="1" max="1" width="4.7109375" customWidth="1"/>
    <col min="2" max="2" width="42.5703125" customWidth="1"/>
    <col min="3" max="3" width="14.140625" customWidth="1"/>
    <col min="4" max="10" width="11.42578125" customWidth="1"/>
    <col min="11" max="18" width="8.140625" customWidth="1"/>
    <col min="19" max="19" width="31.140625" customWidth="1"/>
    <col min="20" max="32" width="9" customWidth="1"/>
  </cols>
  <sheetData>
    <row r="1" spans="1:18">
      <c r="A1" s="2788" t="s">
        <v>23</v>
      </c>
      <c r="B1" s="2732"/>
      <c r="C1" s="2732"/>
      <c r="D1" s="91"/>
      <c r="E1" s="91"/>
      <c r="F1" s="91"/>
      <c r="G1" s="91"/>
      <c r="H1" s="91"/>
      <c r="I1" s="91"/>
      <c r="J1" s="91"/>
      <c r="K1" s="91"/>
      <c r="L1" s="92"/>
      <c r="M1" s="92"/>
      <c r="N1" s="92"/>
      <c r="O1" s="92"/>
      <c r="P1" s="92"/>
      <c r="Q1" s="2804" t="s">
        <v>237</v>
      </c>
      <c r="R1" s="2732"/>
    </row>
    <row r="2" spans="1:18">
      <c r="A2" s="2790" t="s">
        <v>238</v>
      </c>
      <c r="B2" s="2732"/>
      <c r="C2" s="2732"/>
      <c r="D2" s="91"/>
      <c r="E2" s="91"/>
      <c r="F2" s="91"/>
      <c r="G2" s="91"/>
      <c r="H2" s="91"/>
      <c r="I2" s="91"/>
      <c r="J2" s="91"/>
      <c r="K2" s="91"/>
      <c r="L2" s="92"/>
      <c r="M2" s="92"/>
      <c r="N2" s="92"/>
      <c r="O2" s="92"/>
      <c r="P2" s="92"/>
      <c r="Q2" s="94"/>
      <c r="R2" s="95"/>
    </row>
    <row r="3" spans="1:18" ht="26.25" customHeight="1">
      <c r="A3" s="2773" t="s">
        <v>361</v>
      </c>
      <c r="B3" s="2732"/>
      <c r="C3" s="2732"/>
      <c r="D3" s="2732"/>
      <c r="E3" s="2732"/>
      <c r="F3" s="2732"/>
      <c r="G3" s="2732"/>
      <c r="H3" s="2732"/>
      <c r="I3" s="2732"/>
      <c r="J3" s="2732"/>
      <c r="K3" s="2732"/>
      <c r="L3" s="2732"/>
      <c r="M3" s="2732"/>
      <c r="N3" s="2732"/>
      <c r="O3" s="2732"/>
      <c r="P3" s="2732"/>
      <c r="Q3" s="2732"/>
      <c r="R3" s="2732"/>
    </row>
    <row r="4" spans="1:18" ht="26.25" customHeight="1">
      <c r="A4" s="2792" t="s">
        <v>362</v>
      </c>
      <c r="B4" s="2732"/>
      <c r="C4" s="2732"/>
      <c r="D4" s="2732"/>
      <c r="E4" s="2732"/>
      <c r="F4" s="2732"/>
      <c r="G4" s="2732"/>
      <c r="H4" s="2732"/>
      <c r="I4" s="2732"/>
      <c r="J4" s="2732"/>
      <c r="K4" s="2732"/>
      <c r="L4" s="2732"/>
      <c r="M4" s="2732"/>
      <c r="N4" s="2732"/>
      <c r="O4" s="2732"/>
      <c r="P4" s="2732"/>
      <c r="Q4" s="2732"/>
      <c r="R4" s="2732"/>
    </row>
    <row r="5" spans="1:18">
      <c r="A5" s="96"/>
      <c r="B5" s="96"/>
      <c r="C5" s="96"/>
      <c r="D5" s="96"/>
      <c r="E5" s="96"/>
      <c r="F5" s="96"/>
      <c r="G5" s="96"/>
      <c r="H5" s="96"/>
      <c r="I5" s="96"/>
      <c r="J5" s="96"/>
      <c r="K5" s="96"/>
      <c r="L5" s="97"/>
      <c r="M5" s="97"/>
      <c r="N5" s="97"/>
      <c r="O5" s="97"/>
      <c r="P5" s="97"/>
      <c r="Q5" s="97"/>
      <c r="R5" s="98" t="s">
        <v>241</v>
      </c>
    </row>
    <row r="6" spans="1:18" ht="35.25" customHeight="1">
      <c r="A6" s="48" t="s">
        <v>186</v>
      </c>
      <c r="B6" s="49" t="s">
        <v>28</v>
      </c>
      <c r="C6" s="49" t="s">
        <v>242</v>
      </c>
      <c r="D6" s="49" t="s">
        <v>243</v>
      </c>
      <c r="E6" s="2566" t="s">
        <v>244</v>
      </c>
      <c r="F6" s="2566" t="s">
        <v>245</v>
      </c>
      <c r="G6" s="2566" t="s">
        <v>246</v>
      </c>
      <c r="H6" s="2566" t="s">
        <v>247</v>
      </c>
      <c r="I6" s="2566" t="s">
        <v>248</v>
      </c>
      <c r="J6" s="2566" t="s">
        <v>249</v>
      </c>
      <c r="K6" s="2566" t="s">
        <v>250</v>
      </c>
      <c r="L6" s="2566" t="s">
        <v>251</v>
      </c>
      <c r="M6" s="2566" t="s">
        <v>252</v>
      </c>
      <c r="N6" s="2566" t="s">
        <v>253</v>
      </c>
      <c r="O6" s="2566" t="s">
        <v>254</v>
      </c>
      <c r="P6" s="2566" t="s">
        <v>255</v>
      </c>
      <c r="Q6" s="99" t="s">
        <v>256</v>
      </c>
      <c r="R6" s="50" t="s">
        <v>32</v>
      </c>
    </row>
    <row r="7" spans="1:18" ht="25.5" customHeight="1">
      <c r="A7" s="100" t="s">
        <v>200</v>
      </c>
      <c r="B7" s="101" t="s">
        <v>363</v>
      </c>
      <c r="C7" s="102"/>
      <c r="D7" s="103"/>
      <c r="E7" s="2570"/>
      <c r="F7" s="2570"/>
      <c r="G7" s="2570"/>
      <c r="H7" s="2570"/>
      <c r="I7" s="2570"/>
      <c r="J7" s="2570"/>
      <c r="K7" s="2570"/>
      <c r="L7" s="2571"/>
      <c r="M7" s="2571"/>
      <c r="N7" s="2571"/>
      <c r="O7" s="2571"/>
      <c r="P7" s="2571"/>
      <c r="Q7" s="104"/>
      <c r="R7" s="105"/>
    </row>
    <row r="8" spans="1:18" ht="28.5" customHeight="1">
      <c r="A8" s="106" t="s">
        <v>258</v>
      </c>
      <c r="B8" s="107" t="s">
        <v>364</v>
      </c>
      <c r="C8" s="108"/>
      <c r="D8" s="109"/>
      <c r="E8" s="2572"/>
      <c r="F8" s="2572"/>
      <c r="G8" s="2572"/>
      <c r="H8" s="2572"/>
      <c r="I8" s="2572"/>
      <c r="J8" s="2572"/>
      <c r="K8" s="2572"/>
      <c r="L8" s="2568"/>
      <c r="M8" s="2568"/>
      <c r="N8" s="2568"/>
      <c r="O8" s="2568"/>
      <c r="P8" s="2568"/>
      <c r="Q8" s="110"/>
      <c r="R8" s="111"/>
    </row>
    <row r="9" spans="1:18" ht="64.5" customHeight="1">
      <c r="A9" s="62" t="s">
        <v>260</v>
      </c>
      <c r="B9" s="63" t="s">
        <v>365</v>
      </c>
      <c r="C9" s="64" t="s">
        <v>269</v>
      </c>
      <c r="D9" s="109">
        <v>4373</v>
      </c>
      <c r="E9" s="2572"/>
      <c r="F9" s="2572"/>
      <c r="G9" s="2572"/>
      <c r="H9" s="2572"/>
      <c r="I9" s="2572"/>
      <c r="J9" s="2572"/>
      <c r="K9" s="2572"/>
      <c r="L9" s="2568"/>
      <c r="M9" s="2568"/>
      <c r="N9" s="2568"/>
      <c r="O9" s="2568"/>
      <c r="P9" s="2568"/>
      <c r="Q9" s="110">
        <f t="shared" ref="Q9:Q84" si="0">D9</f>
        <v>4373</v>
      </c>
      <c r="R9" s="66"/>
    </row>
    <row r="10" spans="1:18">
      <c r="A10" s="112" t="s">
        <v>263</v>
      </c>
      <c r="B10" s="113" t="s">
        <v>366</v>
      </c>
      <c r="C10" s="64" t="s">
        <v>269</v>
      </c>
      <c r="D10" s="74"/>
      <c r="E10" s="2573"/>
      <c r="F10" s="2573"/>
      <c r="G10" s="2573"/>
      <c r="H10" s="2573"/>
      <c r="I10" s="2573"/>
      <c r="J10" s="2573"/>
      <c r="K10" s="2573"/>
      <c r="L10" s="2574"/>
      <c r="M10" s="2574"/>
      <c r="N10" s="2574"/>
      <c r="O10" s="2574"/>
      <c r="P10" s="2574"/>
      <c r="Q10" s="110">
        <f t="shared" si="0"/>
        <v>0</v>
      </c>
      <c r="R10" s="76"/>
    </row>
    <row r="11" spans="1:18" ht="36" customHeight="1">
      <c r="A11" s="114" t="s">
        <v>265</v>
      </c>
      <c r="B11" s="113" t="s">
        <v>367</v>
      </c>
      <c r="C11" s="64" t="s">
        <v>269</v>
      </c>
      <c r="D11" s="69">
        <v>99</v>
      </c>
      <c r="E11" s="2575"/>
      <c r="F11" s="2575"/>
      <c r="G11" s="2575"/>
      <c r="H11" s="2575"/>
      <c r="I11" s="2575"/>
      <c r="J11" s="2575"/>
      <c r="K11" s="2575"/>
      <c r="L11" s="2567"/>
      <c r="M11" s="2567"/>
      <c r="N11" s="2567"/>
      <c r="O11" s="2567"/>
      <c r="P11" s="2567"/>
      <c r="Q11" s="110">
        <f t="shared" si="0"/>
        <v>99</v>
      </c>
      <c r="R11" s="66"/>
    </row>
    <row r="12" spans="1:18">
      <c r="A12" s="114" t="s">
        <v>267</v>
      </c>
      <c r="B12" s="113" t="s">
        <v>368</v>
      </c>
      <c r="C12" s="64" t="s">
        <v>269</v>
      </c>
      <c r="D12" s="69">
        <v>579</v>
      </c>
      <c r="E12" s="2729">
        <v>73</v>
      </c>
      <c r="F12" s="2575"/>
      <c r="G12" s="2575"/>
      <c r="H12" s="2575"/>
      <c r="I12" s="2575"/>
      <c r="J12" s="2575"/>
      <c r="K12" s="2575"/>
      <c r="L12" s="2567"/>
      <c r="M12" s="2567"/>
      <c r="N12" s="2567"/>
      <c r="O12" s="2567"/>
      <c r="P12" s="2567"/>
      <c r="Q12" s="110">
        <f t="shared" si="0"/>
        <v>579</v>
      </c>
      <c r="R12" s="66"/>
    </row>
    <row r="13" spans="1:18">
      <c r="A13" s="114" t="s">
        <v>369</v>
      </c>
      <c r="B13" s="113" t="s">
        <v>370</v>
      </c>
      <c r="C13" s="64" t="s">
        <v>269</v>
      </c>
      <c r="D13" s="69">
        <v>947</v>
      </c>
      <c r="E13" s="2575"/>
      <c r="F13" s="2575"/>
      <c r="G13" s="2575"/>
      <c r="H13" s="2575"/>
      <c r="I13" s="2575"/>
      <c r="J13" s="2575"/>
      <c r="K13" s="2575"/>
      <c r="L13" s="2567"/>
      <c r="M13" s="2567"/>
      <c r="N13" s="2567"/>
      <c r="O13" s="2567"/>
      <c r="P13" s="2567"/>
      <c r="Q13" s="110">
        <f t="shared" si="0"/>
        <v>947</v>
      </c>
      <c r="R13" s="66"/>
    </row>
    <row r="14" spans="1:18">
      <c r="A14" s="114" t="s">
        <v>371</v>
      </c>
      <c r="B14" s="113" t="s">
        <v>372</v>
      </c>
      <c r="C14" s="64" t="s">
        <v>269</v>
      </c>
      <c r="D14" s="69">
        <v>1556</v>
      </c>
      <c r="E14" s="2575"/>
      <c r="F14" s="2575"/>
      <c r="G14" s="2575"/>
      <c r="H14" s="2575"/>
      <c r="I14" s="2575"/>
      <c r="J14" s="2575"/>
      <c r="K14" s="2575"/>
      <c r="L14" s="2567"/>
      <c r="M14" s="2567"/>
      <c r="N14" s="2567"/>
      <c r="O14" s="2567"/>
      <c r="P14" s="2567"/>
      <c r="Q14" s="110">
        <f t="shared" si="0"/>
        <v>1556</v>
      </c>
      <c r="R14" s="66"/>
    </row>
    <row r="15" spans="1:18" ht="29.25" customHeight="1">
      <c r="A15" s="114" t="s">
        <v>373</v>
      </c>
      <c r="B15" s="113" t="s">
        <v>374</v>
      </c>
      <c r="C15" s="64" t="s">
        <v>269</v>
      </c>
      <c r="D15" s="69">
        <v>1192</v>
      </c>
      <c r="E15" s="2729">
        <v>142</v>
      </c>
      <c r="F15" s="2575"/>
      <c r="G15" s="2575"/>
      <c r="H15" s="2575"/>
      <c r="I15" s="2575"/>
      <c r="J15" s="2575"/>
      <c r="K15" s="2575"/>
      <c r="L15" s="2567"/>
      <c r="M15" s="2567"/>
      <c r="N15" s="2567"/>
      <c r="O15" s="2567"/>
      <c r="P15" s="2567"/>
      <c r="Q15" s="110">
        <f t="shared" si="0"/>
        <v>1192</v>
      </c>
      <c r="R15" s="66"/>
    </row>
    <row r="16" spans="1:18" ht="33" customHeight="1">
      <c r="A16" s="62" t="s">
        <v>375</v>
      </c>
      <c r="B16" s="67" t="s">
        <v>268</v>
      </c>
      <c r="C16" s="64" t="s">
        <v>269</v>
      </c>
      <c r="D16" s="69">
        <v>319</v>
      </c>
      <c r="E16" s="2575"/>
      <c r="F16" s="2575"/>
      <c r="G16" s="2575"/>
      <c r="H16" s="2575"/>
      <c r="I16" s="2575"/>
      <c r="J16" s="2575"/>
      <c r="K16" s="2575"/>
      <c r="L16" s="2567"/>
      <c r="M16" s="2567"/>
      <c r="N16" s="2567"/>
      <c r="O16" s="2567"/>
      <c r="P16" s="2567"/>
      <c r="Q16" s="110">
        <f t="shared" si="0"/>
        <v>319</v>
      </c>
      <c r="R16" s="66"/>
    </row>
    <row r="17" spans="1:18">
      <c r="A17" s="72"/>
      <c r="B17" s="73" t="s">
        <v>270</v>
      </c>
      <c r="C17" s="64" t="s">
        <v>269</v>
      </c>
      <c r="D17" s="74"/>
      <c r="E17" s="2573"/>
      <c r="F17" s="2573"/>
      <c r="G17" s="2573"/>
      <c r="H17" s="2573"/>
      <c r="I17" s="2573"/>
      <c r="J17" s="2573"/>
      <c r="K17" s="2573"/>
      <c r="L17" s="2574"/>
      <c r="M17" s="2574"/>
      <c r="N17" s="2574"/>
      <c r="O17" s="2574"/>
      <c r="P17" s="2574"/>
      <c r="Q17" s="110">
        <f t="shared" si="0"/>
        <v>0</v>
      </c>
      <c r="R17" s="76"/>
    </row>
    <row r="18" spans="1:18" ht="25.5">
      <c r="A18" s="72"/>
      <c r="B18" s="73" t="s">
        <v>271</v>
      </c>
      <c r="C18" s="64" t="s">
        <v>269</v>
      </c>
      <c r="D18" s="74">
        <v>159</v>
      </c>
      <c r="E18" s="2573"/>
      <c r="F18" s="2573"/>
      <c r="G18" s="2573"/>
      <c r="H18" s="2573"/>
      <c r="I18" s="2573"/>
      <c r="J18" s="2573"/>
      <c r="K18" s="2573"/>
      <c r="L18" s="2574"/>
      <c r="M18" s="2574"/>
      <c r="N18" s="2574"/>
      <c r="O18" s="2574"/>
      <c r="P18" s="2574"/>
      <c r="Q18" s="110">
        <f t="shared" si="0"/>
        <v>159</v>
      </c>
      <c r="R18" s="76"/>
    </row>
    <row r="19" spans="1:18" ht="25.5">
      <c r="A19" s="62"/>
      <c r="B19" s="73" t="s">
        <v>376</v>
      </c>
      <c r="C19" s="64" t="s">
        <v>269</v>
      </c>
      <c r="D19" s="69">
        <v>8</v>
      </c>
      <c r="E19" s="2575"/>
      <c r="F19" s="2575"/>
      <c r="G19" s="2575"/>
      <c r="H19" s="2575"/>
      <c r="I19" s="2575"/>
      <c r="J19" s="2575"/>
      <c r="K19" s="2575"/>
      <c r="L19" s="2567"/>
      <c r="M19" s="2567"/>
      <c r="N19" s="2567"/>
      <c r="O19" s="2567"/>
      <c r="P19" s="2567"/>
      <c r="Q19" s="110">
        <f t="shared" si="0"/>
        <v>8</v>
      </c>
      <c r="R19" s="66"/>
    </row>
    <row r="20" spans="1:18" ht="25.5">
      <c r="A20" s="72"/>
      <c r="B20" s="73" t="s">
        <v>272</v>
      </c>
      <c r="C20" s="64" t="s">
        <v>269</v>
      </c>
      <c r="D20" s="74">
        <v>148</v>
      </c>
      <c r="E20" s="2573"/>
      <c r="F20" s="2573"/>
      <c r="G20" s="2573"/>
      <c r="H20" s="2573"/>
      <c r="I20" s="2573"/>
      <c r="J20" s="2573"/>
      <c r="K20" s="2573"/>
      <c r="L20" s="2574"/>
      <c r="M20" s="2574"/>
      <c r="N20" s="2574"/>
      <c r="O20" s="2574"/>
      <c r="P20" s="2574"/>
      <c r="Q20" s="110">
        <f t="shared" si="0"/>
        <v>148</v>
      </c>
      <c r="R20" s="76"/>
    </row>
    <row r="21" spans="1:18" ht="15.75" customHeight="1">
      <c r="A21" s="72"/>
      <c r="B21" s="73" t="s">
        <v>377</v>
      </c>
      <c r="C21" s="64" t="s">
        <v>269</v>
      </c>
      <c r="D21" s="74">
        <v>2</v>
      </c>
      <c r="E21" s="2573"/>
      <c r="F21" s="2573"/>
      <c r="G21" s="2573"/>
      <c r="H21" s="2573"/>
      <c r="I21" s="2573"/>
      <c r="J21" s="2573"/>
      <c r="K21" s="2573"/>
      <c r="L21" s="2574"/>
      <c r="M21" s="2574"/>
      <c r="N21" s="2574"/>
      <c r="O21" s="2574"/>
      <c r="P21" s="2574"/>
      <c r="Q21" s="110">
        <f t="shared" si="0"/>
        <v>2</v>
      </c>
      <c r="R21" s="76"/>
    </row>
    <row r="22" spans="1:18" ht="15.75" customHeight="1">
      <c r="A22" s="72"/>
      <c r="B22" s="73" t="s">
        <v>273</v>
      </c>
      <c r="C22" s="64" t="s">
        <v>269</v>
      </c>
      <c r="D22" s="74">
        <v>2</v>
      </c>
      <c r="E22" s="2573"/>
      <c r="F22" s="2573"/>
      <c r="G22" s="2573"/>
      <c r="H22" s="2573"/>
      <c r="I22" s="2573"/>
      <c r="J22" s="2573"/>
      <c r="K22" s="2573"/>
      <c r="L22" s="2574"/>
      <c r="M22" s="2574"/>
      <c r="N22" s="2574"/>
      <c r="O22" s="2574"/>
      <c r="P22" s="2574"/>
      <c r="Q22" s="110">
        <f t="shared" si="0"/>
        <v>2</v>
      </c>
      <c r="R22" s="76"/>
    </row>
    <row r="23" spans="1:18" ht="76.5" customHeight="1">
      <c r="A23" s="83" t="s">
        <v>274</v>
      </c>
      <c r="B23" s="63" t="s">
        <v>378</v>
      </c>
      <c r="C23" s="64"/>
      <c r="D23" s="69">
        <v>645</v>
      </c>
      <c r="E23" s="2575"/>
      <c r="F23" s="2575"/>
      <c r="G23" s="2575"/>
      <c r="H23" s="2575"/>
      <c r="I23" s="2575"/>
      <c r="J23" s="2575"/>
      <c r="K23" s="2575"/>
      <c r="L23" s="2567"/>
      <c r="M23" s="2567"/>
      <c r="N23" s="2567"/>
      <c r="O23" s="2567"/>
      <c r="P23" s="2567"/>
      <c r="Q23" s="110">
        <f t="shared" si="0"/>
        <v>645</v>
      </c>
      <c r="R23" s="66"/>
    </row>
    <row r="24" spans="1:18" ht="15.75" hidden="1" customHeight="1">
      <c r="A24" s="62"/>
      <c r="B24" s="113" t="s">
        <v>379</v>
      </c>
      <c r="C24" s="64" t="s">
        <v>269</v>
      </c>
      <c r="D24" s="69"/>
      <c r="E24" s="2575"/>
      <c r="F24" s="2575"/>
      <c r="G24" s="2575"/>
      <c r="H24" s="2575"/>
      <c r="I24" s="2575"/>
      <c r="J24" s="2575"/>
      <c r="K24" s="2575"/>
      <c r="L24" s="2567"/>
      <c r="M24" s="2567"/>
      <c r="N24" s="2567"/>
      <c r="O24" s="2567"/>
      <c r="P24" s="2567"/>
      <c r="Q24" s="110">
        <f t="shared" si="0"/>
        <v>0</v>
      </c>
      <c r="R24" s="66"/>
    </row>
    <row r="25" spans="1:18" ht="15.75" hidden="1" customHeight="1">
      <c r="A25" s="62"/>
      <c r="B25" s="113" t="s">
        <v>380</v>
      </c>
      <c r="C25" s="64" t="s">
        <v>269</v>
      </c>
      <c r="D25" s="69"/>
      <c r="E25" s="2575"/>
      <c r="F25" s="2575"/>
      <c r="G25" s="2575"/>
      <c r="H25" s="2575"/>
      <c r="I25" s="2575"/>
      <c r="J25" s="2575"/>
      <c r="K25" s="2575"/>
      <c r="L25" s="2567"/>
      <c r="M25" s="2567"/>
      <c r="N25" s="2567"/>
      <c r="O25" s="2567"/>
      <c r="P25" s="2567"/>
      <c r="Q25" s="110">
        <f t="shared" si="0"/>
        <v>0</v>
      </c>
      <c r="R25" s="66"/>
    </row>
    <row r="26" spans="1:18" ht="15.75" customHeight="1">
      <c r="A26" s="62"/>
      <c r="B26" s="67" t="s">
        <v>381</v>
      </c>
      <c r="C26" s="64" t="s">
        <v>269</v>
      </c>
      <c r="D26" s="69">
        <v>150</v>
      </c>
      <c r="E26" s="2575"/>
      <c r="F26" s="2575"/>
      <c r="G26" s="2575"/>
      <c r="H26" s="2575"/>
      <c r="I26" s="2575"/>
      <c r="J26" s="2575"/>
      <c r="K26" s="2575"/>
      <c r="L26" s="2567"/>
      <c r="M26" s="2567"/>
      <c r="N26" s="2567"/>
      <c r="O26" s="2567"/>
      <c r="P26" s="2567"/>
      <c r="Q26" s="110">
        <f t="shared" si="0"/>
        <v>150</v>
      </c>
      <c r="R26" s="66"/>
    </row>
    <row r="27" spans="1:18" ht="15.75" customHeight="1">
      <c r="A27" s="62"/>
      <c r="B27" s="67" t="s">
        <v>382</v>
      </c>
      <c r="C27" s="64" t="s">
        <v>269</v>
      </c>
      <c r="D27" s="69">
        <v>60</v>
      </c>
      <c r="E27" s="2575"/>
      <c r="F27" s="2575"/>
      <c r="G27" s="2575"/>
      <c r="H27" s="2575"/>
      <c r="I27" s="2575"/>
      <c r="J27" s="2575"/>
      <c r="K27" s="2575"/>
      <c r="L27" s="2567"/>
      <c r="M27" s="2567"/>
      <c r="N27" s="2567"/>
      <c r="O27" s="2567"/>
      <c r="P27" s="2567"/>
      <c r="Q27" s="110">
        <f t="shared" si="0"/>
        <v>60</v>
      </c>
      <c r="R27" s="66"/>
    </row>
    <row r="28" spans="1:18" ht="15.75" customHeight="1">
      <c r="A28" s="62"/>
      <c r="B28" s="67" t="s">
        <v>383</v>
      </c>
      <c r="C28" s="64" t="s">
        <v>269</v>
      </c>
      <c r="D28" s="69">
        <v>425</v>
      </c>
      <c r="E28" s="2575"/>
      <c r="F28" s="2575"/>
      <c r="G28" s="2575"/>
      <c r="H28" s="2575"/>
      <c r="I28" s="2575"/>
      <c r="J28" s="2575"/>
      <c r="K28" s="2575"/>
      <c r="L28" s="2567"/>
      <c r="M28" s="2567"/>
      <c r="N28" s="2567"/>
      <c r="O28" s="2567"/>
      <c r="P28" s="2567"/>
      <c r="Q28" s="110">
        <f t="shared" si="0"/>
        <v>425</v>
      </c>
      <c r="R28" s="66"/>
    </row>
    <row r="29" spans="1:18" ht="15.75" customHeight="1">
      <c r="A29" s="62"/>
      <c r="B29" s="67" t="s">
        <v>384</v>
      </c>
      <c r="C29" s="64" t="s">
        <v>269</v>
      </c>
      <c r="D29" s="69">
        <v>10</v>
      </c>
      <c r="E29" s="2575"/>
      <c r="F29" s="2575"/>
      <c r="G29" s="2575"/>
      <c r="H29" s="2575"/>
      <c r="I29" s="2575"/>
      <c r="J29" s="2575"/>
      <c r="K29" s="2575"/>
      <c r="L29" s="2567"/>
      <c r="M29" s="2567"/>
      <c r="N29" s="2567"/>
      <c r="O29" s="2567"/>
      <c r="P29" s="2567"/>
      <c r="Q29" s="110">
        <f t="shared" si="0"/>
        <v>10</v>
      </c>
      <c r="R29" s="66"/>
    </row>
    <row r="30" spans="1:18" ht="15.75" customHeight="1">
      <c r="A30" s="62"/>
      <c r="B30" s="67" t="s">
        <v>385</v>
      </c>
      <c r="C30" s="64" t="s">
        <v>269</v>
      </c>
      <c r="D30" s="69"/>
      <c r="E30" s="2575"/>
      <c r="F30" s="2575"/>
      <c r="G30" s="2575"/>
      <c r="H30" s="2575"/>
      <c r="I30" s="2575"/>
      <c r="J30" s="2575"/>
      <c r="K30" s="2575"/>
      <c r="L30" s="2567"/>
      <c r="M30" s="2567"/>
      <c r="N30" s="2567"/>
      <c r="O30" s="2567"/>
      <c r="P30" s="2567"/>
      <c r="Q30" s="110">
        <f t="shared" si="0"/>
        <v>0</v>
      </c>
      <c r="R30" s="66"/>
    </row>
    <row r="31" spans="1:18" ht="15.75" customHeight="1">
      <c r="A31" s="62"/>
      <c r="B31" s="67" t="s">
        <v>386</v>
      </c>
      <c r="C31" s="64" t="s">
        <v>269</v>
      </c>
      <c r="D31" s="69"/>
      <c r="E31" s="2575"/>
      <c r="F31" s="2575"/>
      <c r="G31" s="2575"/>
      <c r="H31" s="2575"/>
      <c r="I31" s="2575"/>
      <c r="J31" s="2575"/>
      <c r="K31" s="2575"/>
      <c r="L31" s="2567"/>
      <c r="M31" s="2567"/>
      <c r="N31" s="2567"/>
      <c r="O31" s="2567"/>
      <c r="P31" s="2567"/>
      <c r="Q31" s="110">
        <f t="shared" si="0"/>
        <v>0</v>
      </c>
      <c r="R31" s="66"/>
    </row>
    <row r="32" spans="1:18" ht="65.25" customHeight="1">
      <c r="A32" s="83" t="s">
        <v>279</v>
      </c>
      <c r="B32" s="77" t="s">
        <v>387</v>
      </c>
      <c r="C32" s="64" t="s">
        <v>269</v>
      </c>
      <c r="D32" s="109">
        <f>D34</f>
        <v>1410</v>
      </c>
      <c r="E32" s="2572"/>
      <c r="F32" s="2572"/>
      <c r="G32" s="2572"/>
      <c r="H32" s="2572"/>
      <c r="I32" s="2572"/>
      <c r="J32" s="2572"/>
      <c r="K32" s="2575"/>
      <c r="L32" s="2567"/>
      <c r="M32" s="2567"/>
      <c r="N32" s="2567"/>
      <c r="O32" s="2567"/>
      <c r="P32" s="2567"/>
      <c r="Q32" s="110">
        <f t="shared" si="0"/>
        <v>1410</v>
      </c>
      <c r="R32" s="66"/>
    </row>
    <row r="33" spans="1:18" ht="61.5" hidden="1" customHeight="1">
      <c r="A33" s="115"/>
      <c r="B33" s="113" t="s">
        <v>388</v>
      </c>
      <c r="C33" s="53"/>
      <c r="D33" s="69" t="str">
        <f>'phụ lục làm B2'!T8</f>
        <v>Tổng</v>
      </c>
      <c r="E33" s="2575"/>
      <c r="F33" s="2575"/>
      <c r="G33" s="2575"/>
      <c r="H33" s="2575"/>
      <c r="I33" s="2575"/>
      <c r="J33" s="2575"/>
      <c r="K33" s="116"/>
      <c r="L33" s="117"/>
      <c r="M33" s="117"/>
      <c r="N33" s="117"/>
      <c r="O33" s="117"/>
      <c r="P33" s="117"/>
      <c r="Q33" s="110" t="str">
        <f t="shared" si="0"/>
        <v>Tổng</v>
      </c>
      <c r="R33" s="55"/>
    </row>
    <row r="34" spans="1:18" ht="61.5" customHeight="1">
      <c r="A34" s="83"/>
      <c r="B34" s="67" t="s">
        <v>389</v>
      </c>
      <c r="C34" s="64"/>
      <c r="D34" s="69">
        <f>'phụ lục làm B2'!T9</f>
        <v>1410</v>
      </c>
      <c r="E34" s="2575"/>
      <c r="F34" s="2575"/>
      <c r="G34" s="2575"/>
      <c r="H34" s="2575"/>
      <c r="I34" s="2575"/>
      <c r="J34" s="2575"/>
      <c r="K34" s="2575"/>
      <c r="L34" s="2567"/>
      <c r="M34" s="2567"/>
      <c r="N34" s="2567"/>
      <c r="O34" s="2567"/>
      <c r="P34" s="2567"/>
      <c r="Q34" s="110">
        <f t="shared" si="0"/>
        <v>1410</v>
      </c>
      <c r="R34" s="66"/>
    </row>
    <row r="35" spans="1:18" ht="96.75" customHeight="1">
      <c r="A35" s="83" t="s">
        <v>282</v>
      </c>
      <c r="B35" s="63" t="s">
        <v>390</v>
      </c>
      <c r="C35" s="84" t="s">
        <v>269</v>
      </c>
      <c r="D35" s="118">
        <f>D9-D23+D32</f>
        <v>5138</v>
      </c>
      <c r="E35" s="2576"/>
      <c r="F35" s="2576"/>
      <c r="G35" s="2576"/>
      <c r="H35" s="2576"/>
      <c r="I35" s="2576"/>
      <c r="J35" s="2576"/>
      <c r="K35" s="2576"/>
      <c r="L35" s="2576"/>
      <c r="M35" s="2576"/>
      <c r="N35" s="2576"/>
      <c r="O35" s="2576"/>
      <c r="P35" s="2576"/>
      <c r="Q35" s="110">
        <f t="shared" si="0"/>
        <v>5138</v>
      </c>
      <c r="R35" s="79"/>
    </row>
    <row r="36" spans="1:18" ht="28.5" customHeight="1">
      <c r="A36" s="100" t="s">
        <v>284</v>
      </c>
      <c r="B36" s="101" t="s">
        <v>391</v>
      </c>
      <c r="C36" s="102"/>
      <c r="D36" s="103"/>
      <c r="E36" s="2570"/>
      <c r="F36" s="2570"/>
      <c r="G36" s="2570"/>
      <c r="H36" s="2570"/>
      <c r="I36" s="2570"/>
      <c r="J36" s="2570"/>
      <c r="K36" s="2570"/>
      <c r="L36" s="2571"/>
      <c r="M36" s="2571"/>
      <c r="N36" s="2571"/>
      <c r="O36" s="2571"/>
      <c r="P36" s="2571"/>
      <c r="Q36" s="110">
        <f t="shared" si="0"/>
        <v>0</v>
      </c>
      <c r="R36" s="105"/>
    </row>
    <row r="37" spans="1:18" ht="74.25" customHeight="1">
      <c r="A37" s="62" t="s">
        <v>260</v>
      </c>
      <c r="B37" s="63" t="s">
        <v>392</v>
      </c>
      <c r="C37" s="64" t="s">
        <v>269</v>
      </c>
      <c r="D37" s="109">
        <f t="shared" ref="D37" si="1">SUM(D38:D48)</f>
        <v>0</v>
      </c>
      <c r="E37" s="2572"/>
      <c r="F37" s="2572"/>
      <c r="G37" s="2572"/>
      <c r="H37" s="2572"/>
      <c r="I37" s="2572"/>
      <c r="J37" s="2572"/>
      <c r="K37" s="2572"/>
      <c r="L37" s="2572"/>
      <c r="M37" s="2572"/>
      <c r="N37" s="2572"/>
      <c r="O37" s="2572"/>
      <c r="P37" s="2572"/>
      <c r="Q37" s="110">
        <f t="shared" si="0"/>
        <v>0</v>
      </c>
      <c r="R37" s="109">
        <f>SUM(R38:R48)</f>
        <v>0</v>
      </c>
    </row>
    <row r="38" spans="1:18" ht="15.75" customHeight="1">
      <c r="A38" s="62" t="s">
        <v>263</v>
      </c>
      <c r="B38" s="67" t="s">
        <v>393</v>
      </c>
      <c r="C38" s="64" t="s">
        <v>269</v>
      </c>
      <c r="D38" s="69">
        <v>0</v>
      </c>
      <c r="E38" s="2575"/>
      <c r="F38" s="2575"/>
      <c r="G38" s="2575"/>
      <c r="H38" s="2575"/>
      <c r="I38" s="2575"/>
      <c r="J38" s="2575"/>
      <c r="K38" s="2575"/>
      <c r="L38" s="2567"/>
      <c r="M38" s="2567"/>
      <c r="N38" s="2567"/>
      <c r="O38" s="2567"/>
      <c r="P38" s="2567"/>
      <c r="Q38" s="110">
        <f t="shared" si="0"/>
        <v>0</v>
      </c>
      <c r="R38" s="66"/>
    </row>
    <row r="39" spans="1:18" ht="39" customHeight="1">
      <c r="A39" s="62" t="s">
        <v>265</v>
      </c>
      <c r="B39" s="67" t="s">
        <v>394</v>
      </c>
      <c r="C39" s="64" t="s">
        <v>269</v>
      </c>
      <c r="D39" s="69">
        <v>0</v>
      </c>
      <c r="E39" s="2575"/>
      <c r="F39" s="2575"/>
      <c r="G39" s="2575"/>
      <c r="H39" s="2575"/>
      <c r="I39" s="2575"/>
      <c r="J39" s="2575"/>
      <c r="K39" s="2575"/>
      <c r="L39" s="2567"/>
      <c r="M39" s="2567"/>
      <c r="N39" s="2567"/>
      <c r="O39" s="2567"/>
      <c r="P39" s="2567"/>
      <c r="Q39" s="110">
        <f t="shared" si="0"/>
        <v>0</v>
      </c>
      <c r="R39" s="66"/>
    </row>
    <row r="40" spans="1:18" ht="47.25" customHeight="1">
      <c r="A40" s="62" t="s">
        <v>267</v>
      </c>
      <c r="B40" s="67" t="s">
        <v>395</v>
      </c>
      <c r="C40" s="64" t="s">
        <v>269</v>
      </c>
      <c r="D40" s="69">
        <v>0</v>
      </c>
      <c r="E40" s="2575"/>
      <c r="F40" s="2575"/>
      <c r="G40" s="2575"/>
      <c r="H40" s="2575"/>
      <c r="I40" s="2575"/>
      <c r="J40" s="2575"/>
      <c r="K40" s="2575"/>
      <c r="L40" s="2567"/>
      <c r="M40" s="2567"/>
      <c r="N40" s="2567"/>
      <c r="O40" s="2567"/>
      <c r="P40" s="2567"/>
      <c r="Q40" s="110">
        <f t="shared" si="0"/>
        <v>0</v>
      </c>
      <c r="R40" s="66"/>
    </row>
    <row r="41" spans="1:18" ht="41.25" customHeight="1">
      <c r="A41" s="62" t="s">
        <v>371</v>
      </c>
      <c r="B41" s="67" t="s">
        <v>396</v>
      </c>
      <c r="C41" s="64" t="s">
        <v>269</v>
      </c>
      <c r="D41" s="69">
        <v>0</v>
      </c>
      <c r="E41" s="2575"/>
      <c r="F41" s="2575"/>
      <c r="G41" s="2575"/>
      <c r="H41" s="2575"/>
      <c r="I41" s="2575"/>
      <c r="J41" s="2575"/>
      <c r="K41" s="2575"/>
      <c r="L41" s="2567"/>
      <c r="M41" s="2567"/>
      <c r="N41" s="2567"/>
      <c r="O41" s="2567"/>
      <c r="P41" s="2567"/>
      <c r="Q41" s="110">
        <f t="shared" si="0"/>
        <v>0</v>
      </c>
      <c r="R41" s="66"/>
    </row>
    <row r="42" spans="1:18" ht="33" customHeight="1">
      <c r="A42" s="62" t="s">
        <v>371</v>
      </c>
      <c r="B42" s="67" t="s">
        <v>268</v>
      </c>
      <c r="C42" s="64" t="s">
        <v>269</v>
      </c>
      <c r="D42" s="69">
        <v>0</v>
      </c>
      <c r="E42" s="2575"/>
      <c r="F42" s="2575"/>
      <c r="G42" s="2575"/>
      <c r="H42" s="2575"/>
      <c r="I42" s="2575"/>
      <c r="J42" s="2575"/>
      <c r="K42" s="2575"/>
      <c r="L42" s="2567"/>
      <c r="M42" s="2567"/>
      <c r="N42" s="2567"/>
      <c r="O42" s="2567"/>
      <c r="P42" s="2567"/>
      <c r="Q42" s="110">
        <f t="shared" si="0"/>
        <v>0</v>
      </c>
      <c r="R42" s="66"/>
    </row>
    <row r="43" spans="1:18" ht="15.75" customHeight="1">
      <c r="A43" s="72"/>
      <c r="B43" s="73" t="s">
        <v>270</v>
      </c>
      <c r="C43" s="64" t="s">
        <v>269</v>
      </c>
      <c r="D43" s="69">
        <v>0</v>
      </c>
      <c r="E43" s="2575"/>
      <c r="F43" s="2575"/>
      <c r="G43" s="2575"/>
      <c r="H43" s="2575"/>
      <c r="I43" s="2575"/>
      <c r="J43" s="2575"/>
      <c r="K43" s="2573"/>
      <c r="L43" s="2574"/>
      <c r="M43" s="2574"/>
      <c r="N43" s="2574"/>
      <c r="O43" s="2574"/>
      <c r="P43" s="2574"/>
      <c r="Q43" s="110">
        <f t="shared" si="0"/>
        <v>0</v>
      </c>
      <c r="R43" s="76"/>
    </row>
    <row r="44" spans="1:18" ht="15.75" customHeight="1">
      <c r="A44" s="72"/>
      <c r="B44" s="73" t="s">
        <v>271</v>
      </c>
      <c r="C44" s="64" t="s">
        <v>269</v>
      </c>
      <c r="D44" s="69">
        <v>0</v>
      </c>
      <c r="E44" s="2575"/>
      <c r="F44" s="2575"/>
      <c r="G44" s="2575"/>
      <c r="H44" s="2575"/>
      <c r="I44" s="2575"/>
      <c r="J44" s="2575"/>
      <c r="K44" s="2573"/>
      <c r="L44" s="2574"/>
      <c r="M44" s="2574"/>
      <c r="N44" s="2574"/>
      <c r="O44" s="2574"/>
      <c r="P44" s="2574"/>
      <c r="Q44" s="110">
        <f t="shared" si="0"/>
        <v>0</v>
      </c>
      <c r="R44" s="76"/>
    </row>
    <row r="45" spans="1:18" ht="15.75" customHeight="1">
      <c r="A45" s="62"/>
      <c r="B45" s="73" t="s">
        <v>376</v>
      </c>
      <c r="C45" s="64" t="s">
        <v>269</v>
      </c>
      <c r="D45" s="69">
        <v>0</v>
      </c>
      <c r="E45" s="2575"/>
      <c r="F45" s="2575"/>
      <c r="G45" s="2575"/>
      <c r="H45" s="2575"/>
      <c r="I45" s="2575"/>
      <c r="J45" s="2575"/>
      <c r="K45" s="2575"/>
      <c r="L45" s="2567"/>
      <c r="M45" s="2567"/>
      <c r="N45" s="2567"/>
      <c r="O45" s="2567"/>
      <c r="P45" s="2567"/>
      <c r="Q45" s="110">
        <f t="shared" si="0"/>
        <v>0</v>
      </c>
      <c r="R45" s="66"/>
    </row>
    <row r="46" spans="1:18" ht="15.75" customHeight="1">
      <c r="A46" s="72"/>
      <c r="B46" s="73" t="s">
        <v>272</v>
      </c>
      <c r="C46" s="64" t="s">
        <v>269</v>
      </c>
      <c r="D46" s="69">
        <v>0</v>
      </c>
      <c r="E46" s="2575"/>
      <c r="F46" s="2575"/>
      <c r="G46" s="2575"/>
      <c r="H46" s="2575"/>
      <c r="I46" s="2575"/>
      <c r="J46" s="2575"/>
      <c r="K46" s="2573"/>
      <c r="L46" s="2574"/>
      <c r="M46" s="2574"/>
      <c r="N46" s="2574"/>
      <c r="O46" s="2574"/>
      <c r="P46" s="2574"/>
      <c r="Q46" s="110">
        <f t="shared" si="0"/>
        <v>0</v>
      </c>
      <c r="R46" s="76"/>
    </row>
    <row r="47" spans="1:18" ht="15.75" customHeight="1">
      <c r="A47" s="72"/>
      <c r="B47" s="73" t="s">
        <v>377</v>
      </c>
      <c r="C47" s="64" t="s">
        <v>269</v>
      </c>
      <c r="D47" s="69">
        <v>0</v>
      </c>
      <c r="E47" s="2575"/>
      <c r="F47" s="2575"/>
      <c r="G47" s="2575"/>
      <c r="H47" s="2575"/>
      <c r="I47" s="2575"/>
      <c r="J47" s="2575"/>
      <c r="K47" s="2573"/>
      <c r="L47" s="2574"/>
      <c r="M47" s="2574"/>
      <c r="N47" s="2574"/>
      <c r="O47" s="2574"/>
      <c r="P47" s="2574"/>
      <c r="Q47" s="110">
        <f t="shared" si="0"/>
        <v>0</v>
      </c>
      <c r="R47" s="76"/>
    </row>
    <row r="48" spans="1:18" ht="15.75" customHeight="1">
      <c r="A48" s="72"/>
      <c r="B48" s="73" t="s">
        <v>273</v>
      </c>
      <c r="C48" s="64" t="s">
        <v>269</v>
      </c>
      <c r="D48" s="69">
        <v>0</v>
      </c>
      <c r="E48" s="2575"/>
      <c r="F48" s="2575"/>
      <c r="G48" s="2575"/>
      <c r="H48" s="2575"/>
      <c r="I48" s="2575"/>
      <c r="J48" s="2575"/>
      <c r="K48" s="2573"/>
      <c r="L48" s="2574"/>
      <c r="M48" s="2574"/>
      <c r="N48" s="2574"/>
      <c r="O48" s="2574"/>
      <c r="P48" s="2574"/>
      <c r="Q48" s="110">
        <f t="shared" si="0"/>
        <v>0</v>
      </c>
      <c r="R48" s="76"/>
    </row>
    <row r="49" spans="1:18" ht="57" customHeight="1">
      <c r="A49" s="83" t="s">
        <v>274</v>
      </c>
      <c r="B49" s="63" t="s">
        <v>397</v>
      </c>
      <c r="C49" s="64"/>
      <c r="D49" s="69">
        <v>0</v>
      </c>
      <c r="E49" s="2575"/>
      <c r="F49" s="2575"/>
      <c r="G49" s="2575"/>
      <c r="H49" s="2575"/>
      <c r="I49" s="2575"/>
      <c r="J49" s="2575"/>
      <c r="K49" s="2575"/>
      <c r="L49" s="2575"/>
      <c r="M49" s="2575"/>
      <c r="N49" s="2575"/>
      <c r="O49" s="2575"/>
      <c r="P49" s="2575"/>
      <c r="Q49" s="110">
        <f t="shared" si="0"/>
        <v>0</v>
      </c>
      <c r="R49" s="66"/>
    </row>
    <row r="50" spans="1:18" ht="15.75" customHeight="1">
      <c r="A50" s="62"/>
      <c r="B50" s="67" t="s">
        <v>393</v>
      </c>
      <c r="C50" s="64" t="s">
        <v>269</v>
      </c>
      <c r="D50" s="69">
        <v>0</v>
      </c>
      <c r="E50" s="2575"/>
      <c r="F50" s="2575"/>
      <c r="G50" s="2575"/>
      <c r="H50" s="2575"/>
      <c r="I50" s="2575"/>
      <c r="J50" s="2575"/>
      <c r="K50" s="2575"/>
      <c r="L50" s="2567"/>
      <c r="M50" s="2567"/>
      <c r="N50" s="2567"/>
      <c r="O50" s="2567"/>
      <c r="P50" s="2567"/>
      <c r="Q50" s="110">
        <f t="shared" si="0"/>
        <v>0</v>
      </c>
      <c r="R50" s="66"/>
    </row>
    <row r="51" spans="1:18" ht="15.75" customHeight="1">
      <c r="A51" s="62"/>
      <c r="B51" s="67" t="s">
        <v>394</v>
      </c>
      <c r="C51" s="64" t="s">
        <v>269</v>
      </c>
      <c r="D51" s="69">
        <v>0</v>
      </c>
      <c r="E51" s="2575"/>
      <c r="F51" s="2575"/>
      <c r="G51" s="2575"/>
      <c r="H51" s="2575"/>
      <c r="I51" s="2575"/>
      <c r="J51" s="2575"/>
      <c r="K51" s="2575"/>
      <c r="L51" s="2567"/>
      <c r="M51" s="2567"/>
      <c r="N51" s="2567"/>
      <c r="O51" s="2567"/>
      <c r="P51" s="2567"/>
      <c r="Q51" s="110">
        <f t="shared" si="0"/>
        <v>0</v>
      </c>
      <c r="R51" s="66"/>
    </row>
    <row r="52" spans="1:18" ht="15.75" customHeight="1">
      <c r="A52" s="62"/>
      <c r="B52" s="67" t="s">
        <v>395</v>
      </c>
      <c r="C52" s="64" t="s">
        <v>269</v>
      </c>
      <c r="D52" s="69">
        <v>0</v>
      </c>
      <c r="E52" s="2575"/>
      <c r="F52" s="2575"/>
      <c r="G52" s="2575"/>
      <c r="H52" s="2575"/>
      <c r="I52" s="2575"/>
      <c r="J52" s="2575"/>
      <c r="K52" s="2575"/>
      <c r="L52" s="2567"/>
      <c r="M52" s="2567"/>
      <c r="N52" s="2567"/>
      <c r="O52" s="2567"/>
      <c r="P52" s="2567"/>
      <c r="Q52" s="110">
        <f t="shared" si="0"/>
        <v>0</v>
      </c>
      <c r="R52" s="66"/>
    </row>
    <row r="53" spans="1:18" ht="15.75" customHeight="1">
      <c r="A53" s="62"/>
      <c r="B53" s="67" t="s">
        <v>396</v>
      </c>
      <c r="C53" s="64" t="s">
        <v>269</v>
      </c>
      <c r="D53" s="69">
        <v>0</v>
      </c>
      <c r="E53" s="2575"/>
      <c r="F53" s="2575"/>
      <c r="G53" s="2575"/>
      <c r="H53" s="2575"/>
      <c r="I53" s="2575"/>
      <c r="J53" s="2575"/>
      <c r="K53" s="2575"/>
      <c r="L53" s="2567"/>
      <c r="M53" s="2567"/>
      <c r="N53" s="2567"/>
      <c r="O53" s="2567"/>
      <c r="P53" s="2567"/>
      <c r="Q53" s="110">
        <f t="shared" si="0"/>
        <v>0</v>
      </c>
      <c r="R53" s="66"/>
    </row>
    <row r="54" spans="1:18" ht="15.75" customHeight="1">
      <c r="A54" s="83" t="s">
        <v>279</v>
      </c>
      <c r="B54" s="77" t="s">
        <v>342</v>
      </c>
      <c r="C54" s="64" t="s">
        <v>269</v>
      </c>
      <c r="D54" s="69">
        <v>0</v>
      </c>
      <c r="E54" s="2575"/>
      <c r="F54" s="2575"/>
      <c r="G54" s="2575"/>
      <c r="H54" s="2575"/>
      <c r="I54" s="2575"/>
      <c r="J54" s="2575"/>
      <c r="K54" s="2575"/>
      <c r="L54" s="2567"/>
      <c r="M54" s="2567"/>
      <c r="N54" s="2567"/>
      <c r="O54" s="2567"/>
      <c r="P54" s="2567"/>
      <c r="Q54" s="110">
        <f t="shared" si="0"/>
        <v>0</v>
      </c>
      <c r="R54" s="66"/>
    </row>
    <row r="55" spans="1:18" ht="15.75" customHeight="1">
      <c r="A55" s="83"/>
      <c r="B55" s="67" t="s">
        <v>398</v>
      </c>
      <c r="C55" s="64"/>
      <c r="D55" s="69">
        <v>0</v>
      </c>
      <c r="E55" s="2575"/>
      <c r="F55" s="2575"/>
      <c r="G55" s="2575"/>
      <c r="H55" s="2575"/>
      <c r="I55" s="2575"/>
      <c r="J55" s="2575"/>
      <c r="K55" s="2575"/>
      <c r="L55" s="2567"/>
      <c r="M55" s="2567"/>
      <c r="N55" s="2567"/>
      <c r="O55" s="2567"/>
      <c r="P55" s="2567"/>
      <c r="Q55" s="110">
        <f t="shared" si="0"/>
        <v>0</v>
      </c>
      <c r="R55" s="66"/>
    </row>
    <row r="56" spans="1:18" ht="82.5" customHeight="1">
      <c r="A56" s="83" t="s">
        <v>282</v>
      </c>
      <c r="B56" s="63" t="s">
        <v>399</v>
      </c>
      <c r="C56" s="84" t="s">
        <v>269</v>
      </c>
      <c r="D56" s="69">
        <v>0</v>
      </c>
      <c r="E56" s="2575"/>
      <c r="F56" s="2575"/>
      <c r="G56" s="2575"/>
      <c r="H56" s="2575"/>
      <c r="I56" s="2575"/>
      <c r="J56" s="2575"/>
      <c r="K56" s="2576"/>
      <c r="L56" s="2576"/>
      <c r="M56" s="2576"/>
      <c r="N56" s="2576"/>
      <c r="O56" s="2576"/>
      <c r="P56" s="2576"/>
      <c r="Q56" s="110">
        <f t="shared" si="0"/>
        <v>0</v>
      </c>
      <c r="R56" s="79"/>
    </row>
    <row r="57" spans="1:18" ht="28.5" customHeight="1">
      <c r="A57" s="100" t="s">
        <v>345</v>
      </c>
      <c r="B57" s="101" t="s">
        <v>400</v>
      </c>
      <c r="C57" s="102"/>
      <c r="D57" s="103"/>
      <c r="E57" s="2570"/>
      <c r="F57" s="2570"/>
      <c r="G57" s="2570"/>
      <c r="H57" s="2570"/>
      <c r="I57" s="2570"/>
      <c r="J57" s="2570"/>
      <c r="K57" s="2570"/>
      <c r="L57" s="2571"/>
      <c r="M57" s="2571"/>
      <c r="N57" s="2571"/>
      <c r="O57" s="2571"/>
      <c r="P57" s="2571"/>
      <c r="Q57" s="110">
        <f t="shared" si="0"/>
        <v>0</v>
      </c>
      <c r="R57" s="105"/>
    </row>
    <row r="58" spans="1:18" ht="15.75" customHeight="1">
      <c r="A58" s="62" t="s">
        <v>260</v>
      </c>
      <c r="B58" s="63" t="s">
        <v>401</v>
      </c>
      <c r="C58" s="64" t="s">
        <v>269</v>
      </c>
      <c r="D58" s="69">
        <v>0</v>
      </c>
      <c r="E58" s="2575"/>
      <c r="F58" s="2575"/>
      <c r="G58" s="2575"/>
      <c r="H58" s="2575"/>
      <c r="I58" s="2575"/>
      <c r="J58" s="2575"/>
      <c r="K58" s="2575"/>
      <c r="L58" s="2567"/>
      <c r="M58" s="2567"/>
      <c r="N58" s="2567"/>
      <c r="O58" s="2567"/>
      <c r="P58" s="2567"/>
      <c r="Q58" s="110">
        <f t="shared" si="0"/>
        <v>0</v>
      </c>
      <c r="R58" s="66"/>
    </row>
    <row r="59" spans="1:18" ht="15.75" customHeight="1">
      <c r="A59" s="62"/>
      <c r="B59" s="67" t="s">
        <v>402</v>
      </c>
      <c r="C59" s="64" t="s">
        <v>269</v>
      </c>
      <c r="D59" s="69">
        <v>0</v>
      </c>
      <c r="E59" s="2575"/>
      <c r="F59" s="2575"/>
      <c r="G59" s="2575"/>
      <c r="H59" s="2575"/>
      <c r="I59" s="2575"/>
      <c r="J59" s="2575"/>
      <c r="K59" s="2575"/>
      <c r="L59" s="2567"/>
      <c r="M59" s="2567"/>
      <c r="N59" s="2567"/>
      <c r="O59" s="2567"/>
      <c r="P59" s="2567"/>
      <c r="Q59" s="110">
        <f t="shared" si="0"/>
        <v>0</v>
      </c>
      <c r="R59" s="66"/>
    </row>
    <row r="60" spans="1:18" ht="15.75" customHeight="1">
      <c r="A60" s="62"/>
      <c r="B60" s="67" t="s">
        <v>403</v>
      </c>
      <c r="C60" s="64" t="s">
        <v>269</v>
      </c>
      <c r="D60" s="69">
        <v>0</v>
      </c>
      <c r="E60" s="2575"/>
      <c r="F60" s="2575"/>
      <c r="G60" s="2575"/>
      <c r="H60" s="2575"/>
      <c r="I60" s="2575"/>
      <c r="J60" s="2575"/>
      <c r="K60" s="2575"/>
      <c r="L60" s="2567"/>
      <c r="M60" s="2567"/>
      <c r="N60" s="2567"/>
      <c r="O60" s="2567"/>
      <c r="P60" s="2567"/>
      <c r="Q60" s="110">
        <f t="shared" si="0"/>
        <v>0</v>
      </c>
      <c r="R60" s="66"/>
    </row>
    <row r="61" spans="1:18" ht="15.75" customHeight="1">
      <c r="A61" s="62"/>
      <c r="B61" s="67" t="s">
        <v>404</v>
      </c>
      <c r="C61" s="64" t="s">
        <v>269</v>
      </c>
      <c r="D61" s="69">
        <v>0</v>
      </c>
      <c r="E61" s="2575"/>
      <c r="F61" s="2575"/>
      <c r="G61" s="2575"/>
      <c r="H61" s="2575"/>
      <c r="I61" s="2575"/>
      <c r="J61" s="2575"/>
      <c r="K61" s="2575"/>
      <c r="L61" s="2567"/>
      <c r="M61" s="2567"/>
      <c r="N61" s="2567"/>
      <c r="O61" s="2567"/>
      <c r="P61" s="2567"/>
      <c r="Q61" s="110">
        <f t="shared" si="0"/>
        <v>0</v>
      </c>
      <c r="R61" s="66"/>
    </row>
    <row r="62" spans="1:18" ht="15.75" customHeight="1">
      <c r="A62" s="62"/>
      <c r="B62" s="67" t="s">
        <v>405</v>
      </c>
      <c r="C62" s="64" t="s">
        <v>269</v>
      </c>
      <c r="D62" s="69">
        <v>0</v>
      </c>
      <c r="E62" s="2575"/>
      <c r="F62" s="2575"/>
      <c r="G62" s="2575"/>
      <c r="H62" s="2575"/>
      <c r="I62" s="2575"/>
      <c r="J62" s="2575"/>
      <c r="K62" s="2575"/>
      <c r="L62" s="2567"/>
      <c r="M62" s="2567"/>
      <c r="N62" s="2567"/>
      <c r="O62" s="2567"/>
      <c r="P62" s="2567"/>
      <c r="Q62" s="110">
        <f t="shared" si="0"/>
        <v>0</v>
      </c>
      <c r="R62" s="66"/>
    </row>
    <row r="63" spans="1:18" ht="15.75" customHeight="1">
      <c r="A63" s="83" t="s">
        <v>274</v>
      </c>
      <c r="B63" s="63" t="s">
        <v>406</v>
      </c>
      <c r="C63" s="64"/>
      <c r="D63" s="69">
        <v>0</v>
      </c>
      <c r="E63" s="2575"/>
      <c r="F63" s="2575"/>
      <c r="G63" s="2575"/>
      <c r="H63" s="2575"/>
      <c r="I63" s="2575"/>
      <c r="J63" s="2575"/>
      <c r="K63" s="2575"/>
      <c r="L63" s="2567"/>
      <c r="M63" s="2567"/>
      <c r="N63" s="2567"/>
      <c r="O63" s="2567"/>
      <c r="P63" s="2567"/>
      <c r="Q63" s="110">
        <f t="shared" si="0"/>
        <v>0</v>
      </c>
      <c r="R63" s="66"/>
    </row>
    <row r="64" spans="1:18" ht="15.75" customHeight="1">
      <c r="A64" s="62"/>
      <c r="B64" s="67" t="s">
        <v>402</v>
      </c>
      <c r="C64" s="64" t="s">
        <v>269</v>
      </c>
      <c r="D64" s="69">
        <v>0</v>
      </c>
      <c r="E64" s="2575"/>
      <c r="F64" s="2575"/>
      <c r="G64" s="2575"/>
      <c r="H64" s="2575"/>
      <c r="I64" s="2575"/>
      <c r="J64" s="2575"/>
      <c r="K64" s="2575"/>
      <c r="L64" s="2567"/>
      <c r="M64" s="2567"/>
      <c r="N64" s="2567"/>
      <c r="O64" s="2567"/>
      <c r="P64" s="2567"/>
      <c r="Q64" s="110">
        <f t="shared" si="0"/>
        <v>0</v>
      </c>
      <c r="R64" s="66"/>
    </row>
    <row r="65" spans="1:18" ht="15.75" customHeight="1">
      <c r="A65" s="62"/>
      <c r="B65" s="67" t="s">
        <v>403</v>
      </c>
      <c r="C65" s="64" t="s">
        <v>269</v>
      </c>
      <c r="D65" s="69">
        <v>0</v>
      </c>
      <c r="E65" s="2575"/>
      <c r="F65" s="2575"/>
      <c r="G65" s="2575"/>
      <c r="H65" s="2575"/>
      <c r="I65" s="2575"/>
      <c r="J65" s="2575"/>
      <c r="K65" s="2575"/>
      <c r="L65" s="2567"/>
      <c r="M65" s="2567"/>
      <c r="N65" s="2567"/>
      <c r="O65" s="2567"/>
      <c r="P65" s="2567"/>
      <c r="Q65" s="110">
        <f t="shared" si="0"/>
        <v>0</v>
      </c>
      <c r="R65" s="66"/>
    </row>
    <row r="66" spans="1:18" ht="15.75" customHeight="1">
      <c r="A66" s="62"/>
      <c r="B66" s="67" t="s">
        <v>404</v>
      </c>
      <c r="C66" s="64" t="s">
        <v>269</v>
      </c>
      <c r="D66" s="69">
        <v>0</v>
      </c>
      <c r="E66" s="2575"/>
      <c r="F66" s="2575"/>
      <c r="G66" s="2575"/>
      <c r="H66" s="2575"/>
      <c r="I66" s="2575"/>
      <c r="J66" s="2575"/>
      <c r="K66" s="2575"/>
      <c r="L66" s="2567"/>
      <c r="M66" s="2567"/>
      <c r="N66" s="2567"/>
      <c r="O66" s="2567"/>
      <c r="P66" s="2567"/>
      <c r="Q66" s="110">
        <f t="shared" si="0"/>
        <v>0</v>
      </c>
      <c r="R66" s="66"/>
    </row>
    <row r="67" spans="1:18" ht="15.75" customHeight="1">
      <c r="A67" s="62"/>
      <c r="B67" s="67" t="s">
        <v>405</v>
      </c>
      <c r="C67" s="64" t="s">
        <v>269</v>
      </c>
      <c r="D67" s="69">
        <v>0</v>
      </c>
      <c r="E67" s="2575"/>
      <c r="F67" s="2575"/>
      <c r="G67" s="2575"/>
      <c r="H67" s="2575"/>
      <c r="I67" s="2575"/>
      <c r="J67" s="2575"/>
      <c r="K67" s="2575"/>
      <c r="L67" s="2567"/>
      <c r="M67" s="2567"/>
      <c r="N67" s="2567"/>
      <c r="O67" s="2567"/>
      <c r="P67" s="2567"/>
      <c r="Q67" s="110">
        <f t="shared" si="0"/>
        <v>0</v>
      </c>
      <c r="R67" s="66"/>
    </row>
    <row r="68" spans="1:18" ht="15.75" customHeight="1">
      <c r="A68" s="62"/>
      <c r="B68" s="67" t="s">
        <v>407</v>
      </c>
      <c r="C68" s="64"/>
      <c r="D68" s="69">
        <v>0</v>
      </c>
      <c r="E68" s="2575"/>
      <c r="F68" s="2575"/>
      <c r="G68" s="2575"/>
      <c r="H68" s="2575"/>
      <c r="I68" s="2575"/>
      <c r="J68" s="2575"/>
      <c r="K68" s="2575"/>
      <c r="L68" s="2567"/>
      <c r="M68" s="2567"/>
      <c r="N68" s="2567"/>
      <c r="O68" s="2567"/>
      <c r="P68" s="2567"/>
      <c r="Q68" s="110">
        <f t="shared" si="0"/>
        <v>0</v>
      </c>
      <c r="R68" s="66"/>
    </row>
    <row r="69" spans="1:18" ht="27" customHeight="1">
      <c r="A69" s="83" t="s">
        <v>279</v>
      </c>
      <c r="B69" s="77" t="s">
        <v>408</v>
      </c>
      <c r="C69" s="64" t="s">
        <v>269</v>
      </c>
      <c r="D69" s="69">
        <v>0</v>
      </c>
      <c r="E69" s="2575"/>
      <c r="F69" s="2575"/>
      <c r="G69" s="2575"/>
      <c r="H69" s="2575"/>
      <c r="I69" s="2575"/>
      <c r="J69" s="2575"/>
      <c r="K69" s="2575"/>
      <c r="L69" s="2567"/>
      <c r="M69" s="2567"/>
      <c r="N69" s="2567"/>
      <c r="O69" s="2567"/>
      <c r="P69" s="2567"/>
      <c r="Q69" s="110">
        <f t="shared" si="0"/>
        <v>0</v>
      </c>
      <c r="R69" s="66"/>
    </row>
    <row r="70" spans="1:18" ht="53.25" customHeight="1">
      <c r="A70" s="83"/>
      <c r="B70" s="67" t="s">
        <v>409</v>
      </c>
      <c r="C70" s="64"/>
      <c r="D70" s="69">
        <v>0</v>
      </c>
      <c r="E70" s="2575"/>
      <c r="F70" s="2575"/>
      <c r="G70" s="2575"/>
      <c r="H70" s="2575"/>
      <c r="I70" s="2575"/>
      <c r="J70" s="2575"/>
      <c r="K70" s="2575"/>
      <c r="L70" s="2567"/>
      <c r="M70" s="2567"/>
      <c r="N70" s="2567"/>
      <c r="O70" s="2567"/>
      <c r="P70" s="2567"/>
      <c r="Q70" s="110">
        <f t="shared" si="0"/>
        <v>0</v>
      </c>
      <c r="R70" s="66"/>
    </row>
    <row r="71" spans="1:18" ht="67.5">
      <c r="A71" s="83" t="s">
        <v>282</v>
      </c>
      <c r="B71" s="63" t="s">
        <v>410</v>
      </c>
      <c r="C71" s="84" t="s">
        <v>269</v>
      </c>
      <c r="D71" s="118">
        <f t="shared" ref="D71" si="2">+D58-D63+D69</f>
        <v>0</v>
      </c>
      <c r="E71" s="2576"/>
      <c r="F71" s="2576"/>
      <c r="G71" s="2576"/>
      <c r="H71" s="2576"/>
      <c r="I71" s="2576"/>
      <c r="J71" s="2576"/>
      <c r="K71" s="2576"/>
      <c r="L71" s="2576"/>
      <c r="M71" s="2576"/>
      <c r="N71" s="2576"/>
      <c r="O71" s="2576"/>
      <c r="P71" s="2576"/>
      <c r="Q71" s="110">
        <f t="shared" si="0"/>
        <v>0</v>
      </c>
      <c r="R71" s="79"/>
    </row>
    <row r="72" spans="1:18" ht="28.5" customHeight="1">
      <c r="A72" s="100" t="s">
        <v>411</v>
      </c>
      <c r="B72" s="101" t="s">
        <v>412</v>
      </c>
      <c r="C72" s="102"/>
      <c r="D72" s="103"/>
      <c r="E72" s="2570"/>
      <c r="F72" s="2570"/>
      <c r="G72" s="2570"/>
      <c r="H72" s="2570"/>
      <c r="I72" s="2570"/>
      <c r="J72" s="2570"/>
      <c r="K72" s="2570"/>
      <c r="L72" s="2571"/>
      <c r="M72" s="2571"/>
      <c r="N72" s="2571"/>
      <c r="O72" s="2571"/>
      <c r="P72" s="2571"/>
      <c r="Q72" s="110">
        <f t="shared" si="0"/>
        <v>0</v>
      </c>
      <c r="R72" s="105"/>
    </row>
    <row r="73" spans="1:18" ht="67.5">
      <c r="A73" s="62" t="s">
        <v>260</v>
      </c>
      <c r="B73" s="63" t="s">
        <v>413</v>
      </c>
      <c r="C73" s="64" t="s">
        <v>269</v>
      </c>
      <c r="D73" s="69">
        <v>130</v>
      </c>
      <c r="E73" s="2575"/>
      <c r="F73" s="2575"/>
      <c r="G73" s="2575"/>
      <c r="H73" s="2575"/>
      <c r="I73" s="2575"/>
      <c r="J73" s="2575"/>
      <c r="K73" s="2575"/>
      <c r="L73" s="2567"/>
      <c r="M73" s="2567"/>
      <c r="N73" s="2567"/>
      <c r="O73" s="2567"/>
      <c r="P73" s="2567"/>
      <c r="Q73" s="110">
        <f t="shared" si="0"/>
        <v>130</v>
      </c>
      <c r="R73" s="66"/>
    </row>
    <row r="74" spans="1:18" ht="15.75" customHeight="1">
      <c r="A74" s="62"/>
      <c r="B74" s="67" t="s">
        <v>414</v>
      </c>
      <c r="C74" s="64" t="s">
        <v>269</v>
      </c>
      <c r="D74" s="69">
        <v>104</v>
      </c>
      <c r="E74" s="2575"/>
      <c r="F74" s="2575"/>
      <c r="G74" s="2575"/>
      <c r="H74" s="2575"/>
      <c r="I74" s="2575"/>
      <c r="J74" s="2575"/>
      <c r="K74" s="2575"/>
      <c r="L74" s="2567"/>
      <c r="M74" s="2567"/>
      <c r="N74" s="2567"/>
      <c r="O74" s="2567"/>
      <c r="P74" s="2567"/>
      <c r="Q74" s="110">
        <f t="shared" si="0"/>
        <v>104</v>
      </c>
      <c r="R74" s="66"/>
    </row>
    <row r="75" spans="1:18" ht="15.75" customHeight="1">
      <c r="A75" s="62"/>
      <c r="B75" s="67" t="s">
        <v>415</v>
      </c>
      <c r="C75" s="64" t="s">
        <v>269</v>
      </c>
      <c r="D75" s="69">
        <v>26</v>
      </c>
      <c r="E75" s="2575"/>
      <c r="F75" s="2575"/>
      <c r="G75" s="2575"/>
      <c r="H75" s="2575"/>
      <c r="I75" s="2575"/>
      <c r="J75" s="2575"/>
      <c r="K75" s="2575"/>
      <c r="L75" s="2567"/>
      <c r="M75" s="2567"/>
      <c r="N75" s="2567"/>
      <c r="O75" s="2567"/>
      <c r="P75" s="2567"/>
      <c r="Q75" s="110">
        <f t="shared" si="0"/>
        <v>26</v>
      </c>
      <c r="R75" s="66"/>
    </row>
    <row r="76" spans="1:18" ht="15.75" customHeight="1">
      <c r="A76" s="62"/>
      <c r="B76" s="67" t="s">
        <v>416</v>
      </c>
      <c r="C76" s="64" t="s">
        <v>269</v>
      </c>
      <c r="D76" s="69">
        <v>0</v>
      </c>
      <c r="E76" s="2575"/>
      <c r="F76" s="2575"/>
      <c r="G76" s="2575"/>
      <c r="H76" s="2575"/>
      <c r="I76" s="2575"/>
      <c r="J76" s="2575"/>
      <c r="K76" s="2575"/>
      <c r="L76" s="2567"/>
      <c r="M76" s="2567"/>
      <c r="N76" s="2567"/>
      <c r="O76" s="2567"/>
      <c r="P76" s="2567"/>
      <c r="Q76" s="110">
        <f t="shared" si="0"/>
        <v>0</v>
      </c>
      <c r="R76" s="66"/>
    </row>
    <row r="77" spans="1:18" ht="15.75" customHeight="1">
      <c r="A77" s="62"/>
      <c r="B77" s="67" t="s">
        <v>417</v>
      </c>
      <c r="C77" s="64"/>
      <c r="D77" s="69">
        <v>0</v>
      </c>
      <c r="E77" s="2575"/>
      <c r="F77" s="2575"/>
      <c r="G77" s="2575"/>
      <c r="H77" s="2575"/>
      <c r="I77" s="2575"/>
      <c r="J77" s="2575"/>
      <c r="K77" s="2575"/>
      <c r="L77" s="2567"/>
      <c r="M77" s="2567"/>
      <c r="N77" s="2567"/>
      <c r="O77" s="2567"/>
      <c r="P77" s="2567"/>
      <c r="Q77" s="110">
        <f t="shared" si="0"/>
        <v>0</v>
      </c>
      <c r="R77" s="66"/>
    </row>
    <row r="78" spans="1:18" ht="40.5">
      <c r="A78" s="83" t="s">
        <v>274</v>
      </c>
      <c r="B78" s="63" t="s">
        <v>418</v>
      </c>
      <c r="C78" s="64"/>
      <c r="D78" s="69">
        <f>D79</f>
        <v>104</v>
      </c>
      <c r="E78" s="2575"/>
      <c r="F78" s="2575"/>
      <c r="G78" s="2575"/>
      <c r="H78" s="2575"/>
      <c r="I78" s="2575"/>
      <c r="J78" s="2575"/>
      <c r="K78" s="2575"/>
      <c r="L78" s="2567"/>
      <c r="M78" s="2567"/>
      <c r="N78" s="2567"/>
      <c r="O78" s="2567"/>
      <c r="P78" s="2567"/>
      <c r="Q78" s="110">
        <f t="shared" si="0"/>
        <v>104</v>
      </c>
      <c r="R78" s="66"/>
    </row>
    <row r="79" spans="1:18" ht="15.75" customHeight="1">
      <c r="A79" s="62"/>
      <c r="B79" s="67" t="s">
        <v>414</v>
      </c>
      <c r="C79" s="64" t="s">
        <v>269</v>
      </c>
      <c r="D79" s="69">
        <v>104</v>
      </c>
      <c r="E79" s="2575"/>
      <c r="F79" s="2575"/>
      <c r="G79" s="2575"/>
      <c r="H79" s="2575"/>
      <c r="I79" s="2575"/>
      <c r="J79" s="2575"/>
      <c r="K79" s="2575"/>
      <c r="L79" s="2567"/>
      <c r="M79" s="2567"/>
      <c r="N79" s="2567"/>
      <c r="O79" s="2567"/>
      <c r="P79" s="2567"/>
      <c r="Q79" s="110">
        <f t="shared" si="0"/>
        <v>104</v>
      </c>
      <c r="R79" s="66"/>
    </row>
    <row r="80" spans="1:18" ht="15.75" customHeight="1">
      <c r="A80" s="62"/>
      <c r="B80" s="67" t="s">
        <v>415</v>
      </c>
      <c r="C80" s="64" t="s">
        <v>269</v>
      </c>
      <c r="D80" s="69">
        <v>0</v>
      </c>
      <c r="E80" s="2575"/>
      <c r="F80" s="2575"/>
      <c r="G80" s="2575"/>
      <c r="H80" s="2575"/>
      <c r="I80" s="2575"/>
      <c r="J80" s="2575"/>
      <c r="K80" s="2575"/>
      <c r="L80" s="2567"/>
      <c r="M80" s="2567"/>
      <c r="N80" s="2567"/>
      <c r="O80" s="2567"/>
      <c r="P80" s="2567"/>
      <c r="Q80" s="110">
        <f t="shared" si="0"/>
        <v>0</v>
      </c>
      <c r="R80" s="66"/>
    </row>
    <row r="81" spans="1:18" ht="15.75" customHeight="1">
      <c r="A81" s="62"/>
      <c r="B81" s="67" t="s">
        <v>416</v>
      </c>
      <c r="C81" s="64" t="s">
        <v>269</v>
      </c>
      <c r="D81" s="69">
        <v>0</v>
      </c>
      <c r="E81" s="2575"/>
      <c r="F81" s="2575"/>
      <c r="G81" s="2575"/>
      <c r="H81" s="2575"/>
      <c r="I81" s="2575"/>
      <c r="J81" s="2575"/>
      <c r="K81" s="2575"/>
      <c r="L81" s="2567"/>
      <c r="M81" s="2567"/>
      <c r="N81" s="2567"/>
      <c r="O81" s="2567"/>
      <c r="P81" s="2567"/>
      <c r="Q81" s="110">
        <f t="shared" si="0"/>
        <v>0</v>
      </c>
      <c r="R81" s="66"/>
    </row>
    <row r="82" spans="1:18" ht="15.75" customHeight="1">
      <c r="A82" s="62"/>
      <c r="B82" s="67" t="s">
        <v>417</v>
      </c>
      <c r="C82" s="64"/>
      <c r="D82" s="69">
        <v>0</v>
      </c>
      <c r="E82" s="2575"/>
      <c r="F82" s="2575"/>
      <c r="G82" s="2575"/>
      <c r="H82" s="2575"/>
      <c r="I82" s="2575"/>
      <c r="J82" s="2575"/>
      <c r="K82" s="2575"/>
      <c r="L82" s="2567"/>
      <c r="M82" s="2567"/>
      <c r="N82" s="2567"/>
      <c r="O82" s="2567"/>
      <c r="P82" s="2567"/>
      <c r="Q82" s="110">
        <f t="shared" si="0"/>
        <v>0</v>
      </c>
      <c r="R82" s="66"/>
    </row>
    <row r="83" spans="1:18" ht="27">
      <c r="A83" s="83" t="s">
        <v>279</v>
      </c>
      <c r="B83" s="77" t="s">
        <v>342</v>
      </c>
      <c r="C83" s="64" t="s">
        <v>269</v>
      </c>
      <c r="D83" s="69">
        <v>26</v>
      </c>
      <c r="E83" s="2575"/>
      <c r="F83" s="2575"/>
      <c r="G83" s="2575"/>
      <c r="H83" s="2575"/>
      <c r="I83" s="2575"/>
      <c r="J83" s="2575"/>
      <c r="K83" s="2575"/>
      <c r="L83" s="2567"/>
      <c r="M83" s="2567"/>
      <c r="N83" s="2567"/>
      <c r="O83" s="2567"/>
      <c r="P83" s="2567"/>
      <c r="Q83" s="110">
        <f t="shared" si="0"/>
        <v>26</v>
      </c>
      <c r="R83" s="66"/>
    </row>
    <row r="84" spans="1:18" ht="43.5" customHeight="1">
      <c r="A84" s="83"/>
      <c r="B84" s="67" t="s">
        <v>419</v>
      </c>
      <c r="C84" s="64"/>
      <c r="D84" s="69">
        <v>26</v>
      </c>
      <c r="E84" s="2575"/>
      <c r="F84" s="2575"/>
      <c r="G84" s="2575"/>
      <c r="H84" s="2575"/>
      <c r="I84" s="2575"/>
      <c r="J84" s="2575"/>
      <c r="K84" s="2575"/>
      <c r="L84" s="2567"/>
      <c r="M84" s="2567"/>
      <c r="N84" s="2567"/>
      <c r="O84" s="2567"/>
      <c r="P84" s="2567"/>
      <c r="Q84" s="110">
        <f t="shared" si="0"/>
        <v>26</v>
      </c>
      <c r="R84" s="66"/>
    </row>
    <row r="85" spans="1:18" ht="67.5">
      <c r="A85" s="83" t="s">
        <v>282</v>
      </c>
      <c r="B85" s="63" t="s">
        <v>357</v>
      </c>
      <c r="C85" s="84" t="s">
        <v>269</v>
      </c>
      <c r="D85" s="118">
        <f t="shared" ref="D85:Q85" si="3">+D73-D78+D83</f>
        <v>52</v>
      </c>
      <c r="E85" s="2576"/>
      <c r="F85" s="2576"/>
      <c r="G85" s="2576"/>
      <c r="H85" s="2576"/>
      <c r="I85" s="2576"/>
      <c r="J85" s="2576"/>
      <c r="K85" s="2576"/>
      <c r="L85" s="2576"/>
      <c r="M85" s="2576"/>
      <c r="N85" s="2576"/>
      <c r="O85" s="2576"/>
      <c r="P85" s="2576"/>
      <c r="Q85" s="118">
        <f t="shared" si="3"/>
        <v>52</v>
      </c>
      <c r="R85" s="79"/>
    </row>
    <row r="86" spans="1:18" ht="23.25" customHeight="1">
      <c r="A86" s="100" t="s">
        <v>411</v>
      </c>
      <c r="B86" s="101" t="s">
        <v>420</v>
      </c>
      <c r="C86" s="102"/>
      <c r="D86" s="103"/>
      <c r="E86" s="2570"/>
      <c r="F86" s="2570"/>
      <c r="G86" s="2570"/>
      <c r="H86" s="2570"/>
      <c r="I86" s="2570"/>
      <c r="J86" s="2570"/>
      <c r="K86" s="2570"/>
      <c r="L86" s="2571"/>
      <c r="M86" s="2571"/>
      <c r="N86" s="2571"/>
      <c r="O86" s="2571"/>
      <c r="P86" s="2571"/>
      <c r="Q86" s="118">
        <f t="shared" ref="Q86:Q101" si="4">+Q74-Q79+Q84</f>
        <v>26</v>
      </c>
      <c r="R86" s="105"/>
    </row>
    <row r="87" spans="1:18" ht="67.5">
      <c r="A87" s="62" t="s">
        <v>260</v>
      </c>
      <c r="B87" s="63" t="s">
        <v>347</v>
      </c>
      <c r="C87" s="64" t="s">
        <v>269</v>
      </c>
      <c r="D87" s="69">
        <v>3</v>
      </c>
      <c r="E87" s="2575"/>
      <c r="F87" s="2575"/>
      <c r="G87" s="2575"/>
      <c r="H87" s="2575"/>
      <c r="I87" s="2575"/>
      <c r="J87" s="2575"/>
      <c r="K87" s="2575"/>
      <c r="L87" s="2567"/>
      <c r="M87" s="2567"/>
      <c r="N87" s="2567"/>
      <c r="O87" s="2567"/>
      <c r="P87" s="2567"/>
      <c r="Q87" s="118">
        <f t="shared" si="4"/>
        <v>78</v>
      </c>
      <c r="R87" s="66"/>
    </row>
    <row r="88" spans="1:18" ht="15.75" customHeight="1">
      <c r="A88" s="62"/>
      <c r="B88" s="67" t="s">
        <v>421</v>
      </c>
      <c r="C88" s="64" t="s">
        <v>269</v>
      </c>
      <c r="D88" s="69">
        <v>1</v>
      </c>
      <c r="E88" s="2575"/>
      <c r="F88" s="2575"/>
      <c r="G88" s="2575"/>
      <c r="H88" s="2575"/>
      <c r="I88" s="2575"/>
      <c r="J88" s="2575"/>
      <c r="K88" s="2575"/>
      <c r="L88" s="2567"/>
      <c r="M88" s="2567"/>
      <c r="N88" s="2567"/>
      <c r="O88" s="2567"/>
      <c r="P88" s="2567"/>
      <c r="Q88" s="118">
        <f t="shared" si="4"/>
        <v>26</v>
      </c>
      <c r="R88" s="66"/>
    </row>
    <row r="89" spans="1:18" ht="15.75" customHeight="1">
      <c r="A89" s="62"/>
      <c r="B89" s="67" t="s">
        <v>422</v>
      </c>
      <c r="C89" s="64" t="s">
        <v>269</v>
      </c>
      <c r="D89" s="69">
        <v>0</v>
      </c>
      <c r="E89" s="2575"/>
      <c r="F89" s="2575"/>
      <c r="G89" s="2575"/>
      <c r="H89" s="2575"/>
      <c r="I89" s="2575"/>
      <c r="J89" s="2575"/>
      <c r="K89" s="2575"/>
      <c r="L89" s="2567"/>
      <c r="M89" s="2567"/>
      <c r="N89" s="2567"/>
      <c r="O89" s="2567"/>
      <c r="P89" s="2567"/>
      <c r="Q89" s="118">
        <f t="shared" si="4"/>
        <v>78</v>
      </c>
      <c r="R89" s="66"/>
    </row>
    <row r="90" spans="1:18" ht="15.75" customHeight="1">
      <c r="A90" s="62"/>
      <c r="B90" s="67" t="s">
        <v>423</v>
      </c>
      <c r="C90" s="64" t="s">
        <v>269</v>
      </c>
      <c r="D90" s="69">
        <v>2</v>
      </c>
      <c r="E90" s="2575"/>
      <c r="F90" s="2575"/>
      <c r="G90" s="2575"/>
      <c r="H90" s="2575"/>
      <c r="I90" s="2575"/>
      <c r="J90" s="2575"/>
      <c r="K90" s="2575"/>
      <c r="L90" s="2567"/>
      <c r="M90" s="2567"/>
      <c r="N90" s="2567"/>
      <c r="O90" s="2567"/>
      <c r="P90" s="2567"/>
      <c r="Q90" s="118">
        <f t="shared" si="4"/>
        <v>104</v>
      </c>
      <c r="R90" s="66"/>
    </row>
    <row r="91" spans="1:18" ht="15.75" customHeight="1">
      <c r="A91" s="62"/>
      <c r="B91" s="67" t="s">
        <v>424</v>
      </c>
      <c r="C91" s="64" t="s">
        <v>269</v>
      </c>
      <c r="D91" s="69">
        <v>0</v>
      </c>
      <c r="E91" s="2575"/>
      <c r="F91" s="2575"/>
      <c r="G91" s="2575"/>
      <c r="H91" s="2575"/>
      <c r="I91" s="2575"/>
      <c r="J91" s="2575"/>
      <c r="K91" s="2575"/>
      <c r="L91" s="2567"/>
      <c r="M91" s="2567"/>
      <c r="N91" s="2567"/>
      <c r="O91" s="2567"/>
      <c r="P91" s="2567"/>
      <c r="Q91" s="118">
        <f t="shared" si="4"/>
        <v>156</v>
      </c>
      <c r="R91" s="66"/>
    </row>
    <row r="92" spans="1:18" ht="15.75" customHeight="1">
      <c r="A92" s="62"/>
      <c r="B92" s="67" t="s">
        <v>425</v>
      </c>
      <c r="C92" s="64" t="s">
        <v>269</v>
      </c>
      <c r="D92" s="69">
        <v>0</v>
      </c>
      <c r="E92" s="2575"/>
      <c r="F92" s="2575"/>
      <c r="G92" s="2575"/>
      <c r="H92" s="2575"/>
      <c r="I92" s="2575"/>
      <c r="J92" s="2575"/>
      <c r="K92" s="2575"/>
      <c r="L92" s="2567"/>
      <c r="M92" s="2567"/>
      <c r="N92" s="2567"/>
      <c r="O92" s="2567"/>
      <c r="P92" s="2567"/>
      <c r="Q92" s="118">
        <f t="shared" si="4"/>
        <v>52</v>
      </c>
      <c r="R92" s="66"/>
    </row>
    <row r="93" spans="1:18" ht="40.5">
      <c r="A93" s="83" t="s">
        <v>274</v>
      </c>
      <c r="B93" s="63" t="s">
        <v>354</v>
      </c>
      <c r="C93" s="64"/>
      <c r="D93" s="69">
        <v>0</v>
      </c>
      <c r="E93" s="2575"/>
      <c r="F93" s="2575"/>
      <c r="G93" s="2575"/>
      <c r="H93" s="2575"/>
      <c r="I93" s="2575"/>
      <c r="J93" s="2575"/>
      <c r="K93" s="2575"/>
      <c r="L93" s="2567"/>
      <c r="M93" s="2567"/>
      <c r="N93" s="2567"/>
      <c r="O93" s="2567"/>
      <c r="P93" s="2567"/>
      <c r="Q93" s="118">
        <f t="shared" si="4"/>
        <v>130</v>
      </c>
      <c r="R93" s="66"/>
    </row>
    <row r="94" spans="1:18" ht="15.75" customHeight="1">
      <c r="A94" s="62"/>
      <c r="B94" s="67" t="s">
        <v>421</v>
      </c>
      <c r="C94" s="64" t="s">
        <v>269</v>
      </c>
      <c r="D94" s="69">
        <v>0</v>
      </c>
      <c r="E94" s="2575"/>
      <c r="F94" s="2575"/>
      <c r="G94" s="2575"/>
      <c r="H94" s="2575"/>
      <c r="I94" s="2575"/>
      <c r="J94" s="2575"/>
      <c r="K94" s="2575"/>
      <c r="L94" s="2567"/>
      <c r="M94" s="2567"/>
      <c r="N94" s="2567"/>
      <c r="O94" s="2567"/>
      <c r="P94" s="2567"/>
      <c r="Q94" s="118">
        <f t="shared" si="4"/>
        <v>-26</v>
      </c>
      <c r="R94" s="66"/>
    </row>
    <row r="95" spans="1:18" ht="15.75" customHeight="1">
      <c r="A95" s="62"/>
      <c r="B95" s="67" t="s">
        <v>422</v>
      </c>
      <c r="C95" s="64" t="s">
        <v>269</v>
      </c>
      <c r="D95" s="69">
        <v>0</v>
      </c>
      <c r="E95" s="2575"/>
      <c r="F95" s="2575"/>
      <c r="G95" s="2575"/>
      <c r="H95" s="2575"/>
      <c r="I95" s="2575"/>
      <c r="J95" s="2575"/>
      <c r="K95" s="2575"/>
      <c r="L95" s="2567"/>
      <c r="M95" s="2567"/>
      <c r="N95" s="2567"/>
      <c r="O95" s="2567"/>
      <c r="P95" s="2567"/>
      <c r="Q95" s="118">
        <f t="shared" si="4"/>
        <v>130</v>
      </c>
      <c r="R95" s="66"/>
    </row>
    <row r="96" spans="1:18" ht="15.75" customHeight="1">
      <c r="A96" s="62"/>
      <c r="B96" s="67" t="s">
        <v>423</v>
      </c>
      <c r="C96" s="64" t="s">
        <v>269</v>
      </c>
      <c r="D96" s="69">
        <v>0</v>
      </c>
      <c r="E96" s="2575"/>
      <c r="F96" s="2575"/>
      <c r="G96" s="2575"/>
      <c r="H96" s="2575"/>
      <c r="I96" s="2575"/>
      <c r="J96" s="2575"/>
      <c r="K96" s="2575"/>
      <c r="L96" s="2567"/>
      <c r="M96" s="2567"/>
      <c r="N96" s="2567"/>
      <c r="O96" s="2567"/>
      <c r="P96" s="2567"/>
      <c r="Q96" s="118">
        <f t="shared" si="4"/>
        <v>-78</v>
      </c>
      <c r="R96" s="66"/>
    </row>
    <row r="97" spans="1:18" ht="15.75" customHeight="1">
      <c r="A97" s="62"/>
      <c r="B97" s="67" t="s">
        <v>424</v>
      </c>
      <c r="C97" s="64" t="s">
        <v>269</v>
      </c>
      <c r="D97" s="69">
        <v>0</v>
      </c>
      <c r="E97" s="2575"/>
      <c r="F97" s="2575"/>
      <c r="G97" s="2575"/>
      <c r="H97" s="2575"/>
      <c r="I97" s="2575"/>
      <c r="J97" s="2575"/>
      <c r="K97" s="2575"/>
      <c r="L97" s="2567"/>
      <c r="M97" s="2567"/>
      <c r="N97" s="2567"/>
      <c r="O97" s="2567"/>
      <c r="P97" s="2567"/>
      <c r="Q97" s="118">
        <f t="shared" si="4"/>
        <v>78</v>
      </c>
      <c r="R97" s="66"/>
    </row>
    <row r="98" spans="1:18" ht="15.75" customHeight="1">
      <c r="A98" s="62"/>
      <c r="B98" s="67" t="s">
        <v>425</v>
      </c>
      <c r="C98" s="64" t="s">
        <v>269</v>
      </c>
      <c r="D98" s="69">
        <v>0</v>
      </c>
      <c r="E98" s="2575"/>
      <c r="F98" s="2575"/>
      <c r="G98" s="2575"/>
      <c r="H98" s="2575"/>
      <c r="I98" s="2575"/>
      <c r="J98" s="2575"/>
      <c r="K98" s="2575"/>
      <c r="L98" s="2567"/>
      <c r="M98" s="2567"/>
      <c r="N98" s="2567"/>
      <c r="O98" s="2567"/>
      <c r="P98" s="2567"/>
      <c r="Q98" s="118">
        <f t="shared" si="4"/>
        <v>-208</v>
      </c>
      <c r="R98" s="66"/>
    </row>
    <row r="99" spans="1:18" ht="27">
      <c r="A99" s="83" t="s">
        <v>279</v>
      </c>
      <c r="B99" s="77" t="s">
        <v>355</v>
      </c>
      <c r="C99" s="64" t="s">
        <v>269</v>
      </c>
      <c r="D99" s="69">
        <v>2</v>
      </c>
      <c r="E99" s="2575"/>
      <c r="F99" s="2575"/>
      <c r="G99" s="2575"/>
      <c r="H99" s="2575"/>
      <c r="I99" s="2575"/>
      <c r="J99" s="2575"/>
      <c r="K99" s="2575"/>
      <c r="L99" s="2567"/>
      <c r="M99" s="2567"/>
      <c r="N99" s="2567"/>
      <c r="O99" s="2567"/>
      <c r="P99" s="2567"/>
      <c r="Q99" s="118">
        <f t="shared" si="4"/>
        <v>104</v>
      </c>
      <c r="R99" s="66"/>
    </row>
    <row r="100" spans="1:18" ht="37.5" customHeight="1">
      <c r="A100" s="83"/>
      <c r="B100" s="67" t="s">
        <v>419</v>
      </c>
      <c r="C100" s="64"/>
      <c r="D100" s="69">
        <v>2</v>
      </c>
      <c r="E100" s="2575"/>
      <c r="F100" s="2575"/>
      <c r="G100" s="2575"/>
      <c r="H100" s="2575"/>
      <c r="I100" s="2575"/>
      <c r="J100" s="2575"/>
      <c r="K100" s="2575"/>
      <c r="L100" s="2567"/>
      <c r="M100" s="2567"/>
      <c r="N100" s="2567"/>
      <c r="O100" s="2567"/>
      <c r="P100" s="2567"/>
      <c r="Q100" s="118">
        <f t="shared" si="4"/>
        <v>-312</v>
      </c>
      <c r="R100" s="66"/>
    </row>
    <row r="101" spans="1:18" ht="68.25" customHeight="1">
      <c r="A101" s="83" t="s">
        <v>282</v>
      </c>
      <c r="B101" s="63" t="s">
        <v>357</v>
      </c>
      <c r="C101" s="84" t="s">
        <v>269</v>
      </c>
      <c r="D101" s="118">
        <f t="shared" ref="D101" si="5">+D87-D93+D99</f>
        <v>5</v>
      </c>
      <c r="E101" s="2576"/>
      <c r="F101" s="2576"/>
      <c r="G101" s="2576"/>
      <c r="H101" s="2576"/>
      <c r="I101" s="2576"/>
      <c r="J101" s="2576"/>
      <c r="K101" s="2576"/>
      <c r="L101" s="2576"/>
      <c r="M101" s="2576"/>
      <c r="N101" s="2576"/>
      <c r="O101" s="2576"/>
      <c r="P101" s="2576"/>
      <c r="Q101" s="118">
        <f t="shared" si="4"/>
        <v>208</v>
      </c>
      <c r="R101" s="79"/>
    </row>
    <row r="102" spans="1:18" ht="15.75" customHeight="1">
      <c r="A102" s="119"/>
      <c r="B102" s="91"/>
      <c r="C102" s="91"/>
      <c r="D102" s="91"/>
      <c r="E102" s="91"/>
      <c r="F102" s="91"/>
      <c r="G102" s="91"/>
      <c r="H102" s="91"/>
      <c r="I102" s="91"/>
      <c r="J102" s="91"/>
      <c r="K102" s="91"/>
      <c r="L102" s="92"/>
      <c r="M102" s="92"/>
      <c r="N102" s="92"/>
      <c r="O102" s="92"/>
      <c r="P102" s="2805"/>
      <c r="Q102" s="2732"/>
      <c r="R102" s="2732"/>
    </row>
    <row r="103" spans="1:18" ht="15.75" customHeight="1">
      <c r="A103" s="1863"/>
      <c r="B103" s="1864"/>
      <c r="C103" s="1865"/>
      <c r="D103" s="1865"/>
      <c r="E103" s="1865"/>
      <c r="F103" s="1865"/>
      <c r="G103" s="1865"/>
      <c r="H103" s="1865"/>
      <c r="I103" s="1865"/>
      <c r="J103" s="1865"/>
      <c r="K103" s="1865"/>
      <c r="L103" s="1866"/>
      <c r="M103" s="2806" t="s">
        <v>426</v>
      </c>
      <c r="N103" s="2732"/>
      <c r="O103" s="2732"/>
      <c r="P103" s="2732"/>
      <c r="Q103" s="2732"/>
      <c r="R103" s="2732"/>
    </row>
    <row r="104" spans="1:18" ht="33" customHeight="1">
      <c r="A104" s="2807" t="s">
        <v>359</v>
      </c>
      <c r="B104" s="2796"/>
      <c r="C104" s="2797" t="s">
        <v>427</v>
      </c>
      <c r="D104" s="2796"/>
      <c r="E104" s="2796"/>
      <c r="F104" s="2796"/>
      <c r="G104" s="2796"/>
      <c r="H104" s="2796"/>
      <c r="I104" s="2796"/>
      <c r="J104" s="2796"/>
      <c r="K104" s="2796"/>
      <c r="L104" s="2796"/>
      <c r="M104" s="2798" t="s">
        <v>325</v>
      </c>
      <c r="N104" s="2732"/>
      <c r="O104" s="2732"/>
      <c r="P104" s="2732"/>
      <c r="Q104" s="2732"/>
      <c r="R104" s="2732"/>
    </row>
    <row r="105" spans="1:18" ht="15.75" customHeight="1">
      <c r="A105" s="1871"/>
      <c r="B105" s="1871"/>
      <c r="C105" s="1871"/>
      <c r="D105" s="1869"/>
      <c r="E105" s="1869"/>
      <c r="F105" s="1869"/>
      <c r="G105" s="1869"/>
      <c r="H105" s="1869"/>
      <c r="I105" s="1869"/>
      <c r="J105" s="1869"/>
      <c r="K105" s="1869"/>
      <c r="L105" s="1870"/>
      <c r="M105" s="1870"/>
      <c r="N105" s="1870"/>
      <c r="O105" s="1870"/>
      <c r="P105" s="2798"/>
      <c r="Q105" s="2732"/>
      <c r="R105" s="2732"/>
    </row>
    <row r="106" spans="1:18" ht="15.75" customHeight="1">
      <c r="A106" s="1871"/>
      <c r="B106" s="1871"/>
      <c r="C106" s="1871"/>
      <c r="D106" s="1869"/>
      <c r="E106" s="1869"/>
      <c r="F106" s="1869"/>
      <c r="G106" s="1869"/>
      <c r="H106" s="1869"/>
      <c r="I106" s="1869"/>
      <c r="J106" s="1869"/>
      <c r="K106" s="1869"/>
      <c r="L106" s="1870"/>
      <c r="M106" s="1870"/>
      <c r="N106" s="1870"/>
      <c r="O106" s="1870"/>
      <c r="P106" s="86"/>
      <c r="Q106" s="86"/>
      <c r="R106" s="86"/>
    </row>
    <row r="107" spans="1:18" ht="15.75" customHeight="1">
      <c r="A107" s="1871"/>
      <c r="B107" s="1871"/>
      <c r="C107" s="1871"/>
      <c r="D107" s="1869"/>
      <c r="E107" s="1869"/>
      <c r="F107" s="1869"/>
      <c r="G107" s="1869"/>
      <c r="H107" s="1869"/>
      <c r="I107" s="1869"/>
      <c r="J107" s="1869"/>
      <c r="K107" s="1869"/>
      <c r="L107" s="1870"/>
      <c r="M107" s="1870"/>
      <c r="N107" s="1870"/>
      <c r="O107" s="1870"/>
      <c r="P107" s="86"/>
      <c r="Q107" s="86"/>
      <c r="R107" s="86"/>
    </row>
    <row r="108" spans="1:18" ht="15.75" customHeight="1">
      <c r="A108" s="71"/>
      <c r="B108" s="71"/>
      <c r="C108" s="71"/>
      <c r="D108" s="71"/>
      <c r="E108" s="71"/>
      <c r="F108" s="71"/>
      <c r="G108" s="71"/>
      <c r="H108" s="71"/>
      <c r="I108" s="71"/>
      <c r="J108" s="71"/>
      <c r="K108" s="71"/>
      <c r="L108" s="88"/>
      <c r="M108" s="88"/>
      <c r="N108" s="88"/>
      <c r="O108" s="2799"/>
      <c r="P108" s="2732"/>
      <c r="Q108" s="2732"/>
      <c r="R108" s="2732"/>
    </row>
    <row r="109" spans="1:18" ht="15.75" customHeight="1">
      <c r="A109" s="71"/>
      <c r="B109" s="71"/>
      <c r="C109" s="71"/>
      <c r="D109" s="71"/>
      <c r="E109" s="71"/>
      <c r="F109" s="71"/>
      <c r="G109" s="71"/>
      <c r="H109" s="71"/>
      <c r="I109" s="71"/>
      <c r="J109" s="71"/>
      <c r="K109" s="71"/>
      <c r="L109" s="88"/>
      <c r="M109" s="88"/>
      <c r="N109" s="88"/>
      <c r="O109" s="88"/>
      <c r="P109" s="2786"/>
      <c r="Q109" s="2732"/>
      <c r="R109" s="2732"/>
    </row>
  </sheetData>
  <mergeCells count="13">
    <mergeCell ref="P109:R109"/>
    <mergeCell ref="A1:C1"/>
    <mergeCell ref="Q1:R1"/>
    <mergeCell ref="A2:C2"/>
    <mergeCell ref="A3:R3"/>
    <mergeCell ref="A4:R4"/>
    <mergeCell ref="P102:R102"/>
    <mergeCell ref="M103:R103"/>
    <mergeCell ref="A104:B104"/>
    <mergeCell ref="C104:L104"/>
    <mergeCell ref="M104:R104"/>
    <mergeCell ref="P105:R105"/>
    <mergeCell ref="O108:R108"/>
  </mergeCells>
  <pageMargins left="0" right="0" top="0" bottom="0" header="0" footer="0"/>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pane xSplit="2" ySplit="8" topLeftCell="C9"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6.140625" customWidth="1"/>
    <col min="2" max="2" width="26.42578125" customWidth="1"/>
    <col min="3" max="10" width="12.7109375" customWidth="1"/>
    <col min="11" max="11" width="26.28515625" customWidth="1"/>
    <col min="12" max="21" width="9" customWidth="1"/>
  </cols>
  <sheetData>
    <row r="1" spans="1:11" ht="21.75" customHeight="1">
      <c r="A1" s="2809" t="s">
        <v>23</v>
      </c>
      <c r="B1" s="2732"/>
      <c r="C1" s="2732"/>
      <c r="D1" s="139"/>
      <c r="E1" s="139"/>
      <c r="F1" s="139"/>
      <c r="G1" s="140"/>
      <c r="H1" s="71"/>
      <c r="I1" s="139"/>
      <c r="J1" s="139"/>
      <c r="K1" s="141" t="s">
        <v>428</v>
      </c>
    </row>
    <row r="2" spans="1:11">
      <c r="A2" s="2790" t="s">
        <v>429</v>
      </c>
      <c r="B2" s="2732"/>
      <c r="C2" s="2732"/>
      <c r="D2" s="43"/>
      <c r="E2" s="43"/>
      <c r="F2" s="43"/>
      <c r="G2" s="142"/>
      <c r="H2" s="142"/>
      <c r="I2" s="43"/>
      <c r="J2" s="43"/>
      <c r="K2" s="86"/>
    </row>
    <row r="3" spans="1:11">
      <c r="A3" s="43"/>
      <c r="D3" s="43"/>
      <c r="E3" s="43"/>
      <c r="F3" s="43"/>
      <c r="G3" s="142"/>
      <c r="H3" s="142"/>
      <c r="I3" s="43"/>
      <c r="J3" s="43"/>
      <c r="K3" s="86"/>
    </row>
    <row r="4" spans="1:11" ht="21" customHeight="1">
      <c r="A4" s="2773" t="s">
        <v>430</v>
      </c>
      <c r="B4" s="2732"/>
      <c r="C4" s="2732"/>
      <c r="D4" s="2732"/>
      <c r="E4" s="2732"/>
      <c r="F4" s="2732"/>
      <c r="G4" s="2732"/>
      <c r="H4" s="2732"/>
      <c r="I4" s="2732"/>
      <c r="J4" s="2732"/>
      <c r="K4" s="2732"/>
    </row>
    <row r="5" spans="1:11" ht="30" customHeight="1">
      <c r="A5" s="2810" t="s">
        <v>431</v>
      </c>
      <c r="B5" s="2732"/>
      <c r="C5" s="2732"/>
      <c r="D5" s="2732"/>
      <c r="E5" s="2732"/>
      <c r="F5" s="2732"/>
      <c r="G5" s="2732"/>
      <c r="H5" s="2732"/>
      <c r="I5" s="2732"/>
      <c r="J5" s="2732"/>
      <c r="K5" s="2732"/>
    </row>
    <row r="6" spans="1:11" ht="30" customHeight="1">
      <c r="A6" s="2811" t="s">
        <v>432</v>
      </c>
      <c r="B6" s="2732"/>
      <c r="C6" s="2732"/>
      <c r="D6" s="2732"/>
      <c r="E6" s="2732"/>
      <c r="F6" s="2732"/>
      <c r="G6" s="2732"/>
      <c r="H6" s="2732"/>
      <c r="I6" s="2732"/>
      <c r="J6" s="2732"/>
      <c r="K6" s="2732"/>
    </row>
    <row r="7" spans="1:11">
      <c r="A7" s="143"/>
      <c r="B7" s="96"/>
      <c r="C7" s="96"/>
      <c r="D7" s="96"/>
      <c r="E7" s="96"/>
      <c r="F7" s="96"/>
      <c r="G7" s="144"/>
      <c r="H7" s="144"/>
      <c r="I7" s="96"/>
      <c r="J7" s="96"/>
      <c r="K7" s="96"/>
    </row>
    <row r="8" spans="1:11" ht="42" customHeight="1">
      <c r="A8" s="145" t="s">
        <v>186</v>
      </c>
      <c r="B8" s="146" t="s">
        <v>28</v>
      </c>
      <c r="C8" s="147" t="s">
        <v>243</v>
      </c>
      <c r="D8" s="147" t="s">
        <v>433</v>
      </c>
      <c r="E8" s="146" t="s">
        <v>434</v>
      </c>
      <c r="F8" s="146" t="s">
        <v>435</v>
      </c>
      <c r="G8" s="146" t="s">
        <v>436</v>
      </c>
      <c r="H8" s="146" t="s">
        <v>437</v>
      </c>
      <c r="I8" s="146" t="s">
        <v>438</v>
      </c>
      <c r="J8" s="147" t="s">
        <v>439</v>
      </c>
      <c r="K8" s="146" t="s">
        <v>32</v>
      </c>
    </row>
    <row r="9" spans="1:11" ht="42" customHeight="1">
      <c r="A9" s="148" t="s">
        <v>200</v>
      </c>
      <c r="B9" s="1877" t="s">
        <v>440</v>
      </c>
      <c r="C9" s="1878">
        <f>C10+C11+C12+C13</f>
        <v>153709.79999999999</v>
      </c>
      <c r="D9" s="1878"/>
      <c r="E9" s="1878"/>
      <c r="F9" s="1878"/>
      <c r="G9" s="1878"/>
      <c r="H9" s="1878"/>
      <c r="I9" s="1878"/>
      <c r="J9" s="1878"/>
      <c r="K9" s="1878"/>
    </row>
    <row r="10" spans="1:11" ht="19.5" customHeight="1">
      <c r="A10" s="149">
        <v>1</v>
      </c>
      <c r="B10" s="150" t="s">
        <v>441</v>
      </c>
      <c r="C10" s="151">
        <f>'B2 SP'!H221</f>
        <v>95201.8</v>
      </c>
      <c r="D10" s="152"/>
      <c r="E10" s="153"/>
      <c r="F10" s="153"/>
      <c r="G10" s="154"/>
      <c r="H10" s="154"/>
      <c r="I10" s="155"/>
      <c r="J10" s="155"/>
      <c r="K10" s="153"/>
    </row>
    <row r="11" spans="1:11" ht="19.5" customHeight="1">
      <c r="A11" s="149">
        <v>2</v>
      </c>
      <c r="B11" s="150" t="s">
        <v>442</v>
      </c>
      <c r="C11" s="156">
        <f>'B2 SP'!H226</f>
        <v>45835</v>
      </c>
      <c r="D11" s="157"/>
      <c r="E11" s="157"/>
      <c r="F11" s="157"/>
      <c r="G11" s="157"/>
      <c r="H11" s="157"/>
      <c r="I11" s="157"/>
      <c r="J11" s="157"/>
      <c r="K11" s="157"/>
    </row>
    <row r="12" spans="1:11" ht="19.5" customHeight="1">
      <c r="A12" s="149">
        <v>3</v>
      </c>
      <c r="B12" s="150" t="s">
        <v>210</v>
      </c>
      <c r="C12" s="156">
        <f>'B2 SP'!H229</f>
        <v>213</v>
      </c>
      <c r="D12" s="157"/>
      <c r="E12" s="157"/>
      <c r="F12" s="157"/>
      <c r="G12" s="157"/>
      <c r="H12" s="157"/>
      <c r="I12" s="157"/>
      <c r="J12" s="157"/>
      <c r="K12" s="157"/>
    </row>
    <row r="13" spans="1:11" ht="19.5" customHeight="1">
      <c r="A13" s="149">
        <v>4</v>
      </c>
      <c r="B13" s="150" t="s">
        <v>443</v>
      </c>
      <c r="C13" s="156">
        <f>C14</f>
        <v>12460</v>
      </c>
      <c r="D13" s="157"/>
      <c r="E13" s="157"/>
      <c r="F13" s="157"/>
      <c r="G13" s="157"/>
      <c r="H13" s="157"/>
      <c r="I13" s="157"/>
      <c r="J13" s="157"/>
      <c r="K13" s="157"/>
    </row>
    <row r="14" spans="1:11" ht="19.5" customHeight="1">
      <c r="A14" s="149"/>
      <c r="B14" s="158" t="s">
        <v>443</v>
      </c>
      <c r="C14" s="156">
        <f>'B2 SP'!H236</f>
        <v>12460</v>
      </c>
      <c r="D14" s="157"/>
      <c r="E14" s="157"/>
      <c r="F14" s="157"/>
      <c r="G14" s="157"/>
      <c r="H14" s="157"/>
      <c r="I14" s="157"/>
      <c r="J14" s="157"/>
      <c r="K14" s="157"/>
    </row>
    <row r="15" spans="1:11" ht="43.5" customHeight="1">
      <c r="A15" s="149"/>
      <c r="B15" s="158" t="s">
        <v>444</v>
      </c>
      <c r="C15" s="157"/>
      <c r="D15" s="157"/>
      <c r="E15" s="157"/>
      <c r="F15" s="157"/>
      <c r="G15" s="157"/>
      <c r="H15" s="157"/>
      <c r="I15" s="157"/>
      <c r="J15" s="157"/>
      <c r="K15" s="157"/>
    </row>
    <row r="16" spans="1:11" ht="19.5" customHeight="1">
      <c r="A16" s="149" t="s">
        <v>445</v>
      </c>
      <c r="B16" s="150" t="s">
        <v>42</v>
      </c>
      <c r="C16" s="157">
        <v>0</v>
      </c>
      <c r="D16" s="157"/>
      <c r="E16" s="157"/>
      <c r="F16" s="157"/>
      <c r="G16" s="157"/>
      <c r="H16" s="157"/>
      <c r="I16" s="157"/>
      <c r="J16" s="157"/>
      <c r="K16" s="157"/>
    </row>
    <row r="17" spans="1:11" ht="42" customHeight="1">
      <c r="A17" s="148" t="s">
        <v>206</v>
      </c>
      <c r="B17" s="1877" t="s">
        <v>446</v>
      </c>
      <c r="C17" s="1878">
        <f>C18+C19+C20+C21</f>
        <v>120029.11</v>
      </c>
      <c r="D17" s="1878"/>
      <c r="E17" s="1878"/>
      <c r="F17" s="1878"/>
      <c r="G17" s="1878"/>
      <c r="H17" s="1878"/>
      <c r="I17" s="1878"/>
      <c r="J17" s="1878"/>
      <c r="K17" s="1878"/>
    </row>
    <row r="18" spans="1:11" ht="19.5" customHeight="1">
      <c r="A18" s="149">
        <v>1</v>
      </c>
      <c r="B18" s="150" t="s">
        <v>441</v>
      </c>
      <c r="C18" s="151">
        <f>'B2 SP'!H222</f>
        <v>111997.61</v>
      </c>
      <c r="D18" s="152"/>
      <c r="E18" s="153"/>
      <c r="F18" s="153"/>
      <c r="G18" s="154"/>
      <c r="H18" s="154"/>
      <c r="I18" s="155"/>
      <c r="J18" s="155"/>
      <c r="K18" s="153"/>
    </row>
    <row r="19" spans="1:11" ht="19.5" customHeight="1">
      <c r="A19" s="149">
        <v>2</v>
      </c>
      <c r="B19" s="150" t="s">
        <v>442</v>
      </c>
      <c r="C19" s="156">
        <f>'B2 SP'!H227</f>
        <v>2065.5</v>
      </c>
      <c r="D19" s="157"/>
      <c r="E19" s="157"/>
      <c r="F19" s="157"/>
      <c r="G19" s="157"/>
      <c r="H19" s="157"/>
      <c r="I19" s="157"/>
      <c r="J19" s="157"/>
      <c r="K19" s="157"/>
    </row>
    <row r="20" spans="1:11" ht="19.5" customHeight="1">
      <c r="A20" s="149">
        <v>3</v>
      </c>
      <c r="B20" s="150" t="s">
        <v>210</v>
      </c>
      <c r="C20" s="157">
        <v>0</v>
      </c>
      <c r="D20" s="157"/>
      <c r="E20" s="157"/>
      <c r="F20" s="157"/>
      <c r="G20" s="157"/>
      <c r="H20" s="157"/>
      <c r="I20" s="157"/>
      <c r="J20" s="157"/>
      <c r="K20" s="157"/>
    </row>
    <row r="21" spans="1:11" ht="19.5" customHeight="1">
      <c r="A21" s="149">
        <v>4</v>
      </c>
      <c r="B21" s="150" t="s">
        <v>443</v>
      </c>
      <c r="C21" s="156">
        <f>C23</f>
        <v>5966</v>
      </c>
      <c r="D21" s="157"/>
      <c r="E21" s="157"/>
      <c r="F21" s="157"/>
      <c r="G21" s="157"/>
      <c r="H21" s="157"/>
      <c r="I21" s="157"/>
      <c r="J21" s="157"/>
      <c r="K21" s="157"/>
    </row>
    <row r="22" spans="1:11" ht="19.5" customHeight="1">
      <c r="A22" s="149"/>
      <c r="B22" s="158" t="s">
        <v>443</v>
      </c>
      <c r="C22" s="159"/>
      <c r="D22" s="157"/>
      <c r="E22" s="157"/>
      <c r="F22" s="157"/>
      <c r="G22" s="157"/>
      <c r="H22" s="157"/>
      <c r="I22" s="157"/>
      <c r="J22" s="157"/>
      <c r="K22" s="157"/>
    </row>
    <row r="23" spans="1:11" ht="43.5" customHeight="1">
      <c r="A23" s="149"/>
      <c r="B23" s="158" t="s">
        <v>444</v>
      </c>
      <c r="C23" s="156">
        <f>'B2 SP'!H237</f>
        <v>5966</v>
      </c>
      <c r="D23" s="157"/>
      <c r="E23" s="157"/>
      <c r="F23" s="157"/>
      <c r="G23" s="157"/>
      <c r="H23" s="157"/>
      <c r="I23" s="157"/>
      <c r="J23" s="157"/>
      <c r="K23" s="157"/>
    </row>
    <row r="24" spans="1:11" ht="19.5" customHeight="1">
      <c r="A24" s="149" t="s">
        <v>445</v>
      </c>
      <c r="B24" s="150" t="s">
        <v>42</v>
      </c>
      <c r="C24" s="157"/>
      <c r="D24" s="157"/>
      <c r="E24" s="157"/>
      <c r="F24" s="157"/>
      <c r="G24" s="157"/>
      <c r="H24" s="157"/>
      <c r="I24" s="157"/>
      <c r="J24" s="157"/>
      <c r="K24" s="157"/>
    </row>
    <row r="25" spans="1:11" ht="19.5" customHeight="1">
      <c r="A25" s="160"/>
      <c r="B25" s="161" t="s">
        <v>447</v>
      </c>
      <c r="C25" s="162">
        <f>C9+C17</f>
        <v>273738.90999999997</v>
      </c>
      <c r="D25" s="161"/>
      <c r="E25" s="161"/>
      <c r="F25" s="161"/>
      <c r="G25" s="161"/>
      <c r="H25" s="161"/>
      <c r="I25" s="161"/>
      <c r="J25" s="161"/>
      <c r="K25" s="161"/>
    </row>
    <row r="26" spans="1:11" ht="15.75" customHeight="1">
      <c r="A26" s="15"/>
      <c r="B26" s="15"/>
      <c r="C26" s="15"/>
      <c r="D26" s="15"/>
      <c r="E26" s="15"/>
      <c r="F26" s="15"/>
      <c r="G26" s="2808" t="s">
        <v>448</v>
      </c>
      <c r="H26" s="2732"/>
      <c r="I26" s="2732"/>
      <c r="J26" s="2732"/>
      <c r="K26" s="2732"/>
    </row>
    <row r="27" spans="1:11" ht="15.75" customHeight="1">
      <c r="A27" s="15"/>
      <c r="B27" s="15"/>
      <c r="C27" s="15"/>
      <c r="D27" s="15"/>
      <c r="E27" s="15"/>
      <c r="F27" s="15"/>
      <c r="G27" s="2773" t="s">
        <v>449</v>
      </c>
      <c r="H27" s="2732"/>
      <c r="I27" s="2732"/>
      <c r="J27" s="2732"/>
      <c r="K27" s="2732"/>
    </row>
  </sheetData>
  <mergeCells count="7">
    <mergeCell ref="G26:K26"/>
    <mergeCell ref="G27:K27"/>
    <mergeCell ref="A1:C1"/>
    <mergeCell ref="A2:C2"/>
    <mergeCell ref="A4:K4"/>
    <mergeCell ref="A5:K5"/>
    <mergeCell ref="A6:K6"/>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HƯỚNG DẪN SỬ DỤNG KHNH</vt:lpstr>
      <vt:lpstr>Đánh giá tình hình thực hiện KH</vt:lpstr>
      <vt:lpstr>Triển khai KHNH 23SP</vt:lpstr>
      <vt:lpstr>QĐ phê duyệt KHNH2023</vt:lpstr>
      <vt:lpstr>Bieu 1-Tong hop quy mo (SP)</vt:lpstr>
      <vt:lpstr>Bieu 1b - Quy mo Sau dai hoc</vt:lpstr>
      <vt:lpstr>Bieu 1c- Quy mo VLVH - TX (SP)</vt:lpstr>
      <vt:lpstr>Bieu 1a - Quy mo Chinh quy (SP)</vt:lpstr>
      <vt:lpstr>Bieu 2 tong hop (SP)</vt:lpstr>
      <vt:lpstr>Bieu 2 mẫu</vt:lpstr>
      <vt:lpstr>B2 SP</vt:lpstr>
      <vt:lpstr>B2 TOÁN  M</vt:lpstr>
      <vt:lpstr>B2 LÝ</vt:lpstr>
      <vt:lpstr>B2 Hoá M</vt:lpstr>
      <vt:lpstr>B2 TIN M</vt:lpstr>
      <vt:lpstr>B2 VĂN M</vt:lpstr>
      <vt:lpstr>B2 Sử M</vt:lpstr>
      <vt:lpstr>B2 SINH</vt:lpstr>
      <vt:lpstr>B2 ĐỊA LÝ</vt:lpstr>
      <vt:lpstr>B2 GDCT M</vt:lpstr>
      <vt:lpstr>B2 GDTH M</vt:lpstr>
      <vt:lpstr>B2 GDMN</vt:lpstr>
      <vt:lpstr>B2 TLGD M</vt:lpstr>
      <vt:lpstr>Bieu 2b DT THPT THSP</vt:lpstr>
      <vt:lpstr>phụ lục làm B2</vt:lpstr>
      <vt:lpstr>phụ lục miễn giảm giờ chuẩn B3</vt:lpstr>
      <vt:lpstr>Bieu 4a-KP thuc hanh thi nghiem</vt:lpstr>
      <vt:lpstr>Phụ lục dự toán B4</vt:lpstr>
      <vt:lpstr>B3 tổng hợp giờ chuẩn từng khoa</vt:lpstr>
      <vt:lpstr>Bieu5-Nhu cau mua sam sua chua</vt:lpstr>
      <vt:lpstr>Bieu 6 Ke hoach can bo</vt:lpstr>
      <vt:lpstr>7a-KH NCKH</vt:lpstr>
      <vt:lpstr>7b Kế hoạch công bố </vt:lpstr>
      <vt:lpstr>Bieu 8a Bien soan GT</vt:lpstr>
      <vt:lpstr>Bieu 8b ĐBCL</vt:lpstr>
      <vt:lpstr>Bieu 9 Ke hoach boi duong</vt:lpstr>
      <vt:lpstr>Biểu 10 Ke hoạch chi</vt:lpstr>
      <vt:lpstr>Thong tin can bo</vt:lpstr>
      <vt:lpstr>Tính thừa giờ</vt:lpstr>
      <vt:lpstr>Bieu so lieu ThuNhap 2021</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Admin</cp:lastModifiedBy>
  <cp:revision/>
  <dcterms:created xsi:type="dcterms:W3CDTF">2021-10-22T06:56:26Z</dcterms:created>
  <dcterms:modified xsi:type="dcterms:W3CDTF">2024-11-02T15:29:07Z</dcterms:modified>
  <cp:category/>
  <cp:contentStatus/>
</cp:coreProperties>
</file>