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KHNH GDTH/2022 -2023/"/>
    </mc:Choice>
  </mc:AlternateContent>
  <xr:revisionPtr revIDLastSave="7" documentId="11_F53DAEA0CBD8955AF3637351477925F7EA8A08F7" xr6:coauthVersionLast="47" xr6:coauthVersionMax="47" xr10:uidLastSave="{87E85DC4-0028-422A-BE55-66E4C956198E}"/>
  <bookViews>
    <workbookView xWindow="-110" yWindow="-110" windowWidth="19420" windowHeight="10300" tabRatio="754" firstSheet="13" activeTab="13"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new'!$A$2:$N$55</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8" l="1"/>
  <c r="D19" i="3"/>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F32" i="7" s="1"/>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H19" i="10" s="1"/>
  <c r="G19" i="10"/>
  <c r="O19" i="10" s="1"/>
  <c r="F19" i="10"/>
  <c r="J24" i="10"/>
  <c r="I24" i="10"/>
  <c r="M24" i="10" s="1"/>
  <c r="G24" i="10"/>
  <c r="O24" i="10" s="1"/>
  <c r="F24" i="10"/>
  <c r="J18" i="10"/>
  <c r="I18" i="10"/>
  <c r="M18" i="10" s="1"/>
  <c r="G18" i="10"/>
  <c r="O18" i="10" s="1"/>
  <c r="F18" i="10"/>
  <c r="J17" i="10"/>
  <c r="I17" i="10"/>
  <c r="H17" i="10" s="1"/>
  <c r="G17" i="10"/>
  <c r="O17" i="10" s="1"/>
  <c r="F17" i="10"/>
  <c r="D21" i="10"/>
  <c r="D15" i="10"/>
  <c r="I15" i="10"/>
  <c r="M15" i="10" s="1"/>
  <c r="G15" i="10"/>
  <c r="O15" i="10" s="1"/>
  <c r="F15" i="10"/>
  <c r="I16" i="10"/>
  <c r="G16" i="10"/>
  <c r="F16" i="10"/>
  <c r="J16" i="10" s="1"/>
  <c r="D16" i="10" l="1"/>
  <c r="D14" i="10" s="1"/>
  <c r="D29" i="10" s="1"/>
  <c r="N17" i="10"/>
  <c r="N24" i="10"/>
  <c r="N22" i="10"/>
  <c r="L22" i="10" s="1"/>
  <c r="N15" i="10"/>
  <c r="G14" i="10"/>
  <c r="G29" i="10" s="1"/>
  <c r="F14" i="10"/>
  <c r="F29" i="10" s="1"/>
  <c r="J15" i="10"/>
  <c r="J14" i="10" s="1"/>
  <c r="J29" i="10" s="1"/>
  <c r="D19" i="10"/>
  <c r="D20" i="10"/>
  <c r="Q12" i="28"/>
  <c r="P12" i="28" s="1"/>
  <c r="D12" i="28"/>
  <c r="Q13" i="28"/>
  <c r="P13" i="28" s="1"/>
  <c r="I119" i="7"/>
  <c r="D13" i="28"/>
  <c r="N18" i="10"/>
  <c r="L21" i="10"/>
  <c r="N23" i="10"/>
  <c r="O23" i="10"/>
  <c r="I14" i="10"/>
  <c r="I29" i="10" s="1"/>
  <c r="O20" i="10"/>
  <c r="H20" i="10"/>
  <c r="O16" i="10"/>
  <c r="N16" i="10"/>
  <c r="H16" i="10"/>
  <c r="H21" i="10"/>
  <c r="D23" i="10"/>
  <c r="M23" i="10"/>
  <c r="M20" i="10"/>
  <c r="N20" i="10"/>
  <c r="H22" i="10"/>
  <c r="D22" i="10"/>
  <c r="M19" i="10"/>
  <c r="N19" i="10"/>
  <c r="L24" i="10"/>
  <c r="D24" i="10"/>
  <c r="H24" i="10"/>
  <c r="L18" i="10"/>
  <c r="D18" i="10"/>
  <c r="H18" i="10"/>
  <c r="D17" i="10"/>
  <c r="M17" i="10"/>
  <c r="L17" i="10" s="1"/>
  <c r="L15" i="10"/>
  <c r="H15" i="10"/>
  <c r="M16" i="10"/>
  <c r="N14" i="10" l="1"/>
  <c r="L19" i="10"/>
  <c r="P26" i="28"/>
  <c r="O14" i="10"/>
  <c r="H14" i="10"/>
  <c r="H29" i="10" s="1"/>
  <c r="L23" i="10"/>
  <c r="M14" i="10"/>
  <c r="L16" i="10"/>
  <c r="L20" i="10"/>
  <c r="M29" i="10" l="1"/>
  <c r="O119" i="7"/>
  <c r="O29" i="10"/>
  <c r="R119" i="7"/>
  <c r="N29" i="10"/>
  <c r="Q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5" i="28" l="1"/>
  <c r="C16" i="28"/>
  <c r="C14" i="28"/>
  <c r="C13" i="28"/>
  <c r="C11" i="18"/>
  <c r="C8" i="18" s="1"/>
  <c r="C13" i="19" s="1"/>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J66" i="2"/>
  <c r="J80" i="2" s="1"/>
  <c r="D66" i="2"/>
  <c r="K66" i="2" s="1"/>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F29" i="8"/>
  <c r="F28" i="8" s="1"/>
  <c r="J16" i="8"/>
  <c r="I16" i="8"/>
  <c r="I15" i="8" s="1"/>
  <c r="L15" i="8"/>
  <c r="K15" i="8"/>
  <c r="J15" i="8"/>
  <c r="H15" i="8"/>
  <c r="G15" i="8"/>
  <c r="F15" i="8"/>
  <c r="I12" i="8"/>
  <c r="J12" i="8" s="1"/>
  <c r="J11" i="8" s="1"/>
  <c r="L11" i="8"/>
  <c r="K11" i="8"/>
  <c r="H11" i="8"/>
  <c r="G11" i="8"/>
  <c r="G10" i="8" s="1"/>
  <c r="F11" i="8"/>
  <c r="H10" i="8" l="1"/>
  <c r="G28" i="8"/>
  <c r="L10" i="8"/>
  <c r="G46" i="3"/>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E17" i="4" s="1"/>
  <c r="D19" i="4"/>
  <c r="J18" i="4"/>
  <c r="I18" i="4"/>
  <c r="H18" i="4"/>
  <c r="H17" i="4" s="1"/>
  <c r="G18" i="4"/>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J16" i="7" l="1"/>
  <c r="J13" i="7" s="1"/>
  <c r="J110" i="7" s="1"/>
  <c r="J119" i="7" s="1"/>
  <c r="P119" i="7" s="1"/>
  <c r="F13" i="7"/>
  <c r="F110" i="7" s="1"/>
  <c r="F119" i="7" s="1"/>
  <c r="J17" i="4"/>
  <c r="K20" i="4"/>
  <c r="K26" i="4"/>
  <c r="K18" i="4"/>
  <c r="I32" i="4"/>
  <c r="G17" i="4"/>
  <c r="D32" i="4"/>
  <c r="F32" i="4"/>
  <c r="C15" i="19"/>
  <c r="K46" i="3"/>
  <c r="J32" i="4"/>
  <c r="K35" i="4"/>
  <c r="E23" i="3"/>
  <c r="E30" i="3" s="1"/>
  <c r="I17" i="4"/>
  <c r="K46" i="5"/>
  <c r="E32" i="4"/>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K32" i="4"/>
  <c r="K33" i="4"/>
  <c r="D17" i="4"/>
  <c r="K34" i="4"/>
  <c r="K24" i="3"/>
  <c r="K69" i="3"/>
  <c r="K41" i="2"/>
  <c r="D22" i="1"/>
  <c r="C20" i="18" s="1"/>
  <c r="C19" i="18" s="1"/>
  <c r="C14" i="19" s="1"/>
  <c r="C12" i="19" s="1"/>
  <c r="C17" i="19" s="1"/>
  <c r="K30" i="3" l="1"/>
  <c r="C7" i="18"/>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<sst xmlns="http://schemas.openxmlformats.org/spreadsheetml/2006/main" count="2157" uniqueCount="960">
  <si>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</si>
  <si>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</si>
  <si>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</si>
  <si>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</si>
  <si>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</si>
  <si>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</si>
  <si>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</si>
  <si>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</si>
  <si>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</si>
  <si>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</si>
  <si>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</si>
  <si>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</si>
  <si>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</si>
  <si>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</si>
  <si>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</si>
  <si>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</si>
  <si>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</si>
  <si>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</si>
  <si>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</si>
  <si>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</si>
  <si>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</si>
  <si>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</si>
  <si>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</si>
  <si>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</si>
  <si>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</si>
  <si>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</si>
  <si>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</si>
  <si>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</si>
  <si>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</si>
  <si>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</si>
  <si>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</si>
  <si>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</si>
  <si>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</si>
  <si>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</si>
  <si>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</si>
  <si>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</si>
  <si>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</si>
  <si>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</si>
  <si>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</si>
  <si>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</si>
  <si>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</si>
  <si>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</si>
  <si>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</si>
  <si>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</si>
  <si>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</si>
  <si>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</si>
  <si>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</si>
  <si>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</si>
  <si>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</si>
  <si>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</si>
  <si>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</si>
  <si>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</si>
  <si>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</si>
  <si>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</si>
  <si>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</si>
  <si>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</si>
  <si>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</si>
  <si>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</si>
  <si>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</si>
  <si>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</si>
  <si>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</si>
  <si>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</si>
  <si>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</si>
  <si>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</si>
  <si>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</si>
  <si>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</si>
  <si>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</si>
  <si>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</si>
  <si>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</si>
  <si>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</si>
  <si>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</si>
  <si>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</si>
  <si>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</si>
  <si>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</si>
  <si>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</si>
  <si>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</si>
  <si>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</si>
  <si>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</si>
  <si>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</si>
  <si>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</si>
  <si>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</si>
  <si>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</si>
  <si>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</si>
  <si>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</si>
  <si>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</si>
  <si>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</si>
  <si>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</si>
  <si>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</si>
  <si>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</si>
  <si>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</si>
  <si>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</si>
  <si>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</si>
  <si>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</si>
  <si>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</si>
  <si>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</si>
  <si>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</si>
  <si>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</si>
  <si>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</si>
  <si>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</si>
  <si>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</si>
  <si>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</si>
  <si>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</si>
  <si>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</si>
  <si>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</si>
  <si>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</si>
  <si>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</si>
  <si>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</si>
  <si>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</si>
  <si>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</si>
  <si>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</si>
  <si>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</si>
  <si>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</si>
  <si>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</si>
  <si>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</si>
  <si>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</si>
  <si>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</si>
  <si>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</si>
  <si>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</si>
  <si>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</si>
  <si>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</si>
  <si>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</si>
  <si>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</si>
  <si>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</si>
  <si>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</si>
  <si>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</si>
  <si>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</si>
  <si>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</si>
  <si>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</si>
  <si>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</si>
  <si>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</si>
  <si>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</si>
  <si>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</si>
  <si>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</si>
  <si>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</si>
  <si>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</si>
  <si>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</si>
  <si>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</si>
  <si>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</si>
  <si>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</si>
  <si>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</si>
  <si>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</si>
  <si>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</si>
  <si>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</si>
  <si>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</si>
  <si>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</si>
  <si>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</si>
  <si>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</si>
  <si>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</si>
  <si>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</si>
  <si>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</si>
  <si>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</si>
  <si>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</si>
  <si>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</si>
  <si>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</si>
  <si>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</si>
  <si>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</si>
  <si>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</si>
  <si>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</si>
  <si>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</si>
  <si>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</si>
  <si>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</si>
  <si>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</si>
  <si>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</si>
  <si>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</si>
  <si>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</si>
  <si>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</si>
  <si>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</si>
  <si>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</si>
  <si>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</si>
  <si>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</si>
  <si>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</si>
  <si>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</si>
  <si>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</si>
  <si>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</si>
  <si>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</si>
  <si>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</si>
  <si>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</si>
  <si>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</si>
  <si>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</si>
  <si>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</si>
  <si>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</si>
  <si>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</si>
  <si>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</si>
  <si>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</si>
  <si>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</si>
  <si>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</si>
  <si>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</si>
  <si>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</si>
  <si>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</si>
  <si>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</si>
  <si>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</si>
  <si>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</si>
  <si>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</si>
  <si>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</si>
  <si>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</si>
  <si>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</si>
  <si>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</si>
  <si>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</si>
  <si>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</si>
  <si>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</si>
  <si>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</si>
  <si>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</si>
  <si>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</si>
  <si>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</si>
  <si>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</si>
  <si>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</si>
  <si>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</si>
  <si>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</si>
  <si>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</si>
  <si>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</si>
  <si>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</si>
  <si>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</si>
  <si>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</si>
  <si>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</si>
  <si>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</si>
  <si>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</si>
  <si>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</si>
  <si>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</si>
  <si>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</si>
  <si>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</si>
  <si>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</si>
  <si>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</si>
  <si>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</si>
  <si>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</si>
  <si>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</si>
  <si>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</si>
  <si>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</si>
  <si>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</si>
  <si>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</si>
  <si>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</si>
  <si>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</si>
  <si>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</si>
  <si>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</si>
  <si>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</si>
  <si>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</si>
  <si>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</si>
  <si>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</si>
  <si>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</si>
  <si>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</si>
  <si>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</si>
  <si>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(9)=(3)x(5)x(6)</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</si>
  <si>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</si>
  <si>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</si>
  <si>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</si>
  <si>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</si>
  <si>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</si>
  <si>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</si>
  <si>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</si>
  <si>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</si>
  <si>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</si>
  <si>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</si>
  <si>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</si>
  <si>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</si>
  <si>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</si>
  <si>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</si>
  <si>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</si>
  <si>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</si>
  <si>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</si>
  <si>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</si>
  <si>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</si>
  <si>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</si>
  <si>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</si>
  <si>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</si>
  <si>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</si>
  <si>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</si>
  <si>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</si>
  <si>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</si>
  <si>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</si>
  <si>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</si>
  <si>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</si>
  <si>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</si>
  <si>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</si>
  <si>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</si>
  <si>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</si>
  <si>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</si>
  <si>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Hướng dẫn luận văn TN</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</si>
  <si>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</si>
  <si>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</si>
  <si>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</si>
  <si>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</si>
  <si>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</si>
  <si>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</si>
  <si>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</si>
  <si>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</si>
  <si>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</si>
  <si>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</si>
  <si>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</si>
  <si>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</si>
  <si>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</si>
  <si>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</si>
  <si>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</si>
  <si>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</si>
  <si>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</si>
  <si>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</si>
  <si>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</si>
  <si>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</si>
  <si>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</si>
  <si>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</si>
  <si>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</si>
  <si>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</si>
  <si>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</si>
  <si>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</si>
  <si>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</si>
  <si>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</si>
  <si>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</si>
  <si>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</si>
  <si>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</si>
  <si>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</si>
  <si>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</si>
  <si>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</si>
  <si>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</si>
  <si>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</si>
  <si>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</si>
  <si>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</si>
  <si>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</si>
  <si>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</si>
  <si>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</si>
  <si>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</si>
  <si>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</si>
  <si>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</si>
  <si>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</si>
  <si>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</si>
  <si>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</si>
  <si>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</si>
  <si>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</si>
  <si>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</si>
  <si>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</si>
  <si>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</si>
  <si>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</si>
  <si>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</si>
  <si>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</si>
  <si>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</si>
  <si>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</si>
  <si>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</si>
  <si>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</si>
  <si>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</si>
  <si>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</si>
  <si>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</si>
  <si>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</si>
  <si>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</si>
  <si>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</si>
  <si>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</si>
  <si>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</si>
  <si>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</si>
  <si>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</si>
  <si>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</si>
  <si>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</si>
  <si>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</si>
  <si>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</si>
  <si>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</si>
  <si>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</si>
  <si>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</si>
  <si>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</si>
  <si>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</si>
  <si>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</si>
  <si>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</si>
  <si>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</si>
  <si>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</si>
  <si>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</si>
  <si>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</si>
  <si>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</si>
  <si>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</si>
  <si>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</si>
  <si>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</si>
  <si>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</si>
  <si>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</si>
  <si>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</si>
  <si>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</si>
  <si>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</si>
  <si>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</si>
  <si>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</si>
  <si>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</si>
  <si>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</si>
  <si>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</si>
  <si>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</si>
  <si>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</si>
  <si>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</si>
  <si>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</si>
  <si>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</si>
  <si>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</si>
  <si>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</si>
  <si>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</si>
  <si>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</si>
  <si>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</si>
  <si>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</si>
  <si>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</si>
  <si>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</si>
  <si>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</si>
  <si>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</si>
  <si>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</si>
  <si>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</si>
  <si>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</si>
  <si>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</si>
  <si>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</si>
  <si>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</si>
  <si>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</si>
  <si>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</si>
  <si>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</si>
  <si>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</si>
  <si>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</si>
  <si>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</si>
  <si>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</si>
  <si>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</si>
  <si>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</si>
  <si>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</si>
  <si>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</si>
  <si>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</si>
  <si>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</si>
  <si>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</si>
  <si>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</si>
  <si>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</si>
  <si>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</si>
  <si>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</si>
  <si>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</si>
  <si>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</si>
  <si>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</si>
  <si>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</si>
  <si>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</si>
  <si>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</si>
  <si>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</si>
  <si>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</si>
  <si>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</si>
  <si>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</si>
  <si>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</si>
  <si>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</si>
  <si>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</si>
  <si>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</si>
  <si>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</si>
  <si>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</si>
  <si>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</si>
  <si>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</si>
  <si>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</si>
  <si>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</si>
  <si>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</si>
  <si>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</si>
  <si>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</si>
  <si>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</si>
  <si>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</si>
  <si>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</si>
  <si>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</si>
  <si>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</si>
  <si>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</si>
  <si>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</si>
  <si>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</si>
  <si>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</si>
  <si>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</si>
  <si>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t>KẾ HOẠCH ĐÀO TẠO, BỒI DƯỠNG, PHÁT TRIỂN ĐỘI NGŨ NĂM 2022</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</si>
  <si>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</si>
  <si>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</si>
  <si>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</si>
  <si>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</si>
  <si>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</si>
  <si>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</si>
  <si>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</si>
  <si>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</si>
  <si>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</si>
  <si>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</si>
  <si>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</si>
  <si>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</si>
  <si>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</si>
  <si>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</si>
  <si>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</si>
  <si>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</si>
  <si>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</si>
  <si>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</si>
  <si>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</si>
  <si>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</si>
  <si>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</si>
  <si>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</si>
  <si>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</si>
  <si>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</si>
  <si>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</si>
  <si>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</si>
  <si>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Nghệ An</t>
  </si>
  <si>
    <t>Bồi dưỡng</t>
  </si>
  <si>
    <t>Nội dung
 bồi dưỡng</t>
  </si>
  <si>
    <t>Thời lượng chương trình</t>
  </si>
  <si>
    <t>Nơi bồi dưỡng</t>
  </si>
  <si>
    <t xml:space="preserve">
Thời gian
</t>
  </si>
  <si>
    <t>Kinh phí
 dự trù</t>
  </si>
  <si>
    <t>Tại
ĐHV</t>
  </si>
  <si>
    <t>Kinh</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</si>
  <si>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</si>
  <si>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</si>
  <si>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</si>
  <si>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</si>
  <si>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</si>
  <si>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</si>
  <si>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</si>
  <si>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</si>
  <si>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</si>
  <si>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</si>
  <si>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</si>
  <si>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</si>
  <si>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</si>
  <si>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</si>
  <si>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</si>
  <si>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</si>
  <si>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</si>
  <si>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</si>
  <si>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</si>
  <si>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</si>
  <si>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</si>
  <si>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</si>
  <si>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</si>
  <si>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</si>
  <si>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</si>
  <si>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</si>
  <si>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</si>
  <si>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</si>
  <si>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</si>
  <si>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</si>
  <si>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</si>
  <si>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</si>
  <si>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</si>
  <si>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</si>
  <si>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</si>
  <si>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</si>
  <si>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</si>
  <si>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</si>
  <si>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</si>
  <si>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</si>
  <si>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</si>
  <si>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</si>
  <si>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</si>
  <si>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</si>
  <si>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</si>
  <si>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</si>
  <si>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</si>
  <si>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</si>
  <si>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</si>
  <si>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</si>
  <si>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</si>
  <si>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</si>
  <si>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</si>
  <si>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</si>
  <si>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</si>
  <si>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</si>
  <si>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</si>
  <si>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</si>
  <si>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</si>
  <si>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</si>
  <si>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</si>
  <si>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</si>
  <si>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</si>
  <si>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</si>
  <si>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</si>
  <si>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</si>
  <si>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</si>
  <si>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</si>
  <si>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</si>
  <si>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</si>
  <si>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</si>
  <si>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</si>
  <si>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</si>
  <si>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</si>
  <si>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</si>
  <si>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</si>
  <si>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</si>
  <si>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</si>
  <si>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</si>
  <si>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</si>
  <si>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</si>
  <si>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</si>
  <si>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</si>
  <si>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</si>
  <si>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</si>
  <si>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</si>
  <si>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</si>
  <si>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</si>
  <si>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</si>
  <si>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</si>
  <si>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</si>
  <si>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</si>
  <si>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</si>
  <si>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</si>
  <si>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</si>
  <si>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</si>
  <si>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</si>
  <si>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</si>
  <si>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</si>
  <si>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</si>
  <si>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</si>
  <si>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</si>
  <si>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</si>
  <si>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</si>
  <si>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</si>
  <si>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</si>
  <si>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</si>
  <si>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</si>
  <si>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</si>
  <si>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</si>
  <si>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</si>
  <si>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</si>
  <si>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</si>
  <si>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</si>
  <si>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</si>
  <si>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</si>
  <si>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</si>
  <si>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</si>
  <si>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</si>
  <si>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</si>
  <si>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</si>
  <si>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</si>
  <si>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</si>
  <si>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</si>
  <si>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2.1</t>
  </si>
  <si>
    <t>2.2</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</si>
  <si>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</si>
  <si>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</si>
  <si>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</si>
  <si>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</si>
  <si>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</si>
  <si>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</si>
  <si>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</si>
  <si>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</si>
  <si>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</si>
  <si>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</si>
  <si>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</si>
  <si>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</si>
  <si>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</si>
  <si>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</si>
  <si>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</si>
  <si>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</si>
  <si>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</si>
  <si>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</si>
  <si>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</si>
  <si>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</si>
  <si>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</si>
  <si>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</si>
  <si>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</si>
  <si>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</si>
  <si>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</si>
  <si>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</si>
  <si>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</si>
  <si>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</si>
  <si>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</si>
  <si>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</si>
  <si>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</si>
  <si>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</si>
  <si>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</si>
  <si>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</si>
  <si>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</si>
  <si>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</si>
  <si>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</si>
  <si>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</si>
  <si>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</si>
  <si>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</si>
  <si>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</si>
  <si>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</si>
  <si>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</si>
  <si>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</si>
  <si>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</si>
  <si>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</si>
  <si>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</si>
  <si>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</si>
  <si>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</si>
  <si>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</si>
  <si>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</si>
  <si>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</si>
  <si>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</si>
  <si>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</si>
  <si>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</si>
  <si>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</si>
  <si>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</si>
  <si>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</si>
  <si>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</si>
  <si>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</si>
  <si>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</si>
  <si>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</si>
  <si>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</si>
  <si>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</si>
  <si>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</si>
  <si>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</si>
  <si>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</si>
  <si>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</si>
  <si>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</si>
  <si>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</si>
  <si>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</si>
  <si>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</si>
  <si>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</si>
  <si>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</si>
  <si>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</si>
  <si>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</si>
  <si>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</si>
  <si>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</si>
  <si>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</si>
  <si>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</si>
  <si>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</si>
  <si>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</si>
  <si>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</si>
  <si>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</si>
  <si>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</si>
  <si>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</si>
  <si>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</si>
  <si>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</si>
  <si>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</si>
  <si>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</si>
  <si>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</si>
  <si>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</si>
  <si>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</si>
  <si>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</si>
  <si>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</si>
  <si>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</si>
  <si>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</si>
  <si>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</si>
  <si>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</si>
  <si>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</si>
  <si>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</si>
  <si>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</si>
  <si>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</si>
  <si>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</si>
  <si>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</si>
  <si>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</si>
  <si>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</si>
  <si>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</si>
  <si>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</si>
  <si>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</si>
  <si>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</si>
  <si>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</si>
  <si>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</si>
  <si>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</si>
  <si>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</si>
  <si>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</si>
  <si>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</si>
  <si>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</si>
  <si>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</si>
  <si>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</si>
  <si>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</si>
  <si>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</si>
  <si>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</si>
  <si>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</si>
  <si>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</si>
  <si>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</si>
  <si>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</si>
  <si>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</si>
  <si>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</si>
  <si>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</si>
  <si>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</si>
  <si>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</si>
  <si>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</si>
  <si>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</si>
  <si>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</si>
  <si>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</si>
  <si>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</si>
  <si>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</si>
  <si>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</si>
  <si>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(8)=(3)x(4)x(7)</t>
  </si>
  <si>
    <t>Ngành GDTH</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</si>
  <si>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</si>
  <si>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</si>
  <si>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</si>
  <si>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</si>
  <si>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</si>
  <si>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</si>
  <si>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</si>
  <si>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</si>
  <si>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</si>
  <si>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</si>
  <si>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</si>
  <si>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</si>
  <si>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</si>
  <si>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</si>
  <si>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</si>
  <si>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</si>
  <si>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</si>
  <si>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</si>
  <si>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</si>
  <si>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</si>
  <si>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</si>
  <si>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</si>
  <si>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</si>
  <si>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</si>
  <si>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</si>
  <si>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ĐHCQ</t>
  </si>
  <si>
    <t>Trường TH</t>
  </si>
  <si>
    <t>Có dự toán kèm theo</t>
  </si>
  <si>
    <t>TT sư phạm ngành GDTH</t>
  </si>
  <si>
    <t>59TH</t>
  </si>
  <si>
    <t>Văn phòng Khoa</t>
  </si>
  <si>
    <t>TLĐT, CVHT</t>
  </si>
  <si>
    <t xml:space="preserve">Bộ máy tính để bàn </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</si>
  <si>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</si>
  <si>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</si>
  <si>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</si>
  <si>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</si>
  <si>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</si>
  <si>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</si>
  <si>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</si>
  <si>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</si>
  <si>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</si>
  <si>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</si>
  <si>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</si>
  <si>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</si>
  <si>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</si>
  <si>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</si>
  <si>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</si>
  <si>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</si>
  <si>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</si>
  <si>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</si>
  <si>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</si>
  <si>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</si>
  <si>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</si>
  <si>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</si>
  <si>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</si>
  <si>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</si>
  <si>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</si>
  <si>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</si>
  <si>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</si>
  <si>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</si>
  <si>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</si>
  <si>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</si>
  <si>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</si>
  <si>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Đạo đức và phương pháp dạy học đạo đức</t>
  </si>
  <si>
    <t>Rèn luyện nghiệp vụ sư phạm 2</t>
  </si>
  <si>
    <t>Toán cơ sở</t>
  </si>
  <si>
    <t>Văn học thiếu nhi</t>
  </si>
  <si>
    <t>Việt ngữ học hiện đại</t>
  </si>
  <si>
    <t>Toán chuyên ngành</t>
  </si>
  <si>
    <t>Ngữ pháp văn bản và dạy học Tập làm văn ở tiểu học</t>
  </si>
  <si>
    <t>Cơ sở ngôn ngữ học của dạy học Tiếng Việt ở tiểu học</t>
  </si>
  <si>
    <t>Cơ sở toán học của dạy học Toán ở tiểu học</t>
  </si>
  <si>
    <t>Một số vấn đề về phương pháp dạy học Toán tiểu học</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</si>
  <si>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</si>
  <si>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</si>
  <si>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</si>
  <si>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</si>
  <si>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</si>
  <si>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</si>
  <si>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</si>
  <si>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</si>
  <si>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</si>
  <si>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</si>
  <si>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</si>
  <si>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</si>
  <si>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</si>
  <si>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</si>
  <si>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</si>
  <si>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</si>
  <si>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a.31</t>
  </si>
  <si>
    <t>Việt ngữ học cơ sở</t>
  </si>
  <si>
    <t>Ngữ dụng học (TC1)</t>
  </si>
  <si>
    <t>Ngữ nghĩa học (TC1)</t>
  </si>
  <si>
    <t>Từ Hán Việt (TC1)</t>
  </si>
  <si>
    <t>Văn học</t>
  </si>
  <si>
    <t>Cơ sở hình học và thống kê (TC2)</t>
  </si>
  <si>
    <t>Đại số sơ cấp (TC2)</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</si>
  <si>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</si>
  <si>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</si>
  <si>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</si>
  <si>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</si>
  <si>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</si>
  <si>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</si>
  <si>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</si>
  <si>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</si>
  <si>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</si>
  <si>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</si>
  <si>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</si>
  <si>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</si>
  <si>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</si>
  <si>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</si>
  <si>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</si>
  <si>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HK</t>
  </si>
  <si>
    <t>TLĐT chuyên trách</t>
  </si>
  <si>
    <t>59, 60, 61TH</t>
  </si>
  <si>
    <t>Trong trường</t>
  </si>
  <si>
    <t>Bộ</t>
  </si>
  <si>
    <t>Bộ SGK Chân trời sáng tạo lớp 1,2,3</t>
  </si>
  <si>
    <t>Bộ SGK Cánh Diều lớp 1,2,3</t>
  </si>
  <si>
    <t>Bộ SGK Kết nối tri thức với cuộc sống lớp 1,2,3</t>
  </si>
  <si>
    <t xml:space="preserve">   TRƯỜNG SƯ PHẠM</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</si>
  <si>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</si>
  <si>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</si>
  <si>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</si>
  <si>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</si>
  <si>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</si>
  <si>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</si>
  <si>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</si>
  <si>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</si>
  <si>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</si>
  <si>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</si>
  <si>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Tổng cộng</t>
  </si>
  <si>
    <t>Nghệ An, ngày    tháng     năm 2022</t>
  </si>
  <si>
    <t xml:space="preserve">                                                                                                                                                                                            TRƯỞNG ĐƠN VỊ</t>
  </si>
  <si>
    <t>(Ký và ghi rõ họ tên)</t>
  </si>
  <si>
    <t>.- Khóa 63</t>
  </si>
  <si>
    <t>Hệ TC + VB2</t>
  </si>
  <si>
    <t xml:space="preserve">Hệ CĐ K61 </t>
  </si>
  <si>
    <t>Mỹ thuật</t>
  </si>
  <si>
    <t>Hội thi rèn luyện nghiệp vụ sư phạm</t>
  </si>
  <si>
    <t>Giáo dục Tiểu học</t>
  </si>
  <si>
    <t>Thạc sỹ</t>
  </si>
  <si>
    <t xml:space="preserve">Phòng sinh hoạt chuyên môn </t>
  </si>
  <si>
    <t>Phòng thực hành mỹ thuật</t>
  </si>
  <si>
    <t>Phòng 3 gian, có giá vẽ</t>
  </si>
  <si>
    <t>ĐH</t>
  </si>
  <si>
    <t>Tiếng Việt (Giáo trình)</t>
  </si>
  <si>
    <t>Cơ sở Tự nhiên và Xã hội (Giáo trình)</t>
  </si>
  <si>
    <t>Cơ sở Tự nhiên và Xã hội</t>
  </si>
  <si>
    <t>Thiết kế và sử dụng tình huống dạy học tích hợp trong môn Toán ở Tiểu học (sách tham khảo)</t>
  </si>
  <si>
    <t>PGS. TS. Chu Thị Thủy An</t>
  </si>
  <si>
    <t>Thái Thị</t>
  </si>
  <si>
    <t>Đào</t>
  </si>
  <si>
    <t>Lý luận và phương pháp dạy học Tiểu học</t>
  </si>
  <si>
    <t>Nguyễn Tiến</t>
  </si>
  <si>
    <t>Dũng</t>
  </si>
  <si>
    <t>Trung cấp Chính trị</t>
  </si>
  <si>
    <t xml:space="preserve">Phan Anh </t>
  </si>
  <si>
    <t>Tuấn</t>
  </si>
  <si>
    <t xml:space="preserve">Hội thảo khoa học trong nước: Dạy học theo định hướng phát triển năng lực ở tiểu học </t>
  </si>
  <si>
    <t>Văn học thiếu nhi (K61)</t>
  </si>
  <si>
    <t>Toán học 1 (K63)</t>
  </si>
  <si>
    <t>Cơ sở tự nhiên xã hội (K63)</t>
  </si>
  <si>
    <t>Nhập môn ngành sư phạm (K63)</t>
  </si>
  <si>
    <r>
      <t>Hướng dẫn luận văn thạc sĩ cao học</t>
    </r>
    <r>
      <rPr>
        <sz val="10"/>
        <color rgb="FFFF0000"/>
        <rFont val="Times New Roman"/>
        <family val="1"/>
      </rPr>
      <t xml:space="preserve"> 28 (15x75)</t>
    </r>
  </si>
  <si>
    <t>Rèn luyện NVSPTX GDTH 2 (60), 1 (61)</t>
  </si>
  <si>
    <t>60, 61 TH</t>
  </si>
  <si>
    <t>Gói/năm học</t>
  </si>
  <si>
    <t>Thực tế theo chỉ tiêu trường</t>
  </si>
  <si>
    <t>2.12</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</si>
  <si>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</si>
  <si>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TS. Nguyễn Tiến Dũng</t>
  </si>
  <si>
    <t>TS. Nguyễn Thị Phương Nhung</t>
  </si>
  <si>
    <r>
      <t xml:space="preserve">Đơn vị: </t>
    </r>
    <r>
      <rPr>
        <b/>
        <sz val="11"/>
        <color rgb="FFFF0000"/>
        <rFont val="Times New Roman"/>
        <family val="1"/>
      </rPr>
      <t>KHOA GIÁO DỤC TIỂU HỌC</t>
    </r>
  </si>
  <si>
    <r>
      <t>Tên đơn vị</t>
    </r>
    <r>
      <rPr>
        <sz val="10"/>
        <color rgb="FFFF0000"/>
        <rFont val="Times New Roman"/>
        <family val="1"/>
      </rPr>
      <t>:KHOA GIÁO DỤC TIỂU HỌC</t>
    </r>
  </si>
  <si>
    <r>
      <t xml:space="preserve">Tên đơn vị: </t>
    </r>
    <r>
      <rPr>
        <b/>
        <sz val="10"/>
        <color rgb="FFFF0000"/>
        <rFont val="Times New Roman"/>
        <family val="1"/>
      </rPr>
      <t>KHOA GIÁO DỤC TIỂU HỌC</t>
    </r>
  </si>
  <si>
    <t>Bồi dưỡng năng khiếu và hứng thú học tập tiếng Việt cho học sinh tiểu học</t>
  </si>
  <si>
    <r>
      <t>Tên đơn vị:</t>
    </r>
    <r>
      <rPr>
        <b/>
        <sz val="10"/>
        <color rgb="FFFF0000"/>
        <rFont val="Times New Roman"/>
        <family val="1"/>
      </rPr>
      <t>KHOA GIÁO DỤC TIỂU HỌC</t>
    </r>
  </si>
  <si>
    <r>
      <t xml:space="preserve">      Tên đơn vị: </t>
    </r>
    <r>
      <rPr>
        <b/>
        <sz val="10"/>
        <color rgb="FFFF0000"/>
        <rFont val="Times New Roman"/>
        <family val="1"/>
      </rPr>
      <t>KHOA GIÁO DỤC TIỂU HỌC</t>
    </r>
  </si>
  <si>
    <t>Phòng 2 gian, có máy chiếu Projecter</t>
  </si>
  <si>
    <t>Ngôn ngữ học</t>
  </si>
  <si>
    <t xml:space="preserve">Thạc sĩ, Tiến sĩ </t>
  </si>
  <si>
    <t>Thạc sỹ/Cử nhân (bằng giỏi trở lên)</t>
  </si>
  <si>
    <t>3/2020-3/2023</t>
  </si>
  <si>
    <t>7/2022 -7/2023</t>
  </si>
  <si>
    <t>3/2022-3/2025</t>
  </si>
  <si>
    <t>Yêu cầu: Có bằng Cử nhân loại giỏi trở lên</t>
  </si>
  <si>
    <t>Yêu cầu: Có bằng Cử nhân loại khá trở lên</t>
  </si>
  <si>
    <t xml:space="preserve">
Nếu trình độ Cử nhân (loại giỏi trở lên) thì tuyển dụng ngạch trợ giảng</t>
  </si>
  <si>
    <t>Đơn vị: KHOA GIÁO DỤC TIỂU HỌC</t>
  </si>
  <si>
    <r>
      <t>Đơn vị:</t>
    </r>
    <r>
      <rPr>
        <b/>
        <sz val="14"/>
        <color rgb="FFFF0000"/>
        <rFont val="Times New Roman"/>
        <family val="1"/>
      </rPr>
      <t xml:space="preserve"> KHOA GIÁO DỤC TIỂU HỌC</t>
    </r>
  </si>
  <si>
    <t>KHOA GIÁO DỤC TIỂU HỌC</t>
  </si>
  <si>
    <t>TS. Nguyễn Thị Châu Giang</t>
  </si>
  <si>
    <t>Phát triển năng lực dạy học tích hợp trong môn Toán cho sinh viên ngành Giáo dục tiểu học; MS:B2022-TDV-03</t>
  </si>
  <si>
    <t>Giải pháp nâng cao năng lực của giáo viên về giáo dục giới tính cho học sinh tiểu học và trung học cơ sở: MS: B2020 - TDV-06</t>
  </si>
  <si>
    <t>TS.Nguyễn Thị Phương Nhung</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</si>
  <si>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</si>
  <si>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</si>
  <si>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</si>
  <si>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ThS. Phan Anh Tuấn</t>
  </si>
  <si>
    <t>TS. Trần Thị Hoàng Yến</t>
  </si>
  <si>
    <t>Tài liệu tham khảo</t>
  </si>
  <si>
    <t>GDTH</t>
  </si>
  <si>
    <t>Sau ĐH</t>
  </si>
  <si>
    <t>Danh sách này có 03  giáo trình đăng ký xuất bản</t>
  </si>
  <si>
    <t>175.000.000</t>
  </si>
  <si>
    <t>70.000.000</t>
  </si>
  <si>
    <t>325.000.000</t>
  </si>
  <si>
    <t>Nhóm NCKH sinh viên khóa 60 - GDTH</t>
  </si>
  <si>
    <t>Nhóm NCKH sinh viên khóa 61-GDTH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</si>
</sst>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3">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70" xfId="7" applyFont="1" applyBorder="1" applyAlignment="1">
      <alignment horizontal="center"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6953125" style="91" customWidth="1"/>
    <col min="3" max="3" width="58.1796875" style="92" customWidth="1"/>
    <col min="4" max="4" width="77.453125" style="92" hidden="1" customWidth="1"/>
    <col min="5" max="5" width="26.81640625" style="319" customWidth="1"/>
    <col min="6" max="16384" width="9" style="91"/>
  </cols>
  <sheetData>
    <row r="1" spans="1:5" ht="20.149999999999999" customHeight="1">
      <c r="B1" s="467" t="s">
        <v>1</v>
      </c>
    </row>
    <row r="2" spans="1:5" ht="20.149999999999999" customHeight="1">
      <c r="B2" s="467" t="s">
        <v>733</v>
      </c>
    </row>
    <row r="3" spans="1:5" ht="20.149999999999999" customHeight="1">
      <c r="B3" s="467" t="s">
        <v>923</v>
      </c>
    </row>
    <row r="4" spans="1:5" ht="45" customHeight="1">
      <c r="A4" s="713" t="s">
        <v>2</v>
      </c>
      <c r="B4" s="713"/>
      <c r="C4" s="713"/>
      <c r="D4" s="713"/>
      <c r="E4" s="713"/>
    </row>
    <row r="5" spans="1:5" s="130" customFormat="1" ht="45" customHeight="1">
      <c r="A5" s="199" t="s">
        <v>3</v>
      </c>
      <c r="B5" s="199" t="s">
        <v>4</v>
      </c>
      <c r="C5" s="200" t="s">
        <v>5</v>
      </c>
      <c r="D5" s="200" t="s">
        <v>6</v>
      </c>
      <c r="E5" s="199" t="s">
        <v>741</v>
      </c>
    </row>
    <row r="6" spans="1:5" s="127" customFormat="1" ht="45" customHeight="1">
      <c r="A6" s="202">
        <v>1</v>
      </c>
      <c r="B6" s="201" t="s">
        <v>8</v>
      </c>
      <c r="C6" s="175" t="s">
        <v>9</v>
      </c>
      <c r="D6" s="175" t="s">
        <v>10</v>
      </c>
      <c r="E6" s="202" t="s">
        <v>742</v>
      </c>
    </row>
    <row r="7" spans="1:5" s="127" customFormat="1" ht="45" customHeight="1">
      <c r="A7" s="202">
        <v>1</v>
      </c>
      <c r="B7" s="201" t="s">
        <v>11</v>
      </c>
      <c r="C7" s="175" t="s">
        <v>12</v>
      </c>
      <c r="D7" s="175" t="s">
        <v>13</v>
      </c>
      <c r="E7" s="202" t="s">
        <v>742</v>
      </c>
    </row>
    <row r="8" spans="1:5" s="127" customFormat="1" ht="45" customHeight="1">
      <c r="A8" s="202">
        <v>1</v>
      </c>
      <c r="B8" s="201" t="s">
        <v>14</v>
      </c>
      <c r="C8" s="175" t="s">
        <v>743</v>
      </c>
      <c r="D8" s="175" t="s">
        <v>16</v>
      </c>
      <c r="E8" s="202" t="s">
        <v>742</v>
      </c>
    </row>
    <row r="9" spans="1:5" s="127" customFormat="1" ht="45" hidden="1" customHeight="1">
      <c r="A9" s="202">
        <v>1</v>
      </c>
      <c r="B9" s="201" t="s">
        <v>17</v>
      </c>
      <c r="C9" s="175" t="s">
        <v>18</v>
      </c>
      <c r="D9" s="175" t="s">
        <v>19</v>
      </c>
      <c r="E9" s="202"/>
    </row>
    <row r="10" spans="1:5" s="127" customFormat="1" ht="45" hidden="1" customHeight="1">
      <c r="A10" s="202">
        <v>1</v>
      </c>
      <c r="B10" s="201" t="s">
        <v>20</v>
      </c>
      <c r="C10" s="175" t="s">
        <v>21</v>
      </c>
      <c r="D10" s="175" t="s">
        <v>22</v>
      </c>
      <c r="E10" s="202"/>
    </row>
    <row r="11" spans="1:5" s="127" customFormat="1" ht="45" customHeight="1">
      <c r="A11" s="692">
        <v>2</v>
      </c>
      <c r="B11" s="693" t="s">
        <v>23</v>
      </c>
      <c r="C11" s="694" t="s">
        <v>24</v>
      </c>
      <c r="D11" s="694" t="s">
        <v>25</v>
      </c>
      <c r="E11" s="692" t="s">
        <v>744</v>
      </c>
    </row>
    <row r="12" spans="1:5" s="127" customFormat="1" ht="45" hidden="1" customHeight="1">
      <c r="A12" s="692">
        <v>2</v>
      </c>
      <c r="B12" s="693" t="s">
        <v>26</v>
      </c>
      <c r="C12" s="694" t="s">
        <v>24</v>
      </c>
      <c r="D12" s="694" t="s">
        <v>27</v>
      </c>
      <c r="E12" s="692"/>
    </row>
    <row r="13" spans="1:5" s="127" customFormat="1" ht="45" customHeight="1">
      <c r="A13" s="692">
        <v>3</v>
      </c>
      <c r="B13" s="693" t="s">
        <v>28</v>
      </c>
      <c r="C13" s="694" t="s">
        <v>29</v>
      </c>
      <c r="D13" s="694" t="s">
        <v>30</v>
      </c>
      <c r="E13" s="692" t="s">
        <v>744</v>
      </c>
    </row>
    <row r="14" spans="1:5" s="127" customFormat="1" ht="45" customHeight="1">
      <c r="A14" s="692">
        <v>3</v>
      </c>
      <c r="B14" s="693" t="s">
        <v>31</v>
      </c>
      <c r="C14" s="694" t="s">
        <v>32</v>
      </c>
      <c r="D14" s="694" t="s">
        <v>33</v>
      </c>
      <c r="E14" s="692" t="s">
        <v>744</v>
      </c>
    </row>
    <row r="15" spans="1:5" s="127" customFormat="1" ht="45" customHeight="1">
      <c r="A15" s="692">
        <v>4</v>
      </c>
      <c r="B15" s="693" t="s">
        <v>34</v>
      </c>
      <c r="C15" s="694" t="s">
        <v>35</v>
      </c>
      <c r="D15" s="694" t="s">
        <v>36</v>
      </c>
      <c r="E15" s="692" t="s">
        <v>744</v>
      </c>
    </row>
    <row r="16" spans="1:5" s="127" customFormat="1" ht="45" customHeight="1">
      <c r="A16" s="692">
        <v>5</v>
      </c>
      <c r="B16" s="693" t="s">
        <v>37</v>
      </c>
      <c r="C16" s="694" t="s">
        <v>38</v>
      </c>
      <c r="D16" s="694" t="s">
        <v>39</v>
      </c>
      <c r="E16" s="692" t="s">
        <v>744</v>
      </c>
    </row>
    <row r="17" spans="1:5" s="127" customFormat="1" ht="45" customHeight="1">
      <c r="A17" s="692">
        <v>6</v>
      </c>
      <c r="B17" s="693" t="s">
        <v>40</v>
      </c>
      <c r="C17" s="694" t="s">
        <v>41</v>
      </c>
      <c r="D17" s="694" t="s">
        <v>42</v>
      </c>
      <c r="E17" s="692" t="s">
        <v>744</v>
      </c>
    </row>
    <row r="18" spans="1:5" s="127" customFormat="1" ht="45" customHeight="1">
      <c r="A18" s="692">
        <v>7</v>
      </c>
      <c r="B18" s="693" t="s">
        <v>43</v>
      </c>
      <c r="C18" s="694" t="s">
        <v>44</v>
      </c>
      <c r="D18" s="694" t="s">
        <v>45</v>
      </c>
      <c r="E18" s="692" t="s">
        <v>744</v>
      </c>
    </row>
    <row r="19" spans="1:5" s="127" customFormat="1" ht="45" customHeight="1">
      <c r="A19" s="692">
        <v>8</v>
      </c>
      <c r="B19" s="693" t="s">
        <v>46</v>
      </c>
      <c r="C19" s="694" t="s">
        <v>47</v>
      </c>
      <c r="D19" s="694" t="s">
        <v>48</v>
      </c>
      <c r="E19" s="692" t="s">
        <v>745</v>
      </c>
    </row>
    <row r="20" spans="1:5" s="127" customFormat="1" ht="63" customHeight="1">
      <c r="A20" s="692">
        <v>9</v>
      </c>
      <c r="B20" s="694" t="s">
        <v>49</v>
      </c>
      <c r="C20" s="694" t="s">
        <v>50</v>
      </c>
      <c r="D20" s="694" t="s">
        <v>51</v>
      </c>
      <c r="E20" s="692" t="s">
        <v>744</v>
      </c>
    </row>
    <row r="21" spans="1:5" s="127" customFormat="1" ht="45" customHeight="1">
      <c r="A21" s="202">
        <v>9</v>
      </c>
      <c r="B21" s="175" t="s">
        <v>52</v>
      </c>
      <c r="C21" s="175" t="s">
        <v>50</v>
      </c>
      <c r="D21" s="175" t="s">
        <v>53</v>
      </c>
      <c r="E21" s="202" t="s">
        <v>742</v>
      </c>
    </row>
    <row r="22" spans="1:5" s="127" customFormat="1" ht="45" customHeight="1">
      <c r="A22" s="202">
        <v>9</v>
      </c>
      <c r="B22" s="201" t="s">
        <v>54</v>
      </c>
      <c r="C22" s="175" t="s">
        <v>50</v>
      </c>
      <c r="D22" s="175" t="s">
        <v>55</v>
      </c>
      <c r="E22" s="202" t="s">
        <v>742</v>
      </c>
    </row>
    <row r="23" spans="1:5" s="127" customFormat="1" ht="45" customHeight="1">
      <c r="A23" s="695">
        <v>10</v>
      </c>
      <c r="B23" s="696" t="s">
        <v>56</v>
      </c>
      <c r="C23" s="694" t="s">
        <v>57</v>
      </c>
      <c r="D23" s="694" t="s">
        <v>58</v>
      </c>
      <c r="E23" s="692" t="s">
        <v>746</v>
      </c>
    </row>
    <row r="24" spans="1:5" s="127" customFormat="1" ht="45" customHeight="1">
      <c r="A24" s="476">
        <v>11</v>
      </c>
      <c r="B24" s="477" t="s">
        <v>59</v>
      </c>
      <c r="C24" s="175" t="s">
        <v>60</v>
      </c>
      <c r="D24" s="175" t="s">
        <v>39</v>
      </c>
      <c r="E24" s="202" t="s">
        <v>742</v>
      </c>
    </row>
    <row r="25" spans="1:5" s="127" customFormat="1" ht="97.5" customHeight="1">
      <c r="A25" s="202">
        <v>12</v>
      </c>
      <c r="B25" s="201" t="s">
        <v>61</v>
      </c>
      <c r="C25" s="175" t="s">
        <v>62</v>
      </c>
      <c r="D25" s="175" t="s">
        <v>63</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cols>
    <col min="1" max="1" width="4.81640625" style="55" customWidth="1"/>
    <col min="2" max="2" width="31.1796875" style="56" customWidth="1"/>
    <col min="3" max="3" width="7.5429687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c r="A1" s="758" t="s">
        <v>64</v>
      </c>
      <c r="B1" s="758"/>
      <c r="C1" s="1"/>
      <c r="D1" s="759"/>
      <c r="E1" s="759"/>
      <c r="F1" s="759"/>
      <c r="G1" s="759"/>
      <c r="H1" s="759"/>
      <c r="I1" s="759"/>
      <c r="J1" s="759"/>
      <c r="K1" s="759"/>
      <c r="L1" s="759"/>
      <c r="M1" s="759"/>
      <c r="N1" s="759"/>
      <c r="O1" s="759"/>
      <c r="P1" s="76" t="s">
        <v>343</v>
      </c>
    </row>
    <row r="2" spans="1:16" ht="15.5">
      <c r="A2" s="727" t="s">
        <v>344</v>
      </c>
      <c r="B2" s="727"/>
      <c r="C2" s="1"/>
      <c r="D2" s="760"/>
      <c r="E2" s="760"/>
      <c r="F2" s="760"/>
      <c r="G2" s="760"/>
      <c r="H2" s="760"/>
      <c r="I2" s="760"/>
      <c r="J2" s="760"/>
      <c r="K2" s="760"/>
      <c r="L2" s="760"/>
      <c r="M2" s="760"/>
      <c r="N2" s="760"/>
      <c r="O2" s="760"/>
      <c r="P2" s="2"/>
    </row>
    <row r="3" spans="1:16" ht="25" customHeight="1">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29.25" customHeight="1"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ht="26">
      <c r="A8" s="402"/>
      <c r="B8" s="403" t="s">
        <v>356</v>
      </c>
      <c r="C8" s="402"/>
      <c r="D8" s="402"/>
      <c r="E8" s="402"/>
      <c r="F8" s="402"/>
      <c r="G8" s="402"/>
      <c r="H8" s="402"/>
      <c r="I8" s="402"/>
      <c r="J8" s="402"/>
      <c r="K8" s="402"/>
      <c r="L8" s="402"/>
      <c r="M8" s="402"/>
      <c r="N8" s="402"/>
      <c r="O8" s="402"/>
      <c r="P8" s="402"/>
    </row>
    <row r="9" spans="1:16" ht="26">
      <c r="A9" s="402"/>
      <c r="B9" s="403" t="s">
        <v>357</v>
      </c>
      <c r="C9" s="402"/>
      <c r="D9" s="402"/>
      <c r="E9" s="402"/>
      <c r="F9" s="402"/>
      <c r="G9" s="402"/>
      <c r="H9" s="402"/>
      <c r="I9" s="402"/>
      <c r="J9" s="402"/>
      <c r="K9" s="402"/>
      <c r="L9" s="402"/>
      <c r="M9" s="402"/>
      <c r="N9" s="402"/>
      <c r="O9" s="402"/>
      <c r="P9" s="402"/>
    </row>
    <row r="10" spans="1:16" ht="26">
      <c r="A10" s="402"/>
      <c r="B10" s="403" t="s">
        <v>358</v>
      </c>
      <c r="C10" s="402"/>
      <c r="D10" s="402"/>
      <c r="E10" s="402"/>
      <c r="F10" s="402"/>
      <c r="G10" s="402"/>
      <c r="H10" s="402"/>
      <c r="I10" s="402"/>
      <c r="J10" s="402"/>
      <c r="K10" s="402"/>
      <c r="L10" s="402"/>
      <c r="M10" s="402"/>
      <c r="N10" s="402"/>
      <c r="O10" s="402"/>
      <c r="P10" s="402"/>
    </row>
    <row r="11" spans="1:16" ht="26">
      <c r="A11" s="402"/>
      <c r="B11" s="403" t="s">
        <v>359</v>
      </c>
      <c r="C11" s="402"/>
      <c r="D11" s="402"/>
      <c r="E11" s="402"/>
      <c r="F11" s="402"/>
      <c r="G11" s="402"/>
      <c r="H11" s="402"/>
      <c r="I11" s="402"/>
      <c r="J11" s="402"/>
      <c r="K11" s="402"/>
      <c r="L11" s="402"/>
      <c r="M11" s="402"/>
      <c r="N11" s="402"/>
      <c r="O11" s="402"/>
      <c r="P11" s="402"/>
    </row>
    <row r="12" spans="1:16" ht="26">
      <c r="A12" s="402"/>
      <c r="B12" s="403" t="s">
        <v>360</v>
      </c>
      <c r="C12" s="402"/>
      <c r="D12" s="402"/>
      <c r="E12" s="402"/>
      <c r="F12" s="402"/>
      <c r="G12" s="402"/>
      <c r="H12" s="402"/>
      <c r="I12" s="402"/>
      <c r="J12" s="402"/>
      <c r="K12" s="402"/>
      <c r="L12" s="402"/>
      <c r="M12" s="402"/>
      <c r="N12" s="402"/>
      <c r="O12" s="402"/>
      <c r="P12" s="402"/>
    </row>
    <row r="13" spans="1:16">
      <c r="A13" s="402"/>
      <c r="B13" s="403" t="s">
        <v>361</v>
      </c>
      <c r="C13" s="402"/>
      <c r="D13" s="402"/>
      <c r="E13" s="402"/>
      <c r="F13" s="402"/>
      <c r="G13" s="402"/>
      <c r="H13" s="402"/>
      <c r="I13" s="402"/>
      <c r="J13" s="402"/>
      <c r="K13" s="402"/>
      <c r="L13" s="402"/>
      <c r="M13" s="402"/>
      <c r="N13" s="402"/>
      <c r="O13" s="402"/>
      <c r="P13" s="402"/>
    </row>
    <row r="14" spans="1:16">
      <c r="A14" s="402"/>
      <c r="B14" s="404" t="s">
        <v>369</v>
      </c>
      <c r="C14" s="402"/>
      <c r="D14" s="402"/>
      <c r="E14" s="402"/>
      <c r="F14" s="402"/>
      <c r="G14" s="402"/>
      <c r="H14" s="402"/>
      <c r="I14" s="402"/>
      <c r="J14" s="402"/>
      <c r="K14" s="402"/>
      <c r="L14" s="402"/>
      <c r="M14" s="402"/>
      <c r="N14" s="402"/>
      <c r="O14" s="402"/>
      <c r="P14" s="402"/>
    </row>
    <row r="15" spans="1:16" s="68" customFormat="1" ht="15.5">
      <c r="A15" s="326">
        <v>1</v>
      </c>
      <c r="B15" s="147" t="s">
        <v>370</v>
      </c>
      <c r="C15" s="254"/>
      <c r="D15" s="257"/>
      <c r="E15" s="257"/>
      <c r="F15" s="257"/>
      <c r="G15" s="257"/>
      <c r="H15" s="257"/>
      <c r="I15" s="257"/>
      <c r="J15" s="257"/>
      <c r="K15" s="257"/>
      <c r="L15" s="257"/>
      <c r="M15" s="257"/>
      <c r="N15" s="257"/>
      <c r="O15" s="257"/>
      <c r="P15" s="257"/>
    </row>
    <row r="16" spans="1:16" s="68" customFormat="1" ht="15.5">
      <c r="A16" s="326">
        <v>2</v>
      </c>
      <c r="B16" s="147" t="s">
        <v>371</v>
      </c>
      <c r="C16" s="254"/>
      <c r="D16" s="257"/>
      <c r="E16" s="257"/>
      <c r="F16" s="257"/>
      <c r="G16" s="257"/>
      <c r="H16" s="257"/>
      <c r="I16" s="257"/>
      <c r="J16" s="257"/>
      <c r="K16" s="257"/>
      <c r="L16" s="257"/>
      <c r="M16" s="257"/>
      <c r="N16" s="257"/>
      <c r="O16" s="257"/>
      <c r="P16" s="257"/>
    </row>
    <row r="17" spans="1:16" s="68" customFormat="1" ht="31">
      <c r="A17" s="326">
        <v>3</v>
      </c>
      <c r="B17" s="147" t="s">
        <v>372</v>
      </c>
      <c r="C17" s="254"/>
      <c r="D17" s="257"/>
      <c r="E17" s="257"/>
      <c r="F17" s="257"/>
      <c r="G17" s="257"/>
      <c r="H17" s="257"/>
      <c r="I17" s="257"/>
      <c r="J17" s="257"/>
      <c r="K17" s="257"/>
      <c r="L17" s="257"/>
      <c r="M17" s="257"/>
      <c r="N17" s="257"/>
      <c r="O17" s="257"/>
      <c r="P17" s="257"/>
    </row>
    <row r="18" spans="1:16" s="68" customFormat="1" ht="31">
      <c r="A18" s="326">
        <v>4</v>
      </c>
      <c r="B18" s="147" t="s">
        <v>373</v>
      </c>
      <c r="C18" s="254"/>
      <c r="D18" s="257"/>
      <c r="E18" s="257"/>
      <c r="F18" s="257"/>
      <c r="G18" s="257"/>
      <c r="H18" s="257"/>
      <c r="I18" s="257"/>
      <c r="J18" s="257"/>
      <c r="K18" s="257"/>
      <c r="L18" s="257"/>
      <c r="M18" s="257"/>
      <c r="N18" s="257"/>
      <c r="O18" s="257"/>
      <c r="P18" s="257"/>
    </row>
    <row r="19" spans="1:16" s="68" customFormat="1" ht="15.5">
      <c r="A19" s="326">
        <v>5</v>
      </c>
      <c r="B19" s="147" t="s">
        <v>374</v>
      </c>
      <c r="C19" s="254"/>
      <c r="D19" s="257"/>
      <c r="E19" s="257"/>
      <c r="F19" s="257"/>
      <c r="G19" s="257"/>
      <c r="H19" s="257"/>
      <c r="I19" s="257"/>
      <c r="J19" s="257"/>
      <c r="K19" s="257"/>
      <c r="L19" s="257"/>
      <c r="M19" s="257"/>
      <c r="N19" s="257"/>
      <c r="O19" s="257"/>
      <c r="P19" s="257"/>
    </row>
    <row r="20" spans="1:16" s="68" customFormat="1" ht="15.5">
      <c r="A20" s="326">
        <v>6</v>
      </c>
      <c r="B20" s="147" t="s">
        <v>375</v>
      </c>
      <c r="C20" s="254"/>
      <c r="D20" s="257"/>
      <c r="E20" s="257"/>
      <c r="F20" s="257"/>
      <c r="G20" s="257"/>
      <c r="H20" s="257"/>
      <c r="I20" s="257"/>
      <c r="J20" s="257"/>
      <c r="K20" s="257"/>
      <c r="L20" s="257"/>
      <c r="M20" s="257"/>
      <c r="N20" s="257"/>
      <c r="O20" s="257"/>
      <c r="P20" s="257"/>
    </row>
    <row r="21" spans="1:16" s="68" customFormat="1" ht="31">
      <c r="A21" s="326">
        <v>7</v>
      </c>
      <c r="B21" s="147" t="s">
        <v>376</v>
      </c>
      <c r="C21" s="254"/>
      <c r="D21" s="257"/>
      <c r="E21" s="257"/>
      <c r="F21" s="257"/>
      <c r="G21" s="257"/>
      <c r="H21" s="257"/>
      <c r="I21" s="257"/>
      <c r="J21" s="257"/>
      <c r="K21" s="257"/>
      <c r="L21" s="257"/>
      <c r="M21" s="257"/>
      <c r="N21" s="257"/>
      <c r="O21" s="257"/>
      <c r="P21" s="257"/>
    </row>
    <row r="22" spans="1:16" s="68" customFormat="1" ht="15.5">
      <c r="A22" s="326">
        <v>8</v>
      </c>
      <c r="B22" s="147" t="s">
        <v>377</v>
      </c>
      <c r="C22" s="254"/>
      <c r="D22" s="257"/>
      <c r="E22" s="257"/>
      <c r="F22" s="257"/>
      <c r="G22" s="257"/>
      <c r="H22" s="257"/>
      <c r="I22" s="257"/>
      <c r="J22" s="257"/>
      <c r="K22" s="257"/>
      <c r="L22" s="257"/>
      <c r="M22" s="257"/>
      <c r="N22" s="257"/>
      <c r="O22" s="257"/>
      <c r="P22" s="257"/>
    </row>
    <row r="23" spans="1:16" s="68" customFormat="1" ht="15.5">
      <c r="A23" s="326">
        <v>9</v>
      </c>
      <c r="B23" s="147" t="s">
        <v>378</v>
      </c>
      <c r="C23" s="254"/>
      <c r="D23" s="257"/>
      <c r="E23" s="257"/>
      <c r="F23" s="257"/>
      <c r="G23" s="257"/>
      <c r="H23" s="257"/>
      <c r="I23" s="257"/>
      <c r="J23" s="257"/>
      <c r="K23" s="257"/>
      <c r="L23" s="257"/>
      <c r="M23" s="257"/>
      <c r="N23" s="257"/>
      <c r="O23" s="257"/>
      <c r="P23" s="257"/>
    </row>
    <row r="24" spans="1:16" s="68" customFormat="1" ht="15.5">
      <c r="A24" s="326">
        <v>10</v>
      </c>
      <c r="B24" s="147" t="s">
        <v>379</v>
      </c>
      <c r="C24" s="254"/>
      <c r="D24" s="257"/>
      <c r="E24" s="257"/>
      <c r="F24" s="257"/>
      <c r="G24" s="257"/>
      <c r="H24" s="257"/>
      <c r="I24" s="257"/>
      <c r="J24" s="257"/>
      <c r="K24" s="257"/>
      <c r="L24" s="257"/>
      <c r="M24" s="257"/>
      <c r="N24" s="257"/>
      <c r="O24" s="257"/>
      <c r="P24" s="257"/>
    </row>
    <row r="25" spans="1:16" s="68" customFormat="1" ht="15.5">
      <c r="A25" s="326">
        <v>11</v>
      </c>
      <c r="B25" s="147" t="s">
        <v>380</v>
      </c>
      <c r="C25" s="254"/>
      <c r="D25" s="257"/>
      <c r="E25" s="257"/>
      <c r="F25" s="257"/>
      <c r="G25" s="257"/>
      <c r="H25" s="257"/>
      <c r="I25" s="257"/>
      <c r="J25" s="257"/>
      <c r="K25" s="257"/>
      <c r="L25" s="257"/>
      <c r="M25" s="257"/>
      <c r="N25" s="257"/>
      <c r="O25" s="257"/>
      <c r="P25" s="257"/>
    </row>
    <row r="26" spans="1:16" s="68" customFormat="1" ht="31">
      <c r="A26" s="326">
        <v>12</v>
      </c>
      <c r="B26" s="147" t="s">
        <v>381</v>
      </c>
      <c r="C26" s="254"/>
      <c r="D26" s="257"/>
      <c r="E26" s="257"/>
      <c r="F26" s="257"/>
      <c r="G26" s="257"/>
      <c r="H26" s="257"/>
      <c r="I26" s="257"/>
      <c r="J26" s="257"/>
      <c r="K26" s="257"/>
      <c r="L26" s="257"/>
      <c r="M26" s="257"/>
      <c r="N26" s="257"/>
      <c r="O26" s="257"/>
      <c r="P26" s="257"/>
    </row>
    <row r="27" spans="1:16" s="68" customFormat="1" ht="15.5">
      <c r="A27" s="326">
        <v>13</v>
      </c>
      <c r="B27" s="147" t="s">
        <v>382</v>
      </c>
      <c r="C27" s="254"/>
      <c r="D27" s="257"/>
      <c r="E27" s="257"/>
      <c r="F27" s="257"/>
      <c r="G27" s="257"/>
      <c r="H27" s="257"/>
      <c r="I27" s="257"/>
      <c r="J27" s="257"/>
      <c r="K27" s="257"/>
      <c r="L27" s="257"/>
      <c r="M27" s="257"/>
      <c r="N27" s="257"/>
      <c r="O27" s="257"/>
      <c r="P27" s="257"/>
    </row>
    <row r="28" spans="1:16" s="68" customFormat="1" ht="15.5">
      <c r="A28" s="325"/>
      <c r="B28" s="147" t="s">
        <v>383</v>
      </c>
      <c r="C28" s="405"/>
      <c r="D28" s="406"/>
      <c r="E28" s="406"/>
      <c r="F28" s="406"/>
      <c r="G28" s="406"/>
      <c r="H28" s="406"/>
      <c r="I28" s="406"/>
      <c r="J28" s="406"/>
      <c r="K28" s="406"/>
      <c r="L28" s="406"/>
      <c r="M28" s="406"/>
      <c r="N28" s="406"/>
      <c r="O28" s="406"/>
      <c r="P28" s="406"/>
    </row>
    <row r="29" spans="1:16" s="68" customFormat="1" ht="15.5">
      <c r="A29" s="326"/>
      <c r="B29" s="147" t="s">
        <v>384</v>
      </c>
      <c r="C29" s="254"/>
      <c r="D29" s="257"/>
      <c r="E29" s="257"/>
      <c r="F29" s="257"/>
      <c r="G29" s="257"/>
      <c r="H29" s="257"/>
      <c r="I29" s="257"/>
      <c r="J29" s="257"/>
      <c r="K29" s="257"/>
      <c r="L29" s="257"/>
      <c r="M29" s="257"/>
      <c r="N29" s="257"/>
      <c r="O29" s="257"/>
      <c r="P29" s="257"/>
    </row>
    <row r="30" spans="1:16" s="68" customFormat="1" ht="15.5">
      <c r="A30" s="326"/>
      <c r="B30" s="147" t="s">
        <v>385</v>
      </c>
      <c r="C30" s="254"/>
      <c r="D30" s="257"/>
      <c r="E30" s="257"/>
      <c r="F30" s="257"/>
      <c r="G30" s="257"/>
      <c r="H30" s="257"/>
      <c r="I30" s="257"/>
      <c r="J30" s="257"/>
      <c r="K30" s="257"/>
      <c r="L30" s="257"/>
      <c r="M30" s="257"/>
      <c r="N30" s="257"/>
      <c r="O30" s="257"/>
      <c r="P30" s="257"/>
    </row>
    <row r="31" spans="1:16" s="68" customFormat="1" ht="31">
      <c r="A31" s="325"/>
      <c r="B31" s="147" t="s">
        <v>386</v>
      </c>
      <c r="C31" s="254"/>
      <c r="D31" s="406"/>
      <c r="E31" s="257"/>
      <c r="F31" s="257"/>
      <c r="G31" s="257"/>
      <c r="H31" s="406"/>
      <c r="I31" s="257"/>
      <c r="J31" s="257"/>
      <c r="K31" s="257"/>
      <c r="L31" s="406"/>
      <c r="M31" s="257"/>
      <c r="N31" s="257"/>
      <c r="O31" s="257"/>
      <c r="P31" s="257"/>
    </row>
    <row r="32" spans="1:16" s="68" customFormat="1" ht="15.5">
      <c r="A32" s="326"/>
      <c r="B32" s="147" t="s">
        <v>387</v>
      </c>
      <c r="C32" s="254"/>
      <c r="D32" s="257"/>
      <c r="E32" s="257"/>
      <c r="F32" s="257"/>
      <c r="G32" s="257"/>
      <c r="H32" s="257"/>
      <c r="I32" s="257"/>
      <c r="J32" s="257"/>
      <c r="K32" s="257"/>
      <c r="L32" s="257"/>
      <c r="M32" s="257"/>
      <c r="N32" s="257"/>
      <c r="O32" s="257"/>
      <c r="P32" s="257"/>
    </row>
    <row r="33" spans="1:16" s="68" customFormat="1" ht="15.5">
      <c r="A33" s="326"/>
      <c r="B33" s="147" t="s">
        <v>388</v>
      </c>
      <c r="C33" s="254"/>
      <c r="D33" s="257"/>
      <c r="E33" s="257"/>
      <c r="F33" s="257"/>
      <c r="G33" s="257"/>
      <c r="H33" s="257"/>
      <c r="I33" s="257"/>
      <c r="J33" s="257"/>
      <c r="K33" s="257"/>
      <c r="L33" s="257"/>
      <c r="M33" s="257"/>
      <c r="N33" s="257"/>
      <c r="O33" s="257"/>
      <c r="P33" s="257"/>
    </row>
    <row r="34" spans="1:16" s="68" customFormat="1" ht="31">
      <c r="A34" s="326"/>
      <c r="B34" s="147" t="s">
        <v>389</v>
      </c>
      <c r="C34" s="254"/>
      <c r="D34" s="257"/>
      <c r="E34" s="257"/>
      <c r="F34" s="257"/>
      <c r="G34" s="257"/>
      <c r="H34" s="257"/>
      <c r="I34" s="257"/>
      <c r="J34" s="257"/>
      <c r="K34" s="257"/>
      <c r="L34" s="257"/>
      <c r="M34" s="257"/>
      <c r="N34" s="257"/>
      <c r="O34" s="257"/>
      <c r="P34" s="257"/>
    </row>
    <row r="35" spans="1:16" s="68" customFormat="1" ht="15.5">
      <c r="A35" s="326"/>
      <c r="B35" s="147" t="s">
        <v>390</v>
      </c>
      <c r="C35" s="254"/>
      <c r="D35" s="257"/>
      <c r="E35" s="257"/>
      <c r="F35" s="257"/>
      <c r="G35" s="257"/>
      <c r="H35" s="257"/>
      <c r="I35" s="257"/>
      <c r="J35" s="257"/>
      <c r="K35" s="257"/>
      <c r="L35" s="257"/>
      <c r="M35" s="257"/>
      <c r="N35" s="257"/>
      <c r="O35" s="257"/>
      <c r="P35" s="257"/>
    </row>
    <row r="36" spans="1:16" s="68" customFormat="1" ht="15.5">
      <c r="A36" s="326"/>
      <c r="B36" s="147" t="s">
        <v>391</v>
      </c>
      <c r="C36" s="254"/>
      <c r="D36" s="257"/>
      <c r="E36" s="257"/>
      <c r="F36" s="257"/>
      <c r="G36" s="257"/>
      <c r="H36" s="257"/>
      <c r="I36" s="257"/>
      <c r="J36" s="257"/>
      <c r="K36" s="257"/>
      <c r="L36" s="257"/>
      <c r="M36" s="257"/>
      <c r="N36" s="257"/>
      <c r="O36" s="257"/>
      <c r="P36" s="257"/>
    </row>
    <row r="37" spans="1:16" s="68" customFormat="1" ht="15.5">
      <c r="A37" s="326"/>
      <c r="B37" s="147" t="s">
        <v>392</v>
      </c>
      <c r="C37" s="254"/>
      <c r="D37" s="257"/>
      <c r="E37" s="257"/>
      <c r="F37" s="257"/>
      <c r="G37" s="257"/>
      <c r="H37" s="257"/>
      <c r="I37" s="257"/>
      <c r="J37" s="257"/>
      <c r="K37" s="257"/>
      <c r="L37" s="257"/>
      <c r="M37" s="257"/>
      <c r="N37" s="257"/>
      <c r="O37" s="257"/>
      <c r="P37" s="257"/>
    </row>
    <row r="38" spans="1:16" s="68" customFormat="1" ht="15.5">
      <c r="A38" s="326"/>
      <c r="B38" s="147" t="s">
        <v>393</v>
      </c>
      <c r="C38" s="254"/>
      <c r="D38" s="257"/>
      <c r="E38" s="257"/>
      <c r="F38" s="257"/>
      <c r="G38" s="257"/>
      <c r="H38" s="257"/>
      <c r="I38" s="257"/>
      <c r="J38" s="257"/>
      <c r="K38" s="257"/>
      <c r="L38" s="257"/>
      <c r="M38" s="257"/>
      <c r="N38" s="257"/>
      <c r="O38" s="257"/>
      <c r="P38" s="257"/>
    </row>
    <row r="39" spans="1:16" s="68" customFormat="1" ht="15.5">
      <c r="A39" s="326"/>
      <c r="B39" s="147" t="s">
        <v>394</v>
      </c>
      <c r="C39" s="254"/>
      <c r="D39" s="257"/>
      <c r="E39" s="257"/>
      <c r="F39" s="257"/>
      <c r="G39" s="257"/>
      <c r="H39" s="257"/>
      <c r="I39" s="257"/>
      <c r="J39" s="257"/>
      <c r="K39" s="257"/>
      <c r="L39" s="257"/>
      <c r="M39" s="257"/>
      <c r="N39" s="257"/>
      <c r="O39" s="257"/>
      <c r="P39" s="257"/>
    </row>
    <row r="40" spans="1:16" s="68" customFormat="1" ht="15.5">
      <c r="A40" s="326"/>
      <c r="B40" s="147" t="s">
        <v>395</v>
      </c>
      <c r="C40" s="254"/>
      <c r="D40" s="257"/>
      <c r="E40" s="257"/>
      <c r="F40" s="257"/>
      <c r="G40" s="257"/>
      <c r="H40" s="257"/>
      <c r="I40" s="257"/>
      <c r="J40" s="257"/>
      <c r="K40" s="257"/>
      <c r="L40" s="257"/>
      <c r="M40" s="257"/>
      <c r="N40" s="257"/>
      <c r="O40" s="257"/>
      <c r="P40" s="257"/>
    </row>
    <row r="41" spans="1:16" s="68" customFormat="1" ht="15.5">
      <c r="A41" s="326"/>
      <c r="B41" s="147" t="s">
        <v>396</v>
      </c>
      <c r="C41" s="254"/>
      <c r="D41" s="257"/>
      <c r="E41" s="257"/>
      <c r="F41" s="257"/>
      <c r="G41" s="257"/>
      <c r="H41" s="257"/>
      <c r="I41" s="257"/>
      <c r="J41" s="257"/>
      <c r="K41" s="257"/>
      <c r="L41" s="257"/>
      <c r="M41" s="257"/>
      <c r="N41" s="257"/>
      <c r="O41" s="257"/>
      <c r="P41" s="257"/>
    </row>
    <row r="42" spans="1:16" s="68" customFormat="1" ht="15.5">
      <c r="A42" s="326"/>
      <c r="B42" s="147" t="s">
        <v>397</v>
      </c>
      <c r="C42" s="254"/>
      <c r="D42" s="257"/>
      <c r="E42" s="257"/>
      <c r="F42" s="257"/>
      <c r="G42" s="257"/>
      <c r="H42" s="257"/>
      <c r="I42" s="257"/>
      <c r="J42" s="257"/>
      <c r="K42" s="257"/>
      <c r="L42" s="257"/>
      <c r="M42" s="257"/>
      <c r="N42" s="257"/>
      <c r="O42" s="257"/>
      <c r="P42" s="257"/>
    </row>
    <row r="43" spans="1:16" s="68" customFormat="1" ht="31">
      <c r="A43" s="326"/>
      <c r="B43" s="147" t="s">
        <v>398</v>
      </c>
      <c r="C43" s="254"/>
      <c r="D43" s="257"/>
      <c r="E43" s="257"/>
      <c r="F43" s="257"/>
      <c r="G43" s="257"/>
      <c r="H43" s="257"/>
      <c r="I43" s="257"/>
      <c r="J43" s="257"/>
      <c r="K43" s="257"/>
      <c r="L43" s="257"/>
      <c r="M43" s="257"/>
      <c r="N43" s="257"/>
      <c r="O43" s="257"/>
      <c r="P43" s="257"/>
    </row>
    <row r="44" spans="1:16" s="68" customFormat="1" ht="31">
      <c r="A44" s="326"/>
      <c r="B44" s="147" t="s">
        <v>399</v>
      </c>
      <c r="C44" s="254"/>
      <c r="D44" s="257"/>
      <c r="E44" s="257"/>
      <c r="F44" s="257"/>
      <c r="G44" s="257"/>
      <c r="H44" s="257"/>
      <c r="I44" s="257"/>
      <c r="J44" s="257"/>
      <c r="K44" s="257"/>
      <c r="L44" s="257"/>
      <c r="M44" s="257"/>
      <c r="N44" s="257"/>
      <c r="O44" s="257"/>
      <c r="P44" s="257"/>
    </row>
    <row r="45" spans="1:16" s="68" customFormat="1" ht="31">
      <c r="A45" s="326"/>
      <c r="B45" s="147" t="s">
        <v>400</v>
      </c>
      <c r="C45" s="254"/>
      <c r="D45" s="257"/>
      <c r="E45" s="257"/>
      <c r="F45" s="257"/>
      <c r="G45" s="257"/>
      <c r="H45" s="257"/>
      <c r="I45" s="257"/>
      <c r="J45" s="257"/>
      <c r="K45" s="257"/>
      <c r="L45" s="257"/>
      <c r="M45" s="257"/>
      <c r="N45" s="257"/>
      <c r="O45" s="257"/>
      <c r="P45" s="257"/>
    </row>
    <row r="46" spans="1:16" s="68" customFormat="1" ht="15.5">
      <c r="A46" s="326"/>
      <c r="B46" s="147" t="s">
        <v>401</v>
      </c>
      <c r="C46" s="254"/>
      <c r="D46" s="257"/>
      <c r="E46" s="257"/>
      <c r="F46" s="257"/>
      <c r="G46" s="257"/>
      <c r="H46" s="257"/>
      <c r="I46" s="257"/>
      <c r="J46" s="257"/>
      <c r="K46" s="257"/>
      <c r="L46" s="257"/>
      <c r="M46" s="257"/>
      <c r="N46" s="257"/>
      <c r="O46" s="257"/>
      <c r="P46" s="257"/>
    </row>
    <row r="47" spans="1:16" s="68" customFormat="1" ht="15.5">
      <c r="A47" s="326"/>
      <c r="B47" s="147" t="s">
        <v>402</v>
      </c>
      <c r="C47" s="254"/>
      <c r="D47" s="257"/>
      <c r="E47" s="257"/>
      <c r="F47" s="257"/>
      <c r="G47" s="257"/>
      <c r="H47" s="257"/>
      <c r="I47" s="257"/>
      <c r="J47" s="257"/>
      <c r="K47" s="257"/>
      <c r="L47" s="257"/>
      <c r="M47" s="257"/>
      <c r="N47" s="257"/>
      <c r="O47" s="257"/>
      <c r="P47" s="257"/>
    </row>
    <row r="48" spans="1:16" s="68" customFormat="1" ht="31">
      <c r="A48" s="326"/>
      <c r="B48" s="147" t="s">
        <v>403</v>
      </c>
      <c r="C48" s="254"/>
      <c r="D48" s="257"/>
      <c r="E48" s="257"/>
      <c r="F48" s="257"/>
      <c r="G48" s="257"/>
      <c r="H48" s="257"/>
      <c r="I48" s="257"/>
      <c r="J48" s="257"/>
      <c r="K48" s="257"/>
      <c r="L48" s="257"/>
      <c r="M48" s="257"/>
      <c r="N48" s="257"/>
      <c r="O48" s="257"/>
      <c r="P48" s="257"/>
    </row>
    <row r="49" spans="1:16" s="68" customFormat="1" ht="31">
      <c r="A49" s="326"/>
      <c r="B49" s="147" t="s">
        <v>404</v>
      </c>
      <c r="C49" s="254"/>
      <c r="D49" s="257"/>
      <c r="E49" s="257"/>
      <c r="F49" s="257"/>
      <c r="G49" s="257"/>
      <c r="H49" s="257"/>
      <c r="I49" s="257"/>
      <c r="J49" s="257"/>
      <c r="K49" s="257"/>
      <c r="L49" s="257"/>
      <c r="M49" s="257"/>
      <c r="N49" s="257"/>
      <c r="O49" s="257"/>
      <c r="P49" s="257"/>
    </row>
    <row r="50" spans="1:16" s="68" customFormat="1" ht="15.5">
      <c r="A50" s="326"/>
      <c r="B50" s="147" t="s">
        <v>405</v>
      </c>
      <c r="C50" s="254"/>
      <c r="D50" s="257"/>
      <c r="E50" s="257"/>
      <c r="F50" s="257"/>
      <c r="G50" s="257"/>
      <c r="H50" s="257"/>
      <c r="I50" s="257"/>
      <c r="J50" s="257"/>
      <c r="K50" s="257"/>
      <c r="L50" s="257"/>
      <c r="M50" s="257"/>
      <c r="N50" s="257"/>
      <c r="O50" s="257"/>
      <c r="P50" s="257"/>
    </row>
    <row r="51" spans="1:16" s="68" customFormat="1" ht="15.5">
      <c r="A51" s="326"/>
      <c r="B51" s="407"/>
      <c r="C51" s="254"/>
      <c r="D51" s="257"/>
      <c r="E51" s="257"/>
      <c r="F51" s="257"/>
      <c r="G51" s="257"/>
      <c r="H51" s="257"/>
      <c r="I51" s="257"/>
      <c r="J51" s="257"/>
      <c r="K51" s="257"/>
      <c r="L51" s="257"/>
      <c r="M51" s="257"/>
      <c r="N51" s="257"/>
      <c r="O51" s="257"/>
      <c r="P51" s="257"/>
    </row>
    <row r="52" spans="1:16" s="68" customFormat="1" ht="15.5">
      <c r="A52" s="326"/>
      <c r="B52" s="407"/>
      <c r="C52" s="254"/>
      <c r="D52" s="257"/>
      <c r="E52" s="257"/>
      <c r="F52" s="257"/>
      <c r="G52" s="257"/>
      <c r="H52" s="257"/>
      <c r="I52" s="257"/>
      <c r="J52" s="257"/>
      <c r="K52" s="257"/>
      <c r="L52" s="257"/>
      <c r="M52" s="257"/>
      <c r="N52" s="257"/>
      <c r="O52" s="257"/>
      <c r="P52" s="257"/>
    </row>
    <row r="53" spans="1:16" s="68" customFormat="1" ht="38.25" customHeight="1" thickBot="1">
      <c r="A53" s="772" t="s">
        <v>364</v>
      </c>
      <c r="B53" s="773"/>
      <c r="C53" s="399"/>
      <c r="D53" s="400">
        <f t="shared" ref="D53:L53" si="0">D28+D31</f>
        <v>0</v>
      </c>
      <c r="E53" s="400">
        <f t="shared" si="0"/>
        <v>0</v>
      </c>
      <c r="F53" s="400">
        <f t="shared" si="0"/>
        <v>0</v>
      </c>
      <c r="G53" s="400">
        <f t="shared" si="0"/>
        <v>0</v>
      </c>
      <c r="H53" s="400">
        <f t="shared" si="0"/>
        <v>0</v>
      </c>
      <c r="I53" s="400">
        <f t="shared" si="0"/>
        <v>0</v>
      </c>
      <c r="J53" s="400">
        <f t="shared" si="0"/>
        <v>0</v>
      </c>
      <c r="K53" s="400">
        <f t="shared" si="0"/>
        <v>0</v>
      </c>
      <c r="L53" s="400">
        <f t="shared" si="0"/>
        <v>0</v>
      </c>
      <c r="M53" s="400"/>
      <c r="N53" s="400"/>
      <c r="O53" s="400"/>
      <c r="P53" s="401"/>
    </row>
    <row r="54" spans="1:16" ht="15" thickTop="1">
      <c r="A54" s="29"/>
      <c r="B54" s="1"/>
      <c r="C54" s="1"/>
      <c r="D54" s="728" t="s">
        <v>366</v>
      </c>
      <c r="E54" s="728"/>
      <c r="F54" s="728"/>
      <c r="G54" s="728"/>
      <c r="H54" s="728"/>
      <c r="I54" s="728"/>
      <c r="J54" s="728"/>
      <c r="K54" s="728"/>
      <c r="L54" s="728"/>
      <c r="M54" s="728"/>
      <c r="N54" s="728"/>
      <c r="O54" s="728"/>
      <c r="P54" s="728"/>
    </row>
    <row r="55" spans="1:16">
      <c r="A55" s="29"/>
      <c r="B55" s="67"/>
      <c r="C55" s="1"/>
      <c r="E55" s="89"/>
      <c r="F55" s="89"/>
      <c r="G55" s="89"/>
      <c r="H55" s="89"/>
      <c r="I55" s="89"/>
      <c r="J55" s="89"/>
      <c r="K55" s="89"/>
      <c r="L55" s="89"/>
      <c r="M55" s="727" t="s">
        <v>367</v>
      </c>
      <c r="N55" s="727"/>
      <c r="O55" s="727"/>
      <c r="P55" s="727"/>
    </row>
    <row r="56" spans="1:16" ht="81.75" customHeight="1">
      <c r="A56" s="766" t="s">
        <v>368</v>
      </c>
      <c r="B56" s="766"/>
      <c r="C56" s="766"/>
      <c r="D56" s="766"/>
      <c r="E56" s="766"/>
      <c r="F56" s="766"/>
      <c r="G56" s="766"/>
      <c r="H56" s="766"/>
      <c r="I56" s="766"/>
      <c r="J56" s="766"/>
      <c r="K56" s="766"/>
      <c r="L56" s="766"/>
      <c r="M56" s="2"/>
      <c r="N56" s="2"/>
      <c r="O56" s="2"/>
      <c r="P56" s="2"/>
    </row>
    <row r="57" spans="1:16">
      <c r="A57" s="29"/>
      <c r="B57" s="72"/>
      <c r="C57" s="1"/>
      <c r="D57" s="727"/>
      <c r="E57" s="727"/>
      <c r="F57" s="727"/>
      <c r="G57" s="727"/>
      <c r="H57" s="727"/>
      <c r="I57" s="727"/>
      <c r="J57" s="727"/>
      <c r="K57" s="727"/>
      <c r="L57" s="727"/>
      <c r="M57" s="727"/>
      <c r="N57" s="727"/>
      <c r="O57" s="727"/>
      <c r="P57" s="727"/>
    </row>
    <row r="58" spans="1:16">
      <c r="A58" s="29"/>
      <c r="B58" s="1"/>
      <c r="C58" s="1"/>
      <c r="D58" s="761"/>
      <c r="E58" s="761"/>
      <c r="F58" s="761"/>
      <c r="G58" s="761"/>
      <c r="H58" s="761"/>
      <c r="I58" s="761"/>
      <c r="J58" s="761"/>
      <c r="K58" s="761"/>
      <c r="L58" s="761"/>
      <c r="M58" s="761"/>
      <c r="N58" s="761"/>
      <c r="O58" s="761"/>
      <c r="P58" s="761"/>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activeCell="A3" sqref="A3"/>
      <selection pane="topRight" activeCell="C3" sqref="C3"/>
      <selection pane="bottomLeft" activeCell="A6" sqref="A6"/>
      <selection pane="bottomRight" activeCell="A3" sqref="A3:I3"/>
    </sheetView>
  </sheetViews>
  <sheetFormatPr defaultColWidth="9" defaultRowHeight="14.5"/>
  <cols>
    <col min="1" max="1" width="4.81640625" style="90" customWidth="1"/>
    <col min="2" max="2" width="48.7265625" style="75" customWidth="1"/>
    <col min="3" max="3" width="8.54296875" style="75" customWidth="1"/>
    <col min="4" max="4" width="11.453125" style="75" customWidth="1"/>
    <col min="5" max="5" width="15.26953125" style="75" customWidth="1"/>
    <col min="6" max="6" width="6.81640625" style="75" customWidth="1"/>
    <col min="7" max="7" width="11.26953125" style="75" customWidth="1"/>
    <col min="8" max="8" width="18.7265625" style="75" customWidth="1"/>
    <col min="9" max="9" width="21.26953125" style="74" customWidth="1"/>
    <col min="10" max="10" width="53.1796875" style="74" bestFit="1" customWidth="1"/>
    <col min="11" max="16384" width="9" style="74"/>
  </cols>
  <sheetData>
    <row r="1" spans="1:14" ht="14.25" customHeight="1">
      <c r="A1" s="777" t="s">
        <v>735</v>
      </c>
      <c r="B1" s="777"/>
      <c r="C1" s="716"/>
      <c r="D1" s="716"/>
      <c r="E1" s="716"/>
      <c r="F1" s="716"/>
      <c r="G1" s="716"/>
      <c r="H1" s="93"/>
      <c r="I1" s="94" t="s">
        <v>406</v>
      </c>
      <c r="J1" s="114"/>
      <c r="K1" s="117"/>
      <c r="L1" s="117"/>
      <c r="M1" s="117"/>
      <c r="N1" s="117"/>
    </row>
    <row r="2" spans="1:14">
      <c r="A2" s="778" t="s">
        <v>407</v>
      </c>
      <c r="B2" s="778"/>
      <c r="C2" s="716"/>
      <c r="D2" s="716"/>
      <c r="E2" s="716"/>
      <c r="F2" s="716"/>
      <c r="G2" s="716"/>
      <c r="H2" s="93"/>
      <c r="I2" s="93"/>
      <c r="J2" s="114"/>
      <c r="K2" s="117"/>
      <c r="L2" s="117"/>
      <c r="M2" s="117"/>
      <c r="N2" s="117"/>
    </row>
    <row r="3" spans="1:14" ht="27" customHeight="1">
      <c r="A3" s="719" t="s">
        <v>35</v>
      </c>
      <c r="B3" s="719"/>
      <c r="C3" s="719"/>
      <c r="D3" s="719"/>
      <c r="E3" s="719"/>
      <c r="F3" s="719"/>
      <c r="G3" s="719"/>
      <c r="H3" s="719"/>
      <c r="I3" s="719"/>
      <c r="J3" s="114"/>
      <c r="K3" s="117"/>
      <c r="L3" s="117"/>
      <c r="M3" s="117"/>
      <c r="N3" s="117"/>
    </row>
    <row r="4" spans="1:14" ht="15" thickBot="1">
      <c r="A4" s="95"/>
      <c r="B4" s="95"/>
      <c r="C4" s="95"/>
      <c r="D4" s="95"/>
      <c r="E4" s="95"/>
      <c r="F4" s="95"/>
      <c r="G4" s="95"/>
      <c r="H4" s="95"/>
      <c r="I4" s="96" t="s">
        <v>408</v>
      </c>
      <c r="J4" s="114"/>
      <c r="K4" s="117"/>
      <c r="L4" s="117"/>
      <c r="M4" s="117"/>
      <c r="N4" s="117"/>
    </row>
    <row r="5" spans="1:14" ht="75" customHeight="1" thickTop="1">
      <c r="A5" s="470" t="s">
        <v>68</v>
      </c>
      <c r="B5" s="471" t="s">
        <v>409</v>
      </c>
      <c r="C5" s="471" t="s">
        <v>410</v>
      </c>
      <c r="D5" s="471" t="s">
        <v>411</v>
      </c>
      <c r="E5" s="471" t="s">
        <v>412</v>
      </c>
      <c r="F5" s="471" t="s">
        <v>413</v>
      </c>
      <c r="G5" s="471" t="s">
        <v>414</v>
      </c>
      <c r="H5" s="471" t="s">
        <v>415</v>
      </c>
      <c r="I5" s="469" t="s">
        <v>7</v>
      </c>
      <c r="J5" s="114"/>
      <c r="K5" s="117"/>
      <c r="L5" s="117"/>
      <c r="M5" s="117"/>
      <c r="N5" s="117"/>
    </row>
    <row r="6" spans="1:14" ht="17.25" customHeight="1">
      <c r="A6" s="501" t="s">
        <v>79</v>
      </c>
      <c r="B6" s="502" t="s">
        <v>416</v>
      </c>
      <c r="C6" s="489"/>
      <c r="D6" s="489"/>
      <c r="E6" s="489"/>
      <c r="F6" s="489"/>
      <c r="G6" s="489"/>
      <c r="H6" s="489"/>
      <c r="I6" s="489"/>
      <c r="J6" s="240" t="s">
        <v>417</v>
      </c>
      <c r="K6" s="117"/>
      <c r="L6" s="117"/>
      <c r="M6" s="117"/>
      <c r="N6" s="117"/>
    </row>
    <row r="7" spans="1:14" s="107" customFormat="1" ht="17.25" customHeight="1">
      <c r="A7" s="405" t="s">
        <v>81</v>
      </c>
      <c r="B7" s="490" t="s">
        <v>736</v>
      </c>
      <c r="C7" s="490"/>
      <c r="D7" s="490"/>
      <c r="E7" s="405"/>
      <c r="F7" s="405"/>
      <c r="G7" s="405"/>
      <c r="H7" s="405"/>
      <c r="I7" s="406"/>
      <c r="J7" s="494"/>
      <c r="K7" s="495"/>
      <c r="L7" s="495"/>
      <c r="M7" s="495"/>
      <c r="N7" s="495"/>
    </row>
    <row r="8" spans="1:14" s="107" customFormat="1" ht="15.75" customHeight="1">
      <c r="A8" s="254">
        <v>1</v>
      </c>
      <c r="B8" s="492"/>
      <c r="C8" s="492"/>
      <c r="D8" s="492"/>
      <c r="E8" s="405"/>
      <c r="F8" s="405"/>
      <c r="G8" s="405"/>
      <c r="H8" s="405"/>
      <c r="I8" s="406"/>
      <c r="J8" s="494"/>
      <c r="K8" s="495"/>
      <c r="L8" s="495"/>
      <c r="M8" s="495"/>
      <c r="N8" s="495"/>
    </row>
    <row r="9" spans="1:14" s="107" customFormat="1" ht="15.75" customHeight="1">
      <c r="A9" s="254">
        <v>2</v>
      </c>
      <c r="B9" s="492"/>
      <c r="C9" s="492"/>
      <c r="D9" s="492"/>
      <c r="E9" s="405"/>
      <c r="F9" s="405"/>
      <c r="G9" s="405"/>
      <c r="H9" s="405"/>
      <c r="I9" s="406"/>
      <c r="J9" s="494"/>
      <c r="K9" s="495"/>
      <c r="L9" s="495"/>
      <c r="M9" s="495"/>
      <c r="N9" s="495"/>
    </row>
    <row r="10" spans="1:14" s="107" customFormat="1" ht="15.75" customHeight="1">
      <c r="A10" s="254"/>
      <c r="B10" s="492"/>
      <c r="C10" s="492"/>
      <c r="D10" s="492"/>
      <c r="E10" s="405"/>
      <c r="F10" s="405"/>
      <c r="G10" s="405"/>
      <c r="H10" s="405"/>
      <c r="I10" s="406"/>
      <c r="J10" s="494"/>
      <c r="K10" s="495"/>
      <c r="L10" s="495"/>
      <c r="M10" s="495"/>
      <c r="N10" s="495"/>
    </row>
    <row r="11" spans="1:14" s="107" customFormat="1" ht="15.75" hidden="1" customHeight="1">
      <c r="A11" s="405" t="s">
        <v>104</v>
      </c>
      <c r="B11" s="490" t="s">
        <v>418</v>
      </c>
      <c r="C11" s="490"/>
      <c r="D11" s="490"/>
      <c r="E11" s="254"/>
      <c r="F11" s="254"/>
      <c r="G11" s="254"/>
      <c r="H11" s="254"/>
      <c r="I11" s="257"/>
      <c r="J11" s="494"/>
      <c r="K11" s="495"/>
      <c r="L11" s="495"/>
      <c r="M11" s="495"/>
      <c r="N11" s="495"/>
    </row>
    <row r="12" spans="1:14" s="107" customFormat="1" ht="15.75" hidden="1" customHeight="1">
      <c r="A12" s="254">
        <v>1</v>
      </c>
      <c r="B12" s="492"/>
      <c r="C12" s="492"/>
      <c r="D12" s="492"/>
      <c r="E12" s="254"/>
      <c r="F12" s="254"/>
      <c r="G12" s="254"/>
      <c r="H12" s="254"/>
      <c r="I12" s="257"/>
      <c r="J12" s="494"/>
      <c r="K12" s="495"/>
      <c r="L12" s="495"/>
      <c r="M12" s="495"/>
      <c r="N12" s="495"/>
    </row>
    <row r="13" spans="1:14" s="107" customFormat="1" ht="15.75" hidden="1" customHeight="1">
      <c r="A13" s="254">
        <v>2</v>
      </c>
      <c r="B13" s="492"/>
      <c r="C13" s="492"/>
      <c r="D13" s="492"/>
      <c r="E13" s="254"/>
      <c r="F13" s="254"/>
      <c r="G13" s="254"/>
      <c r="H13" s="254"/>
      <c r="I13" s="257"/>
      <c r="J13" s="494"/>
      <c r="K13" s="495"/>
      <c r="L13" s="495"/>
      <c r="M13" s="495"/>
      <c r="N13" s="495"/>
    </row>
    <row r="14" spans="1:14" s="107" customFormat="1" ht="15.75" hidden="1" customHeight="1">
      <c r="A14" s="254"/>
      <c r="B14" s="492"/>
      <c r="C14" s="492"/>
      <c r="D14" s="492"/>
      <c r="E14" s="254"/>
      <c r="F14" s="254"/>
      <c r="G14" s="254"/>
      <c r="H14" s="254"/>
      <c r="I14" s="257"/>
      <c r="J14" s="494"/>
      <c r="K14" s="495"/>
      <c r="L14" s="495"/>
      <c r="M14" s="495"/>
      <c r="N14" s="495"/>
    </row>
    <row r="15" spans="1:14" s="113" customFormat="1" ht="18.75" customHeight="1">
      <c r="A15" s="405" t="s">
        <v>288</v>
      </c>
      <c r="B15" s="490" t="s">
        <v>419</v>
      </c>
      <c r="C15" s="490"/>
      <c r="D15" s="490"/>
      <c r="E15" s="254"/>
      <c r="F15" s="254"/>
      <c r="G15" s="254"/>
      <c r="H15" s="254"/>
      <c r="I15" s="257"/>
      <c r="J15" s="114"/>
      <c r="K15" s="117"/>
      <c r="L15" s="117"/>
      <c r="M15" s="117"/>
      <c r="N15" s="117"/>
    </row>
    <row r="16" spans="1:14" s="113" customFormat="1" ht="18.75" customHeight="1">
      <c r="A16" s="498" t="s">
        <v>81</v>
      </c>
      <c r="B16" s="490" t="s">
        <v>420</v>
      </c>
      <c r="C16" s="490"/>
      <c r="D16" s="490"/>
      <c r="E16" s="254"/>
      <c r="F16" s="254"/>
      <c r="G16" s="254"/>
      <c r="H16" s="254"/>
      <c r="I16" s="257"/>
      <c r="J16" s="114"/>
      <c r="K16" s="117"/>
      <c r="L16" s="117"/>
      <c r="M16" s="117"/>
      <c r="N16" s="117"/>
    </row>
    <row r="17" spans="1:14" s="113" customFormat="1" ht="18.75" customHeight="1">
      <c r="A17" s="498"/>
      <c r="B17" s="661" t="s">
        <v>915</v>
      </c>
      <c r="C17" s="662" t="s">
        <v>774</v>
      </c>
      <c r="D17" s="662" t="s">
        <v>916</v>
      </c>
      <c r="E17" s="662" t="s">
        <v>775</v>
      </c>
      <c r="F17" s="662">
        <v>2</v>
      </c>
      <c r="G17" s="662">
        <v>2</v>
      </c>
      <c r="H17" s="663">
        <v>430920000</v>
      </c>
      <c r="I17" s="489" t="s">
        <v>776</v>
      </c>
      <c r="J17" s="114"/>
      <c r="K17" s="117"/>
      <c r="L17" s="117"/>
      <c r="M17" s="117"/>
      <c r="N17" s="117"/>
    </row>
    <row r="18" spans="1:14" s="113" customFormat="1" ht="18.75" customHeight="1">
      <c r="A18" s="498"/>
      <c r="B18" s="664" t="s">
        <v>777</v>
      </c>
      <c r="C18" s="662" t="s">
        <v>774</v>
      </c>
      <c r="D18" s="662" t="s">
        <v>778</v>
      </c>
      <c r="E18" s="662" t="s">
        <v>775</v>
      </c>
      <c r="F18" s="662">
        <v>2</v>
      </c>
      <c r="G18" s="662">
        <v>4</v>
      </c>
      <c r="H18" s="665">
        <v>132014000</v>
      </c>
      <c r="I18" s="489" t="s">
        <v>776</v>
      </c>
      <c r="J18" s="114"/>
      <c r="K18" s="117"/>
      <c r="L18" s="117"/>
      <c r="M18" s="117"/>
      <c r="N18" s="117"/>
    </row>
    <row r="19" spans="1:14" s="113" customFormat="1" ht="18.75" customHeight="1">
      <c r="A19" s="499"/>
      <c r="B19" s="492" t="s">
        <v>889</v>
      </c>
      <c r="C19" s="662" t="s">
        <v>774</v>
      </c>
      <c r="D19" s="662" t="s">
        <v>864</v>
      </c>
      <c r="E19" s="662" t="s">
        <v>865</v>
      </c>
      <c r="F19" s="662">
        <v>1</v>
      </c>
      <c r="G19" s="662"/>
      <c r="H19" s="665">
        <v>15000000</v>
      </c>
      <c r="I19" s="489" t="s">
        <v>776</v>
      </c>
      <c r="J19" s="114"/>
      <c r="K19" s="117"/>
      <c r="L19" s="117"/>
      <c r="M19" s="117"/>
      <c r="N19" s="117"/>
    </row>
    <row r="20" spans="1:14" s="113" customFormat="1" ht="18" customHeight="1">
      <c r="A20" s="499"/>
      <c r="B20" s="492"/>
      <c r="C20" s="492"/>
      <c r="D20" s="492"/>
      <c r="E20" s="254"/>
      <c r="F20" s="254"/>
      <c r="G20" s="254"/>
      <c r="H20" s="254"/>
      <c r="I20" s="257"/>
      <c r="J20" s="114"/>
      <c r="K20" s="117"/>
      <c r="L20" s="117"/>
      <c r="M20" s="117"/>
      <c r="N20" s="117"/>
    </row>
    <row r="21" spans="1:14" s="113" customFormat="1" ht="18" customHeight="1">
      <c r="A21" s="498" t="s">
        <v>104</v>
      </c>
      <c r="B21" s="490" t="s">
        <v>737</v>
      </c>
      <c r="C21" s="490"/>
      <c r="D21" s="490"/>
      <c r="E21" s="254"/>
      <c r="F21" s="254"/>
      <c r="G21" s="254"/>
      <c r="H21" s="254"/>
      <c r="I21" s="257"/>
      <c r="J21" s="114"/>
      <c r="K21" s="117"/>
      <c r="L21" s="117"/>
      <c r="M21" s="117"/>
      <c r="N21" s="117"/>
    </row>
    <row r="22" spans="1:14" s="113" customFormat="1" ht="18" customHeight="1">
      <c r="A22" s="499"/>
      <c r="B22" s="492"/>
      <c r="C22" s="492"/>
      <c r="D22" s="492"/>
      <c r="E22" s="254"/>
      <c r="F22" s="254"/>
      <c r="G22" s="254"/>
      <c r="H22" s="254"/>
      <c r="I22" s="257"/>
      <c r="J22" s="114"/>
      <c r="K22" s="117"/>
      <c r="L22" s="117"/>
      <c r="M22" s="117"/>
      <c r="N22" s="117"/>
    </row>
    <row r="23" spans="1:14" s="113" customFormat="1" ht="18" customHeight="1" thickBot="1">
      <c r="A23" s="772" t="s">
        <v>421</v>
      </c>
      <c r="B23" s="773"/>
      <c r="C23" s="500"/>
      <c r="D23" s="500"/>
      <c r="E23" s="399"/>
      <c r="F23" s="399"/>
      <c r="G23" s="399"/>
      <c r="H23" s="660">
        <f>SUM(H17:H19)</f>
        <v>577934000</v>
      </c>
      <c r="I23" s="401"/>
      <c r="J23" s="114"/>
      <c r="K23" s="117"/>
      <c r="L23" s="117"/>
      <c r="M23" s="117"/>
      <c r="N23" s="117"/>
    </row>
    <row r="24" spans="1:14" ht="15" thickTop="1">
      <c r="A24" s="97"/>
      <c r="B24" s="98"/>
      <c r="C24" s="98"/>
      <c r="D24" s="98"/>
      <c r="E24" s="98"/>
      <c r="F24" s="98"/>
      <c r="G24" s="98"/>
      <c r="H24" s="98"/>
      <c r="I24" s="99"/>
      <c r="J24" s="114"/>
      <c r="K24" s="117"/>
      <c r="L24" s="117"/>
      <c r="M24" s="117"/>
      <c r="N24" s="117"/>
    </row>
    <row r="25" spans="1:14" ht="15" customHeight="1">
      <c r="G25" s="472"/>
      <c r="H25" s="120" t="s">
        <v>127</v>
      </c>
      <c r="I25" s="119"/>
      <c r="J25" s="496"/>
      <c r="K25" s="496"/>
      <c r="L25" s="117"/>
      <c r="M25" s="117"/>
      <c r="N25" s="117"/>
    </row>
    <row r="26" spans="1:14" ht="15" customHeight="1">
      <c r="A26" s="774" t="s">
        <v>422</v>
      </c>
      <c r="B26" s="774"/>
      <c r="C26" s="474"/>
      <c r="D26" s="474"/>
      <c r="E26" s="474"/>
      <c r="F26" s="474"/>
      <c r="G26" s="474"/>
      <c r="H26" s="716" t="s">
        <v>128</v>
      </c>
      <c r="I26" s="716"/>
      <c r="J26" s="93"/>
      <c r="K26" s="93"/>
      <c r="L26" s="117"/>
      <c r="M26" s="117"/>
      <c r="N26" s="117"/>
    </row>
    <row r="27" spans="1:14" ht="52.5" customHeight="1">
      <c r="A27" s="775" t="s">
        <v>423</v>
      </c>
      <c r="B27" s="776"/>
      <c r="C27" s="776"/>
      <c r="D27" s="776"/>
      <c r="E27" s="776"/>
      <c r="F27" s="776"/>
      <c r="G27" s="776"/>
      <c r="H27" s="776"/>
      <c r="I27" s="776"/>
      <c r="J27" s="114"/>
      <c r="K27" s="117"/>
      <c r="L27" s="117"/>
      <c r="M27" s="117"/>
      <c r="N27" s="117"/>
    </row>
    <row r="28" spans="1:14">
      <c r="A28" s="497" t="s">
        <v>424</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topRight" activeCell="D1" sqref="D1"/>
      <selection pane="bottomLeft" activeCell="A6" sqref="A6"/>
      <selection pane="bottomRight" activeCell="I8" sqref="I8"/>
    </sheetView>
  </sheetViews>
  <sheetFormatPr defaultColWidth="9" defaultRowHeight="13"/>
  <cols>
    <col min="1" max="1" width="4.81640625" style="97" customWidth="1"/>
    <col min="2" max="2" width="31.453125" style="98" customWidth="1"/>
    <col min="3" max="3" width="16.81640625" style="98" customWidth="1"/>
    <col min="4" max="4" width="20" style="98" customWidth="1"/>
    <col min="5" max="5" width="7.7265625" style="98" customWidth="1"/>
    <col min="6" max="7" width="9.81640625" style="98" customWidth="1"/>
    <col min="8" max="8" width="12.453125" style="98" customWidth="1"/>
    <col min="9" max="9" width="41.1796875" style="114" customWidth="1"/>
    <col min="10" max="10" width="57.453125" style="114" bestFit="1" customWidth="1"/>
    <col min="11" max="16384" width="9" style="114"/>
  </cols>
  <sheetData>
    <row r="1" spans="1:10">
      <c r="A1" s="780" t="s">
        <v>738</v>
      </c>
      <c r="B1" s="780"/>
      <c r="C1" s="505"/>
      <c r="D1" s="505"/>
      <c r="I1" s="506" t="s">
        <v>425</v>
      </c>
    </row>
    <row r="2" spans="1:10" ht="14.25" customHeight="1">
      <c r="A2" s="778" t="s">
        <v>928</v>
      </c>
      <c r="B2" s="778"/>
      <c r="C2" s="473"/>
      <c r="D2" s="473"/>
      <c r="E2" s="716"/>
      <c r="F2" s="716"/>
      <c r="G2" s="716"/>
      <c r="H2" s="716"/>
      <c r="I2" s="716"/>
    </row>
    <row r="3" spans="1:10" ht="30" customHeight="1">
      <c r="A3" s="716" t="s">
        <v>427</v>
      </c>
      <c r="B3" s="716"/>
      <c r="C3" s="716"/>
      <c r="D3" s="716"/>
      <c r="E3" s="716"/>
      <c r="F3" s="716"/>
      <c r="G3" s="716"/>
      <c r="H3" s="716"/>
      <c r="I3" s="716"/>
    </row>
    <row r="4" spans="1:10" ht="13.5" thickBot="1">
      <c r="A4" s="95"/>
      <c r="B4" s="95"/>
      <c r="C4" s="95"/>
      <c r="D4" s="95"/>
      <c r="E4" s="95"/>
      <c r="F4" s="95"/>
      <c r="G4" s="95"/>
      <c r="H4" s="95"/>
      <c r="I4" s="101" t="s">
        <v>408</v>
      </c>
    </row>
    <row r="5" spans="1:10" ht="38.25" customHeight="1" thickTop="1">
      <c r="A5" s="470" t="s">
        <v>68</v>
      </c>
      <c r="B5" s="471" t="s">
        <v>428</v>
      </c>
      <c r="C5" s="471" t="s">
        <v>429</v>
      </c>
      <c r="D5" s="471" t="s">
        <v>430</v>
      </c>
      <c r="E5" s="471" t="s">
        <v>70</v>
      </c>
      <c r="F5" s="471" t="s">
        <v>431</v>
      </c>
      <c r="G5" s="471" t="s">
        <v>157</v>
      </c>
      <c r="H5" s="471" t="s">
        <v>432</v>
      </c>
      <c r="I5" s="469" t="s">
        <v>7</v>
      </c>
    </row>
    <row r="6" spans="1:10" ht="54.75" customHeight="1">
      <c r="A6" s="648">
        <v>1</v>
      </c>
      <c r="B6" s="649" t="s">
        <v>433</v>
      </c>
      <c r="C6" s="649"/>
      <c r="D6" s="649"/>
      <c r="E6" s="650"/>
      <c r="F6" s="650"/>
      <c r="G6" s="650"/>
      <c r="H6" s="650"/>
      <c r="I6" s="651" t="s">
        <v>434</v>
      </c>
      <c r="J6" s="240" t="s">
        <v>435</v>
      </c>
    </row>
    <row r="7" spans="1:10" ht="22" customHeight="1">
      <c r="A7" s="102"/>
      <c r="B7" s="103" t="s">
        <v>781</v>
      </c>
      <c r="C7" s="508" t="s">
        <v>780</v>
      </c>
      <c r="D7" s="508" t="s">
        <v>779</v>
      </c>
      <c r="E7" s="104" t="s">
        <v>866</v>
      </c>
      <c r="F7" s="104">
        <v>10000000</v>
      </c>
      <c r="G7" s="104">
        <v>1</v>
      </c>
      <c r="H7" s="104">
        <f>F7*G7</f>
        <v>10000000</v>
      </c>
      <c r="I7" s="105"/>
      <c r="J7" s="98"/>
    </row>
    <row r="8" spans="1:10" ht="22" customHeight="1">
      <c r="A8" s="102"/>
      <c r="B8" s="103" t="s">
        <v>892</v>
      </c>
      <c r="C8" s="508"/>
      <c r="D8" s="508"/>
      <c r="E8" s="104"/>
      <c r="F8" s="104"/>
      <c r="G8" s="104"/>
      <c r="H8" s="104"/>
      <c r="I8" s="105" t="s">
        <v>929</v>
      </c>
    </row>
    <row r="9" spans="1:10" ht="22" customHeight="1">
      <c r="A9" s="102"/>
      <c r="B9" s="103" t="s">
        <v>893</v>
      </c>
      <c r="C9" s="508"/>
      <c r="D9" s="508"/>
      <c r="E9" s="104"/>
      <c r="F9" s="104"/>
      <c r="G9" s="104"/>
      <c r="H9" s="104"/>
      <c r="I9" s="105" t="s">
        <v>894</v>
      </c>
    </row>
    <row r="10" spans="1:10" ht="22" customHeight="1">
      <c r="A10" s="643">
        <v>2</v>
      </c>
      <c r="B10" s="644" t="s">
        <v>436</v>
      </c>
      <c r="C10" s="645"/>
      <c r="D10" s="645"/>
      <c r="E10" s="646"/>
      <c r="F10" s="646"/>
      <c r="G10" s="646"/>
      <c r="H10" s="646">
        <f t="shared" ref="H10:H22" si="0">F10*G10</f>
        <v>0</v>
      </c>
      <c r="I10" s="647"/>
    </row>
    <row r="11" spans="1:10" ht="34.5" customHeight="1">
      <c r="A11" s="102"/>
      <c r="B11" s="507" t="s">
        <v>868</v>
      </c>
      <c r="C11" s="508"/>
      <c r="D11" s="508"/>
      <c r="E11" s="104" t="s">
        <v>866</v>
      </c>
      <c r="F11" s="104"/>
      <c r="G11" s="104"/>
      <c r="H11" s="104">
        <f t="shared" si="0"/>
        <v>0</v>
      </c>
      <c r="I11" s="105"/>
    </row>
    <row r="12" spans="1:10" ht="34.5" customHeight="1">
      <c r="A12" s="102"/>
      <c r="B12" s="507" t="s">
        <v>867</v>
      </c>
      <c r="C12" s="508"/>
      <c r="D12" s="508"/>
      <c r="E12" s="104" t="s">
        <v>866</v>
      </c>
      <c r="F12" s="104"/>
      <c r="G12" s="104"/>
      <c r="H12" s="104">
        <f t="shared" si="0"/>
        <v>0</v>
      </c>
      <c r="I12" s="105"/>
    </row>
    <row r="13" spans="1:10" ht="34.5" customHeight="1">
      <c r="A13" s="102"/>
      <c r="B13" s="507" t="s">
        <v>869</v>
      </c>
      <c r="C13" s="508"/>
      <c r="D13" s="508"/>
      <c r="E13" s="104" t="s">
        <v>866</v>
      </c>
      <c r="F13" s="104"/>
      <c r="G13" s="104"/>
      <c r="H13" s="104">
        <f t="shared" si="0"/>
        <v>0</v>
      </c>
      <c r="I13" s="105"/>
    </row>
    <row r="14" spans="1:10" ht="22" customHeight="1">
      <c r="A14" s="102"/>
      <c r="B14" s="103"/>
      <c r="C14" s="508"/>
      <c r="D14" s="508"/>
      <c r="E14" s="104"/>
      <c r="F14" s="104"/>
      <c r="G14" s="104"/>
      <c r="H14" s="104">
        <f t="shared" si="0"/>
        <v>0</v>
      </c>
      <c r="I14" s="105"/>
    </row>
    <row r="15" spans="1:10" ht="22" customHeight="1">
      <c r="A15" s="643">
        <v>3</v>
      </c>
      <c r="B15" s="644" t="s">
        <v>437</v>
      </c>
      <c r="C15" s="645"/>
      <c r="D15" s="645"/>
      <c r="E15" s="646"/>
      <c r="F15" s="646"/>
      <c r="G15" s="646"/>
      <c r="H15" s="646">
        <f t="shared" si="0"/>
        <v>0</v>
      </c>
      <c r="I15" s="647" t="s">
        <v>438</v>
      </c>
    </row>
    <row r="16" spans="1:10" ht="54.75" customHeight="1">
      <c r="A16" s="102"/>
      <c r="B16" s="103" t="s">
        <v>437</v>
      </c>
      <c r="C16" s="508"/>
      <c r="D16" s="667"/>
      <c r="E16" s="104" t="s">
        <v>917</v>
      </c>
      <c r="F16" s="667">
        <v>7827300</v>
      </c>
      <c r="G16" s="104">
        <v>1</v>
      </c>
      <c r="H16" s="104">
        <f t="shared" si="0"/>
        <v>7827300</v>
      </c>
      <c r="I16" s="666" t="s">
        <v>640</v>
      </c>
    </row>
    <row r="17" spans="1:9" ht="22" customHeight="1">
      <c r="A17" s="102"/>
      <c r="B17" s="103"/>
      <c r="C17" s="508"/>
      <c r="D17" s="508"/>
      <c r="E17" s="104"/>
      <c r="F17" s="104"/>
      <c r="G17" s="104"/>
      <c r="H17" s="104">
        <f t="shared" si="0"/>
        <v>0</v>
      </c>
      <c r="I17" s="105"/>
    </row>
    <row r="18" spans="1:9" s="495" customFormat="1" ht="22" customHeight="1">
      <c r="A18" s="643">
        <v>4</v>
      </c>
      <c r="B18" s="644" t="s">
        <v>439</v>
      </c>
      <c r="C18" s="645"/>
      <c r="D18" s="645"/>
      <c r="E18" s="652"/>
      <c r="F18" s="652"/>
      <c r="G18" s="652"/>
      <c r="H18" s="646">
        <f t="shared" si="0"/>
        <v>0</v>
      </c>
      <c r="I18" s="653"/>
    </row>
    <row r="19" spans="1:9" s="495" customFormat="1" ht="22" customHeight="1">
      <c r="A19" s="102"/>
      <c r="B19" s="103"/>
      <c r="C19" s="508"/>
      <c r="D19" s="508"/>
      <c r="E19" s="69"/>
      <c r="F19" s="69"/>
      <c r="G19" s="69"/>
      <c r="H19" s="104">
        <f t="shared" si="0"/>
        <v>0</v>
      </c>
      <c r="I19" s="106"/>
    </row>
    <row r="20" spans="1:9" s="495" customFormat="1" ht="22" customHeight="1">
      <c r="A20" s="102"/>
      <c r="B20" s="103"/>
      <c r="C20" s="508"/>
      <c r="D20" s="508"/>
      <c r="E20" s="69"/>
      <c r="F20" s="69"/>
      <c r="G20" s="69"/>
      <c r="H20" s="104">
        <f t="shared" si="0"/>
        <v>0</v>
      </c>
      <c r="I20" s="106"/>
    </row>
    <row r="21" spans="1:9" s="504" customFormat="1" ht="22" customHeight="1">
      <c r="A21" s="643">
        <v>5</v>
      </c>
      <c r="B21" s="644" t="s">
        <v>440</v>
      </c>
      <c r="C21" s="645"/>
      <c r="D21" s="645"/>
      <c r="E21" s="652"/>
      <c r="F21" s="652"/>
      <c r="G21" s="652"/>
      <c r="H21" s="646">
        <f t="shared" si="0"/>
        <v>0</v>
      </c>
      <c r="I21" s="653"/>
    </row>
    <row r="22" spans="1:9" s="495" customFormat="1" ht="22" customHeight="1">
      <c r="A22" s="108"/>
      <c r="B22" s="70"/>
      <c r="C22" s="71"/>
      <c r="D22" s="71"/>
      <c r="E22" s="71"/>
      <c r="F22" s="71"/>
      <c r="G22" s="71"/>
      <c r="H22" s="104">
        <f t="shared" si="0"/>
        <v>0</v>
      </c>
      <c r="I22" s="109"/>
    </row>
    <row r="23" spans="1:9" s="117" customFormat="1" ht="18" customHeight="1" thickBot="1">
      <c r="A23" s="781" t="s">
        <v>421</v>
      </c>
      <c r="B23" s="782"/>
      <c r="C23" s="475"/>
      <c r="D23" s="475"/>
      <c r="E23" s="110"/>
      <c r="F23" s="110"/>
      <c r="G23" s="110"/>
      <c r="H23" s="111"/>
      <c r="I23" s="112"/>
    </row>
    <row r="24" spans="1:9" ht="13.5" thickTop="1">
      <c r="I24" s="99"/>
    </row>
    <row r="25" spans="1:9">
      <c r="A25" s="114"/>
      <c r="B25" s="114"/>
      <c r="C25" s="114"/>
      <c r="D25" s="114"/>
      <c r="E25" s="114"/>
      <c r="F25" s="472"/>
      <c r="G25" s="472"/>
      <c r="H25" s="739" t="s">
        <v>441</v>
      </c>
      <c r="I25" s="739"/>
    </row>
    <row r="26" spans="1:9" ht="15" customHeight="1">
      <c r="A26" s="779"/>
      <c r="B26" s="779"/>
      <c r="C26" s="474"/>
      <c r="D26" s="474"/>
      <c r="E26" s="474"/>
      <c r="F26" s="474"/>
      <c r="G26" s="474"/>
      <c r="H26" s="716" t="s">
        <v>128</v>
      </c>
      <c r="I26" s="716"/>
    </row>
    <row r="27" spans="1:9" ht="87" customHeight="1">
      <c r="A27" s="774" t="s">
        <v>442</v>
      </c>
      <c r="B27" s="774"/>
      <c r="C27" s="774"/>
      <c r="D27" s="774"/>
      <c r="E27" s="774"/>
      <c r="F27" s="774"/>
      <c r="G27" s="774"/>
      <c r="H27" s="774"/>
      <c r="I27" s="774"/>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5"/>
  <sheetViews>
    <sheetView tabSelected="1" topLeftCell="B40" zoomScale="120" zoomScaleNormal="120" workbookViewId="0">
      <selection activeCell="B53" sqref="A53:XFD55"/>
    </sheetView>
  </sheetViews>
  <sheetFormatPr defaultColWidth="9.1796875" defaultRowHeight="13"/>
  <cols>
    <col min="1" max="1" width="4.7265625" style="268" customWidth="1"/>
    <col min="2" max="2" width="16.453125" style="268" customWidth="1"/>
    <col min="3" max="3" width="9.54296875" style="268" customWidth="1"/>
    <col min="4" max="4" width="7.26953125" style="268" customWidth="1"/>
    <col min="5" max="5" width="8.7265625" style="268" customWidth="1"/>
    <col min="6" max="6" width="6.54296875" style="268" customWidth="1"/>
    <col min="7" max="7" width="32.453125" style="268" customWidth="1"/>
    <col min="8" max="8" width="3" style="268" hidden="1" customWidth="1"/>
    <col min="9" max="9" width="3.26953125" style="268" hidden="1" customWidth="1"/>
    <col min="10" max="10" width="11.7265625" style="268" customWidth="1"/>
    <col min="11" max="11" width="13.7265625" style="268" customWidth="1"/>
    <col min="12" max="13" width="12.7265625" style="268" customWidth="1"/>
    <col min="14" max="14" width="13.7265625" style="268" customWidth="1"/>
    <col min="15" max="16384" width="9.1796875" style="268"/>
  </cols>
  <sheetData>
    <row r="2" spans="1:14" ht="15" customHeight="1">
      <c r="N2" s="269" t="s">
        <v>443</v>
      </c>
    </row>
    <row r="3" spans="1:14" ht="18">
      <c r="B3" s="815" t="s">
        <v>64</v>
      </c>
      <c r="C3" s="815"/>
      <c r="D3" s="815"/>
      <c r="E3" s="815"/>
      <c r="F3" s="815"/>
      <c r="G3" s="816" t="s">
        <v>444</v>
      </c>
      <c r="H3" s="815"/>
      <c r="I3" s="815"/>
      <c r="J3" s="815"/>
      <c r="K3" s="815"/>
      <c r="L3" s="815"/>
      <c r="M3" s="815"/>
      <c r="N3" s="270"/>
    </row>
    <row r="4" spans="1:14" ht="18">
      <c r="B4" s="816" t="s">
        <v>733</v>
      </c>
      <c r="C4" s="815"/>
      <c r="D4" s="815"/>
      <c r="E4" s="815"/>
      <c r="F4" s="815"/>
      <c r="G4" s="816" t="s">
        <v>445</v>
      </c>
      <c r="H4" s="815"/>
      <c r="I4" s="815"/>
      <c r="J4" s="815"/>
      <c r="K4" s="815"/>
      <c r="L4" s="815"/>
      <c r="M4" s="815"/>
    </row>
    <row r="6" spans="1:14" ht="18">
      <c r="B6" s="816" t="s">
        <v>940</v>
      </c>
      <c r="C6" s="815"/>
      <c r="D6" s="815"/>
      <c r="E6" s="815"/>
      <c r="F6" s="815"/>
    </row>
    <row r="8" spans="1:14" ht="23.5" customHeight="1">
      <c r="A8" s="817" t="s">
        <v>446</v>
      </c>
      <c r="B8" s="817"/>
      <c r="C8" s="817"/>
      <c r="D8" s="817"/>
      <c r="E8" s="817"/>
      <c r="F8" s="817"/>
      <c r="G8" s="817"/>
      <c r="H8" s="817"/>
      <c r="I8" s="817"/>
      <c r="J8" s="817"/>
      <c r="K8" s="817"/>
      <c r="L8" s="817"/>
      <c r="M8" s="817"/>
      <c r="N8" s="817"/>
    </row>
    <row r="10" spans="1:14" s="280" customFormat="1" ht="24.75" customHeight="1">
      <c r="A10" s="279">
        <v>1</v>
      </c>
      <c r="B10" s="818" t="s">
        <v>447</v>
      </c>
      <c r="C10" s="819"/>
      <c r="D10" s="819"/>
      <c r="E10" s="819"/>
      <c r="F10" s="819"/>
      <c r="G10" s="819"/>
      <c r="H10" s="819"/>
      <c r="I10" s="819"/>
      <c r="J10" s="819"/>
      <c r="K10" s="819"/>
      <c r="L10" s="819"/>
      <c r="M10" s="819"/>
      <c r="N10" s="820"/>
    </row>
    <row r="11" spans="1:14" s="271" customFormat="1" ht="65.5" customHeight="1">
      <c r="A11" s="604" t="s">
        <v>3</v>
      </c>
      <c r="B11" s="809" t="s">
        <v>739</v>
      </c>
      <c r="C11" s="810"/>
      <c r="D11" s="281" t="s">
        <v>157</v>
      </c>
      <c r="E11" s="813" t="s">
        <v>448</v>
      </c>
      <c r="F11" s="813"/>
      <c r="G11" s="788" t="s">
        <v>449</v>
      </c>
      <c r="H11" s="788"/>
      <c r="I11" s="788"/>
      <c r="J11" s="788" t="s">
        <v>450</v>
      </c>
      <c r="K11" s="788"/>
      <c r="L11" s="788"/>
      <c r="M11" s="813" t="s">
        <v>7</v>
      </c>
      <c r="N11" s="813"/>
    </row>
    <row r="12" spans="1:14" s="271" customFormat="1" ht="50.15" customHeight="1">
      <c r="A12" s="680">
        <v>1</v>
      </c>
      <c r="B12" s="811" t="s">
        <v>749</v>
      </c>
      <c r="C12" s="811"/>
      <c r="D12" s="697">
        <v>1</v>
      </c>
      <c r="E12" s="811"/>
      <c r="F12" s="811"/>
      <c r="G12" s="811" t="s">
        <v>930</v>
      </c>
      <c r="H12" s="811"/>
      <c r="I12" s="811"/>
      <c r="J12" s="811" t="s">
        <v>931</v>
      </c>
      <c r="K12" s="811"/>
      <c r="L12" s="811"/>
      <c r="M12" s="812" t="s">
        <v>936</v>
      </c>
      <c r="N12" s="811"/>
    </row>
    <row r="13" spans="1:14" s="271" customFormat="1" ht="50.15" customHeight="1">
      <c r="A13" s="680">
        <v>2</v>
      </c>
      <c r="B13" s="811"/>
      <c r="C13" s="811"/>
      <c r="D13" s="697">
        <v>1</v>
      </c>
      <c r="E13" s="811"/>
      <c r="F13" s="811"/>
      <c r="G13" s="811" t="s">
        <v>888</v>
      </c>
      <c r="H13" s="811"/>
      <c r="I13" s="811"/>
      <c r="J13" s="811" t="s">
        <v>891</v>
      </c>
      <c r="K13" s="811"/>
      <c r="L13" s="811"/>
      <c r="M13" s="812" t="s">
        <v>937</v>
      </c>
      <c r="N13" s="811"/>
    </row>
    <row r="14" spans="1:14" s="271" customFormat="1" ht="60" customHeight="1">
      <c r="A14" s="680">
        <v>3</v>
      </c>
      <c r="B14" s="811"/>
      <c r="C14" s="811"/>
      <c r="D14" s="697">
        <v>1</v>
      </c>
      <c r="E14" s="811"/>
      <c r="F14" s="811"/>
      <c r="G14" s="811" t="s">
        <v>890</v>
      </c>
      <c r="H14" s="811"/>
      <c r="I14" s="811"/>
      <c r="J14" s="811" t="s">
        <v>932</v>
      </c>
      <c r="K14" s="811"/>
      <c r="L14" s="811"/>
      <c r="M14" s="812" t="s">
        <v>938</v>
      </c>
      <c r="N14" s="811"/>
    </row>
    <row r="15" spans="1:14" s="271" customFormat="1" ht="27" customHeight="1">
      <c r="A15" s="656"/>
      <c r="B15" s="813" t="s">
        <v>421</v>
      </c>
      <c r="C15" s="813"/>
      <c r="D15" s="657">
        <v>3</v>
      </c>
      <c r="E15" s="813"/>
      <c r="F15" s="813"/>
      <c r="G15" s="813"/>
      <c r="H15" s="813"/>
      <c r="I15" s="813"/>
      <c r="J15" s="814"/>
      <c r="K15" s="814"/>
      <c r="L15" s="814"/>
      <c r="M15" s="813"/>
      <c r="N15" s="813"/>
    </row>
    <row r="16" spans="1:14" s="280" customFormat="1" ht="25.15" customHeight="1">
      <c r="A16" s="282">
        <v>2</v>
      </c>
      <c r="B16" s="793" t="s">
        <v>451</v>
      </c>
      <c r="C16" s="794"/>
      <c r="D16" s="794"/>
      <c r="E16" s="794"/>
      <c r="F16" s="794"/>
      <c r="G16" s="794"/>
      <c r="H16" s="794"/>
      <c r="I16" s="794"/>
      <c r="J16" s="794"/>
      <c r="K16" s="794"/>
      <c r="L16" s="794"/>
      <c r="M16" s="794"/>
      <c r="N16" s="795"/>
    </row>
    <row r="17" spans="1:14" s="271" customFormat="1" ht="25.5" customHeight="1">
      <c r="A17" s="796" t="s">
        <v>3</v>
      </c>
      <c r="B17" s="798" t="s">
        <v>308</v>
      </c>
      <c r="C17" s="799"/>
      <c r="D17" s="788" t="s">
        <v>452</v>
      </c>
      <c r="E17" s="788"/>
      <c r="F17" s="796" t="s">
        <v>453</v>
      </c>
      <c r="G17" s="796" t="s">
        <v>454</v>
      </c>
      <c r="H17" s="796" t="s">
        <v>455</v>
      </c>
      <c r="I17" s="796" t="s">
        <v>309</v>
      </c>
      <c r="J17" s="796" t="s">
        <v>456</v>
      </c>
      <c r="K17" s="796" t="s">
        <v>448</v>
      </c>
      <c r="L17" s="796" t="s">
        <v>457</v>
      </c>
      <c r="M17" s="798" t="s">
        <v>7</v>
      </c>
      <c r="N17" s="799"/>
    </row>
    <row r="18" spans="1:14" s="271" customFormat="1" ht="31.9" customHeight="1">
      <c r="A18" s="797"/>
      <c r="B18" s="800"/>
      <c r="C18" s="808"/>
      <c r="D18" s="281" t="s">
        <v>458</v>
      </c>
      <c r="E18" s="281" t="s">
        <v>459</v>
      </c>
      <c r="F18" s="797"/>
      <c r="G18" s="797"/>
      <c r="H18" s="797"/>
      <c r="I18" s="797"/>
      <c r="J18" s="797"/>
      <c r="K18" s="797"/>
      <c r="L18" s="797"/>
      <c r="M18" s="800"/>
      <c r="N18" s="801"/>
    </row>
    <row r="19" spans="1:14" s="271" customFormat="1" ht="29.5" customHeight="1">
      <c r="A19" s="272">
        <v>1</v>
      </c>
      <c r="B19" s="283"/>
      <c r="C19" s="284"/>
      <c r="D19" s="285"/>
      <c r="E19" s="273"/>
      <c r="F19" s="286"/>
      <c r="G19" s="286"/>
      <c r="H19" s="286"/>
      <c r="I19" s="286"/>
      <c r="J19" s="286"/>
      <c r="K19" s="286"/>
      <c r="L19" s="287"/>
      <c r="M19" s="806"/>
      <c r="N19" s="807"/>
    </row>
    <row r="20" spans="1:14" s="271" customFormat="1" ht="22.5" customHeight="1">
      <c r="A20" s="278">
        <v>2</v>
      </c>
      <c r="B20" s="288"/>
      <c r="C20" s="289"/>
      <c r="D20" s="290"/>
      <c r="E20" s="291"/>
      <c r="F20" s="291"/>
      <c r="G20" s="291"/>
      <c r="H20" s="291"/>
      <c r="I20" s="291"/>
      <c r="J20" s="291"/>
      <c r="K20" s="291"/>
      <c r="L20" s="291"/>
      <c r="M20" s="804"/>
      <c r="N20" s="805"/>
    </row>
    <row r="21" spans="1:14" s="280" customFormat="1" ht="22.5" customHeight="1">
      <c r="A21" s="292">
        <v>3</v>
      </c>
      <c r="B21" s="793" t="s">
        <v>460</v>
      </c>
      <c r="C21" s="794"/>
      <c r="D21" s="794"/>
      <c r="E21" s="794"/>
      <c r="F21" s="794"/>
      <c r="G21" s="794"/>
      <c r="H21" s="794"/>
      <c r="I21" s="794"/>
      <c r="J21" s="794"/>
      <c r="K21" s="794"/>
      <c r="L21" s="794"/>
      <c r="M21" s="794"/>
      <c r="N21" s="795"/>
    </row>
    <row r="22" spans="1:14" s="271" customFormat="1" ht="24" customHeight="1">
      <c r="A22" s="796" t="s">
        <v>3</v>
      </c>
      <c r="B22" s="798" t="s">
        <v>308</v>
      </c>
      <c r="C22" s="799"/>
      <c r="D22" s="809" t="s">
        <v>452</v>
      </c>
      <c r="E22" s="810"/>
      <c r="F22" s="796" t="s">
        <v>453</v>
      </c>
      <c r="G22" s="796" t="s">
        <v>454</v>
      </c>
      <c r="H22" s="796" t="s">
        <v>455</v>
      </c>
      <c r="I22" s="796" t="s">
        <v>309</v>
      </c>
      <c r="J22" s="796" t="s">
        <v>456</v>
      </c>
      <c r="K22" s="796" t="s">
        <v>448</v>
      </c>
      <c r="L22" s="796" t="s">
        <v>461</v>
      </c>
      <c r="M22" s="798" t="s">
        <v>7</v>
      </c>
      <c r="N22" s="799"/>
    </row>
    <row r="23" spans="1:14" s="271" customFormat="1" ht="22.5" customHeight="1">
      <c r="A23" s="797"/>
      <c r="B23" s="800"/>
      <c r="C23" s="808"/>
      <c r="D23" s="281" t="s">
        <v>458</v>
      </c>
      <c r="E23" s="281" t="s">
        <v>459</v>
      </c>
      <c r="F23" s="797"/>
      <c r="G23" s="797"/>
      <c r="H23" s="797"/>
      <c r="I23" s="797"/>
      <c r="J23" s="797"/>
      <c r="K23" s="797"/>
      <c r="L23" s="797"/>
      <c r="M23" s="800"/>
      <c r="N23" s="801"/>
    </row>
    <row r="24" spans="1:14" s="271" customFormat="1" ht="22.5" customHeight="1">
      <c r="A24" s="272">
        <v>1</v>
      </c>
      <c r="B24" s="283"/>
      <c r="C24" s="284"/>
      <c r="D24" s="286"/>
      <c r="E24" s="286"/>
      <c r="F24" s="286"/>
      <c r="G24" s="286"/>
      <c r="H24" s="286"/>
      <c r="I24" s="286"/>
      <c r="J24" s="286"/>
      <c r="K24" s="286"/>
      <c r="L24" s="286"/>
      <c r="M24" s="806"/>
      <c r="N24" s="807"/>
    </row>
    <row r="25" spans="1:14" s="280" customFormat="1" ht="22.5" customHeight="1">
      <c r="A25" s="278">
        <v>2</v>
      </c>
      <c r="B25" s="288"/>
      <c r="C25" s="289"/>
      <c r="D25" s="293"/>
      <c r="E25" s="293"/>
      <c r="F25" s="293"/>
      <c r="G25" s="293"/>
      <c r="H25" s="293"/>
      <c r="I25" s="293"/>
      <c r="J25" s="293"/>
      <c r="K25" s="293"/>
      <c r="L25" s="293"/>
      <c r="M25" s="804"/>
      <c r="N25" s="805"/>
    </row>
    <row r="26" spans="1:14" s="280" customFormat="1" ht="22.5" customHeight="1">
      <c r="A26" s="292">
        <v>4</v>
      </c>
      <c r="B26" s="793" t="s">
        <v>462</v>
      </c>
      <c r="C26" s="794"/>
      <c r="D26" s="794"/>
      <c r="E26" s="794"/>
      <c r="F26" s="794"/>
      <c r="G26" s="794"/>
      <c r="H26" s="794"/>
      <c r="I26" s="794"/>
      <c r="J26" s="794"/>
      <c r="K26" s="794"/>
      <c r="L26" s="794"/>
      <c r="M26" s="794"/>
      <c r="N26" s="795"/>
    </row>
    <row r="27" spans="1:14" s="271" customFormat="1" ht="22.5" customHeight="1">
      <c r="A27" s="788" t="s">
        <v>3</v>
      </c>
      <c r="B27" s="788" t="s">
        <v>308</v>
      </c>
      <c r="C27" s="788"/>
      <c r="D27" s="788" t="s">
        <v>452</v>
      </c>
      <c r="E27" s="788"/>
      <c r="F27" s="788" t="s">
        <v>453</v>
      </c>
      <c r="G27" s="788" t="s">
        <v>463</v>
      </c>
      <c r="H27" s="788" t="s">
        <v>464</v>
      </c>
      <c r="I27" s="788" t="s">
        <v>465</v>
      </c>
      <c r="J27" s="788"/>
      <c r="K27" s="788"/>
      <c r="L27" s="803" t="s">
        <v>466</v>
      </c>
      <c r="M27" s="788" t="s">
        <v>467</v>
      </c>
      <c r="N27" s="788" t="s">
        <v>7</v>
      </c>
    </row>
    <row r="28" spans="1:14" s="271" customFormat="1" ht="45.65" customHeight="1">
      <c r="A28" s="788"/>
      <c r="B28" s="788"/>
      <c r="C28" s="788"/>
      <c r="D28" s="281" t="s">
        <v>458</v>
      </c>
      <c r="E28" s="281" t="s">
        <v>459</v>
      </c>
      <c r="F28" s="788"/>
      <c r="G28" s="788"/>
      <c r="H28" s="788"/>
      <c r="I28" s="281" t="s">
        <v>468</v>
      </c>
      <c r="J28" s="281" t="s">
        <v>469</v>
      </c>
      <c r="K28" s="281" t="s">
        <v>470</v>
      </c>
      <c r="L28" s="803"/>
      <c r="M28" s="788"/>
      <c r="N28" s="788"/>
    </row>
    <row r="29" spans="1:14" s="274" customFormat="1" ht="35.15" customHeight="1">
      <c r="A29" s="681">
        <v>1</v>
      </c>
      <c r="B29" s="698" t="s">
        <v>901</v>
      </c>
      <c r="C29" s="699" t="s">
        <v>902</v>
      </c>
      <c r="D29" s="700"/>
      <c r="E29" s="700">
        <v>1983</v>
      </c>
      <c r="F29" s="701" t="s">
        <v>481</v>
      </c>
      <c r="G29" s="700" t="s">
        <v>903</v>
      </c>
      <c r="H29" s="700" t="s">
        <v>471</v>
      </c>
      <c r="I29" s="700"/>
      <c r="J29" s="700" t="s">
        <v>472</v>
      </c>
      <c r="K29" s="700"/>
      <c r="L29" s="700" t="s">
        <v>933</v>
      </c>
      <c r="M29" s="700"/>
      <c r="N29" s="700"/>
    </row>
    <row r="30" spans="1:14" s="274" customFormat="1" ht="35.15" customHeight="1">
      <c r="A30" s="682">
        <v>2</v>
      </c>
      <c r="B30" s="702" t="s">
        <v>904</v>
      </c>
      <c r="C30" s="703" t="s">
        <v>905</v>
      </c>
      <c r="D30" s="704">
        <v>1981</v>
      </c>
      <c r="E30" s="704"/>
      <c r="F30" s="705" t="s">
        <v>481</v>
      </c>
      <c r="G30" s="704" t="s">
        <v>906</v>
      </c>
      <c r="H30" s="704"/>
      <c r="I30" s="704"/>
      <c r="J30" s="704" t="s">
        <v>473</v>
      </c>
      <c r="K30" s="704"/>
      <c r="L30" s="706" t="s">
        <v>934</v>
      </c>
      <c r="M30" s="704"/>
      <c r="N30" s="704"/>
    </row>
    <row r="31" spans="1:14" s="274" customFormat="1" ht="35.15" customHeight="1">
      <c r="A31" s="682">
        <v>3</v>
      </c>
      <c r="B31" s="702" t="s">
        <v>907</v>
      </c>
      <c r="C31" s="703" t="s">
        <v>908</v>
      </c>
      <c r="D31" s="704">
        <v>1990</v>
      </c>
      <c r="E31" s="704"/>
      <c r="F31" s="705" t="s">
        <v>481</v>
      </c>
      <c r="G31" s="700" t="s">
        <v>903</v>
      </c>
      <c r="H31" s="704" t="s">
        <v>471</v>
      </c>
      <c r="I31" s="704"/>
      <c r="J31" s="704" t="s">
        <v>472</v>
      </c>
      <c r="K31" s="704"/>
      <c r="L31" s="704" t="s">
        <v>935</v>
      </c>
      <c r="M31" s="704"/>
      <c r="N31" s="707"/>
    </row>
    <row r="32" spans="1:14" s="274" customFormat="1" ht="20.149999999999999" customHeight="1">
      <c r="A32" s="275">
        <v>4</v>
      </c>
      <c r="B32" s="294"/>
      <c r="C32" s="295"/>
      <c r="D32" s="275"/>
      <c r="E32" s="275"/>
      <c r="F32" s="296"/>
      <c r="G32" s="275"/>
      <c r="H32" s="275"/>
      <c r="I32" s="275"/>
      <c r="J32" s="275"/>
      <c r="K32" s="275"/>
      <c r="L32" s="275"/>
      <c r="M32" s="275"/>
      <c r="N32" s="276"/>
    </row>
    <row r="33" spans="1:14" s="274" customFormat="1" ht="24.65" customHeight="1">
      <c r="A33" s="789" t="s">
        <v>421</v>
      </c>
      <c r="B33" s="789"/>
      <c r="C33" s="789"/>
      <c r="D33" s="789"/>
      <c r="E33" s="789"/>
      <c r="F33" s="789"/>
      <c r="G33" s="789"/>
      <c r="H33" s="789"/>
      <c r="I33" s="277"/>
      <c r="J33" s="277">
        <v>3</v>
      </c>
      <c r="K33" s="277"/>
      <c r="L33" s="278"/>
      <c r="M33" s="278"/>
      <c r="N33" s="278"/>
    </row>
    <row r="34" spans="1:14" s="280" customFormat="1" ht="21.75" customHeight="1">
      <c r="A34" s="292">
        <v>5</v>
      </c>
      <c r="B34" s="802" t="s">
        <v>474</v>
      </c>
      <c r="C34" s="802"/>
      <c r="D34" s="802"/>
      <c r="E34" s="802"/>
      <c r="F34" s="802"/>
      <c r="G34" s="802"/>
      <c r="H34" s="802"/>
      <c r="I34" s="802"/>
      <c r="J34" s="802"/>
      <c r="K34" s="802"/>
      <c r="L34" s="802"/>
      <c r="M34" s="802"/>
      <c r="N34" s="802"/>
    </row>
    <row r="35" spans="1:14" s="271" customFormat="1" ht="20.25" customHeight="1">
      <c r="A35" s="788" t="s">
        <v>3</v>
      </c>
      <c r="B35" s="788" t="s">
        <v>308</v>
      </c>
      <c r="C35" s="788"/>
      <c r="D35" s="788" t="s">
        <v>452</v>
      </c>
      <c r="E35" s="788"/>
      <c r="F35" s="788" t="s">
        <v>453</v>
      </c>
      <c r="G35" s="788" t="s">
        <v>475</v>
      </c>
      <c r="H35" s="788" t="s">
        <v>476</v>
      </c>
      <c r="I35" s="788" t="s">
        <v>477</v>
      </c>
      <c r="J35" s="788"/>
      <c r="K35" s="788"/>
      <c r="L35" s="788" t="s">
        <v>478</v>
      </c>
      <c r="M35" s="788" t="s">
        <v>479</v>
      </c>
      <c r="N35" s="788" t="s">
        <v>7</v>
      </c>
    </row>
    <row r="36" spans="1:14" s="271" customFormat="1" ht="34.9" customHeight="1">
      <c r="A36" s="788"/>
      <c r="B36" s="788"/>
      <c r="C36" s="788"/>
      <c r="D36" s="281" t="s">
        <v>458</v>
      </c>
      <c r="E36" s="281" t="s">
        <v>459</v>
      </c>
      <c r="F36" s="788"/>
      <c r="G36" s="788"/>
      <c r="H36" s="788"/>
      <c r="I36" s="281" t="s">
        <v>480</v>
      </c>
      <c r="J36" s="281" t="s">
        <v>469</v>
      </c>
      <c r="K36" s="281" t="s">
        <v>470</v>
      </c>
      <c r="L36" s="788"/>
      <c r="M36" s="788"/>
      <c r="N36" s="788"/>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49999999999999" customHeight="1">
      <c r="A38" s="275">
        <v>2</v>
      </c>
      <c r="B38" s="294"/>
      <c r="C38" s="295"/>
      <c r="D38" s="275"/>
      <c r="E38" s="275"/>
      <c r="F38" s="296"/>
      <c r="G38" s="275"/>
      <c r="H38" s="275"/>
      <c r="I38" s="275"/>
      <c r="J38" s="275"/>
      <c r="K38" s="275"/>
      <c r="L38" s="297"/>
      <c r="M38" s="275"/>
      <c r="N38" s="275"/>
    </row>
    <row r="39" spans="1:14" s="274" customFormat="1" ht="36.65"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49999999999999" customHeight="1">
      <c r="A41" s="275">
        <v>5</v>
      </c>
      <c r="B41" s="294"/>
      <c r="C41" s="295"/>
      <c r="D41" s="296"/>
      <c r="E41" s="296"/>
      <c r="F41" s="296"/>
      <c r="G41" s="275"/>
      <c r="H41" s="275"/>
      <c r="I41" s="275"/>
      <c r="J41" s="275"/>
      <c r="K41" s="275"/>
      <c r="L41" s="275"/>
      <c r="M41" s="275"/>
      <c r="N41" s="275"/>
    </row>
    <row r="42" spans="1:14" s="274" customFormat="1" ht="20.149999999999999" customHeight="1">
      <c r="A42" s="789" t="s">
        <v>421</v>
      </c>
      <c r="B42" s="789"/>
      <c r="C42" s="789"/>
      <c r="D42" s="789"/>
      <c r="E42" s="789"/>
      <c r="F42" s="789"/>
      <c r="G42" s="789"/>
      <c r="H42" s="789"/>
      <c r="I42" s="277"/>
      <c r="J42" s="277"/>
      <c r="K42" s="277"/>
      <c r="L42" s="278"/>
      <c r="M42" s="278"/>
      <c r="N42" s="298"/>
    </row>
    <row r="43" spans="1:14" s="280" customFormat="1" ht="25.9" customHeight="1">
      <c r="A43" s="292">
        <v>6</v>
      </c>
      <c r="B43" s="802" t="s">
        <v>482</v>
      </c>
      <c r="C43" s="802"/>
      <c r="D43" s="802"/>
      <c r="E43" s="802"/>
      <c r="F43" s="802"/>
      <c r="G43" s="802"/>
      <c r="H43" s="802"/>
      <c r="I43" s="802"/>
      <c r="J43" s="802"/>
      <c r="K43" s="802"/>
      <c r="L43" s="802"/>
      <c r="M43" s="802"/>
      <c r="N43" s="802"/>
    </row>
    <row r="44" spans="1:14" s="271" customFormat="1" ht="15.65" customHeight="1">
      <c r="A44" s="788" t="s">
        <v>3</v>
      </c>
      <c r="B44" s="788" t="s">
        <v>308</v>
      </c>
      <c r="C44" s="788"/>
      <c r="D44" s="788" t="s">
        <v>452</v>
      </c>
      <c r="E44" s="788"/>
      <c r="F44" s="788" t="s">
        <v>453</v>
      </c>
      <c r="G44" s="788" t="s">
        <v>483</v>
      </c>
      <c r="H44" s="788" t="s">
        <v>484</v>
      </c>
      <c r="I44" s="788" t="s">
        <v>485</v>
      </c>
      <c r="J44" s="788"/>
      <c r="K44" s="788"/>
      <c r="L44" s="788" t="s">
        <v>478</v>
      </c>
      <c r="M44" s="788" t="s">
        <v>479</v>
      </c>
      <c r="N44" s="788" t="s">
        <v>7</v>
      </c>
    </row>
    <row r="45" spans="1:14" s="271" customFormat="1" ht="45" customHeight="1">
      <c r="A45" s="788"/>
      <c r="B45" s="788"/>
      <c r="C45" s="788"/>
      <c r="D45" s="281" t="s">
        <v>458</v>
      </c>
      <c r="E45" s="281" t="s">
        <v>459</v>
      </c>
      <c r="F45" s="788"/>
      <c r="G45" s="788"/>
      <c r="H45" s="788"/>
      <c r="I45" s="281" t="s">
        <v>480</v>
      </c>
      <c r="J45" s="281" t="s">
        <v>469</v>
      </c>
      <c r="K45" s="281" t="s">
        <v>470</v>
      </c>
      <c r="L45" s="788"/>
      <c r="M45" s="788"/>
      <c r="N45" s="788"/>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49999999999999" customHeight="1">
      <c r="A49" s="790" t="s">
        <v>421</v>
      </c>
      <c r="B49" s="791"/>
      <c r="C49" s="791"/>
      <c r="D49" s="791"/>
      <c r="E49" s="791"/>
      <c r="F49" s="791"/>
      <c r="G49" s="791"/>
      <c r="H49" s="792"/>
      <c r="I49" s="277"/>
      <c r="J49" s="277"/>
      <c r="K49" s="277"/>
      <c r="L49" s="278"/>
      <c r="M49" s="278"/>
      <c r="N49" s="298"/>
    </row>
    <row r="50" spans="1:14" s="301" customFormat="1" ht="27" customHeight="1">
      <c r="A50" s="292">
        <v>7</v>
      </c>
      <c r="B50" s="793" t="s">
        <v>486</v>
      </c>
      <c r="C50" s="794"/>
      <c r="D50" s="794"/>
      <c r="E50" s="794"/>
      <c r="F50" s="794"/>
      <c r="G50" s="794"/>
      <c r="H50" s="794"/>
      <c r="I50" s="794"/>
      <c r="J50" s="794"/>
      <c r="K50" s="794"/>
      <c r="L50" s="794"/>
      <c r="M50" s="794"/>
      <c r="N50" s="795"/>
    </row>
    <row r="51" spans="1:14" s="302" customFormat="1" ht="46.5" customHeight="1">
      <c r="A51" s="796" t="s">
        <v>3</v>
      </c>
      <c r="B51" s="798" t="s">
        <v>308</v>
      </c>
      <c r="C51" s="799"/>
      <c r="D51" s="788" t="s">
        <v>452</v>
      </c>
      <c r="E51" s="788"/>
      <c r="F51" s="796" t="s">
        <v>453</v>
      </c>
      <c r="G51" s="796" t="s">
        <v>448</v>
      </c>
      <c r="H51" s="798" t="s">
        <v>487</v>
      </c>
      <c r="I51" s="799"/>
      <c r="J51" s="798" t="s">
        <v>488</v>
      </c>
      <c r="K51" s="799"/>
      <c r="L51" s="788" t="s">
        <v>489</v>
      </c>
      <c r="M51" s="788"/>
      <c r="N51" s="281" t="s">
        <v>7</v>
      </c>
    </row>
    <row r="52" spans="1:14" s="302" customFormat="1" ht="31.5" customHeight="1">
      <c r="A52" s="797"/>
      <c r="B52" s="800"/>
      <c r="C52" s="801"/>
      <c r="D52" s="281" t="s">
        <v>458</v>
      </c>
      <c r="E52" s="281" t="s">
        <v>459</v>
      </c>
      <c r="F52" s="797"/>
      <c r="G52" s="797"/>
      <c r="H52" s="800"/>
      <c r="I52" s="801"/>
      <c r="J52" s="800"/>
      <c r="K52" s="801"/>
      <c r="L52" s="281" t="s">
        <v>309</v>
      </c>
      <c r="M52" s="281" t="s">
        <v>490</v>
      </c>
      <c r="N52" s="281"/>
    </row>
    <row r="53" spans="1:14" ht="22.15" customHeight="1">
      <c r="A53" s="303"/>
      <c r="B53" s="303"/>
      <c r="C53" s="303"/>
      <c r="D53" s="303"/>
      <c r="E53" s="303"/>
      <c r="F53" s="303"/>
      <c r="G53" s="303"/>
      <c r="H53" s="303"/>
      <c r="I53" s="303"/>
      <c r="J53" s="303"/>
      <c r="K53" s="783" t="s">
        <v>491</v>
      </c>
      <c r="L53" s="784"/>
      <c r="M53" s="784"/>
      <c r="N53" s="784"/>
    </row>
    <row r="54" spans="1:14" ht="21.65" customHeight="1">
      <c r="A54" s="303"/>
      <c r="B54" s="303"/>
      <c r="C54" s="303"/>
      <c r="D54" s="303"/>
      <c r="E54" s="303"/>
      <c r="F54" s="303"/>
      <c r="G54" s="303"/>
      <c r="H54" s="303"/>
      <c r="I54" s="303"/>
      <c r="J54" s="303"/>
      <c r="K54" s="785" t="s">
        <v>128</v>
      </c>
      <c r="L54" s="786"/>
      <c r="M54" s="786"/>
      <c r="N54" s="786"/>
    </row>
    <row r="55" spans="1:14" ht="50.5" customHeight="1">
      <c r="A55" s="304" t="s">
        <v>492</v>
      </c>
      <c r="B55" s="787" t="s">
        <v>493</v>
      </c>
      <c r="C55" s="787"/>
      <c r="D55" s="787"/>
      <c r="E55" s="787"/>
      <c r="F55" s="787"/>
      <c r="G55" s="787"/>
      <c r="H55" s="787"/>
      <c r="I55" s="787"/>
      <c r="J55" s="787"/>
      <c r="K55" s="787"/>
      <c r="L55" s="787"/>
      <c r="M55" s="787"/>
      <c r="N55" s="787"/>
    </row>
  </sheetData>
  <mergeCells count="106">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3:N53"/>
    <mergeCell ref="K54:N54"/>
    <mergeCell ref="B55:N55"/>
    <mergeCell ref="L51:M5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opLeftCell="B1" zoomScaleNormal="100" workbookViewId="0">
      <pane xSplit="1" ySplit="5" topLeftCell="C7" activePane="bottomRight" state="frozen"/>
      <selection activeCell="B1" sqref="B1"/>
      <selection pane="topRight" activeCell="C1" sqref="C1"/>
      <selection pane="bottomLeft" activeCell="B6" sqref="B6"/>
      <selection pane="bottomRight" activeCell="G31" sqref="G31"/>
    </sheetView>
  </sheetViews>
  <sheetFormatPr defaultColWidth="9" defaultRowHeight="13"/>
  <cols>
    <col min="1" max="1" width="5.81640625" style="117" customWidth="1"/>
    <col min="2" max="2" width="66.54296875" style="117" customWidth="1"/>
    <col min="3" max="3" width="29" style="117" customWidth="1"/>
    <col min="4" max="4" width="15" style="117" customWidth="1"/>
    <col min="5" max="5" width="19.7265625" style="117" customWidth="1"/>
    <col min="6" max="6" width="9" style="117"/>
    <col min="7" max="7" width="102.1796875" style="117" customWidth="1"/>
    <col min="8" max="16384" width="9" style="117"/>
  </cols>
  <sheetData>
    <row r="1" spans="1:7" ht="15.5">
      <c r="A1" s="215" t="s">
        <v>738</v>
      </c>
      <c r="B1" s="217"/>
      <c r="C1" s="218"/>
      <c r="D1" s="218"/>
      <c r="E1" s="121" t="s">
        <v>494</v>
      </c>
    </row>
    <row r="2" spans="1:7" ht="15.5">
      <c r="A2" s="216" t="s">
        <v>426</v>
      </c>
      <c r="B2" s="708" t="s">
        <v>941</v>
      </c>
      <c r="C2" s="218"/>
      <c r="D2" s="218"/>
      <c r="E2" s="127"/>
    </row>
    <row r="3" spans="1:7" ht="24.65" customHeight="1">
      <c r="A3" s="720" t="s">
        <v>495</v>
      </c>
      <c r="B3" s="720"/>
      <c r="C3" s="720"/>
      <c r="D3" s="720"/>
      <c r="E3" s="720"/>
    </row>
    <row r="4" spans="1:7" ht="13.5" thickBot="1">
      <c r="A4" s="219"/>
      <c r="B4" s="219"/>
      <c r="C4" s="119"/>
      <c r="D4" s="119"/>
      <c r="E4" s="99"/>
    </row>
    <row r="5" spans="1:7" ht="41.25" customHeight="1" thickTop="1">
      <c r="A5" s="122" t="s">
        <v>68</v>
      </c>
      <c r="B5" s="123" t="s">
        <v>496</v>
      </c>
      <c r="C5" s="124" t="s">
        <v>497</v>
      </c>
      <c r="D5" s="124" t="s">
        <v>498</v>
      </c>
      <c r="E5" s="125" t="s">
        <v>7</v>
      </c>
      <c r="G5" s="185"/>
    </row>
    <row r="6" spans="1:7" ht="36.75" customHeight="1">
      <c r="A6" s="220" t="s">
        <v>81</v>
      </c>
      <c r="B6" s="221" t="s">
        <v>499</v>
      </c>
      <c r="C6" s="222"/>
      <c r="D6" s="223"/>
      <c r="E6" s="224"/>
      <c r="G6" s="306" t="s">
        <v>500</v>
      </c>
    </row>
    <row r="7" spans="1:7" ht="19" customHeight="1">
      <c r="A7" s="225">
        <v>1</v>
      </c>
      <c r="B7" s="226" t="s">
        <v>501</v>
      </c>
      <c r="C7" s="227"/>
      <c r="D7" s="228"/>
      <c r="E7" s="229"/>
    </row>
    <row r="8" spans="1:7" ht="19" customHeight="1">
      <c r="A8" s="225"/>
      <c r="B8" s="235" t="s">
        <v>502</v>
      </c>
      <c r="C8" s="227"/>
      <c r="D8" s="228"/>
      <c r="E8" s="229"/>
    </row>
    <row r="9" spans="1:7" ht="19" customHeight="1">
      <c r="A9" s="225">
        <v>2</v>
      </c>
      <c r="B9" s="226" t="s">
        <v>503</v>
      </c>
      <c r="C9" s="227"/>
      <c r="D9" s="228"/>
      <c r="E9" s="229"/>
    </row>
    <row r="10" spans="1:7" ht="30" customHeight="1">
      <c r="A10" s="225"/>
      <c r="B10" s="226" t="s">
        <v>943</v>
      </c>
      <c r="C10" s="227" t="s">
        <v>942</v>
      </c>
      <c r="D10" s="231" t="s">
        <v>955</v>
      </c>
      <c r="E10" s="709">
        <v>0.5</v>
      </c>
    </row>
    <row r="11" spans="1:7" ht="30" customHeight="1">
      <c r="A11" s="225"/>
      <c r="B11" s="235" t="s">
        <v>944</v>
      </c>
      <c r="C11" s="227" t="s">
        <v>945</v>
      </c>
      <c r="D11" s="231" t="s">
        <v>956</v>
      </c>
      <c r="E11" s="709">
        <v>0.2</v>
      </c>
    </row>
    <row r="12" spans="1:7" ht="19" customHeight="1">
      <c r="A12" s="225">
        <v>3</v>
      </c>
      <c r="B12" s="226" t="s">
        <v>504</v>
      </c>
      <c r="C12" s="227"/>
      <c r="D12" s="228"/>
      <c r="E12" s="229"/>
    </row>
    <row r="13" spans="1:7" ht="19" customHeight="1">
      <c r="A13" s="225"/>
      <c r="B13" s="235" t="s">
        <v>502</v>
      </c>
      <c r="C13" s="230"/>
      <c r="D13" s="231"/>
      <c r="E13" s="232"/>
    </row>
    <row r="14" spans="1:7" ht="37.5" customHeight="1">
      <c r="A14" s="233" t="s">
        <v>104</v>
      </c>
      <c r="B14" s="221" t="s">
        <v>505</v>
      </c>
      <c r="C14" s="234"/>
      <c r="D14" s="231"/>
      <c r="E14" s="232"/>
    </row>
    <row r="15" spans="1:7" ht="19" customHeight="1">
      <c r="A15" s="225"/>
      <c r="B15" s="235" t="s">
        <v>502</v>
      </c>
      <c r="C15" s="236"/>
      <c r="D15" s="231"/>
      <c r="E15" s="232"/>
    </row>
    <row r="16" spans="1:7" ht="19" customHeight="1">
      <c r="A16" s="225"/>
      <c r="B16" s="235" t="s">
        <v>502</v>
      </c>
      <c r="C16" s="226"/>
      <c r="D16" s="231"/>
      <c r="E16" s="232"/>
    </row>
    <row r="17" spans="1:7" ht="49" customHeight="1">
      <c r="A17" s="233" t="s">
        <v>113</v>
      </c>
      <c r="B17" s="221" t="s">
        <v>506</v>
      </c>
      <c r="C17" s="221"/>
      <c r="D17" s="231"/>
      <c r="E17" s="232"/>
    </row>
    <row r="18" spans="1:7" ht="19" customHeight="1">
      <c r="A18" s="225"/>
      <c r="B18" s="226" t="s">
        <v>507</v>
      </c>
      <c r="C18" s="226"/>
      <c r="D18" s="231"/>
      <c r="E18" s="232"/>
    </row>
    <row r="19" spans="1:7" ht="19" customHeight="1">
      <c r="A19" s="225"/>
      <c r="B19" s="226" t="s">
        <v>507</v>
      </c>
      <c r="C19" s="226"/>
      <c r="D19" s="231"/>
      <c r="E19" s="232"/>
    </row>
    <row r="20" spans="1:7" ht="19" customHeight="1">
      <c r="A20" s="225"/>
      <c r="B20" s="226" t="s">
        <v>507</v>
      </c>
      <c r="C20" s="226"/>
      <c r="D20" s="231"/>
      <c r="E20" s="232"/>
    </row>
    <row r="21" spans="1:7" ht="33" customHeight="1">
      <c r="A21" s="233" t="s">
        <v>117</v>
      </c>
      <c r="B21" s="221" t="s">
        <v>508</v>
      </c>
      <c r="C21" s="221"/>
      <c r="D21" s="231"/>
      <c r="E21" s="237"/>
    </row>
    <row r="22" spans="1:7" ht="19" customHeight="1">
      <c r="A22" s="225"/>
      <c r="B22" s="235"/>
      <c r="C22" s="226"/>
      <c r="D22" s="683"/>
      <c r="E22" s="232"/>
    </row>
    <row r="23" spans="1:7" ht="19" customHeight="1">
      <c r="A23" s="225"/>
      <c r="B23" s="235"/>
      <c r="C23" s="226"/>
      <c r="D23" s="683"/>
      <c r="E23" s="232"/>
    </row>
    <row r="24" spans="1:7" s="240" customFormat="1" ht="19" customHeight="1">
      <c r="A24" s="233" t="s">
        <v>121</v>
      </c>
      <c r="B24" s="221" t="s">
        <v>509</v>
      </c>
      <c r="C24" s="238"/>
      <c r="D24" s="239"/>
      <c r="E24" s="237"/>
    </row>
    <row r="25" spans="1:7" ht="19" customHeight="1">
      <c r="A25" s="233"/>
      <c r="B25" s="235" t="s">
        <v>502</v>
      </c>
      <c r="C25" s="221"/>
      <c r="D25" s="231"/>
      <c r="E25" s="232"/>
    </row>
    <row r="26" spans="1:7" ht="19" customHeight="1">
      <c r="A26" s="233" t="s">
        <v>510</v>
      </c>
      <c r="B26" s="221" t="s">
        <v>511</v>
      </c>
      <c r="C26" s="221"/>
      <c r="D26" s="231"/>
      <c r="E26" s="232"/>
    </row>
    <row r="27" spans="1:7" ht="72.75" customHeight="1">
      <c r="A27" s="225" t="s">
        <v>512</v>
      </c>
      <c r="B27" s="241" t="s">
        <v>513</v>
      </c>
      <c r="C27" s="226"/>
      <c r="D27" s="231"/>
      <c r="E27" s="232"/>
    </row>
    <row r="28" spans="1:7" ht="44.25" customHeight="1">
      <c r="A28" s="225"/>
      <c r="B28" s="241" t="s">
        <v>514</v>
      </c>
      <c r="C28" s="226"/>
      <c r="D28" s="231"/>
      <c r="E28" s="232"/>
      <c r="G28" s="241"/>
    </row>
    <row r="29" spans="1:7" ht="44.25" customHeight="1">
      <c r="A29" s="225"/>
      <c r="B29" s="241" t="s">
        <v>514</v>
      </c>
      <c r="C29" s="226"/>
      <c r="D29" s="231"/>
      <c r="E29" s="232"/>
    </row>
    <row r="30" spans="1:7" ht="69.650000000000006" customHeight="1">
      <c r="A30" s="225" t="s">
        <v>515</v>
      </c>
      <c r="B30" s="241" t="s">
        <v>516</v>
      </c>
      <c r="C30" s="226"/>
      <c r="D30" s="231"/>
      <c r="E30" s="317" t="s">
        <v>517</v>
      </c>
      <c r="G30" s="116"/>
    </row>
    <row r="31" spans="1:7" ht="50.15" customHeight="1">
      <c r="A31" s="225"/>
      <c r="B31" s="710" t="s">
        <v>946</v>
      </c>
      <c r="C31" s="711" t="s">
        <v>958</v>
      </c>
      <c r="D31" s="712">
        <v>10000000</v>
      </c>
      <c r="E31" s="655"/>
      <c r="G31" s="116"/>
    </row>
    <row r="32" spans="1:7" ht="50.15" customHeight="1">
      <c r="A32" s="225"/>
      <c r="B32" s="710" t="s">
        <v>947</v>
      </c>
      <c r="C32" s="711" t="s">
        <v>959</v>
      </c>
      <c r="D32" s="712">
        <v>10000000</v>
      </c>
      <c r="E32" s="655"/>
      <c r="G32" s="116"/>
    </row>
    <row r="33" spans="1:7" ht="50.15" customHeight="1">
      <c r="A33" s="225"/>
      <c r="B33" s="710" t="s">
        <v>948</v>
      </c>
      <c r="C33" s="711" t="s">
        <v>959</v>
      </c>
      <c r="D33" s="712">
        <v>10000000</v>
      </c>
      <c r="E33" s="655"/>
      <c r="G33" s="116"/>
    </row>
    <row r="34" spans="1:7" ht="19" customHeight="1">
      <c r="A34" s="225" t="s">
        <v>518</v>
      </c>
      <c r="B34" s="241" t="s">
        <v>519</v>
      </c>
      <c r="C34" s="226"/>
      <c r="D34" s="231"/>
      <c r="E34" s="232"/>
    </row>
    <row r="35" spans="1:7" ht="19" customHeight="1">
      <c r="A35" s="233" t="s">
        <v>520</v>
      </c>
      <c r="B35" s="221" t="s">
        <v>521</v>
      </c>
      <c r="C35" s="221"/>
      <c r="D35" s="231"/>
      <c r="E35" s="232"/>
    </row>
    <row r="36" spans="1:7" ht="19" customHeight="1">
      <c r="A36" s="225" t="s">
        <v>252</v>
      </c>
      <c r="B36" s="226" t="s">
        <v>522</v>
      </c>
      <c r="C36" s="226"/>
      <c r="D36" s="231"/>
      <c r="E36" s="232"/>
    </row>
    <row r="37" spans="1:7" ht="29.25" customHeight="1">
      <c r="A37" s="225" t="s">
        <v>261</v>
      </c>
      <c r="B37" s="654" t="s">
        <v>909</v>
      </c>
      <c r="C37" s="654" t="s">
        <v>749</v>
      </c>
      <c r="D37" s="668">
        <v>50000000</v>
      </c>
      <c r="E37" s="655"/>
    </row>
    <row r="38" spans="1:7" ht="19" customHeight="1">
      <c r="A38" s="225" t="s">
        <v>280</v>
      </c>
      <c r="B38" s="226" t="s">
        <v>523</v>
      </c>
      <c r="C38" s="226"/>
      <c r="D38" s="231"/>
      <c r="E38" s="232"/>
    </row>
    <row r="39" spans="1:7" ht="55" customHeight="1">
      <c r="A39" s="233" t="s">
        <v>524</v>
      </c>
      <c r="B39" s="221" t="s">
        <v>525</v>
      </c>
      <c r="C39" s="226"/>
      <c r="D39" s="231"/>
      <c r="E39" s="232"/>
    </row>
    <row r="40" spans="1:7" ht="19" customHeight="1">
      <c r="A40" s="225">
        <v>1</v>
      </c>
      <c r="B40" s="226" t="s">
        <v>526</v>
      </c>
      <c r="C40" s="226"/>
      <c r="D40" s="231"/>
      <c r="E40" s="232"/>
    </row>
    <row r="41" spans="1:7" ht="19" customHeight="1">
      <c r="A41" s="408">
        <v>2</v>
      </c>
      <c r="B41" s="409" t="s">
        <v>527</v>
      </c>
      <c r="C41" s="409"/>
      <c r="D41" s="410"/>
      <c r="E41" s="411"/>
    </row>
    <row r="42" spans="1:7" ht="39" customHeight="1" thickBot="1">
      <c r="A42" s="242"/>
      <c r="B42" s="243" t="s">
        <v>421</v>
      </c>
      <c r="C42" s="244"/>
      <c r="D42" s="669" t="s">
        <v>957</v>
      </c>
      <c r="E42" s="245"/>
    </row>
    <row r="43" spans="1:7" ht="32.25" customHeight="1" thickTop="1">
      <c r="A43" s="246"/>
      <c r="B43" s="247"/>
      <c r="C43" s="821" t="s">
        <v>366</v>
      </c>
      <c r="D43" s="821"/>
      <c r="E43" s="821"/>
      <c r="F43" s="248"/>
    </row>
    <row r="44" spans="1:7" ht="19" customHeight="1">
      <c r="A44" s="246"/>
      <c r="B44" s="249"/>
      <c r="C44" s="822" t="s">
        <v>528</v>
      </c>
      <c r="D44" s="822"/>
      <c r="E44" s="822"/>
      <c r="F44" s="248"/>
    </row>
    <row r="45" spans="1:7" ht="39.75" customHeight="1">
      <c r="A45" s="823" t="s">
        <v>529</v>
      </c>
      <c r="B45" s="823"/>
      <c r="C45" s="823"/>
      <c r="D45" s="823"/>
      <c r="E45" s="823"/>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topRight" activeCell="B1" sqref="B1"/>
      <selection pane="bottomLeft" activeCell="A6" sqref="A6"/>
      <selection pane="bottomRight" activeCell="H11" sqref="H11"/>
    </sheetView>
  </sheetViews>
  <sheetFormatPr defaultColWidth="9" defaultRowHeight="12.5"/>
  <cols>
    <col min="1" max="1" width="9" style="608"/>
    <col min="2" max="2" width="42.1796875" style="608" customWidth="1"/>
    <col min="3" max="3" width="25.1796875" style="608" customWidth="1"/>
    <col min="4" max="4" width="11.1796875" style="608" customWidth="1"/>
    <col min="5" max="6" width="9" style="608"/>
    <col min="7" max="7" width="12.26953125" style="608" customWidth="1"/>
    <col min="8" max="8" width="34.54296875" style="608" customWidth="1"/>
    <col min="9" max="9" width="27" style="608" customWidth="1"/>
    <col min="10" max="10" width="20" style="608" customWidth="1"/>
    <col min="11" max="16384" width="9" style="608"/>
  </cols>
  <sheetData>
    <row r="1" spans="1:10" ht="15.5">
      <c r="A1" s="605"/>
      <c r="B1" s="605"/>
      <c r="C1" s="606"/>
      <c r="D1" s="605"/>
      <c r="E1" s="607"/>
      <c r="F1" s="605"/>
      <c r="G1" s="605"/>
      <c r="H1" s="605"/>
      <c r="I1" s="605"/>
      <c r="J1" s="605"/>
    </row>
    <row r="2" spans="1:10" ht="15.5">
      <c r="A2" s="825" t="s">
        <v>870</v>
      </c>
      <c r="B2" s="825"/>
      <c r="C2" s="826" t="s">
        <v>871</v>
      </c>
      <c r="D2" s="826"/>
      <c r="E2" s="826"/>
      <c r="F2" s="826"/>
      <c r="G2" s="826"/>
      <c r="H2" s="826"/>
      <c r="I2" s="826"/>
      <c r="J2" s="609" t="s">
        <v>492</v>
      </c>
    </row>
    <row r="3" spans="1:10" ht="18">
      <c r="A3" s="827" t="s">
        <v>939</v>
      </c>
      <c r="B3" s="827"/>
      <c r="C3" s="826"/>
      <c r="D3" s="826"/>
      <c r="E3" s="826"/>
      <c r="F3" s="826"/>
      <c r="G3" s="826"/>
      <c r="H3" s="826"/>
      <c r="I3" s="826"/>
      <c r="J3" s="610"/>
    </row>
    <row r="4" spans="1:10" ht="18.5" thickBot="1">
      <c r="A4" s="610"/>
      <c r="B4" s="610"/>
      <c r="C4" s="610"/>
      <c r="D4" s="610"/>
      <c r="E4" s="610"/>
      <c r="F4" s="610"/>
      <c r="G4" s="610"/>
      <c r="H4" s="610"/>
      <c r="I4" s="610"/>
      <c r="J4" s="610"/>
    </row>
    <row r="5" spans="1:10" ht="30">
      <c r="A5" s="611" t="s">
        <v>3</v>
      </c>
      <c r="B5" s="612" t="s">
        <v>872</v>
      </c>
      <c r="C5" s="612" t="s">
        <v>873</v>
      </c>
      <c r="D5" s="613" t="s">
        <v>874</v>
      </c>
      <c r="E5" s="613" t="s">
        <v>875</v>
      </c>
      <c r="F5" s="613" t="s">
        <v>876</v>
      </c>
      <c r="G5" s="613" t="s">
        <v>877</v>
      </c>
      <c r="H5" s="613" t="s">
        <v>878</v>
      </c>
      <c r="I5" s="613" t="s">
        <v>879</v>
      </c>
      <c r="J5" s="614" t="s">
        <v>880</v>
      </c>
    </row>
    <row r="6" spans="1:10" ht="15.5">
      <c r="A6" s="615">
        <v>1</v>
      </c>
      <c r="B6" s="616" t="s">
        <v>896</v>
      </c>
      <c r="C6" s="617" t="s">
        <v>834</v>
      </c>
      <c r="D6" s="618" t="s">
        <v>895</v>
      </c>
      <c r="E6" s="619"/>
      <c r="F6" s="618">
        <v>5</v>
      </c>
      <c r="G6" s="619" t="s">
        <v>952</v>
      </c>
      <c r="H6" s="619" t="s">
        <v>900</v>
      </c>
      <c r="I6" s="619" t="s">
        <v>950</v>
      </c>
      <c r="J6" s="620">
        <v>5.2022000000000004</v>
      </c>
    </row>
    <row r="7" spans="1:10" ht="15.5">
      <c r="A7" s="621">
        <v>2</v>
      </c>
      <c r="B7" s="622" t="s">
        <v>897</v>
      </c>
      <c r="C7" s="622" t="s">
        <v>898</v>
      </c>
      <c r="D7" s="623" t="s">
        <v>895</v>
      </c>
      <c r="E7" s="622"/>
      <c r="F7" s="623">
        <v>4</v>
      </c>
      <c r="G7" s="622" t="s">
        <v>952</v>
      </c>
      <c r="H7" s="619" t="s">
        <v>922</v>
      </c>
      <c r="I7" s="619" t="s">
        <v>949</v>
      </c>
      <c r="J7" s="620">
        <v>8.2021999999999995</v>
      </c>
    </row>
    <row r="8" spans="1:10" ht="46.5">
      <c r="A8" s="615">
        <v>3</v>
      </c>
      <c r="B8" s="625" t="s">
        <v>899</v>
      </c>
      <c r="C8" s="622" t="s">
        <v>951</v>
      </c>
      <c r="D8" s="618" t="s">
        <v>953</v>
      </c>
      <c r="E8" s="622"/>
      <c r="F8" s="623">
        <v>2</v>
      </c>
      <c r="G8" s="622" t="s">
        <v>952</v>
      </c>
      <c r="H8" s="619" t="s">
        <v>942</v>
      </c>
      <c r="I8" s="619" t="s">
        <v>921</v>
      </c>
      <c r="J8" s="624">
        <v>8.2021999999999995</v>
      </c>
    </row>
    <row r="9" spans="1:10" ht="15.5">
      <c r="A9" s="621">
        <v>4</v>
      </c>
      <c r="B9" s="625"/>
      <c r="C9" s="625"/>
      <c r="D9" s="623"/>
      <c r="E9" s="622"/>
      <c r="F9" s="623"/>
      <c r="G9" s="622"/>
      <c r="H9" s="619"/>
      <c r="I9" s="619"/>
      <c r="J9" s="624"/>
    </row>
    <row r="10" spans="1:10" ht="15.5">
      <c r="A10" s="615">
        <v>5</v>
      </c>
      <c r="B10" s="626"/>
      <c r="C10" s="626"/>
      <c r="D10" s="626"/>
      <c r="E10" s="626"/>
      <c r="F10" s="626"/>
      <c r="G10" s="626"/>
      <c r="H10" s="619"/>
      <c r="I10" s="619"/>
      <c r="J10" s="627"/>
    </row>
    <row r="11" spans="1:10" ht="15.5">
      <c r="A11" s="621">
        <v>6</v>
      </c>
      <c r="B11" s="625"/>
      <c r="C11" s="628"/>
      <c r="D11" s="626"/>
      <c r="E11" s="622"/>
      <c r="F11" s="623"/>
      <c r="G11" s="622"/>
      <c r="H11" s="619"/>
      <c r="I11" s="619"/>
      <c r="J11" s="627"/>
    </row>
    <row r="12" spans="1:10" ht="16" thickBot="1">
      <c r="A12" s="629"/>
      <c r="B12" s="630" t="s">
        <v>881</v>
      </c>
      <c r="C12" s="828" t="s">
        <v>954</v>
      </c>
      <c r="D12" s="829"/>
      <c r="E12" s="829"/>
      <c r="F12" s="829"/>
      <c r="G12" s="829"/>
      <c r="H12" s="829"/>
      <c r="I12" s="829"/>
      <c r="J12" s="830"/>
    </row>
    <row r="13" spans="1:10" ht="18">
      <c r="A13" s="610"/>
      <c r="B13" s="610"/>
      <c r="C13" s="606"/>
      <c r="D13" s="631"/>
      <c r="E13" s="631"/>
      <c r="F13" s="831" t="s">
        <v>882</v>
      </c>
      <c r="G13" s="831"/>
      <c r="H13" s="831"/>
      <c r="I13" s="831"/>
      <c r="J13" s="831"/>
    </row>
    <row r="14" spans="1:10" ht="18">
      <c r="A14" s="610"/>
      <c r="B14" s="610"/>
      <c r="C14" s="606"/>
      <c r="D14" s="632"/>
      <c r="E14" s="632"/>
      <c r="F14" s="832" t="s">
        <v>883</v>
      </c>
      <c r="G14" s="832"/>
      <c r="H14" s="832"/>
      <c r="I14" s="832"/>
      <c r="J14" s="832"/>
    </row>
    <row r="15" spans="1:10" ht="15.5">
      <c r="A15" s="606"/>
      <c r="B15" s="606"/>
      <c r="C15" s="605"/>
      <c r="D15" s="607"/>
      <c r="E15" s="605"/>
      <c r="F15" s="824" t="s">
        <v>884</v>
      </c>
      <c r="G15" s="824"/>
      <c r="H15" s="824"/>
      <c r="I15" s="824"/>
      <c r="J15" s="824"/>
    </row>
    <row r="16" spans="1:10" ht="15.5">
      <c r="A16" s="606"/>
      <c r="B16" s="606"/>
      <c r="C16" s="605"/>
      <c r="D16" s="607"/>
      <c r="E16" s="605"/>
      <c r="F16" s="605"/>
      <c r="G16" s="605"/>
      <c r="H16" s="605"/>
      <c r="I16" s="605"/>
      <c r="J16" s="606"/>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topRight" activeCell="C1" sqref="C1"/>
      <selection pane="bottomLeft" activeCell="A6" sqref="A6"/>
      <selection pane="bottomRight" activeCell="E18" sqref="E18"/>
    </sheetView>
  </sheetViews>
  <sheetFormatPr defaultColWidth="9" defaultRowHeight="14"/>
  <cols>
    <col min="1" max="1" width="5.1796875" style="91" customWidth="1"/>
    <col min="2" max="2" width="45" style="91" customWidth="1"/>
    <col min="3" max="3" width="9.453125" style="91" customWidth="1"/>
    <col min="4" max="5" width="11" style="91" customWidth="1"/>
    <col min="6" max="6" width="14.7265625" style="91" customWidth="1"/>
    <col min="7" max="7" width="27.453125" style="91" customWidth="1"/>
    <col min="8" max="16384" width="9" style="91"/>
  </cols>
  <sheetData>
    <row r="1" spans="1:7">
      <c r="A1" s="717" t="s">
        <v>733</v>
      </c>
      <c r="B1" s="717"/>
      <c r="C1" s="319"/>
      <c r="G1" s="509" t="s">
        <v>530</v>
      </c>
    </row>
    <row r="2" spans="1:7">
      <c r="A2" s="822" t="s">
        <v>531</v>
      </c>
      <c r="B2" s="822"/>
      <c r="C2" s="467"/>
    </row>
    <row r="3" spans="1:7" ht="47.25" customHeight="1">
      <c r="A3" s="756" t="s">
        <v>532</v>
      </c>
      <c r="B3" s="822"/>
      <c r="C3" s="822"/>
      <c r="D3" s="822"/>
      <c r="E3" s="822"/>
      <c r="F3" s="822"/>
      <c r="G3" s="822"/>
    </row>
    <row r="4" spans="1:7" ht="14.5" thickBot="1">
      <c r="F4" s="834" t="s">
        <v>533</v>
      </c>
      <c r="G4" s="834"/>
    </row>
    <row r="5" spans="1:7" s="467" customFormat="1" ht="57" thickTop="1" thickBot="1">
      <c r="A5" s="510" t="s">
        <v>3</v>
      </c>
      <c r="B5" s="511" t="s">
        <v>534</v>
      </c>
      <c r="C5" s="512" t="s">
        <v>535</v>
      </c>
      <c r="D5" s="512" t="s">
        <v>536</v>
      </c>
      <c r="E5" s="512" t="s">
        <v>537</v>
      </c>
      <c r="F5" s="512" t="s">
        <v>432</v>
      </c>
      <c r="G5" s="513" t="s">
        <v>7</v>
      </c>
    </row>
    <row r="6" spans="1:7" s="519" customFormat="1" ht="38.25" customHeight="1" thickTop="1">
      <c r="A6" s="514" t="s">
        <v>81</v>
      </c>
      <c r="B6" s="515" t="s">
        <v>538</v>
      </c>
      <c r="C6" s="516"/>
      <c r="D6" s="517"/>
      <c r="E6" s="517"/>
      <c r="F6" s="516"/>
      <c r="G6" s="518"/>
    </row>
    <row r="7" spans="1:7">
      <c r="A7" s="520"/>
      <c r="B7" s="521"/>
      <c r="C7" s="521"/>
      <c r="D7" s="357"/>
      <c r="E7" s="357"/>
      <c r="F7" s="522"/>
      <c r="G7" s="371"/>
    </row>
    <row r="8" spans="1:7">
      <c r="A8" s="520"/>
      <c r="B8" s="523"/>
      <c r="C8" s="523"/>
      <c r="D8" s="357"/>
      <c r="E8" s="357"/>
      <c r="F8" s="522"/>
      <c r="G8" s="371"/>
    </row>
    <row r="9" spans="1:7">
      <c r="A9" s="520"/>
      <c r="B9" s="523"/>
      <c r="C9" s="523"/>
      <c r="D9" s="357"/>
      <c r="E9" s="357"/>
      <c r="F9" s="522"/>
      <c r="G9" s="371"/>
    </row>
    <row r="10" spans="1:7">
      <c r="A10" s="514" t="s">
        <v>104</v>
      </c>
      <c r="B10" s="524" t="s">
        <v>539</v>
      </c>
      <c r="C10" s="524"/>
      <c r="D10" s="357"/>
      <c r="E10" s="357"/>
      <c r="F10" s="522"/>
      <c r="G10" s="371"/>
    </row>
    <row r="11" spans="1:7">
      <c r="A11" s="520"/>
      <c r="B11" s="523"/>
      <c r="C11" s="523"/>
      <c r="D11" s="357"/>
      <c r="E11" s="357"/>
      <c r="F11" s="522"/>
      <c r="G11" s="371"/>
    </row>
    <row r="12" spans="1:7">
      <c r="A12" s="520"/>
      <c r="B12" s="523"/>
      <c r="C12" s="523"/>
      <c r="D12" s="357"/>
      <c r="E12" s="357"/>
      <c r="F12" s="522"/>
      <c r="G12" s="371"/>
    </row>
    <row r="13" spans="1:7">
      <c r="A13" s="520"/>
      <c r="B13" s="523"/>
      <c r="C13" s="523"/>
      <c r="D13" s="517"/>
      <c r="E13" s="517"/>
      <c r="F13" s="522"/>
      <c r="G13" s="371"/>
    </row>
    <row r="14" spans="1:7">
      <c r="A14" s="514" t="s">
        <v>113</v>
      </c>
      <c r="B14" s="516" t="s">
        <v>540</v>
      </c>
      <c r="C14" s="519"/>
      <c r="F14" s="522"/>
      <c r="G14" s="371"/>
    </row>
    <row r="15" spans="1:7">
      <c r="A15" s="520"/>
      <c r="B15" s="522"/>
      <c r="C15" s="522"/>
      <c r="D15" s="517"/>
      <c r="E15" s="517"/>
      <c r="F15" s="522"/>
      <c r="G15" s="371"/>
    </row>
    <row r="16" spans="1:7">
      <c r="A16" s="520"/>
      <c r="B16" s="522"/>
      <c r="C16" s="522"/>
      <c r="D16" s="517"/>
      <c r="E16" s="517"/>
      <c r="F16" s="522"/>
      <c r="G16" s="371"/>
    </row>
    <row r="17" spans="1:7">
      <c r="A17" s="514" t="s">
        <v>117</v>
      </c>
      <c r="B17" s="516" t="s">
        <v>541</v>
      </c>
      <c r="C17" s="522"/>
      <c r="D17" s="517"/>
      <c r="E17" s="517"/>
      <c r="F17" s="522"/>
      <c r="G17" s="371"/>
    </row>
    <row r="18" spans="1:7">
      <c r="A18" s="520">
        <v>4.0999999999999996</v>
      </c>
      <c r="B18" s="522"/>
      <c r="C18" s="522"/>
      <c r="D18" s="517"/>
      <c r="E18" s="517"/>
      <c r="F18" s="517"/>
      <c r="G18" s="371"/>
    </row>
    <row r="19" spans="1:7">
      <c r="A19" s="520">
        <v>4.2</v>
      </c>
      <c r="B19" s="522"/>
      <c r="C19" s="522"/>
      <c r="D19" s="517"/>
      <c r="E19" s="517"/>
      <c r="F19" s="517"/>
      <c r="G19" s="371"/>
    </row>
    <row r="20" spans="1:7">
      <c r="A20" s="514" t="s">
        <v>121</v>
      </c>
      <c r="B20" s="516" t="s">
        <v>542</v>
      </c>
      <c r="C20" s="522"/>
      <c r="D20" s="517"/>
      <c r="E20" s="517"/>
      <c r="F20" s="522"/>
      <c r="G20" s="371"/>
    </row>
    <row r="21" spans="1:7">
      <c r="A21" s="520"/>
      <c r="B21" s="516"/>
      <c r="C21" s="522"/>
      <c r="D21" s="517"/>
      <c r="E21" s="517"/>
      <c r="F21" s="522"/>
      <c r="G21" s="371"/>
    </row>
    <row r="22" spans="1:7">
      <c r="A22" s="520"/>
      <c r="B22" s="516"/>
      <c r="C22" s="522"/>
      <c r="D22" s="517"/>
      <c r="E22" s="517"/>
      <c r="F22" s="522"/>
      <c r="G22" s="371"/>
    </row>
    <row r="23" spans="1:7">
      <c r="A23" s="514" t="s">
        <v>510</v>
      </c>
      <c r="B23" s="516" t="s">
        <v>543</v>
      </c>
      <c r="C23" s="522"/>
      <c r="D23" s="517"/>
      <c r="E23" s="517"/>
      <c r="F23" s="522"/>
      <c r="G23" s="371"/>
    </row>
    <row r="24" spans="1:7">
      <c r="A24" s="520">
        <v>6.1</v>
      </c>
      <c r="B24" s="522" t="s">
        <v>782</v>
      </c>
      <c r="C24" s="522"/>
      <c r="D24" s="517"/>
      <c r="E24" s="517"/>
      <c r="F24" s="522"/>
      <c r="G24" s="371" t="s">
        <v>783</v>
      </c>
    </row>
    <row r="25" spans="1:7" s="519" customFormat="1" ht="15.5">
      <c r="A25" s="520">
        <v>6.2</v>
      </c>
      <c r="B25" s="542" t="s">
        <v>784</v>
      </c>
      <c r="C25" s="522"/>
      <c r="D25" s="525"/>
      <c r="E25" s="525"/>
      <c r="F25" s="522"/>
      <c r="G25" s="518"/>
    </row>
    <row r="26" spans="1:7" s="519" customFormat="1" ht="31">
      <c r="A26" s="520">
        <v>6.3</v>
      </c>
      <c r="B26" s="542" t="s">
        <v>785</v>
      </c>
      <c r="C26" s="522"/>
      <c r="D26" s="525"/>
      <c r="E26" s="525"/>
      <c r="F26" s="522"/>
      <c r="G26" s="518"/>
    </row>
    <row r="27" spans="1:7" s="519" customFormat="1" ht="15.5">
      <c r="A27" s="520">
        <v>6.4</v>
      </c>
      <c r="B27" s="542" t="s">
        <v>786</v>
      </c>
      <c r="C27" s="522"/>
      <c r="D27" s="525"/>
      <c r="E27" s="525"/>
      <c r="F27" s="522"/>
      <c r="G27" s="518"/>
    </row>
    <row r="28" spans="1:7" s="519" customFormat="1" ht="15.5">
      <c r="A28" s="520">
        <v>6.5</v>
      </c>
      <c r="B28" s="542" t="s">
        <v>787</v>
      </c>
      <c r="C28" s="522"/>
      <c r="D28" s="525"/>
      <c r="E28" s="525"/>
      <c r="F28" s="522"/>
      <c r="G28" s="518"/>
    </row>
    <row r="29" spans="1:7" s="519" customFormat="1" ht="15.5">
      <c r="A29" s="543">
        <v>6.6</v>
      </c>
      <c r="B29" s="542" t="s">
        <v>788</v>
      </c>
      <c r="C29" s="531"/>
      <c r="D29" s="536"/>
      <c r="E29" s="536"/>
      <c r="F29" s="531"/>
      <c r="G29" s="544"/>
    </row>
    <row r="30" spans="1:7" ht="14.5" thickBot="1">
      <c r="A30" s="526"/>
      <c r="B30" s="527" t="s">
        <v>544</v>
      </c>
      <c r="C30" s="528"/>
      <c r="D30" s="529"/>
      <c r="E30" s="529"/>
      <c r="F30" s="528">
        <f>SUM(F6:F28)</f>
        <v>0</v>
      </c>
      <c r="G30" s="530"/>
    </row>
    <row r="31" spans="1:7" s="335" customFormat="1" ht="14.5" thickTop="1">
      <c r="D31" s="835" t="s">
        <v>545</v>
      </c>
      <c r="E31" s="835"/>
      <c r="F31" s="835"/>
      <c r="G31" s="835"/>
    </row>
    <row r="32" spans="1:7">
      <c r="B32" s="833"/>
      <c r="C32" s="833"/>
      <c r="D32" s="833"/>
      <c r="E32" s="756" t="s">
        <v>128</v>
      </c>
      <c r="F32" s="756"/>
      <c r="G32" s="756"/>
    </row>
    <row r="33" spans="1:1">
      <c r="A33" s="519" t="s">
        <v>340</v>
      </c>
    </row>
    <row r="34" spans="1:1" ht="31.5" customHeight="1">
      <c r="A34" s="91" t="s">
        <v>546</v>
      </c>
    </row>
    <row r="35" spans="1:1" ht="45.75" customHeight="1">
      <c r="A35" s="91" t="s">
        <v>547</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5"/>
  <cols>
    <col min="1" max="1" width="5.1796875" style="127" customWidth="1"/>
    <col min="2" max="2" width="52.453125" style="127" customWidth="1"/>
    <col min="3" max="3" width="17.453125" style="127" customWidth="1"/>
    <col min="4" max="4" width="14" style="127" customWidth="1"/>
    <col min="5" max="5" width="10" style="127" customWidth="1"/>
    <col min="6" max="6" width="15.453125" style="127" customWidth="1"/>
    <col min="7" max="7" width="13.26953125" style="127" customWidth="1"/>
    <col min="8" max="8" width="15.81640625" style="127" customWidth="1"/>
    <col min="9" max="9" width="8.81640625" style="127" customWidth="1"/>
    <col min="10" max="10" width="18.54296875" style="127" customWidth="1"/>
    <col min="11" max="11" width="12" style="127" customWidth="1"/>
    <col min="12" max="12" width="15.81640625" style="127" customWidth="1"/>
    <col min="13" max="13" width="10.7265625" style="127" customWidth="1"/>
    <col min="14" max="14" width="18.81640625" style="127" customWidth="1"/>
    <col min="15" max="15" width="10.1796875" style="127" customWidth="1"/>
    <col min="16" max="16" width="19.26953125" style="127" customWidth="1"/>
    <col min="17" max="17" width="14.453125" style="127" customWidth="1"/>
    <col min="18" max="18" width="10.1796875" style="127" customWidth="1"/>
    <col min="19" max="19" width="13.81640625" style="127" customWidth="1"/>
    <col min="20" max="20" width="10.1796875" style="127" customWidth="1"/>
    <col min="21" max="21" width="15.1796875" style="127" customWidth="1"/>
    <col min="22" max="22" width="10.1796875" style="127" customWidth="1"/>
    <col min="23" max="23" width="14.453125" style="127" customWidth="1"/>
    <col min="24" max="24" width="10.1796875" style="127" customWidth="1"/>
    <col min="25" max="25" width="14.7265625" style="127" customWidth="1"/>
    <col min="26" max="26" width="10.1796875" style="127" customWidth="1"/>
    <col min="27" max="27" width="15.453125" style="127" customWidth="1"/>
    <col min="28" max="28" width="18" style="127" customWidth="1"/>
    <col min="29" max="29" width="16.7265625" style="127" customWidth="1"/>
    <col min="30" max="30" width="11.453125" style="127" customWidth="1"/>
    <col min="31" max="31" width="48" style="218" customWidth="1"/>
    <col min="32" max="16384" width="9" style="127"/>
  </cols>
  <sheetData>
    <row r="1" spans="1:31">
      <c r="A1" s="856" t="s">
        <v>64</v>
      </c>
      <c r="B1" s="856"/>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548</v>
      </c>
    </row>
    <row r="2" spans="1:31">
      <c r="A2" s="720" t="s">
        <v>531</v>
      </c>
      <c r="B2" s="720"/>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8"/>
      <c r="C3" s="839" t="s">
        <v>549</v>
      </c>
      <c r="D3" s="839"/>
      <c r="E3" s="839"/>
      <c r="F3" s="839"/>
      <c r="G3" s="839"/>
      <c r="H3" s="839"/>
      <c r="I3" s="839"/>
      <c r="J3" s="839"/>
      <c r="K3" s="839"/>
      <c r="L3" s="839"/>
      <c r="M3" s="839"/>
      <c r="N3" s="839"/>
      <c r="O3" s="839"/>
      <c r="P3" s="839" t="s">
        <v>549</v>
      </c>
      <c r="Q3" s="839"/>
      <c r="R3" s="839"/>
      <c r="S3" s="839"/>
      <c r="T3" s="839"/>
      <c r="U3" s="839"/>
      <c r="V3" s="839"/>
      <c r="W3" s="839"/>
      <c r="X3" s="839"/>
      <c r="Y3" s="839"/>
      <c r="Z3" s="839"/>
      <c r="AA3" s="839"/>
      <c r="AB3" s="839"/>
      <c r="AC3" s="328"/>
      <c r="AD3" s="328"/>
    </row>
    <row r="4" spans="1:31" ht="16" thickBot="1">
      <c r="AD4" s="321"/>
    </row>
    <row r="5" spans="1:31" s="73" customFormat="1" ht="32.25" customHeight="1" thickTop="1">
      <c r="A5" s="857" t="s">
        <v>3</v>
      </c>
      <c r="B5" s="857" t="s">
        <v>69</v>
      </c>
      <c r="C5" s="842" t="s">
        <v>573</v>
      </c>
      <c r="D5" s="843"/>
      <c r="E5" s="843"/>
      <c r="F5" s="843"/>
      <c r="G5" s="843"/>
      <c r="H5" s="843"/>
      <c r="I5" s="843"/>
      <c r="J5" s="843"/>
      <c r="K5" s="843"/>
      <c r="L5" s="843"/>
      <c r="M5" s="843"/>
      <c r="N5" s="843"/>
      <c r="O5" s="844"/>
      <c r="P5" s="845" t="s">
        <v>574</v>
      </c>
      <c r="Q5" s="846"/>
      <c r="R5" s="846"/>
      <c r="S5" s="846"/>
      <c r="T5" s="846"/>
      <c r="U5" s="846"/>
      <c r="V5" s="846"/>
      <c r="W5" s="846"/>
      <c r="X5" s="846"/>
      <c r="Y5" s="846"/>
      <c r="Z5" s="846"/>
      <c r="AA5" s="846"/>
      <c r="AB5" s="847"/>
      <c r="AC5" s="853" t="s">
        <v>575</v>
      </c>
      <c r="AD5" s="836" t="s">
        <v>7</v>
      </c>
      <c r="AE5" s="253"/>
    </row>
    <row r="6" spans="1:31" s="73" customFormat="1" ht="140.25" customHeight="1">
      <c r="A6" s="858"/>
      <c r="B6" s="858"/>
      <c r="C6" s="840" t="s">
        <v>576</v>
      </c>
      <c r="D6" s="852" t="s">
        <v>554</v>
      </c>
      <c r="E6" s="852"/>
      <c r="F6" s="852" t="s">
        <v>556</v>
      </c>
      <c r="G6" s="852"/>
      <c r="H6" s="852" t="s">
        <v>557</v>
      </c>
      <c r="I6" s="852"/>
      <c r="J6" s="852" t="s">
        <v>558</v>
      </c>
      <c r="K6" s="852"/>
      <c r="L6" s="852" t="s">
        <v>559</v>
      </c>
      <c r="M6" s="852"/>
      <c r="N6" s="852" t="s">
        <v>560</v>
      </c>
      <c r="O6" s="852"/>
      <c r="P6" s="848" t="s">
        <v>577</v>
      </c>
      <c r="Q6" s="850" t="s">
        <v>554</v>
      </c>
      <c r="R6" s="850"/>
      <c r="S6" s="850" t="s">
        <v>556</v>
      </c>
      <c r="T6" s="850"/>
      <c r="U6" s="850" t="s">
        <v>557</v>
      </c>
      <c r="V6" s="850"/>
      <c r="W6" s="850" t="s">
        <v>558</v>
      </c>
      <c r="X6" s="850"/>
      <c r="Y6" s="850" t="s">
        <v>559</v>
      </c>
      <c r="Z6" s="850"/>
      <c r="AA6" s="850" t="s">
        <v>560</v>
      </c>
      <c r="AB6" s="850"/>
      <c r="AC6" s="854"/>
      <c r="AD6" s="837"/>
      <c r="AE6" s="253"/>
    </row>
    <row r="7" spans="1:31" s="73" customFormat="1" ht="113.25" customHeight="1">
      <c r="A7" s="859"/>
      <c r="B7" s="859"/>
      <c r="C7" s="841"/>
      <c r="D7" s="412" t="s">
        <v>578</v>
      </c>
      <c r="E7" s="412" t="s">
        <v>579</v>
      </c>
      <c r="F7" s="412" t="s">
        <v>580</v>
      </c>
      <c r="G7" s="412" t="s">
        <v>581</v>
      </c>
      <c r="H7" s="412" t="s">
        <v>582</v>
      </c>
      <c r="I7" s="412" t="s">
        <v>583</v>
      </c>
      <c r="J7" s="412" t="s">
        <v>584</v>
      </c>
      <c r="K7" s="412" t="s">
        <v>585</v>
      </c>
      <c r="L7" s="412" t="s">
        <v>586</v>
      </c>
      <c r="M7" s="412" t="s">
        <v>587</v>
      </c>
      <c r="N7" s="412" t="s">
        <v>588</v>
      </c>
      <c r="O7" s="412" t="s">
        <v>589</v>
      </c>
      <c r="P7" s="849"/>
      <c r="Q7" s="200" t="s">
        <v>578</v>
      </c>
      <c r="R7" s="200" t="s">
        <v>579</v>
      </c>
      <c r="S7" s="200" t="s">
        <v>580</v>
      </c>
      <c r="T7" s="200" t="s">
        <v>581</v>
      </c>
      <c r="U7" s="200" t="s">
        <v>582</v>
      </c>
      <c r="V7" s="200" t="s">
        <v>583</v>
      </c>
      <c r="W7" s="200" t="s">
        <v>584</v>
      </c>
      <c r="X7" s="200" t="s">
        <v>585</v>
      </c>
      <c r="Y7" s="200" t="s">
        <v>586</v>
      </c>
      <c r="Z7" s="200" t="s">
        <v>587</v>
      </c>
      <c r="AA7" s="200" t="s">
        <v>588</v>
      </c>
      <c r="AB7" s="200" t="s">
        <v>589</v>
      </c>
      <c r="AC7" s="855"/>
      <c r="AD7" s="838"/>
      <c r="AE7" s="253"/>
    </row>
    <row r="8" spans="1:31" s="253" customFormat="1" ht="62.25" customHeight="1">
      <c r="A8" s="419" t="s">
        <v>233</v>
      </c>
      <c r="B8" s="419" t="s">
        <v>234</v>
      </c>
      <c r="C8" s="433" t="s">
        <v>590</v>
      </c>
      <c r="D8" s="414" t="s">
        <v>236</v>
      </c>
      <c r="E8" s="414" t="s">
        <v>237</v>
      </c>
      <c r="F8" s="414" t="s">
        <v>238</v>
      </c>
      <c r="G8" s="414" t="s">
        <v>239</v>
      </c>
      <c r="H8" s="414" t="s">
        <v>313</v>
      </c>
      <c r="I8" s="414" t="s">
        <v>355</v>
      </c>
      <c r="J8" s="414" t="s">
        <v>241</v>
      </c>
      <c r="K8" s="414" t="s">
        <v>242</v>
      </c>
      <c r="L8" s="414" t="s">
        <v>243</v>
      </c>
      <c r="M8" s="414" t="s">
        <v>244</v>
      </c>
      <c r="N8" s="414" t="s">
        <v>245</v>
      </c>
      <c r="O8" s="414" t="s">
        <v>246</v>
      </c>
      <c r="P8" s="434" t="s">
        <v>591</v>
      </c>
      <c r="Q8" s="421" t="s">
        <v>248</v>
      </c>
      <c r="R8" s="421" t="s">
        <v>249</v>
      </c>
      <c r="S8" s="421" t="s">
        <v>592</v>
      </c>
      <c r="T8" s="421" t="s">
        <v>593</v>
      </c>
      <c r="U8" s="421" t="s">
        <v>594</v>
      </c>
      <c r="V8" s="421" t="s">
        <v>595</v>
      </c>
      <c r="W8" s="421" t="s">
        <v>596</v>
      </c>
      <c r="X8" s="421" t="s">
        <v>597</v>
      </c>
      <c r="Y8" s="421" t="s">
        <v>598</v>
      </c>
      <c r="Z8" s="421" t="s">
        <v>599</v>
      </c>
      <c r="AA8" s="421" t="s">
        <v>600</v>
      </c>
      <c r="AB8" s="421" t="s">
        <v>601</v>
      </c>
      <c r="AC8" s="424" t="s">
        <v>602</v>
      </c>
      <c r="AD8" s="420" t="s">
        <v>603</v>
      </c>
    </row>
    <row r="9" spans="1:31" s="130" customFormat="1">
      <c r="A9" s="327"/>
      <c r="B9" s="327" t="s">
        <v>550</v>
      </c>
      <c r="C9" s="415"/>
      <c r="D9" s="415"/>
      <c r="E9" s="415"/>
      <c r="F9" s="415"/>
      <c r="G9" s="415"/>
      <c r="H9" s="415"/>
      <c r="I9" s="415"/>
      <c r="J9" s="415"/>
      <c r="K9" s="415"/>
      <c r="L9" s="415"/>
      <c r="M9" s="415"/>
      <c r="N9" s="415"/>
      <c r="O9" s="415"/>
      <c r="P9" s="422"/>
      <c r="Q9" s="422"/>
      <c r="R9" s="422"/>
      <c r="S9" s="422"/>
      <c r="T9" s="422"/>
      <c r="U9" s="422"/>
      <c r="V9" s="422"/>
      <c r="W9" s="422"/>
      <c r="X9" s="422"/>
      <c r="Y9" s="422"/>
      <c r="Z9" s="422"/>
      <c r="AA9" s="422"/>
      <c r="AB9" s="422"/>
      <c r="AC9" s="425"/>
      <c r="AD9" s="136"/>
      <c r="AE9" s="118"/>
    </row>
    <row r="10" spans="1:31" s="130" customFormat="1">
      <c r="A10" s="327" t="s">
        <v>79</v>
      </c>
      <c r="B10" s="327" t="s">
        <v>551</v>
      </c>
      <c r="C10" s="415"/>
      <c r="D10" s="415"/>
      <c r="E10" s="415"/>
      <c r="F10" s="415"/>
      <c r="G10" s="415"/>
      <c r="H10" s="415"/>
      <c r="I10" s="415"/>
      <c r="J10" s="415"/>
      <c r="K10" s="415"/>
      <c r="L10" s="415"/>
      <c r="M10" s="415"/>
      <c r="N10" s="415"/>
      <c r="O10" s="415"/>
      <c r="P10" s="422"/>
      <c r="Q10" s="422"/>
      <c r="R10" s="422"/>
      <c r="S10" s="422"/>
      <c r="T10" s="422"/>
      <c r="U10" s="422"/>
      <c r="V10" s="422"/>
      <c r="W10" s="422"/>
      <c r="X10" s="422"/>
      <c r="Y10" s="422"/>
      <c r="Z10" s="422"/>
      <c r="AA10" s="422"/>
      <c r="AB10" s="422"/>
      <c r="AC10" s="426"/>
      <c r="AD10" s="252"/>
      <c r="AE10" s="118"/>
    </row>
    <row r="11" spans="1:31" s="130" customFormat="1" ht="23.25" customHeight="1">
      <c r="A11" s="323" t="s">
        <v>81</v>
      </c>
      <c r="B11" s="327" t="s">
        <v>552</v>
      </c>
      <c r="C11" s="415"/>
      <c r="D11" s="415"/>
      <c r="E11" s="415"/>
      <c r="F11" s="415"/>
      <c r="G11" s="415"/>
      <c r="H11" s="415"/>
      <c r="I11" s="415"/>
      <c r="J11" s="415"/>
      <c r="K11" s="415"/>
      <c r="L11" s="415"/>
      <c r="M11" s="415"/>
      <c r="N11" s="415"/>
      <c r="O11" s="415"/>
      <c r="P11" s="422"/>
      <c r="Q11" s="422"/>
      <c r="R11" s="422"/>
      <c r="S11" s="422"/>
      <c r="T11" s="422"/>
      <c r="U11" s="422"/>
      <c r="V11" s="422"/>
      <c r="W11" s="422"/>
      <c r="X11" s="422"/>
      <c r="Y11" s="422"/>
      <c r="Z11" s="422"/>
      <c r="AA11" s="422"/>
      <c r="AB11" s="422"/>
      <c r="AC11" s="427"/>
      <c r="AD11" s="132"/>
      <c r="AE11" s="118"/>
    </row>
    <row r="12" spans="1:31" ht="24" customHeight="1">
      <c r="A12" s="323">
        <v>1</v>
      </c>
      <c r="B12" s="324" t="s">
        <v>553</v>
      </c>
      <c r="C12" s="658">
        <f>D12*E12+F12*G12+H12*I12+J12*K12+L12*M12+N12*O12</f>
        <v>6043233</v>
      </c>
      <c r="D12" s="659">
        <f>'Bieu 2a DH va tren DH'!$I$110/2</f>
        <v>19494.3</v>
      </c>
      <c r="E12" s="416">
        <v>310</v>
      </c>
      <c r="F12" s="416"/>
      <c r="G12" s="416">
        <v>310</v>
      </c>
      <c r="H12" s="416"/>
      <c r="I12" s="416">
        <v>380</v>
      </c>
      <c r="J12" s="416"/>
      <c r="K12" s="416">
        <v>380</v>
      </c>
      <c r="L12" s="416"/>
      <c r="M12" s="416">
        <v>380</v>
      </c>
      <c r="N12" s="416"/>
      <c r="O12" s="416">
        <v>310</v>
      </c>
      <c r="P12" s="658">
        <f>Q12*R12+S12*T12+U12*V12+W12*X12+Y12*Z12+AA12*AB12</f>
        <v>6043233</v>
      </c>
      <c r="Q12" s="659">
        <f>'Bieu 2a DH va tren DH'!$I$110/2</f>
        <v>19494.3</v>
      </c>
      <c r="R12" s="416">
        <v>310</v>
      </c>
      <c r="S12" s="423"/>
      <c r="T12" s="423"/>
      <c r="U12" s="423"/>
      <c r="V12" s="423"/>
      <c r="W12" s="423"/>
      <c r="X12" s="423"/>
      <c r="Y12" s="423"/>
      <c r="Z12" s="423"/>
      <c r="AA12" s="423"/>
      <c r="AB12" s="423"/>
      <c r="AC12" s="428"/>
      <c r="AD12" s="132"/>
    </row>
    <row r="13" spans="1:31">
      <c r="A13" s="323">
        <v>2</v>
      </c>
      <c r="B13" s="324" t="s">
        <v>561</v>
      </c>
      <c r="C13" s="658">
        <f t="shared" ref="C13:C17" si="0">D13*E13+F13*G13+H13*I13+J13*K13+L13*M13+N13*O13</f>
        <v>5993850</v>
      </c>
      <c r="D13" s="659">
        <f>'Bieu 2a DH va tren DH'!$I$114/2</f>
        <v>12890</v>
      </c>
      <c r="E13" s="416">
        <f>+E12*1.5</f>
        <v>465</v>
      </c>
      <c r="F13" s="416"/>
      <c r="G13" s="416">
        <f>+G12*1.5</f>
        <v>465</v>
      </c>
      <c r="H13" s="416"/>
      <c r="I13" s="416">
        <f>+I12*1.5</f>
        <v>570</v>
      </c>
      <c r="J13" s="416"/>
      <c r="K13" s="416">
        <f>+K12*1.5</f>
        <v>570</v>
      </c>
      <c r="L13" s="416"/>
      <c r="M13" s="416">
        <f>+M12*1.5</f>
        <v>570</v>
      </c>
      <c r="N13" s="416"/>
      <c r="O13" s="416">
        <f>+O12*1.5</f>
        <v>465</v>
      </c>
      <c r="P13" s="658">
        <f t="shared" ref="P13:P15" si="1">Q13*R13+S13*T13+U13*V13+W13*X13+Y13*Z13+AA13*AB13</f>
        <v>5993850</v>
      </c>
      <c r="Q13" s="659">
        <f>'Bieu 2a DH va tren DH'!$I$114/2</f>
        <v>12890</v>
      </c>
      <c r="R13" s="416">
        <f>+R12*1.5</f>
        <v>465</v>
      </c>
      <c r="S13" s="423"/>
      <c r="T13" s="423"/>
      <c r="U13" s="423"/>
      <c r="V13" s="423"/>
      <c r="W13" s="423"/>
      <c r="X13" s="423"/>
      <c r="Y13" s="423"/>
      <c r="Z13" s="423"/>
      <c r="AA13" s="423"/>
      <c r="AB13" s="423"/>
      <c r="AC13" s="428"/>
      <c r="AD13" s="132"/>
    </row>
    <row r="14" spans="1:31" hidden="1">
      <c r="A14" s="323">
        <v>3</v>
      </c>
      <c r="B14" s="324" t="s">
        <v>562</v>
      </c>
      <c r="C14" s="658">
        <f t="shared" si="0"/>
        <v>0</v>
      </c>
      <c r="D14" s="659">
        <f>'Bieu 2a DH va tren DH'!I112/2</f>
        <v>0</v>
      </c>
      <c r="E14" s="416">
        <f>+E12*1.5</f>
        <v>465</v>
      </c>
      <c r="F14" s="416"/>
      <c r="G14" s="416">
        <f>+G12*1.5</f>
        <v>465</v>
      </c>
      <c r="H14" s="416"/>
      <c r="I14" s="416">
        <f>+I12*1.5</f>
        <v>570</v>
      </c>
      <c r="J14" s="416"/>
      <c r="K14" s="416">
        <f>+K12*1.5</f>
        <v>570</v>
      </c>
      <c r="L14" s="416"/>
      <c r="M14" s="416">
        <f>+M12*1.5</f>
        <v>570</v>
      </c>
      <c r="N14" s="416"/>
      <c r="O14" s="416">
        <f>+O12*1.5</f>
        <v>465</v>
      </c>
      <c r="P14" s="658">
        <f t="shared" si="1"/>
        <v>0</v>
      </c>
      <c r="Q14" s="659">
        <f>'Bieu 2a DH va tren DH'!V112/2</f>
        <v>0</v>
      </c>
      <c r="R14" s="416">
        <f>+R12*1.5</f>
        <v>465</v>
      </c>
      <c r="S14" s="423"/>
      <c r="T14" s="423"/>
      <c r="U14" s="423"/>
      <c r="V14" s="423"/>
      <c r="W14" s="423"/>
      <c r="X14" s="423"/>
      <c r="Y14" s="423"/>
      <c r="Z14" s="423"/>
      <c r="AA14" s="423"/>
      <c r="AB14" s="423"/>
      <c r="AC14" s="428"/>
      <c r="AD14" s="132"/>
    </row>
    <row r="15" spans="1:31">
      <c r="A15" s="323">
        <v>4</v>
      </c>
      <c r="B15" s="324" t="s">
        <v>563</v>
      </c>
      <c r="C15" s="658">
        <f t="shared" si="0"/>
        <v>21157.5</v>
      </c>
      <c r="D15" s="659">
        <f>'Bieu 2a DH va tren DH'!$H$111/2</f>
        <v>45.5</v>
      </c>
      <c r="E15" s="416">
        <f>+E12*1.5</f>
        <v>465</v>
      </c>
      <c r="F15" s="416"/>
      <c r="G15" s="416">
        <f>+G12*1.5</f>
        <v>465</v>
      </c>
      <c r="H15" s="416"/>
      <c r="I15" s="416">
        <f>+I12*1.5</f>
        <v>570</v>
      </c>
      <c r="J15" s="416"/>
      <c r="K15" s="416">
        <f>+K12*1.5</f>
        <v>570</v>
      </c>
      <c r="L15" s="416"/>
      <c r="M15" s="416">
        <f>+M12*1.5</f>
        <v>570</v>
      </c>
      <c r="N15" s="416"/>
      <c r="O15" s="416">
        <f>+O12*1.5</f>
        <v>465</v>
      </c>
      <c r="P15" s="658">
        <f t="shared" si="1"/>
        <v>21157.5</v>
      </c>
      <c r="Q15" s="659">
        <f>'Bieu 2a DH va tren DH'!$H$111/2</f>
        <v>45.5</v>
      </c>
      <c r="R15" s="416">
        <f>+R12*1.5</f>
        <v>465</v>
      </c>
      <c r="S15" s="423"/>
      <c r="T15" s="423"/>
      <c r="U15" s="423"/>
      <c r="V15" s="423"/>
      <c r="W15" s="423"/>
      <c r="X15" s="423"/>
      <c r="Y15" s="423"/>
      <c r="Z15" s="423"/>
      <c r="AA15" s="423"/>
      <c r="AB15" s="423"/>
      <c r="AC15" s="428"/>
      <c r="AD15" s="132"/>
    </row>
    <row r="16" spans="1:31" ht="21.75" customHeight="1">
      <c r="A16" s="323">
        <v>5</v>
      </c>
      <c r="B16" s="324" t="s">
        <v>564</v>
      </c>
      <c r="C16" s="413">
        <f t="shared" si="0"/>
        <v>0</v>
      </c>
      <c r="D16" s="416"/>
      <c r="E16" s="416">
        <f>+E12*2.5</f>
        <v>775</v>
      </c>
      <c r="F16" s="416"/>
      <c r="G16" s="416">
        <f>+G12*2.5</f>
        <v>775</v>
      </c>
      <c r="H16" s="416"/>
      <c r="I16" s="416">
        <f>+I12*2.5</f>
        <v>950</v>
      </c>
      <c r="J16" s="416"/>
      <c r="K16" s="416">
        <f>+K12*2.5</f>
        <v>950</v>
      </c>
      <c r="L16" s="416"/>
      <c r="M16" s="416">
        <f>+M12*2.5</f>
        <v>950</v>
      </c>
      <c r="N16" s="416"/>
      <c r="O16" s="416">
        <f>+O12*2.5</f>
        <v>775</v>
      </c>
      <c r="P16" s="423"/>
      <c r="Q16" s="423"/>
      <c r="R16" s="423"/>
      <c r="S16" s="423"/>
      <c r="T16" s="423"/>
      <c r="U16" s="423"/>
      <c r="V16" s="423"/>
      <c r="W16" s="423"/>
      <c r="X16" s="423"/>
      <c r="Y16" s="423"/>
      <c r="Z16" s="423"/>
      <c r="AA16" s="423"/>
      <c r="AB16" s="423"/>
      <c r="AC16" s="428"/>
      <c r="AD16" s="132"/>
    </row>
    <row r="17" spans="1:31">
      <c r="A17" s="323">
        <v>6</v>
      </c>
      <c r="B17" s="327" t="s">
        <v>565</v>
      </c>
      <c r="C17" s="413">
        <f t="shared" si="0"/>
        <v>0</v>
      </c>
      <c r="D17" s="415"/>
      <c r="E17" s="415"/>
      <c r="F17" s="415"/>
      <c r="G17" s="415"/>
      <c r="H17" s="415"/>
      <c r="I17" s="415"/>
      <c r="J17" s="415"/>
      <c r="K17" s="415"/>
      <c r="L17" s="415"/>
      <c r="M17" s="415"/>
      <c r="N17" s="415"/>
      <c r="O17" s="415"/>
      <c r="P17" s="422"/>
      <c r="Q17" s="422"/>
      <c r="R17" s="422"/>
      <c r="S17" s="422"/>
      <c r="T17" s="422"/>
      <c r="U17" s="422"/>
      <c r="V17" s="422"/>
      <c r="W17" s="422"/>
      <c r="X17" s="422"/>
      <c r="Y17" s="422"/>
      <c r="Z17" s="422"/>
      <c r="AA17" s="422"/>
      <c r="AB17" s="422"/>
      <c r="AC17" s="429"/>
      <c r="AD17" s="266"/>
    </row>
    <row r="18" spans="1:31">
      <c r="A18" s="323"/>
      <c r="B18" s="201" t="s">
        <v>566</v>
      </c>
      <c r="C18" s="416"/>
      <c r="D18" s="415"/>
      <c r="E18" s="415"/>
      <c r="F18" s="415"/>
      <c r="G18" s="415"/>
      <c r="H18" s="415"/>
      <c r="I18" s="415"/>
      <c r="J18" s="415"/>
      <c r="K18" s="415"/>
      <c r="L18" s="415"/>
      <c r="M18" s="415"/>
      <c r="N18" s="415"/>
      <c r="O18" s="415"/>
      <c r="P18" s="422"/>
      <c r="Q18" s="422"/>
      <c r="R18" s="422"/>
      <c r="S18" s="422"/>
      <c r="T18" s="422"/>
      <c r="U18" s="422"/>
      <c r="V18" s="422"/>
      <c r="W18" s="422"/>
      <c r="X18" s="422"/>
      <c r="Y18" s="422"/>
      <c r="Z18" s="422"/>
      <c r="AA18" s="422"/>
      <c r="AB18" s="422"/>
      <c r="AC18" s="429"/>
      <c r="AD18" s="266"/>
    </row>
    <row r="19" spans="1:31">
      <c r="A19" s="323"/>
      <c r="B19" s="201" t="s">
        <v>566</v>
      </c>
      <c r="C19" s="416"/>
      <c r="D19" s="415"/>
      <c r="E19" s="415"/>
      <c r="F19" s="415"/>
      <c r="G19" s="415"/>
      <c r="H19" s="415"/>
      <c r="I19" s="415"/>
      <c r="J19" s="415"/>
      <c r="K19" s="415"/>
      <c r="L19" s="415"/>
      <c r="M19" s="415"/>
      <c r="N19" s="415"/>
      <c r="O19" s="415"/>
      <c r="P19" s="422"/>
      <c r="Q19" s="422"/>
      <c r="R19" s="422"/>
      <c r="S19" s="422"/>
      <c r="T19" s="422"/>
      <c r="U19" s="422"/>
      <c r="V19" s="422"/>
      <c r="W19" s="422"/>
      <c r="X19" s="422"/>
      <c r="Y19" s="422"/>
      <c r="Z19" s="422"/>
      <c r="AA19" s="422"/>
      <c r="AB19" s="422"/>
      <c r="AC19" s="429"/>
      <c r="AD19" s="266"/>
    </row>
    <row r="20" spans="1:31">
      <c r="A20" s="323"/>
      <c r="B20" s="201" t="s">
        <v>566</v>
      </c>
      <c r="C20" s="416"/>
      <c r="D20" s="415"/>
      <c r="E20" s="415"/>
      <c r="F20" s="415"/>
      <c r="G20" s="415"/>
      <c r="H20" s="415"/>
      <c r="I20" s="415"/>
      <c r="J20" s="415"/>
      <c r="K20" s="415"/>
      <c r="L20" s="415"/>
      <c r="M20" s="415"/>
      <c r="N20" s="415"/>
      <c r="O20" s="415"/>
      <c r="P20" s="422"/>
      <c r="Q20" s="422"/>
      <c r="R20" s="422"/>
      <c r="S20" s="422"/>
      <c r="T20" s="422"/>
      <c r="U20" s="422"/>
      <c r="V20" s="422"/>
      <c r="W20" s="422"/>
      <c r="X20" s="422"/>
      <c r="Y20" s="422"/>
      <c r="Z20" s="422"/>
      <c r="AA20" s="422"/>
      <c r="AB20" s="422"/>
      <c r="AC20" s="429"/>
      <c r="AD20" s="266"/>
    </row>
    <row r="21" spans="1:31" s="130" customFormat="1" ht="21.75" customHeight="1">
      <c r="A21" s="323" t="s">
        <v>104</v>
      </c>
      <c r="B21" s="327" t="s">
        <v>567</v>
      </c>
      <c r="C21" s="415"/>
      <c r="D21" s="415"/>
      <c r="E21" s="415"/>
      <c r="F21" s="415"/>
      <c r="G21" s="415"/>
      <c r="H21" s="415"/>
      <c r="I21" s="415"/>
      <c r="J21" s="415"/>
      <c r="K21" s="415"/>
      <c r="L21" s="415"/>
      <c r="M21" s="415"/>
      <c r="N21" s="415"/>
      <c r="O21" s="415"/>
      <c r="P21" s="422"/>
      <c r="Q21" s="422"/>
      <c r="R21" s="422"/>
      <c r="S21" s="422"/>
      <c r="T21" s="422"/>
      <c r="U21" s="422"/>
      <c r="V21" s="422"/>
      <c r="W21" s="422"/>
      <c r="X21" s="422"/>
      <c r="Y21" s="422"/>
      <c r="Z21" s="422"/>
      <c r="AA21" s="422"/>
      <c r="AB21" s="422"/>
      <c r="AC21" s="429"/>
      <c r="AD21" s="129"/>
      <c r="AE21" s="118"/>
    </row>
    <row r="22" spans="1:31" s="130" customFormat="1" ht="30" customHeight="1">
      <c r="A22" s="202">
        <v>1</v>
      </c>
      <c r="B22" s="201" t="s">
        <v>568</v>
      </c>
      <c r="C22" s="416"/>
      <c r="D22" s="416"/>
      <c r="E22" s="416"/>
      <c r="F22" s="416"/>
      <c r="G22" s="416"/>
      <c r="H22" s="416"/>
      <c r="I22" s="416"/>
      <c r="J22" s="416"/>
      <c r="K22" s="416"/>
      <c r="L22" s="416"/>
      <c r="M22" s="416"/>
      <c r="N22" s="416"/>
      <c r="O22" s="416"/>
      <c r="P22" s="423"/>
      <c r="Q22" s="423"/>
      <c r="R22" s="423"/>
      <c r="S22" s="423"/>
      <c r="T22" s="423"/>
      <c r="U22" s="423"/>
      <c r="V22" s="423"/>
      <c r="W22" s="423"/>
      <c r="X22" s="423"/>
      <c r="Y22" s="423"/>
      <c r="Z22" s="423"/>
      <c r="AA22" s="423"/>
      <c r="AB22" s="423"/>
      <c r="AC22" s="427"/>
      <c r="AD22" s="129"/>
      <c r="AE22" s="118"/>
    </row>
    <row r="23" spans="1:31" s="130" customFormat="1" ht="30" customHeight="1">
      <c r="A23" s="202">
        <v>2</v>
      </c>
      <c r="B23" s="201" t="s">
        <v>566</v>
      </c>
      <c r="C23" s="416"/>
      <c r="D23" s="416"/>
      <c r="E23" s="416"/>
      <c r="F23" s="416"/>
      <c r="G23" s="416"/>
      <c r="H23" s="416"/>
      <c r="I23" s="416"/>
      <c r="J23" s="416"/>
      <c r="K23" s="416"/>
      <c r="L23" s="416"/>
      <c r="M23" s="416"/>
      <c r="N23" s="416"/>
      <c r="O23" s="416"/>
      <c r="P23" s="423"/>
      <c r="Q23" s="423"/>
      <c r="R23" s="423"/>
      <c r="S23" s="423"/>
      <c r="T23" s="423"/>
      <c r="U23" s="423"/>
      <c r="V23" s="423"/>
      <c r="W23" s="423"/>
      <c r="X23" s="423"/>
      <c r="Y23" s="423"/>
      <c r="Z23" s="423"/>
      <c r="AA23" s="423"/>
      <c r="AB23" s="423"/>
      <c r="AC23" s="430"/>
      <c r="AD23" s="305"/>
      <c r="AE23" s="118"/>
    </row>
    <row r="24" spans="1:31" s="130" customFormat="1" ht="30" customHeight="1">
      <c r="A24" s="202">
        <v>3</v>
      </c>
      <c r="B24" s="201" t="s">
        <v>566</v>
      </c>
      <c r="C24" s="418"/>
      <c r="D24" s="416"/>
      <c r="E24" s="416"/>
      <c r="F24" s="416"/>
      <c r="G24" s="416"/>
      <c r="H24" s="416"/>
      <c r="I24" s="416"/>
      <c r="J24" s="416"/>
      <c r="K24" s="416"/>
      <c r="L24" s="416"/>
      <c r="M24" s="416"/>
      <c r="N24" s="416"/>
      <c r="O24" s="416"/>
      <c r="P24" s="423"/>
      <c r="Q24" s="423"/>
      <c r="R24" s="423"/>
      <c r="S24" s="423"/>
      <c r="T24" s="423"/>
      <c r="U24" s="423"/>
      <c r="V24" s="423"/>
      <c r="W24" s="423"/>
      <c r="X24" s="423"/>
      <c r="Y24" s="423"/>
      <c r="Z24" s="423"/>
      <c r="AA24" s="423"/>
      <c r="AB24" s="423"/>
      <c r="AC24" s="430"/>
      <c r="AD24" s="305"/>
      <c r="AE24" s="118"/>
    </row>
    <row r="25" spans="1:31" s="130" customFormat="1" ht="30" customHeight="1">
      <c r="A25" s="202">
        <v>4</v>
      </c>
      <c r="B25" s="201" t="s">
        <v>604</v>
      </c>
      <c r="C25" s="416"/>
      <c r="D25" s="416"/>
      <c r="E25" s="416"/>
      <c r="F25" s="416"/>
      <c r="G25" s="416"/>
      <c r="H25" s="416"/>
      <c r="I25" s="416"/>
      <c r="J25" s="416"/>
      <c r="K25" s="416"/>
      <c r="L25" s="416"/>
      <c r="M25" s="416"/>
      <c r="N25" s="416"/>
      <c r="O25" s="416"/>
      <c r="P25" s="423"/>
      <c r="Q25" s="423"/>
      <c r="R25" s="423"/>
      <c r="S25" s="423"/>
      <c r="T25" s="423"/>
      <c r="U25" s="423"/>
      <c r="V25" s="423"/>
      <c r="W25" s="423"/>
      <c r="X25" s="423"/>
      <c r="Y25" s="423"/>
      <c r="Z25" s="423"/>
      <c r="AA25" s="423"/>
      <c r="AB25" s="423"/>
      <c r="AC25" s="430"/>
      <c r="AD25" s="305"/>
      <c r="AE25" s="118"/>
    </row>
    <row r="26" spans="1:31" ht="28.5" customHeight="1" thickBot="1">
      <c r="A26" s="417"/>
      <c r="B26" s="201"/>
      <c r="C26" s="659">
        <f>SUM(C12:C25)</f>
        <v>12058240.5</v>
      </c>
      <c r="D26" s="415"/>
      <c r="E26" s="415"/>
      <c r="F26" s="415"/>
      <c r="G26" s="415"/>
      <c r="H26" s="415"/>
      <c r="I26" s="415"/>
      <c r="J26" s="415"/>
      <c r="K26" s="415"/>
      <c r="L26" s="415"/>
      <c r="M26" s="415"/>
      <c r="N26" s="415"/>
      <c r="O26" s="415"/>
      <c r="P26" s="670">
        <f>SUM(P12:P25)</f>
        <v>12058240.5</v>
      </c>
      <c r="Q26" s="422"/>
      <c r="R26" s="422"/>
      <c r="S26" s="422"/>
      <c r="T26" s="422"/>
      <c r="U26" s="422"/>
      <c r="V26" s="422"/>
      <c r="W26" s="422"/>
      <c r="X26" s="422"/>
      <c r="Y26" s="422"/>
      <c r="Z26" s="422"/>
      <c r="AA26" s="422"/>
      <c r="AB26" s="422"/>
      <c r="AC26" s="431"/>
      <c r="AD26" s="133"/>
    </row>
    <row r="27" spans="1:31" s="134" customFormat="1" ht="16.5" customHeight="1" thickTop="1">
      <c r="AC27" s="432" t="s">
        <v>605</v>
      </c>
      <c r="AD27" s="192"/>
      <c r="AE27" s="267"/>
    </row>
    <row r="28" spans="1:31">
      <c r="B28" s="85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253"/>
    </row>
    <row r="29" spans="1:31" ht="77.25" customHeight="1">
      <c r="A29" s="823" t="s">
        <v>569</v>
      </c>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row>
    <row r="30" spans="1:31">
      <c r="A30" s="130" t="s">
        <v>340</v>
      </c>
    </row>
    <row r="31" spans="1:31" ht="79.5" customHeight="1">
      <c r="A31" s="127" t="s">
        <v>570</v>
      </c>
    </row>
    <row r="32" spans="1:31" ht="39.75" customHeight="1">
      <c r="A32" s="127" t="s">
        <v>571</v>
      </c>
    </row>
    <row r="33" spans="1:1" ht="39.75" customHeight="1">
      <c r="A33" s="127" t="s">
        <v>572</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cols>
    <col min="1" max="1" width="5.1796875" style="158" customWidth="1"/>
    <col min="2" max="2" width="58.453125" style="156" customWidth="1"/>
    <col min="3" max="3" width="15.453125" style="541" customWidth="1"/>
    <col min="4" max="4" width="14.54296875" style="156" customWidth="1"/>
    <col min="5" max="5" width="9" style="158"/>
    <col min="6" max="6" width="73.81640625" style="194" customWidth="1"/>
    <col min="7" max="16384" width="9" style="158"/>
  </cols>
  <sheetData>
    <row r="1" spans="1:7">
      <c r="A1" s="861" t="s">
        <v>740</v>
      </c>
      <c r="B1" s="861"/>
      <c r="C1" s="862" t="s">
        <v>608</v>
      </c>
      <c r="D1" s="862"/>
      <c r="E1" s="156"/>
      <c r="F1" s="157"/>
      <c r="G1" s="156"/>
    </row>
    <row r="2" spans="1:7">
      <c r="A2" s="863" t="s">
        <v>609</v>
      </c>
      <c r="B2" s="863"/>
      <c r="C2" s="532"/>
      <c r="E2" s="156"/>
      <c r="F2" s="157"/>
      <c r="G2" s="156"/>
    </row>
    <row r="3" spans="1:7" ht="8.25" customHeight="1">
      <c r="A3" s="156"/>
      <c r="C3" s="532"/>
      <c r="E3" s="156"/>
      <c r="F3" s="157"/>
      <c r="G3" s="156"/>
    </row>
    <row r="4" spans="1:7" ht="30" customHeight="1">
      <c r="A4" s="864" t="s">
        <v>57</v>
      </c>
      <c r="B4" s="864"/>
      <c r="C4" s="864"/>
      <c r="D4" s="864"/>
      <c r="E4" s="156"/>
      <c r="F4" s="157"/>
      <c r="G4" s="156"/>
    </row>
    <row r="5" spans="1:7" ht="18.5" thickBot="1">
      <c r="A5" s="156"/>
      <c r="C5" s="865" t="s">
        <v>610</v>
      </c>
      <c r="D5" s="865"/>
      <c r="E5" s="156"/>
      <c r="F5" s="159" t="s">
        <v>611</v>
      </c>
      <c r="G5" s="156"/>
    </row>
    <row r="6" spans="1:7" s="73" customFormat="1" ht="15.5" thickTop="1">
      <c r="A6" s="160" t="s">
        <v>3</v>
      </c>
      <c r="B6" s="161" t="s">
        <v>69</v>
      </c>
      <c r="C6" s="162" t="s">
        <v>432</v>
      </c>
      <c r="D6" s="163" t="s">
        <v>7</v>
      </c>
      <c r="E6" s="164"/>
      <c r="F6" s="159"/>
      <c r="G6" s="164"/>
    </row>
    <row r="7" spans="1:7" s="130" customFormat="1" ht="15">
      <c r="A7" s="165"/>
      <c r="B7" s="166" t="s">
        <v>612</v>
      </c>
      <c r="C7" s="533">
        <f>C8+C19+C33+C37</f>
        <v>6551706.9481055196</v>
      </c>
      <c r="D7" s="167"/>
      <c r="E7" s="168"/>
      <c r="F7" s="169"/>
      <c r="G7" s="168"/>
    </row>
    <row r="8" spans="1:7" s="130" customFormat="1" ht="17.149999999999999" customHeight="1">
      <c r="A8" s="170">
        <v>1</v>
      </c>
      <c r="B8" s="171" t="s">
        <v>613</v>
      </c>
      <c r="C8" s="534">
        <f>SUM(C9:C18)</f>
        <v>5575945.6481055198</v>
      </c>
      <c r="D8" s="172"/>
      <c r="E8" s="168"/>
      <c r="F8" s="169"/>
      <c r="G8" s="168"/>
    </row>
    <row r="9" spans="1:7" s="127" customFormat="1" ht="34.5" customHeight="1">
      <c r="A9" s="131">
        <v>1.1000000000000001</v>
      </c>
      <c r="B9" s="173" t="s">
        <v>614</v>
      </c>
      <c r="C9" s="525">
        <f>1260051667.74/1000</f>
        <v>1260051.6677399999</v>
      </c>
      <c r="D9" s="174" t="s">
        <v>61</v>
      </c>
      <c r="F9" s="175" t="s">
        <v>615</v>
      </c>
    </row>
    <row r="10" spans="1:7" s="127" customFormat="1" ht="45.75" customHeight="1">
      <c r="A10" s="131">
        <v>1.2</v>
      </c>
      <c r="B10" s="176" t="s">
        <v>616</v>
      </c>
      <c r="C10" s="525">
        <f>1767736120.36552/1000</f>
        <v>1767736.12036552</v>
      </c>
      <c r="D10" s="174" t="s">
        <v>555</v>
      </c>
      <c r="F10" s="175" t="s">
        <v>617</v>
      </c>
    </row>
    <row r="11" spans="1:7" s="127" customFormat="1" ht="15.5">
      <c r="A11" s="131">
        <v>1.3</v>
      </c>
      <c r="B11" s="177" t="s">
        <v>618</v>
      </c>
      <c r="C11" s="525">
        <f>('9a Tong thu DH va SDH'!C12+'9a Tong thu DH va SDH'!P12)*0.21</f>
        <v>2538157.86</v>
      </c>
      <c r="D11" s="174"/>
      <c r="F11" s="178"/>
    </row>
    <row r="12" spans="1:7" s="127" customFormat="1" ht="46.5">
      <c r="A12" s="131" t="s">
        <v>619</v>
      </c>
      <c r="B12" s="177" t="s">
        <v>620</v>
      </c>
      <c r="C12" s="525"/>
      <c r="D12" s="174"/>
      <c r="F12" s="178" t="s">
        <v>621</v>
      </c>
    </row>
    <row r="13" spans="1:7" s="127" customFormat="1" ht="117.75" customHeight="1">
      <c r="A13" s="131" t="s">
        <v>622</v>
      </c>
      <c r="B13" s="177" t="s">
        <v>623</v>
      </c>
      <c r="C13" s="525"/>
      <c r="D13" s="174"/>
      <c r="F13" s="178" t="s">
        <v>624</v>
      </c>
    </row>
    <row r="14" spans="1:7" s="127" customFormat="1" ht="15.5">
      <c r="A14" s="131" t="s">
        <v>625</v>
      </c>
      <c r="B14" s="177" t="s">
        <v>626</v>
      </c>
      <c r="C14" s="525"/>
      <c r="D14" s="174"/>
      <c r="F14" s="178" t="s">
        <v>627</v>
      </c>
    </row>
    <row r="15" spans="1:7" s="127" customFormat="1" ht="93">
      <c r="A15" s="684">
        <v>1.4</v>
      </c>
      <c r="B15" s="685" t="s">
        <v>628</v>
      </c>
      <c r="C15" s="686"/>
      <c r="D15" s="687" t="s">
        <v>629</v>
      </c>
      <c r="F15" s="175" t="s">
        <v>630</v>
      </c>
    </row>
    <row r="16" spans="1:7" s="127" customFormat="1" ht="17.149999999999999" customHeight="1">
      <c r="A16" s="131">
        <v>1.5</v>
      </c>
      <c r="B16" s="177" t="s">
        <v>631</v>
      </c>
      <c r="C16" s="525">
        <v>10000</v>
      </c>
      <c r="D16" s="179" t="s">
        <v>632</v>
      </c>
      <c r="F16" s="175" t="s">
        <v>633</v>
      </c>
    </row>
    <row r="17" spans="1:6" s="127" customFormat="1" ht="62">
      <c r="A17" s="684">
        <v>1.6</v>
      </c>
      <c r="B17" s="685" t="s">
        <v>634</v>
      </c>
      <c r="C17" s="686"/>
      <c r="D17" s="687" t="s">
        <v>635</v>
      </c>
      <c r="F17" s="175" t="s">
        <v>636</v>
      </c>
    </row>
    <row r="18" spans="1:6" s="127" customFormat="1" ht="31">
      <c r="A18" s="131">
        <v>1.7</v>
      </c>
      <c r="B18" s="177" t="s">
        <v>440</v>
      </c>
      <c r="C18" s="525"/>
      <c r="D18" s="174"/>
      <c r="F18" s="175" t="s">
        <v>637</v>
      </c>
    </row>
    <row r="19" spans="1:6" s="127" customFormat="1" ht="17.149999999999999" customHeight="1">
      <c r="A19" s="128">
        <v>2</v>
      </c>
      <c r="B19" s="180" t="s">
        <v>638</v>
      </c>
      <c r="C19" s="535">
        <f>SUM(C20:C32)</f>
        <v>965761.3</v>
      </c>
      <c r="D19" s="174"/>
      <c r="F19" s="175"/>
    </row>
    <row r="20" spans="1:6" s="127" customFormat="1" ht="46.5">
      <c r="A20" s="131" t="s">
        <v>606</v>
      </c>
      <c r="B20" s="181" t="s">
        <v>639</v>
      </c>
      <c r="C20" s="525">
        <f>500*10 + 2*('Bieu 1a DH Chinh quy'!D22+'Bieu 1b Sau dai hoc'!D18)</f>
        <v>7827.3</v>
      </c>
      <c r="D20" s="174" t="s">
        <v>37</v>
      </c>
      <c r="F20" s="175" t="s">
        <v>640</v>
      </c>
    </row>
    <row r="21" spans="1:6" s="127" customFormat="1" ht="17.149999999999999" customHeight="1">
      <c r="A21" s="182" t="s">
        <v>607</v>
      </c>
      <c r="B21" s="181" t="s">
        <v>641</v>
      </c>
      <c r="C21" s="536">
        <v>5000</v>
      </c>
      <c r="D21" s="179" t="s">
        <v>632</v>
      </c>
      <c r="F21" s="175" t="s">
        <v>642</v>
      </c>
    </row>
    <row r="22" spans="1:6" s="127" customFormat="1" ht="17.149999999999999" customHeight="1">
      <c r="A22" s="131" t="s">
        <v>643</v>
      </c>
      <c r="B22" s="181" t="s">
        <v>644</v>
      </c>
      <c r="C22" s="536">
        <v>15000</v>
      </c>
      <c r="D22" s="179" t="s">
        <v>34</v>
      </c>
      <c r="F22" s="175" t="s">
        <v>645</v>
      </c>
    </row>
    <row r="23" spans="1:6" s="127" customFormat="1" ht="17.149999999999999" customHeight="1">
      <c r="A23" s="182" t="s">
        <v>646</v>
      </c>
      <c r="B23" s="181" t="s">
        <v>647</v>
      </c>
      <c r="C23" s="536"/>
      <c r="D23" s="179" t="s">
        <v>648</v>
      </c>
      <c r="F23" s="175" t="s">
        <v>649</v>
      </c>
    </row>
    <row r="24" spans="1:6" s="127" customFormat="1" ht="17.149999999999999" customHeight="1">
      <c r="A24" s="131" t="s">
        <v>650</v>
      </c>
      <c r="B24" s="181" t="s">
        <v>651</v>
      </c>
      <c r="C24" s="536">
        <f>'[1]Bieu 2B -Gio day ĐH va tren DH'!K76*115</f>
        <v>0</v>
      </c>
      <c r="D24" s="179" t="s">
        <v>652</v>
      </c>
      <c r="F24" s="175" t="s">
        <v>653</v>
      </c>
    </row>
    <row r="25" spans="1:6" s="127" customFormat="1" ht="17.149999999999999" customHeight="1">
      <c r="A25" s="182" t="s">
        <v>654</v>
      </c>
      <c r="B25" s="181" t="s">
        <v>655</v>
      </c>
      <c r="C25" s="536"/>
      <c r="D25" s="179"/>
      <c r="F25" s="175"/>
    </row>
    <row r="26" spans="1:6" s="127" customFormat="1" ht="27.65" customHeight="1">
      <c r="A26" s="131" t="s">
        <v>656</v>
      </c>
      <c r="B26" s="183" t="s">
        <v>657</v>
      </c>
      <c r="C26" s="536">
        <v>0</v>
      </c>
      <c r="D26" s="174" t="s">
        <v>37</v>
      </c>
      <c r="F26" s="175"/>
    </row>
    <row r="27" spans="1:6" s="127" customFormat="1" ht="69" customHeight="1">
      <c r="A27" s="182" t="s">
        <v>658</v>
      </c>
      <c r="B27" s="184" t="s">
        <v>659</v>
      </c>
      <c r="C27" s="536">
        <f>('Bieu 4-KP thuc hanh thi nghiem'!H17+'Bieu 4-KP thuc hanh thi nghiem'!H18)/1000</f>
        <v>562934</v>
      </c>
      <c r="D27" s="179" t="s">
        <v>34</v>
      </c>
      <c r="F27" s="175" t="s">
        <v>660</v>
      </c>
    </row>
    <row r="28" spans="1:6" s="127" customFormat="1" ht="142.5" customHeight="1">
      <c r="A28" s="182">
        <v>2.9</v>
      </c>
      <c r="B28" s="184" t="s">
        <v>661</v>
      </c>
      <c r="C28" s="536">
        <f>'Bieu7-ke hoach NCKH'!D42/1000</f>
        <v>325000</v>
      </c>
      <c r="D28" s="179"/>
      <c r="F28" s="178" t="s">
        <v>662</v>
      </c>
    </row>
    <row r="29" spans="1:6" s="127" customFormat="1" ht="48" customHeight="1">
      <c r="A29" s="182" t="s">
        <v>663</v>
      </c>
      <c r="B29" s="184" t="s">
        <v>664</v>
      </c>
      <c r="C29" s="688"/>
      <c r="D29" s="689" t="s">
        <v>665</v>
      </c>
      <c r="E29" s="135"/>
      <c r="F29" s="185" t="s">
        <v>666</v>
      </c>
    </row>
    <row r="30" spans="1:6" s="127" customFormat="1" ht="48" customHeight="1">
      <c r="A30" s="182"/>
      <c r="B30" s="690" t="s">
        <v>667</v>
      </c>
      <c r="C30" s="688">
        <v>0</v>
      </c>
      <c r="D30" s="689"/>
      <c r="E30" s="135"/>
      <c r="F30" s="185" t="s">
        <v>668</v>
      </c>
    </row>
    <row r="31" spans="1:6" s="127" customFormat="1" ht="73.5" customHeight="1">
      <c r="A31" s="182" t="s">
        <v>669</v>
      </c>
      <c r="B31" s="184" t="s">
        <v>920</v>
      </c>
      <c r="C31" s="688">
        <v>20000</v>
      </c>
      <c r="D31" s="689"/>
      <c r="E31" s="135"/>
      <c r="F31" s="185" t="s">
        <v>670</v>
      </c>
    </row>
    <row r="32" spans="1:6" s="127" customFormat="1" ht="62">
      <c r="A32" s="691" t="s">
        <v>919</v>
      </c>
      <c r="B32" s="184" t="s">
        <v>671</v>
      </c>
      <c r="C32" s="688">
        <v>30000</v>
      </c>
      <c r="D32" s="689" t="s">
        <v>665</v>
      </c>
      <c r="E32" s="135"/>
      <c r="F32" s="185" t="s">
        <v>672</v>
      </c>
    </row>
    <row r="33" spans="1:6" s="127" customFormat="1" ht="15.5">
      <c r="A33" s="128">
        <v>3</v>
      </c>
      <c r="B33" s="186" t="s">
        <v>673</v>
      </c>
      <c r="C33" s="537">
        <f>SUM(C34:C36)</f>
        <v>0</v>
      </c>
      <c r="D33" s="174" t="s">
        <v>37</v>
      </c>
      <c r="F33" s="175"/>
    </row>
    <row r="34" spans="1:6" s="127" customFormat="1" ht="15.5">
      <c r="A34" s="187">
        <v>3.1</v>
      </c>
      <c r="B34" s="184" t="s">
        <v>674</v>
      </c>
      <c r="C34" s="536">
        <f>'[1]Bieu5-Nhu cau mua sam'!E15+'[1]Bieu5-Nhu cau mua sam'!E6</f>
        <v>0</v>
      </c>
      <c r="D34" s="179"/>
      <c r="F34" s="175"/>
    </row>
    <row r="35" spans="1:6" s="127" customFormat="1" ht="15.5">
      <c r="A35" s="187">
        <v>3.2</v>
      </c>
      <c r="B35" s="184" t="s">
        <v>436</v>
      </c>
      <c r="C35" s="536">
        <f>'[1]Bieu5-Nhu cau mua sam'!E9</f>
        <v>0</v>
      </c>
      <c r="D35" s="179"/>
      <c r="F35" s="175"/>
    </row>
    <row r="36" spans="1:6" s="127" customFormat="1" ht="15.5">
      <c r="A36" s="187">
        <v>3.3</v>
      </c>
      <c r="B36" s="184" t="s">
        <v>675</v>
      </c>
      <c r="C36" s="536"/>
      <c r="D36" s="179"/>
      <c r="F36" s="175" t="s">
        <v>676</v>
      </c>
    </row>
    <row r="37" spans="1:6" s="127" customFormat="1" ht="15.5">
      <c r="A37" s="188">
        <v>4</v>
      </c>
      <c r="B37" s="186" t="s">
        <v>671</v>
      </c>
      <c r="C37" s="537">
        <f>SUM(C38:C39)</f>
        <v>10000</v>
      </c>
      <c r="D37" s="179"/>
      <c r="F37" s="175"/>
    </row>
    <row r="38" spans="1:6" s="127" customFormat="1" ht="15.5">
      <c r="A38" s="187">
        <v>4.0999999999999996</v>
      </c>
      <c r="B38" s="183" t="s">
        <v>677</v>
      </c>
      <c r="C38" s="536">
        <v>10000</v>
      </c>
      <c r="D38" s="179"/>
      <c r="F38" s="175"/>
    </row>
    <row r="39" spans="1:6" s="127" customFormat="1" ht="15" customHeight="1">
      <c r="A39" s="187">
        <v>4.2</v>
      </c>
      <c r="B39" s="183" t="s">
        <v>678</v>
      </c>
      <c r="C39" s="536"/>
      <c r="D39" s="179"/>
      <c r="F39" s="175"/>
    </row>
    <row r="40" spans="1:6" s="127" customFormat="1" ht="18.5" thickBot="1">
      <c r="A40" s="189"/>
      <c r="B40" s="190"/>
      <c r="C40" s="538"/>
      <c r="D40" s="191"/>
      <c r="F40" s="175"/>
    </row>
    <row r="41" spans="1:6" ht="18.5" thickTop="1">
      <c r="C41" s="539"/>
      <c r="D41" s="193"/>
    </row>
    <row r="42" spans="1:6">
      <c r="C42" s="540"/>
      <c r="D42" s="195" t="s">
        <v>545</v>
      </c>
      <c r="E42" s="196"/>
    </row>
    <row r="43" spans="1:6">
      <c r="C43" s="866" t="s">
        <v>128</v>
      </c>
      <c r="D43" s="866"/>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0" t="s">
        <v>679</v>
      </c>
      <c r="C50" s="860"/>
      <c r="D50" s="860"/>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5"/>
  <cols>
    <col min="1" max="1" width="4.81640625" style="74" customWidth="1"/>
    <col min="2" max="2" width="34.453125" style="74" customWidth="1"/>
    <col min="3" max="3" width="8.26953125" style="74" customWidth="1"/>
    <col min="4" max="4" width="8.1796875" style="74" customWidth="1"/>
    <col min="5" max="10" width="8.1796875" style="74" hidden="1" customWidth="1"/>
    <col min="11" max="12" width="8.1796875" style="74" customWidth="1"/>
    <col min="13" max="16384" width="9" style="74"/>
  </cols>
  <sheetData>
    <row r="1" spans="1:12">
      <c r="A1" s="717" t="s">
        <v>733</v>
      </c>
      <c r="B1" s="717"/>
      <c r="C1" s="98"/>
      <c r="D1" s="98"/>
      <c r="E1" s="98"/>
      <c r="F1" s="98"/>
      <c r="G1" s="98"/>
      <c r="H1" s="98"/>
      <c r="I1" s="98"/>
      <c r="J1" s="98"/>
      <c r="K1" s="718" t="s">
        <v>65</v>
      </c>
      <c r="L1" s="718"/>
    </row>
    <row r="2" spans="1:12">
      <c r="A2" s="719" t="s">
        <v>924</v>
      </c>
      <c r="B2" s="719"/>
      <c r="C2" s="98"/>
      <c r="D2" s="98"/>
      <c r="E2" s="98"/>
      <c r="F2" s="98"/>
      <c r="G2" s="98"/>
      <c r="H2" s="98"/>
      <c r="I2" s="98"/>
      <c r="J2" s="98"/>
      <c r="K2" s="114"/>
      <c r="L2" s="114"/>
    </row>
    <row r="3" spans="1:12" ht="26.25" customHeight="1">
      <c r="A3" s="720" t="s">
        <v>9</v>
      </c>
      <c r="B3" s="720"/>
      <c r="C3" s="720"/>
      <c r="D3" s="720"/>
      <c r="E3" s="720"/>
      <c r="F3" s="720"/>
      <c r="G3" s="720"/>
      <c r="H3" s="720"/>
      <c r="I3" s="720"/>
      <c r="J3" s="720"/>
      <c r="K3" s="720"/>
      <c r="L3" s="720"/>
    </row>
    <row r="4" spans="1:12" ht="15" thickBot="1">
      <c r="A4" s="119"/>
      <c r="B4" s="119"/>
      <c r="C4" s="119"/>
      <c r="D4" s="119"/>
      <c r="E4" s="119"/>
      <c r="F4" s="119"/>
      <c r="G4" s="119"/>
      <c r="H4" s="119"/>
      <c r="I4" s="119"/>
      <c r="J4" s="119"/>
      <c r="K4" s="119"/>
      <c r="L4" s="120" t="s">
        <v>67</v>
      </c>
    </row>
    <row r="5" spans="1:12" ht="35.25" customHeight="1" thickTop="1">
      <c r="A5" s="5" t="s">
        <v>68</v>
      </c>
      <c r="B5" s="6" t="s">
        <v>69</v>
      </c>
      <c r="C5" s="6" t="s">
        <v>70</v>
      </c>
      <c r="D5" s="6" t="s">
        <v>748</v>
      </c>
      <c r="E5" s="6" t="s">
        <v>72</v>
      </c>
      <c r="F5" s="6" t="s">
        <v>73</v>
      </c>
      <c r="G5" s="6" t="s">
        <v>74</v>
      </c>
      <c r="H5" s="6" t="s">
        <v>75</v>
      </c>
      <c r="I5" s="6" t="s">
        <v>76</v>
      </c>
      <c r="J5" s="6" t="s">
        <v>77</v>
      </c>
      <c r="K5" s="6" t="s">
        <v>78</v>
      </c>
      <c r="L5" s="7" t="s">
        <v>7</v>
      </c>
    </row>
    <row r="6" spans="1:12" ht="25.5" customHeight="1">
      <c r="A6" s="8" t="s">
        <v>79</v>
      </c>
      <c r="B6" s="9" t="s">
        <v>80</v>
      </c>
      <c r="C6" s="10"/>
      <c r="D6" s="10"/>
      <c r="E6" s="10"/>
      <c r="F6" s="10"/>
      <c r="G6" s="10"/>
      <c r="H6" s="10"/>
      <c r="I6" s="10"/>
      <c r="J6" s="10"/>
      <c r="K6" s="11"/>
      <c r="L6" s="12"/>
    </row>
    <row r="7" spans="1:12" ht="28.5" customHeight="1">
      <c r="A7" s="258" t="s">
        <v>81</v>
      </c>
      <c r="B7" s="259" t="s">
        <v>82</v>
      </c>
      <c r="C7" s="260"/>
      <c r="D7" s="478"/>
      <c r="E7" s="478"/>
      <c r="F7" s="478"/>
      <c r="G7" s="478"/>
      <c r="H7" s="478"/>
      <c r="I7" s="478"/>
      <c r="J7" s="478"/>
      <c r="K7" s="479"/>
      <c r="L7" s="261"/>
    </row>
    <row r="8" spans="1:12" ht="67.5">
      <c r="A8" s="13" t="s">
        <v>83</v>
      </c>
      <c r="B8" s="14" t="s">
        <v>84</v>
      </c>
      <c r="C8" s="15" t="s">
        <v>85</v>
      </c>
      <c r="D8" s="480">
        <f>SUM(D9:D13)</f>
        <v>1534</v>
      </c>
      <c r="E8" s="480">
        <f t="shared" ref="E8:J8" si="0">SUM(E9:E13)</f>
        <v>0</v>
      </c>
      <c r="F8" s="480">
        <f t="shared" si="0"/>
        <v>0</v>
      </c>
      <c r="G8" s="480">
        <f t="shared" si="0"/>
        <v>0</v>
      </c>
      <c r="H8" s="480">
        <f t="shared" si="0"/>
        <v>0</v>
      </c>
      <c r="I8" s="480">
        <f t="shared" si="0"/>
        <v>0</v>
      </c>
      <c r="J8" s="480">
        <f t="shared" si="0"/>
        <v>0</v>
      </c>
      <c r="K8" s="480">
        <f t="shared" ref="K8:K19" si="1">SUM(D8:J8)</f>
        <v>1534</v>
      </c>
      <c r="L8" s="17"/>
    </row>
    <row r="9" spans="1:12">
      <c r="A9" s="13"/>
      <c r="B9" s="18" t="s">
        <v>86</v>
      </c>
      <c r="C9" s="15" t="s">
        <v>85</v>
      </c>
      <c r="D9" s="480">
        <v>55</v>
      </c>
      <c r="E9" s="480"/>
      <c r="F9" s="480"/>
      <c r="G9" s="480"/>
      <c r="H9" s="480"/>
      <c r="I9" s="480"/>
      <c r="J9" s="480"/>
      <c r="K9" s="480">
        <v>55</v>
      </c>
      <c r="L9" s="17"/>
    </row>
    <row r="10" spans="1:12">
      <c r="A10" s="13"/>
      <c r="B10" s="18" t="s">
        <v>88</v>
      </c>
      <c r="C10" s="15" t="s">
        <v>85</v>
      </c>
      <c r="D10" s="480">
        <v>171</v>
      </c>
      <c r="E10" s="480"/>
      <c r="F10" s="480"/>
      <c r="G10" s="480"/>
      <c r="H10" s="480"/>
      <c r="I10" s="480"/>
      <c r="J10" s="480"/>
      <c r="K10" s="480">
        <f t="shared" si="1"/>
        <v>171</v>
      </c>
      <c r="L10" s="17"/>
    </row>
    <row r="11" spans="1:12">
      <c r="A11" s="13"/>
      <c r="B11" s="18" t="s">
        <v>89</v>
      </c>
      <c r="C11" s="15" t="s">
        <v>85</v>
      </c>
      <c r="D11" s="480">
        <v>246</v>
      </c>
      <c r="E11" s="480"/>
      <c r="F11" s="480"/>
      <c r="G11" s="480"/>
      <c r="H11" s="480"/>
      <c r="I11" s="480"/>
      <c r="J11" s="480"/>
      <c r="K11" s="480">
        <f t="shared" si="1"/>
        <v>246</v>
      </c>
      <c r="L11" s="17"/>
    </row>
    <row r="12" spans="1:12">
      <c r="A12" s="13"/>
      <c r="B12" s="18" t="s">
        <v>90</v>
      </c>
      <c r="C12" s="15" t="s">
        <v>85</v>
      </c>
      <c r="D12" s="480">
        <v>438</v>
      </c>
      <c r="E12" s="480"/>
      <c r="F12" s="480"/>
      <c r="G12" s="480"/>
      <c r="H12" s="480"/>
      <c r="I12" s="480"/>
      <c r="J12" s="480"/>
      <c r="K12" s="480">
        <f t="shared" si="1"/>
        <v>438</v>
      </c>
      <c r="L12" s="17"/>
    </row>
    <row r="13" spans="1:12">
      <c r="A13" s="13"/>
      <c r="B13" s="18" t="s">
        <v>91</v>
      </c>
      <c r="C13" s="15" t="s">
        <v>85</v>
      </c>
      <c r="D13" s="480">
        <v>624</v>
      </c>
      <c r="E13" s="480"/>
      <c r="F13" s="480"/>
      <c r="G13" s="480"/>
      <c r="H13" s="480"/>
      <c r="I13" s="480"/>
      <c r="J13" s="480"/>
      <c r="K13" s="480">
        <f t="shared" si="1"/>
        <v>624</v>
      </c>
      <c r="L13" s="17"/>
    </row>
    <row r="14" spans="1:12" ht="54">
      <c r="A14" s="19" t="s">
        <v>92</v>
      </c>
      <c r="B14" s="14" t="s">
        <v>93</v>
      </c>
      <c r="C14" s="15"/>
      <c r="D14" s="480">
        <f t="shared" ref="D14:J14" si="2">SUM(D15:D19)</f>
        <v>228.35</v>
      </c>
      <c r="E14" s="480">
        <f t="shared" si="2"/>
        <v>0</v>
      </c>
      <c r="F14" s="480">
        <f t="shared" si="2"/>
        <v>0</v>
      </c>
      <c r="G14" s="480">
        <f t="shared" si="2"/>
        <v>0</v>
      </c>
      <c r="H14" s="480">
        <f t="shared" si="2"/>
        <v>0</v>
      </c>
      <c r="I14" s="480">
        <f t="shared" si="2"/>
        <v>0</v>
      </c>
      <c r="J14" s="480">
        <f t="shared" si="2"/>
        <v>0</v>
      </c>
      <c r="K14" s="480">
        <f t="shared" si="1"/>
        <v>228.35</v>
      </c>
      <c r="L14" s="17"/>
    </row>
    <row r="15" spans="1:12">
      <c r="A15" s="13"/>
      <c r="B15" s="18" t="s">
        <v>86</v>
      </c>
      <c r="C15" s="15" t="s">
        <v>85</v>
      </c>
      <c r="D15" s="481">
        <v>48</v>
      </c>
      <c r="E15" s="481"/>
      <c r="F15" s="481"/>
      <c r="G15" s="481"/>
      <c r="H15" s="481"/>
      <c r="I15" s="481"/>
      <c r="J15" s="481"/>
      <c r="K15" s="481">
        <v>48</v>
      </c>
      <c r="L15" s="17"/>
    </row>
    <row r="16" spans="1:12">
      <c r="A16" s="13"/>
      <c r="B16" s="18" t="s">
        <v>88</v>
      </c>
      <c r="C16" s="15" t="s">
        <v>85</v>
      </c>
      <c r="D16" s="481">
        <f>0.85*D10</f>
        <v>145.35</v>
      </c>
      <c r="E16" s="481"/>
      <c r="F16" s="481"/>
      <c r="G16" s="481"/>
      <c r="H16" s="481"/>
      <c r="I16" s="481"/>
      <c r="J16" s="481"/>
      <c r="K16" s="481">
        <f t="shared" si="1"/>
        <v>145.35</v>
      </c>
      <c r="L16" s="17"/>
    </row>
    <row r="17" spans="1:13">
      <c r="A17" s="13"/>
      <c r="B17" s="18" t="s">
        <v>89</v>
      </c>
      <c r="C17" s="15" t="s">
        <v>85</v>
      </c>
      <c r="D17" s="481">
        <v>5</v>
      </c>
      <c r="E17" s="481"/>
      <c r="F17" s="481"/>
      <c r="G17" s="481"/>
      <c r="H17" s="481"/>
      <c r="I17" s="481"/>
      <c r="J17" s="481"/>
      <c r="K17" s="481">
        <f t="shared" si="1"/>
        <v>5</v>
      </c>
      <c r="L17" s="17"/>
    </row>
    <row r="18" spans="1:13">
      <c r="A18" s="13"/>
      <c r="B18" s="18" t="s">
        <v>90</v>
      </c>
      <c r="C18" s="15" t="s">
        <v>85</v>
      </c>
      <c r="D18" s="481">
        <v>10</v>
      </c>
      <c r="E18" s="481"/>
      <c r="F18" s="481"/>
      <c r="G18" s="481"/>
      <c r="H18" s="481"/>
      <c r="I18" s="481"/>
      <c r="J18" s="481"/>
      <c r="K18" s="481">
        <f t="shared" si="1"/>
        <v>10</v>
      </c>
      <c r="L18" s="17"/>
    </row>
    <row r="19" spans="1:13">
      <c r="A19" s="13"/>
      <c r="B19" s="18" t="s">
        <v>91</v>
      </c>
      <c r="C19" s="15" t="s">
        <v>85</v>
      </c>
      <c r="D19" s="481">
        <v>20</v>
      </c>
      <c r="E19" s="481"/>
      <c r="F19" s="481"/>
      <c r="G19" s="481"/>
      <c r="H19" s="481"/>
      <c r="I19" s="481"/>
      <c r="J19" s="481"/>
      <c r="K19" s="481">
        <f t="shared" si="1"/>
        <v>20</v>
      </c>
      <c r="L19" s="17"/>
    </row>
    <row r="20" spans="1:13" ht="53.15" customHeight="1">
      <c r="A20" s="19" t="s">
        <v>94</v>
      </c>
      <c r="B20" s="20" t="s">
        <v>95</v>
      </c>
      <c r="C20" s="15" t="s">
        <v>85</v>
      </c>
      <c r="D20" s="484"/>
      <c r="E20" s="484"/>
      <c r="F20" s="484"/>
      <c r="G20" s="484"/>
      <c r="H20" s="484"/>
      <c r="I20" s="484"/>
      <c r="J20" s="484"/>
      <c r="K20" s="484">
        <f>SUM(D20:J20)</f>
        <v>0</v>
      </c>
      <c r="L20" s="17"/>
    </row>
    <row r="21" spans="1:13" ht="61.5" customHeight="1">
      <c r="A21" s="19"/>
      <c r="B21" s="18" t="s">
        <v>96</v>
      </c>
      <c r="C21" s="15"/>
      <c r="D21" s="481">
        <v>400</v>
      </c>
      <c r="E21" s="480"/>
      <c r="F21" s="480"/>
      <c r="G21" s="480"/>
      <c r="H21" s="480"/>
      <c r="I21" s="480"/>
      <c r="J21" s="480"/>
      <c r="K21" s="480">
        <f>SUM(D21:J21)</f>
        <v>400</v>
      </c>
      <c r="L21" s="17"/>
    </row>
    <row r="22" spans="1:13" ht="67.5">
      <c r="A22" s="19" t="s">
        <v>97</v>
      </c>
      <c r="B22" s="14" t="s">
        <v>98</v>
      </c>
      <c r="C22" s="21" t="s">
        <v>85</v>
      </c>
      <c r="D22" s="482">
        <f t="shared" ref="D22:J22" si="3">SUM(D23:D27)</f>
        <v>1318.65</v>
      </c>
      <c r="E22" s="482">
        <f t="shared" si="3"/>
        <v>0</v>
      </c>
      <c r="F22" s="482">
        <f t="shared" si="3"/>
        <v>0</v>
      </c>
      <c r="G22" s="482">
        <f t="shared" si="3"/>
        <v>0</v>
      </c>
      <c r="H22" s="482">
        <f t="shared" si="3"/>
        <v>0</v>
      </c>
      <c r="I22" s="482">
        <f t="shared" si="3"/>
        <v>0</v>
      </c>
      <c r="J22" s="482">
        <f t="shared" si="3"/>
        <v>0</v>
      </c>
      <c r="K22" s="482">
        <f>SUM(D22:J22)</f>
        <v>1318.65</v>
      </c>
      <c r="L22" s="23"/>
    </row>
    <row r="23" spans="1:13">
      <c r="A23" s="13"/>
      <c r="B23" s="18" t="s">
        <v>86</v>
      </c>
      <c r="C23" s="15" t="s">
        <v>85</v>
      </c>
      <c r="D23" s="481">
        <v>0</v>
      </c>
      <c r="E23" s="481">
        <f t="shared" ref="E23:J23" si="4">E9-E15</f>
        <v>0</v>
      </c>
      <c r="F23" s="481">
        <f t="shared" si="4"/>
        <v>0</v>
      </c>
      <c r="G23" s="481">
        <f t="shared" si="4"/>
        <v>0</v>
      </c>
      <c r="H23" s="481">
        <f t="shared" si="4"/>
        <v>0</v>
      </c>
      <c r="I23" s="481">
        <f t="shared" si="4"/>
        <v>0</v>
      </c>
      <c r="J23" s="481">
        <f t="shared" si="4"/>
        <v>0</v>
      </c>
      <c r="K23" s="481">
        <v>0</v>
      </c>
      <c r="L23" s="17"/>
    </row>
    <row r="24" spans="1:13">
      <c r="A24" s="13"/>
      <c r="B24" s="18" t="s">
        <v>99</v>
      </c>
      <c r="C24" s="15" t="s">
        <v>85</v>
      </c>
      <c r="D24" s="480">
        <f t="shared" ref="D24:J26" si="5">+D10-D16</f>
        <v>25.650000000000006</v>
      </c>
      <c r="E24" s="480">
        <f t="shared" si="5"/>
        <v>0</v>
      </c>
      <c r="F24" s="480">
        <f t="shared" si="5"/>
        <v>0</v>
      </c>
      <c r="G24" s="480">
        <f t="shared" si="5"/>
        <v>0</v>
      </c>
      <c r="H24" s="480">
        <f t="shared" si="5"/>
        <v>0</v>
      </c>
      <c r="I24" s="480">
        <f t="shared" si="5"/>
        <v>0</v>
      </c>
      <c r="J24" s="480">
        <f t="shared" si="5"/>
        <v>0</v>
      </c>
      <c r="K24" s="480">
        <f>SUM(D24:J24)</f>
        <v>25.650000000000006</v>
      </c>
      <c r="L24" s="17"/>
    </row>
    <row r="25" spans="1:13">
      <c r="A25" s="13"/>
      <c r="B25" s="18" t="s">
        <v>100</v>
      </c>
      <c r="C25" s="15" t="s">
        <v>85</v>
      </c>
      <c r="D25" s="480">
        <f t="shared" si="5"/>
        <v>241</v>
      </c>
      <c r="E25" s="480">
        <f t="shared" si="5"/>
        <v>0</v>
      </c>
      <c r="F25" s="480">
        <f t="shared" si="5"/>
        <v>0</v>
      </c>
      <c r="G25" s="480">
        <f t="shared" si="5"/>
        <v>0</v>
      </c>
      <c r="H25" s="480">
        <f t="shared" si="5"/>
        <v>0</v>
      </c>
      <c r="I25" s="480">
        <f t="shared" si="5"/>
        <v>0</v>
      </c>
      <c r="J25" s="480">
        <f t="shared" si="5"/>
        <v>0</v>
      </c>
      <c r="K25" s="480">
        <f>SUM(D25:J25)</f>
        <v>241</v>
      </c>
      <c r="L25" s="17"/>
    </row>
    <row r="26" spans="1:13">
      <c r="A26" s="13"/>
      <c r="B26" s="18" t="s">
        <v>101</v>
      </c>
      <c r="C26" s="15" t="s">
        <v>85</v>
      </c>
      <c r="D26" s="480">
        <f t="shared" si="5"/>
        <v>428</v>
      </c>
      <c r="E26" s="480">
        <f t="shared" si="5"/>
        <v>0</v>
      </c>
      <c r="F26" s="480">
        <f t="shared" si="5"/>
        <v>0</v>
      </c>
      <c r="G26" s="480">
        <f t="shared" si="5"/>
        <v>0</v>
      </c>
      <c r="H26" s="480">
        <f t="shared" si="5"/>
        <v>0</v>
      </c>
      <c r="I26" s="480">
        <f t="shared" si="5"/>
        <v>0</v>
      </c>
      <c r="J26" s="480">
        <f t="shared" si="5"/>
        <v>0</v>
      </c>
      <c r="K26" s="480">
        <f>SUM(D26:J26)</f>
        <v>428</v>
      </c>
      <c r="L26" s="17"/>
    </row>
    <row r="27" spans="1:13">
      <c r="A27" s="13"/>
      <c r="B27" s="18" t="s">
        <v>102</v>
      </c>
      <c r="C27" s="15" t="s">
        <v>85</v>
      </c>
      <c r="D27" s="480">
        <v>624</v>
      </c>
      <c r="E27" s="480">
        <f t="shared" ref="E27:J27" si="6">+E21</f>
        <v>0</v>
      </c>
      <c r="F27" s="480">
        <f t="shared" si="6"/>
        <v>0</v>
      </c>
      <c r="G27" s="480">
        <f t="shared" si="6"/>
        <v>0</v>
      </c>
      <c r="H27" s="480">
        <f t="shared" si="6"/>
        <v>0</v>
      </c>
      <c r="I27" s="480">
        <f t="shared" si="6"/>
        <v>0</v>
      </c>
      <c r="J27" s="480">
        <f t="shared" si="6"/>
        <v>0</v>
      </c>
      <c r="K27" s="480">
        <f>SUM(D27:J27)</f>
        <v>624</v>
      </c>
      <c r="L27" s="17"/>
    </row>
    <row r="28" spans="1:13" ht="15.75" customHeight="1">
      <c r="A28" s="19"/>
      <c r="B28" s="18" t="s">
        <v>103</v>
      </c>
      <c r="C28" s="15" t="s">
        <v>85</v>
      </c>
      <c r="D28" s="481">
        <f t="shared" ref="D28:J28" si="7">+D21</f>
        <v>400</v>
      </c>
      <c r="E28" s="481">
        <f t="shared" si="7"/>
        <v>0</v>
      </c>
      <c r="F28" s="481">
        <f t="shared" si="7"/>
        <v>0</v>
      </c>
      <c r="G28" s="481">
        <f t="shared" si="7"/>
        <v>0</v>
      </c>
      <c r="H28" s="481">
        <f t="shared" si="7"/>
        <v>0</v>
      </c>
      <c r="I28" s="481">
        <f t="shared" si="7"/>
        <v>0</v>
      </c>
      <c r="J28" s="481">
        <f t="shared" si="7"/>
        <v>0</v>
      </c>
      <c r="K28" s="481">
        <f>SUM(D28:J28)</f>
        <v>400</v>
      </c>
      <c r="L28" s="17"/>
    </row>
    <row r="29" spans="1:13" ht="28.5" customHeight="1">
      <c r="A29" s="258" t="s">
        <v>104</v>
      </c>
      <c r="B29" s="259" t="s">
        <v>105</v>
      </c>
      <c r="C29" s="260"/>
      <c r="D29" s="478"/>
      <c r="E29" s="478"/>
      <c r="F29" s="478"/>
      <c r="G29" s="478"/>
      <c r="H29" s="478"/>
      <c r="I29" s="478"/>
      <c r="J29" s="478"/>
      <c r="K29" s="479"/>
      <c r="L29" s="261"/>
    </row>
    <row r="30" spans="1:13" ht="74.25" customHeight="1">
      <c r="A30" s="13" t="s">
        <v>83</v>
      </c>
      <c r="B30" s="14" t="s">
        <v>84</v>
      </c>
      <c r="C30" s="15" t="s">
        <v>85</v>
      </c>
      <c r="D30" s="480">
        <f t="shared" ref="D30:J30" si="8">SUM(D31:D34)</f>
        <v>0</v>
      </c>
      <c r="E30" s="480">
        <f t="shared" si="8"/>
        <v>0</v>
      </c>
      <c r="F30" s="480">
        <f t="shared" si="8"/>
        <v>0</v>
      </c>
      <c r="G30" s="480">
        <f t="shared" si="8"/>
        <v>0</v>
      </c>
      <c r="H30" s="480">
        <f t="shared" si="8"/>
        <v>0</v>
      </c>
      <c r="I30" s="480">
        <f t="shared" si="8"/>
        <v>0</v>
      </c>
      <c r="J30" s="480">
        <f t="shared" si="8"/>
        <v>0</v>
      </c>
      <c r="K30" s="480">
        <f t="shared" ref="K30:K46" si="9">SUM(D30:J30)</f>
        <v>0</v>
      </c>
      <c r="L30" s="17"/>
      <c r="M30" s="714"/>
    </row>
    <row r="31" spans="1:13">
      <c r="A31" s="13"/>
      <c r="B31" s="18" t="s">
        <v>106</v>
      </c>
      <c r="C31" s="15" t="s">
        <v>85</v>
      </c>
      <c r="D31" s="480">
        <v>0</v>
      </c>
      <c r="E31" s="480"/>
      <c r="F31" s="480"/>
      <c r="G31" s="480"/>
      <c r="H31" s="480"/>
      <c r="I31" s="480"/>
      <c r="J31" s="480"/>
      <c r="K31" s="480">
        <f t="shared" si="9"/>
        <v>0</v>
      </c>
      <c r="L31" s="17"/>
      <c r="M31" s="714"/>
    </row>
    <row r="32" spans="1:13" ht="19.5" customHeight="1">
      <c r="A32" s="13"/>
      <c r="B32" s="18" t="s">
        <v>107</v>
      </c>
      <c r="C32" s="15" t="s">
        <v>85</v>
      </c>
      <c r="D32" s="480">
        <v>0</v>
      </c>
      <c r="E32" s="480"/>
      <c r="F32" s="480"/>
      <c r="G32" s="480"/>
      <c r="H32" s="480"/>
      <c r="I32" s="480"/>
      <c r="J32" s="480"/>
      <c r="K32" s="480">
        <f t="shared" si="9"/>
        <v>0</v>
      </c>
      <c r="L32" s="17"/>
      <c r="M32" s="714"/>
    </row>
    <row r="33" spans="1:13" ht="17.25" customHeight="1">
      <c r="A33" s="13"/>
      <c r="B33" s="18" t="s">
        <v>108</v>
      </c>
      <c r="C33" s="15" t="s">
        <v>85</v>
      </c>
      <c r="D33" s="480">
        <v>0</v>
      </c>
      <c r="E33" s="480"/>
      <c r="F33" s="480"/>
      <c r="G33" s="480"/>
      <c r="H33" s="480"/>
      <c r="I33" s="480"/>
      <c r="J33" s="480"/>
      <c r="K33" s="480">
        <f t="shared" si="9"/>
        <v>0</v>
      </c>
      <c r="L33" s="17"/>
      <c r="M33" s="714"/>
    </row>
    <row r="34" spans="1:13" ht="22.5" customHeight="1">
      <c r="A34" s="13"/>
      <c r="B34" s="18" t="s">
        <v>109</v>
      </c>
      <c r="C34" s="15" t="s">
        <v>85</v>
      </c>
      <c r="D34" s="480">
        <v>0</v>
      </c>
      <c r="E34" s="480"/>
      <c r="F34" s="480"/>
      <c r="G34" s="480"/>
      <c r="H34" s="480"/>
      <c r="I34" s="480"/>
      <c r="J34" s="480"/>
      <c r="K34" s="480">
        <f t="shared" si="9"/>
        <v>0</v>
      </c>
      <c r="L34" s="17"/>
      <c r="M34" s="714"/>
    </row>
    <row r="35" spans="1:13" ht="57" customHeight="1">
      <c r="A35" s="19" t="s">
        <v>92</v>
      </c>
      <c r="B35" s="14" t="s">
        <v>93</v>
      </c>
      <c r="C35" s="15"/>
      <c r="D35" s="480">
        <v>0</v>
      </c>
      <c r="E35" s="480">
        <f t="shared" ref="E35:J35" si="10">SUM(E36:E39)</f>
        <v>0</v>
      </c>
      <c r="F35" s="480">
        <f t="shared" si="10"/>
        <v>0</v>
      </c>
      <c r="G35" s="480">
        <f t="shared" si="10"/>
        <v>0</v>
      </c>
      <c r="H35" s="480">
        <f t="shared" si="10"/>
        <v>0</v>
      </c>
      <c r="I35" s="480">
        <f t="shared" si="10"/>
        <v>0</v>
      </c>
      <c r="J35" s="480">
        <f t="shared" si="10"/>
        <v>0</v>
      </c>
      <c r="K35" s="480">
        <f t="shared" si="9"/>
        <v>0</v>
      </c>
      <c r="L35" s="17"/>
    </row>
    <row r="36" spans="1:13">
      <c r="A36" s="13"/>
      <c r="B36" s="18" t="s">
        <v>106</v>
      </c>
      <c r="C36" s="15" t="s">
        <v>85</v>
      </c>
      <c r="D36" s="480">
        <v>0</v>
      </c>
      <c r="E36" s="480"/>
      <c r="F36" s="480"/>
      <c r="G36" s="480"/>
      <c r="H36" s="480"/>
      <c r="I36" s="480"/>
      <c r="J36" s="480"/>
      <c r="K36" s="480">
        <f t="shared" si="9"/>
        <v>0</v>
      </c>
      <c r="L36" s="17"/>
    </row>
    <row r="37" spans="1:13">
      <c r="A37" s="13"/>
      <c r="B37" s="18" t="s">
        <v>107</v>
      </c>
      <c r="C37" s="15" t="s">
        <v>85</v>
      </c>
      <c r="D37" s="480">
        <v>0</v>
      </c>
      <c r="E37" s="480"/>
      <c r="F37" s="480"/>
      <c r="G37" s="480"/>
      <c r="H37" s="480"/>
      <c r="I37" s="480"/>
      <c r="J37" s="480"/>
      <c r="K37" s="480">
        <f t="shared" si="9"/>
        <v>0</v>
      </c>
      <c r="L37" s="17"/>
    </row>
    <row r="38" spans="1:13">
      <c r="A38" s="13"/>
      <c r="B38" s="18" t="s">
        <v>108</v>
      </c>
      <c r="C38" s="15" t="s">
        <v>85</v>
      </c>
      <c r="D38" s="480">
        <v>0</v>
      </c>
      <c r="E38" s="480"/>
      <c r="F38" s="480"/>
      <c r="G38" s="480"/>
      <c r="H38" s="480"/>
      <c r="I38" s="480"/>
      <c r="J38" s="480"/>
      <c r="K38" s="480">
        <f t="shared" si="9"/>
        <v>0</v>
      </c>
      <c r="L38" s="17"/>
    </row>
    <row r="39" spans="1:13">
      <c r="A39" s="13"/>
      <c r="B39" s="18" t="s">
        <v>109</v>
      </c>
      <c r="C39" s="15" t="s">
        <v>85</v>
      </c>
      <c r="D39" s="480">
        <v>0</v>
      </c>
      <c r="E39" s="480"/>
      <c r="F39" s="480"/>
      <c r="G39" s="480"/>
      <c r="H39" s="480"/>
      <c r="I39" s="480"/>
      <c r="J39" s="480"/>
      <c r="K39" s="480">
        <f t="shared" si="9"/>
        <v>0</v>
      </c>
      <c r="L39" s="17"/>
    </row>
    <row r="40" spans="1:13" ht="54">
      <c r="A40" s="19" t="s">
        <v>94</v>
      </c>
      <c r="B40" s="20" t="s">
        <v>110</v>
      </c>
      <c r="C40" s="15" t="s">
        <v>85</v>
      </c>
      <c r="D40" s="480">
        <v>0</v>
      </c>
      <c r="E40" s="480"/>
      <c r="F40" s="480"/>
      <c r="G40" s="480"/>
      <c r="H40" s="480"/>
      <c r="I40" s="480"/>
      <c r="J40" s="480"/>
      <c r="K40" s="480">
        <f t="shared" si="9"/>
        <v>0</v>
      </c>
      <c r="L40" s="17"/>
    </row>
    <row r="41" spans="1:13">
      <c r="A41" s="19"/>
      <c r="B41" s="18" t="s">
        <v>111</v>
      </c>
      <c r="C41" s="15"/>
      <c r="D41" s="480"/>
      <c r="E41" s="480"/>
      <c r="F41" s="480"/>
      <c r="G41" s="480"/>
      <c r="H41" s="480"/>
      <c r="I41" s="480"/>
      <c r="J41" s="480"/>
      <c r="K41" s="480">
        <f t="shared" si="9"/>
        <v>0</v>
      </c>
      <c r="L41" s="17"/>
    </row>
    <row r="42" spans="1:13" ht="67.5">
      <c r="A42" s="19" t="s">
        <v>97</v>
      </c>
      <c r="B42" s="14" t="s">
        <v>98</v>
      </c>
      <c r="C42" s="21" t="s">
        <v>85</v>
      </c>
      <c r="D42" s="482">
        <f t="shared" ref="D42:J42" si="11">SUM(D43:D46)</f>
        <v>0</v>
      </c>
      <c r="E42" s="482">
        <f t="shared" si="11"/>
        <v>0</v>
      </c>
      <c r="F42" s="482">
        <f t="shared" si="11"/>
        <v>0</v>
      </c>
      <c r="G42" s="482">
        <f t="shared" si="11"/>
        <v>0</v>
      </c>
      <c r="H42" s="482">
        <f t="shared" si="11"/>
        <v>0</v>
      </c>
      <c r="I42" s="482">
        <f t="shared" si="11"/>
        <v>0</v>
      </c>
      <c r="J42" s="482">
        <f t="shared" si="11"/>
        <v>0</v>
      </c>
      <c r="K42" s="482">
        <f t="shared" si="9"/>
        <v>0</v>
      </c>
      <c r="L42" s="23"/>
    </row>
    <row r="43" spans="1:13">
      <c r="A43" s="13"/>
      <c r="B43" s="18" t="s">
        <v>112</v>
      </c>
      <c r="C43" s="15" t="s">
        <v>85</v>
      </c>
      <c r="D43" s="480">
        <f t="shared" ref="D43:J43" si="12">D31-D36</f>
        <v>0</v>
      </c>
      <c r="E43" s="480">
        <f t="shared" si="12"/>
        <v>0</v>
      </c>
      <c r="F43" s="480">
        <f t="shared" si="12"/>
        <v>0</v>
      </c>
      <c r="G43" s="480">
        <f t="shared" si="12"/>
        <v>0</v>
      </c>
      <c r="H43" s="480">
        <f t="shared" si="12"/>
        <v>0</v>
      </c>
      <c r="I43" s="480">
        <f t="shared" si="12"/>
        <v>0</v>
      </c>
      <c r="J43" s="480">
        <f t="shared" si="12"/>
        <v>0</v>
      </c>
      <c r="K43" s="480">
        <f t="shared" si="9"/>
        <v>0</v>
      </c>
      <c r="L43" s="17"/>
    </row>
    <row r="44" spans="1:13">
      <c r="A44" s="13"/>
      <c r="B44" s="18" t="s">
        <v>99</v>
      </c>
      <c r="C44" s="15" t="s">
        <v>85</v>
      </c>
      <c r="D44" s="480">
        <f t="shared" ref="D44:J44" si="13">+D32-D38</f>
        <v>0</v>
      </c>
      <c r="E44" s="480">
        <f t="shared" si="13"/>
        <v>0</v>
      </c>
      <c r="F44" s="480">
        <f t="shared" si="13"/>
        <v>0</v>
      </c>
      <c r="G44" s="480">
        <f t="shared" si="13"/>
        <v>0</v>
      </c>
      <c r="H44" s="480">
        <f t="shared" si="13"/>
        <v>0</v>
      </c>
      <c r="I44" s="480">
        <f t="shared" si="13"/>
        <v>0</v>
      </c>
      <c r="J44" s="480">
        <f t="shared" si="13"/>
        <v>0</v>
      </c>
      <c r="K44" s="480">
        <f t="shared" si="9"/>
        <v>0</v>
      </c>
      <c r="L44" s="17"/>
    </row>
    <row r="45" spans="1:13">
      <c r="A45" s="13"/>
      <c r="B45" s="18" t="s">
        <v>100</v>
      </c>
      <c r="C45" s="15" t="s">
        <v>85</v>
      </c>
      <c r="D45" s="480">
        <f t="shared" ref="D45:J46" si="14">+D32-D38</f>
        <v>0</v>
      </c>
      <c r="E45" s="480">
        <f t="shared" si="14"/>
        <v>0</v>
      </c>
      <c r="F45" s="480">
        <f t="shared" si="14"/>
        <v>0</v>
      </c>
      <c r="G45" s="480">
        <f t="shared" si="14"/>
        <v>0</v>
      </c>
      <c r="H45" s="480">
        <f t="shared" si="14"/>
        <v>0</v>
      </c>
      <c r="I45" s="480">
        <f t="shared" si="14"/>
        <v>0</v>
      </c>
      <c r="J45" s="480">
        <f t="shared" si="14"/>
        <v>0</v>
      </c>
      <c r="K45" s="480">
        <f t="shared" si="9"/>
        <v>0</v>
      </c>
      <c r="L45" s="17"/>
    </row>
    <row r="46" spans="1:13">
      <c r="A46" s="13"/>
      <c r="B46" s="18" t="s">
        <v>101</v>
      </c>
      <c r="C46" s="15" t="s">
        <v>85</v>
      </c>
      <c r="D46" s="480">
        <f t="shared" si="14"/>
        <v>0</v>
      </c>
      <c r="E46" s="480">
        <f t="shared" si="14"/>
        <v>0</v>
      </c>
      <c r="F46" s="480">
        <f t="shared" si="14"/>
        <v>0</v>
      </c>
      <c r="G46" s="480">
        <f t="shared" si="14"/>
        <v>0</v>
      </c>
      <c r="H46" s="480">
        <f t="shared" si="14"/>
        <v>0</v>
      </c>
      <c r="I46" s="480">
        <f t="shared" si="14"/>
        <v>0</v>
      </c>
      <c r="J46" s="480">
        <f t="shared" si="14"/>
        <v>0</v>
      </c>
      <c r="K46" s="480">
        <f t="shared" si="9"/>
        <v>0</v>
      </c>
      <c r="L46" s="17"/>
    </row>
    <row r="47" spans="1:13" ht="28.5" customHeight="1">
      <c r="A47" s="258" t="s">
        <v>113</v>
      </c>
      <c r="B47" s="259" t="s">
        <v>114</v>
      </c>
      <c r="C47" s="260"/>
      <c r="D47" s="478"/>
      <c r="E47" s="478"/>
      <c r="F47" s="478"/>
      <c r="G47" s="478"/>
      <c r="H47" s="478"/>
      <c r="I47" s="478"/>
      <c r="J47" s="478"/>
      <c r="K47" s="479"/>
      <c r="L47" s="261"/>
    </row>
    <row r="48" spans="1:13" ht="67.5">
      <c r="A48" s="13" t="s">
        <v>83</v>
      </c>
      <c r="B48" s="14" t="s">
        <v>84</v>
      </c>
      <c r="C48" s="15" t="s">
        <v>85</v>
      </c>
      <c r="D48" s="480">
        <f t="shared" ref="D48:J48" si="15">SUM(D49:D52)</f>
        <v>0</v>
      </c>
      <c r="E48" s="480">
        <f t="shared" si="15"/>
        <v>0</v>
      </c>
      <c r="F48" s="480">
        <f t="shared" si="15"/>
        <v>0</v>
      </c>
      <c r="G48" s="480">
        <f t="shared" si="15"/>
        <v>0</v>
      </c>
      <c r="H48" s="480">
        <f t="shared" si="15"/>
        <v>0</v>
      </c>
      <c r="I48" s="480">
        <f t="shared" si="15"/>
        <v>0</v>
      </c>
      <c r="J48" s="480">
        <f t="shared" si="15"/>
        <v>0</v>
      </c>
      <c r="K48" s="480">
        <f>SUM(D48:J48)</f>
        <v>0</v>
      </c>
      <c r="L48" s="17"/>
    </row>
    <row r="49" spans="1:12" ht="26">
      <c r="A49" s="13"/>
      <c r="B49" s="18" t="s">
        <v>115</v>
      </c>
      <c r="C49" s="15" t="s">
        <v>85</v>
      </c>
      <c r="D49" s="480"/>
      <c r="E49" s="480"/>
      <c r="F49" s="480"/>
      <c r="G49" s="480"/>
      <c r="H49" s="480"/>
      <c r="I49" s="480"/>
      <c r="J49" s="480"/>
      <c r="K49" s="480">
        <f>SUM(D49:J49)</f>
        <v>0</v>
      </c>
      <c r="L49" s="17"/>
    </row>
    <row r="50" spans="1:12">
      <c r="A50" s="13"/>
      <c r="B50" s="18" t="s">
        <v>89</v>
      </c>
      <c r="C50" s="15" t="s">
        <v>85</v>
      </c>
      <c r="D50" s="480"/>
      <c r="E50" s="480"/>
      <c r="F50" s="480"/>
      <c r="G50" s="480"/>
      <c r="H50" s="480"/>
      <c r="I50" s="480"/>
      <c r="J50" s="480"/>
      <c r="K50" s="480">
        <f>SUM(D50:J50)</f>
        <v>0</v>
      </c>
      <c r="L50" s="17"/>
    </row>
    <row r="51" spans="1:12">
      <c r="A51" s="13"/>
      <c r="B51" s="18" t="s">
        <v>90</v>
      </c>
      <c r="C51" s="15" t="s">
        <v>85</v>
      </c>
      <c r="D51" s="480"/>
      <c r="E51" s="480"/>
      <c r="F51" s="480"/>
      <c r="G51" s="480"/>
      <c r="H51" s="480"/>
      <c r="I51" s="480"/>
      <c r="J51" s="480"/>
      <c r="K51" s="480">
        <f>SUM(D51:J51)</f>
        <v>0</v>
      </c>
      <c r="L51" s="17"/>
    </row>
    <row r="52" spans="1:12">
      <c r="A52" s="13"/>
      <c r="B52" s="18" t="s">
        <v>91</v>
      </c>
      <c r="C52" s="15" t="s">
        <v>85</v>
      </c>
      <c r="D52" s="480"/>
      <c r="E52" s="480"/>
      <c r="F52" s="480"/>
      <c r="G52" s="480"/>
      <c r="H52" s="480"/>
      <c r="I52" s="480"/>
      <c r="J52" s="480"/>
      <c r="K52" s="480"/>
      <c r="L52" s="17"/>
    </row>
    <row r="53" spans="1:12" ht="54">
      <c r="A53" s="19" t="s">
        <v>92</v>
      </c>
      <c r="B53" s="14" t="s">
        <v>93</v>
      </c>
      <c r="C53" s="15"/>
      <c r="D53" s="480">
        <f>SUM(D54:D57)</f>
        <v>0</v>
      </c>
      <c r="E53" s="480">
        <f t="shared" ref="E53:J53" si="16">SUM(E54:E57)</f>
        <v>0</v>
      </c>
      <c r="F53" s="480">
        <f t="shared" si="16"/>
        <v>0</v>
      </c>
      <c r="G53" s="480">
        <f t="shared" si="16"/>
        <v>0</v>
      </c>
      <c r="H53" s="480">
        <f t="shared" si="16"/>
        <v>0</v>
      </c>
      <c r="I53" s="480">
        <f t="shared" si="16"/>
        <v>0</v>
      </c>
      <c r="J53" s="480">
        <f t="shared" si="16"/>
        <v>0</v>
      </c>
      <c r="K53" s="480">
        <f>SUM(D53:J53)</f>
        <v>0</v>
      </c>
      <c r="L53" s="17"/>
    </row>
    <row r="54" spans="1:12" ht="26">
      <c r="A54" s="13"/>
      <c r="B54" s="18" t="s">
        <v>115</v>
      </c>
      <c r="C54" s="15" t="s">
        <v>85</v>
      </c>
      <c r="D54" s="480"/>
      <c r="E54" s="480"/>
      <c r="F54" s="480"/>
      <c r="G54" s="480"/>
      <c r="H54" s="480"/>
      <c r="I54" s="480"/>
      <c r="J54" s="480"/>
      <c r="K54" s="480">
        <f>SUM(D54:J54)</f>
        <v>0</v>
      </c>
      <c r="L54" s="17"/>
    </row>
    <row r="55" spans="1:12">
      <c r="A55" s="13"/>
      <c r="B55" s="18" t="s">
        <v>89</v>
      </c>
      <c r="C55" s="15" t="s">
        <v>85</v>
      </c>
      <c r="D55" s="480"/>
      <c r="E55" s="480"/>
      <c r="F55" s="480"/>
      <c r="G55" s="480"/>
      <c r="H55" s="480"/>
      <c r="I55" s="480"/>
      <c r="J55" s="480"/>
      <c r="K55" s="480">
        <f>SUM(D55:J55)</f>
        <v>0</v>
      </c>
      <c r="L55" s="17"/>
    </row>
    <row r="56" spans="1:12">
      <c r="A56" s="13"/>
      <c r="B56" s="18" t="s">
        <v>90</v>
      </c>
      <c r="C56" s="15" t="s">
        <v>85</v>
      </c>
      <c r="D56" s="480"/>
      <c r="E56" s="480"/>
      <c r="F56" s="480"/>
      <c r="G56" s="480"/>
      <c r="H56" s="480"/>
      <c r="I56" s="480"/>
      <c r="J56" s="480"/>
      <c r="K56" s="480">
        <f>SUM(D56:J56)</f>
        <v>0</v>
      </c>
      <c r="L56" s="17"/>
    </row>
    <row r="57" spans="1:12">
      <c r="A57" s="13"/>
      <c r="B57" s="18" t="s">
        <v>91</v>
      </c>
      <c r="C57" s="15" t="s">
        <v>85</v>
      </c>
      <c r="D57" s="480"/>
      <c r="E57" s="480"/>
      <c r="F57" s="480"/>
      <c r="G57" s="480"/>
      <c r="H57" s="480"/>
      <c r="I57" s="480"/>
      <c r="J57" s="480"/>
      <c r="K57" s="480"/>
      <c r="L57" s="17"/>
    </row>
    <row r="58" spans="1:12" ht="54">
      <c r="A58" s="19" t="s">
        <v>94</v>
      </c>
      <c r="B58" s="20" t="s">
        <v>110</v>
      </c>
      <c r="C58" s="15" t="s">
        <v>85</v>
      </c>
      <c r="D58" s="480"/>
      <c r="E58" s="480"/>
      <c r="F58" s="480"/>
      <c r="G58" s="480"/>
      <c r="H58" s="480"/>
      <c r="I58" s="480"/>
      <c r="J58" s="480"/>
      <c r="K58" s="480">
        <f>SUM(D58:J58)</f>
        <v>0</v>
      </c>
      <c r="L58" s="17"/>
    </row>
    <row r="59" spans="1:12" ht="61.5" customHeight="1">
      <c r="A59" s="19"/>
      <c r="B59" s="18" t="s">
        <v>96</v>
      </c>
      <c r="C59" s="15"/>
      <c r="D59" s="480"/>
      <c r="E59" s="480"/>
      <c r="F59" s="480"/>
      <c r="G59" s="480"/>
      <c r="H59" s="480"/>
      <c r="I59" s="480"/>
      <c r="J59" s="480"/>
      <c r="K59" s="480">
        <f>SUM(D59:J59)</f>
        <v>0</v>
      </c>
      <c r="L59" s="17"/>
    </row>
    <row r="60" spans="1:12" ht="67.5">
      <c r="A60" s="19" t="s">
        <v>97</v>
      </c>
      <c r="B60" s="14" t="s">
        <v>98</v>
      </c>
      <c r="C60" s="21" t="s">
        <v>85</v>
      </c>
      <c r="D60" s="482">
        <f>SUM(D61:D64)</f>
        <v>0</v>
      </c>
      <c r="E60" s="482">
        <f t="shared" ref="E60:J60" si="17">SUM(E61:E64)</f>
        <v>0</v>
      </c>
      <c r="F60" s="482">
        <f t="shared" si="17"/>
        <v>0</v>
      </c>
      <c r="G60" s="482">
        <f t="shared" si="17"/>
        <v>0</v>
      </c>
      <c r="H60" s="482">
        <f t="shared" si="17"/>
        <v>0</v>
      </c>
      <c r="I60" s="482">
        <f t="shared" si="17"/>
        <v>0</v>
      </c>
      <c r="J60" s="482">
        <f t="shared" si="17"/>
        <v>0</v>
      </c>
      <c r="K60" s="482">
        <f>SUM(D60:J60)</f>
        <v>0</v>
      </c>
      <c r="L60" s="23"/>
    </row>
    <row r="61" spans="1:12" ht="26">
      <c r="A61" s="13"/>
      <c r="B61" s="18" t="s">
        <v>116</v>
      </c>
      <c r="C61" s="15" t="s">
        <v>85</v>
      </c>
      <c r="D61" s="480"/>
      <c r="E61" s="480"/>
      <c r="F61" s="480"/>
      <c r="G61" s="480"/>
      <c r="H61" s="480"/>
      <c r="I61" s="480"/>
      <c r="J61" s="480"/>
      <c r="K61" s="480">
        <f>SUM(D61:J61)</f>
        <v>0</v>
      </c>
      <c r="L61" s="17"/>
    </row>
    <row r="62" spans="1:12">
      <c r="A62" s="13"/>
      <c r="B62" s="18" t="s">
        <v>90</v>
      </c>
      <c r="C62" s="15" t="s">
        <v>85</v>
      </c>
      <c r="D62" s="480"/>
      <c r="E62" s="480"/>
      <c r="F62" s="480"/>
      <c r="G62" s="480"/>
      <c r="H62" s="480"/>
      <c r="I62" s="480"/>
      <c r="J62" s="480"/>
      <c r="K62" s="480">
        <f>SUM(D62:J62)</f>
        <v>0</v>
      </c>
      <c r="L62" s="17"/>
    </row>
    <row r="63" spans="1:12">
      <c r="A63" s="13"/>
      <c r="B63" s="18" t="s">
        <v>91</v>
      </c>
      <c r="C63" s="15" t="s">
        <v>85</v>
      </c>
      <c r="D63" s="480"/>
      <c r="E63" s="480"/>
      <c r="F63" s="480"/>
      <c r="G63" s="480"/>
      <c r="H63" s="480"/>
      <c r="I63" s="480"/>
      <c r="J63" s="480"/>
      <c r="K63" s="480"/>
      <c r="L63" s="17"/>
    </row>
    <row r="64" spans="1:12" ht="15.75" customHeight="1">
      <c r="A64" s="19"/>
      <c r="B64" s="18" t="s">
        <v>103</v>
      </c>
      <c r="C64" s="15" t="s">
        <v>85</v>
      </c>
      <c r="D64" s="480">
        <f>+D59</f>
        <v>0</v>
      </c>
      <c r="E64" s="480">
        <f t="shared" ref="E64:J64" si="18">+E59</f>
        <v>0</v>
      </c>
      <c r="F64" s="480">
        <f t="shared" si="18"/>
        <v>0</v>
      </c>
      <c r="G64" s="480">
        <f t="shared" si="18"/>
        <v>0</v>
      </c>
      <c r="H64" s="480">
        <f t="shared" si="18"/>
        <v>0</v>
      </c>
      <c r="I64" s="480">
        <f t="shared" si="18"/>
        <v>0</v>
      </c>
      <c r="J64" s="480">
        <f t="shared" si="18"/>
        <v>0</v>
      </c>
      <c r="K64" s="480">
        <f>SUM(D64:J64)</f>
        <v>0</v>
      </c>
      <c r="L64" s="17"/>
    </row>
    <row r="65" spans="1:12" ht="28.5" customHeight="1">
      <c r="A65" s="258" t="s">
        <v>117</v>
      </c>
      <c r="B65" s="259" t="s">
        <v>118</v>
      </c>
      <c r="C65" s="260"/>
      <c r="D65" s="478"/>
      <c r="E65" s="478"/>
      <c r="F65" s="478"/>
      <c r="G65" s="478"/>
      <c r="H65" s="478"/>
      <c r="I65" s="478"/>
      <c r="J65" s="478"/>
      <c r="K65" s="479"/>
      <c r="L65" s="261"/>
    </row>
    <row r="66" spans="1:12" ht="67.5">
      <c r="A66" s="13" t="s">
        <v>83</v>
      </c>
      <c r="B66" s="14" t="s">
        <v>84</v>
      </c>
      <c r="C66" s="15" t="s">
        <v>85</v>
      </c>
      <c r="D66" s="480">
        <f t="shared" ref="D66:J66" si="19">SUM(D67:D70)</f>
        <v>0</v>
      </c>
      <c r="E66" s="480">
        <f t="shared" si="19"/>
        <v>0</v>
      </c>
      <c r="F66" s="480">
        <f t="shared" si="19"/>
        <v>0</v>
      </c>
      <c r="G66" s="480">
        <f t="shared" si="19"/>
        <v>0</v>
      </c>
      <c r="H66" s="480">
        <f t="shared" si="19"/>
        <v>0</v>
      </c>
      <c r="I66" s="480">
        <f t="shared" si="19"/>
        <v>0</v>
      </c>
      <c r="J66" s="480">
        <f t="shared" si="19"/>
        <v>0</v>
      </c>
      <c r="K66" s="480">
        <f>SUM(D66:J66)</f>
        <v>0</v>
      </c>
      <c r="L66" s="17"/>
    </row>
    <row r="67" spans="1:12" ht="26">
      <c r="A67" s="13"/>
      <c r="B67" s="18" t="s">
        <v>115</v>
      </c>
      <c r="C67" s="15" t="s">
        <v>85</v>
      </c>
      <c r="D67" s="480"/>
      <c r="E67" s="480"/>
      <c r="F67" s="480"/>
      <c r="G67" s="480"/>
      <c r="H67" s="480"/>
      <c r="I67" s="480"/>
      <c r="J67" s="480"/>
      <c r="K67" s="480">
        <f>SUM(D67:J67)</f>
        <v>0</v>
      </c>
      <c r="L67" s="17"/>
    </row>
    <row r="68" spans="1:12">
      <c r="A68" s="13"/>
      <c r="B68" s="18" t="s">
        <v>89</v>
      </c>
      <c r="C68" s="15" t="s">
        <v>85</v>
      </c>
      <c r="D68" s="480"/>
      <c r="E68" s="480"/>
      <c r="F68" s="480"/>
      <c r="G68" s="480"/>
      <c r="H68" s="480"/>
      <c r="I68" s="480"/>
      <c r="J68" s="480"/>
      <c r="K68" s="480">
        <f>SUM(D68:J68)</f>
        <v>0</v>
      </c>
      <c r="L68" s="17"/>
    </row>
    <row r="69" spans="1:12">
      <c r="A69" s="13"/>
      <c r="B69" s="18" t="s">
        <v>90</v>
      </c>
      <c r="C69" s="15" t="s">
        <v>85</v>
      </c>
      <c r="D69" s="480"/>
      <c r="E69" s="480"/>
      <c r="F69" s="480"/>
      <c r="G69" s="480"/>
      <c r="H69" s="480"/>
      <c r="I69" s="480"/>
      <c r="J69" s="480"/>
      <c r="K69" s="480">
        <f>SUM(D69:J69)</f>
        <v>0</v>
      </c>
      <c r="L69" s="17"/>
    </row>
    <row r="70" spans="1:12">
      <c r="A70" s="13"/>
      <c r="B70" s="18" t="s">
        <v>91</v>
      </c>
      <c r="C70" s="15" t="s">
        <v>85</v>
      </c>
      <c r="D70" s="480"/>
      <c r="E70" s="480"/>
      <c r="F70" s="480"/>
      <c r="G70" s="480"/>
      <c r="H70" s="480"/>
      <c r="I70" s="480"/>
      <c r="J70" s="480"/>
      <c r="K70" s="480"/>
      <c r="L70" s="17"/>
    </row>
    <row r="71" spans="1:12" ht="54">
      <c r="A71" s="19" t="s">
        <v>92</v>
      </c>
      <c r="B71" s="14" t="s">
        <v>93</v>
      </c>
      <c r="C71" s="15"/>
      <c r="D71" s="480">
        <f>SUM(D72:D75)</f>
        <v>0</v>
      </c>
      <c r="E71" s="480">
        <f t="shared" ref="E71:J71" si="20">SUM(E72:E75)</f>
        <v>0</v>
      </c>
      <c r="F71" s="480">
        <f t="shared" si="20"/>
        <v>0</v>
      </c>
      <c r="G71" s="480">
        <f t="shared" si="20"/>
        <v>0</v>
      </c>
      <c r="H71" s="480">
        <f t="shared" si="20"/>
        <v>0</v>
      </c>
      <c r="I71" s="480">
        <f t="shared" si="20"/>
        <v>0</v>
      </c>
      <c r="J71" s="480">
        <f t="shared" si="20"/>
        <v>0</v>
      </c>
      <c r="K71" s="480">
        <f>SUM(D71:J71)</f>
        <v>0</v>
      </c>
      <c r="L71" s="17"/>
    </row>
    <row r="72" spans="1:12" ht="26">
      <c r="A72" s="13"/>
      <c r="B72" s="18" t="s">
        <v>115</v>
      </c>
      <c r="C72" s="15" t="s">
        <v>85</v>
      </c>
      <c r="D72" s="480"/>
      <c r="E72" s="480"/>
      <c r="F72" s="480"/>
      <c r="G72" s="480"/>
      <c r="H72" s="480"/>
      <c r="I72" s="480"/>
      <c r="J72" s="480"/>
      <c r="K72" s="480">
        <f>SUM(D72:J72)</f>
        <v>0</v>
      </c>
      <c r="L72" s="17"/>
    </row>
    <row r="73" spans="1:12">
      <c r="A73" s="13"/>
      <c r="B73" s="18" t="s">
        <v>89</v>
      </c>
      <c r="C73" s="15" t="s">
        <v>85</v>
      </c>
      <c r="D73" s="480"/>
      <c r="E73" s="480"/>
      <c r="F73" s="480"/>
      <c r="G73" s="480"/>
      <c r="H73" s="480"/>
      <c r="I73" s="480"/>
      <c r="J73" s="480"/>
      <c r="K73" s="480">
        <f>SUM(D73:J73)</f>
        <v>0</v>
      </c>
      <c r="L73" s="17"/>
    </row>
    <row r="74" spans="1:12">
      <c r="A74" s="13"/>
      <c r="B74" s="18" t="s">
        <v>90</v>
      </c>
      <c r="C74" s="15" t="s">
        <v>85</v>
      </c>
      <c r="D74" s="480"/>
      <c r="E74" s="480"/>
      <c r="F74" s="480"/>
      <c r="G74" s="480"/>
      <c r="H74" s="480"/>
      <c r="I74" s="480"/>
      <c r="J74" s="480"/>
      <c r="K74" s="480">
        <f>SUM(D74:J74)</f>
        <v>0</v>
      </c>
      <c r="L74" s="17"/>
    </row>
    <row r="75" spans="1:12">
      <c r="A75" s="13"/>
      <c r="B75" s="18" t="s">
        <v>91</v>
      </c>
      <c r="C75" s="15" t="s">
        <v>85</v>
      </c>
      <c r="D75" s="480"/>
      <c r="E75" s="480"/>
      <c r="F75" s="480"/>
      <c r="G75" s="480"/>
      <c r="H75" s="480"/>
      <c r="I75" s="480"/>
      <c r="J75" s="480"/>
      <c r="K75" s="480"/>
      <c r="L75" s="17"/>
    </row>
    <row r="76" spans="1:12" ht="54">
      <c r="A76" s="19" t="s">
        <v>94</v>
      </c>
      <c r="B76" s="20" t="s">
        <v>110</v>
      </c>
      <c r="C76" s="15" t="s">
        <v>85</v>
      </c>
      <c r="D76" s="480"/>
      <c r="E76" s="480"/>
      <c r="F76" s="480"/>
      <c r="G76" s="480"/>
      <c r="H76" s="480"/>
      <c r="I76" s="480"/>
      <c r="J76" s="480"/>
      <c r="K76" s="480">
        <f>SUM(D76:J76)</f>
        <v>0</v>
      </c>
      <c r="L76" s="17"/>
    </row>
    <row r="77" spans="1:12" ht="61.5" customHeight="1">
      <c r="A77" s="19"/>
      <c r="B77" s="18" t="s">
        <v>96</v>
      </c>
      <c r="C77" s="15"/>
      <c r="D77" s="480"/>
      <c r="E77" s="480"/>
      <c r="F77" s="480"/>
      <c r="G77" s="480"/>
      <c r="H77" s="480"/>
      <c r="I77" s="480"/>
      <c r="J77" s="480"/>
      <c r="K77" s="480">
        <f>SUM(D77:J77)</f>
        <v>0</v>
      </c>
      <c r="L77" s="17"/>
    </row>
    <row r="78" spans="1:12" ht="67.5">
      <c r="A78" s="19" t="s">
        <v>97</v>
      </c>
      <c r="B78" s="14" t="s">
        <v>98</v>
      </c>
      <c r="C78" s="21" t="s">
        <v>85</v>
      </c>
      <c r="D78" s="482">
        <f>SUM(D79:D82)</f>
        <v>0</v>
      </c>
      <c r="E78" s="482">
        <f t="shared" ref="E78:J78" si="21">SUM(E79:E82)</f>
        <v>0</v>
      </c>
      <c r="F78" s="482">
        <f t="shared" si="21"/>
        <v>0</v>
      </c>
      <c r="G78" s="482">
        <f t="shared" si="21"/>
        <v>0</v>
      </c>
      <c r="H78" s="482">
        <f t="shared" si="21"/>
        <v>0</v>
      </c>
      <c r="I78" s="482">
        <f t="shared" si="21"/>
        <v>0</v>
      </c>
      <c r="J78" s="482">
        <f t="shared" si="21"/>
        <v>0</v>
      </c>
      <c r="K78" s="482">
        <f>SUM(D78:J78)</f>
        <v>0</v>
      </c>
      <c r="L78" s="23"/>
    </row>
    <row r="79" spans="1:12" ht="26">
      <c r="A79" s="13"/>
      <c r="B79" s="18" t="s">
        <v>116</v>
      </c>
      <c r="C79" s="15" t="s">
        <v>85</v>
      </c>
      <c r="D79" s="480"/>
      <c r="E79" s="480"/>
      <c r="F79" s="480"/>
      <c r="G79" s="480"/>
      <c r="H79" s="480"/>
      <c r="I79" s="480"/>
      <c r="J79" s="480"/>
      <c r="K79" s="480">
        <f>SUM(D79:J79)</f>
        <v>0</v>
      </c>
      <c r="L79" s="17"/>
    </row>
    <row r="80" spans="1:12">
      <c r="A80" s="13"/>
      <c r="B80" s="18" t="s">
        <v>90</v>
      </c>
      <c r="C80" s="15" t="s">
        <v>85</v>
      </c>
      <c r="D80" s="480"/>
      <c r="E80" s="480"/>
      <c r="F80" s="480"/>
      <c r="G80" s="480"/>
      <c r="H80" s="480"/>
      <c r="I80" s="480"/>
      <c r="J80" s="480"/>
      <c r="K80" s="480">
        <f>SUM(D80:J80)</f>
        <v>0</v>
      </c>
      <c r="L80" s="17"/>
    </row>
    <row r="81" spans="1:12">
      <c r="A81" s="13"/>
      <c r="B81" s="18" t="s">
        <v>91</v>
      </c>
      <c r="C81" s="15" t="s">
        <v>85</v>
      </c>
      <c r="D81" s="480"/>
      <c r="E81" s="480"/>
      <c r="F81" s="480"/>
      <c r="G81" s="480"/>
      <c r="H81" s="480"/>
      <c r="I81" s="480"/>
      <c r="J81" s="480"/>
      <c r="K81" s="480"/>
      <c r="L81" s="17"/>
    </row>
    <row r="82" spans="1:12" ht="15.75" customHeight="1">
      <c r="A82" s="19"/>
      <c r="B82" s="18" t="s">
        <v>103</v>
      </c>
      <c r="C82" s="15" t="s">
        <v>85</v>
      </c>
      <c r="D82" s="480">
        <f>+D77</f>
        <v>0</v>
      </c>
      <c r="E82" s="480">
        <f t="shared" ref="E82:J82" si="22">+E77</f>
        <v>0</v>
      </c>
      <c r="F82" s="480">
        <f t="shared" si="22"/>
        <v>0</v>
      </c>
      <c r="G82" s="480">
        <f t="shared" si="22"/>
        <v>0</v>
      </c>
      <c r="H82" s="480">
        <f t="shared" si="22"/>
        <v>0</v>
      </c>
      <c r="I82" s="480">
        <f t="shared" si="22"/>
        <v>0</v>
      </c>
      <c r="J82" s="480">
        <f t="shared" si="22"/>
        <v>0</v>
      </c>
      <c r="K82" s="480">
        <f>SUM(D82:J82)</f>
        <v>0</v>
      </c>
      <c r="L82" s="17"/>
    </row>
    <row r="83" spans="1:12" ht="23.25" customHeight="1">
      <c r="A83" s="258" t="s">
        <v>117</v>
      </c>
      <c r="B83" s="259" t="s">
        <v>119</v>
      </c>
      <c r="C83" s="260"/>
      <c r="D83" s="478"/>
      <c r="E83" s="478"/>
      <c r="F83" s="478"/>
      <c r="G83" s="478"/>
      <c r="H83" s="478"/>
      <c r="I83" s="478"/>
      <c r="J83" s="478"/>
      <c r="K83" s="479"/>
      <c r="L83" s="261"/>
    </row>
    <row r="84" spans="1:12" ht="67.5">
      <c r="A84" s="13" t="s">
        <v>83</v>
      </c>
      <c r="B84" s="14" t="s">
        <v>84</v>
      </c>
      <c r="C84" s="15" t="s">
        <v>85</v>
      </c>
      <c r="D84" s="480">
        <f t="shared" ref="D84:J84" si="23">SUM(D85:D89)</f>
        <v>0</v>
      </c>
      <c r="E84" s="480">
        <f t="shared" si="23"/>
        <v>0</v>
      </c>
      <c r="F84" s="480">
        <f t="shared" si="23"/>
        <v>0</v>
      </c>
      <c r="G84" s="480">
        <f t="shared" si="23"/>
        <v>0</v>
      </c>
      <c r="H84" s="480">
        <f t="shared" si="23"/>
        <v>0</v>
      </c>
      <c r="I84" s="480">
        <f t="shared" si="23"/>
        <v>0</v>
      </c>
      <c r="J84" s="480">
        <f t="shared" si="23"/>
        <v>0</v>
      </c>
      <c r="K84" s="480">
        <f>SUM(D84:J84)</f>
        <v>0</v>
      </c>
      <c r="L84" s="17"/>
    </row>
    <row r="85" spans="1:12" ht="26">
      <c r="A85" s="13"/>
      <c r="B85" s="18" t="s">
        <v>120</v>
      </c>
      <c r="C85" s="15" t="s">
        <v>85</v>
      </c>
      <c r="D85" s="480"/>
      <c r="E85" s="480"/>
      <c r="F85" s="480"/>
      <c r="G85" s="480"/>
      <c r="H85" s="480"/>
      <c r="I85" s="480"/>
      <c r="J85" s="480"/>
      <c r="K85" s="480">
        <f>SUM(D85:J85)</f>
        <v>0</v>
      </c>
      <c r="L85" s="17"/>
    </row>
    <row r="86" spans="1:12">
      <c r="A86" s="13"/>
      <c r="B86" s="18" t="s">
        <v>88</v>
      </c>
      <c r="C86" s="15" t="s">
        <v>85</v>
      </c>
      <c r="D86" s="480"/>
      <c r="E86" s="480"/>
      <c r="F86" s="480"/>
      <c r="G86" s="480"/>
      <c r="H86" s="480"/>
      <c r="I86" s="480"/>
      <c r="J86" s="480"/>
      <c r="K86" s="480">
        <f>SUM(D86:J86)</f>
        <v>0</v>
      </c>
      <c r="L86" s="17"/>
    </row>
    <row r="87" spans="1:12">
      <c r="A87" s="13"/>
      <c r="B87" s="18" t="s">
        <v>89</v>
      </c>
      <c r="C87" s="15" t="s">
        <v>85</v>
      </c>
      <c r="D87" s="480"/>
      <c r="E87" s="480"/>
      <c r="F87" s="480"/>
      <c r="G87" s="480"/>
      <c r="H87" s="480"/>
      <c r="I87" s="480"/>
      <c r="J87" s="480"/>
      <c r="K87" s="480">
        <f>SUM(D87:J87)</f>
        <v>0</v>
      </c>
      <c r="L87" s="17"/>
    </row>
    <row r="88" spans="1:12">
      <c r="A88" s="13"/>
      <c r="B88" s="18" t="s">
        <v>90</v>
      </c>
      <c r="C88" s="15" t="s">
        <v>85</v>
      </c>
      <c r="D88" s="480"/>
      <c r="E88" s="480"/>
      <c r="F88" s="480"/>
      <c r="G88" s="480"/>
      <c r="H88" s="480"/>
      <c r="I88" s="480"/>
      <c r="J88" s="480"/>
      <c r="K88" s="480">
        <f>SUM(D88:J88)</f>
        <v>0</v>
      </c>
      <c r="L88" s="17"/>
    </row>
    <row r="89" spans="1:12">
      <c r="A89" s="13"/>
      <c r="B89" s="18" t="s">
        <v>91</v>
      </c>
      <c r="C89" s="15" t="s">
        <v>85</v>
      </c>
      <c r="D89" s="480"/>
      <c r="E89" s="480"/>
      <c r="F89" s="480"/>
      <c r="G89" s="480"/>
      <c r="H89" s="480"/>
      <c r="I89" s="480"/>
      <c r="J89" s="480"/>
      <c r="K89" s="480"/>
      <c r="L89" s="17"/>
    </row>
    <row r="90" spans="1:12" ht="54">
      <c r="A90" s="19" t="s">
        <v>92</v>
      </c>
      <c r="B90" s="14" t="s">
        <v>93</v>
      </c>
      <c r="C90" s="15"/>
      <c r="D90" s="480">
        <f t="shared" ref="D90:J90" si="24">SUM(D91:D95)</f>
        <v>0</v>
      </c>
      <c r="E90" s="480">
        <f t="shared" si="24"/>
        <v>0</v>
      </c>
      <c r="F90" s="480">
        <f t="shared" si="24"/>
        <v>0</v>
      </c>
      <c r="G90" s="480">
        <f t="shared" si="24"/>
        <v>0</v>
      </c>
      <c r="H90" s="480">
        <f t="shared" si="24"/>
        <v>0</v>
      </c>
      <c r="I90" s="480">
        <f t="shared" si="24"/>
        <v>0</v>
      </c>
      <c r="J90" s="480">
        <f t="shared" si="24"/>
        <v>0</v>
      </c>
      <c r="K90" s="480">
        <f>SUM(D90:J90)</f>
        <v>0</v>
      </c>
      <c r="L90" s="17"/>
    </row>
    <row r="91" spans="1:12" ht="26">
      <c r="A91" s="13"/>
      <c r="B91" s="18" t="s">
        <v>120</v>
      </c>
      <c r="C91" s="15" t="s">
        <v>85</v>
      </c>
      <c r="D91" s="480"/>
      <c r="E91" s="480"/>
      <c r="F91" s="480"/>
      <c r="G91" s="480"/>
      <c r="H91" s="480"/>
      <c r="I91" s="480"/>
      <c r="J91" s="480"/>
      <c r="K91" s="480">
        <f>SUM(D91:J91)</f>
        <v>0</v>
      </c>
      <c r="L91" s="17"/>
    </row>
    <row r="92" spans="1:12">
      <c r="A92" s="13"/>
      <c r="B92" s="18" t="s">
        <v>88</v>
      </c>
      <c r="C92" s="15" t="s">
        <v>85</v>
      </c>
      <c r="D92" s="480"/>
      <c r="E92" s="480"/>
      <c r="F92" s="480"/>
      <c r="G92" s="480"/>
      <c r="H92" s="480"/>
      <c r="I92" s="480"/>
      <c r="J92" s="480"/>
      <c r="K92" s="480">
        <f>SUM(D92:J92)</f>
        <v>0</v>
      </c>
      <c r="L92" s="17"/>
    </row>
    <row r="93" spans="1:12">
      <c r="A93" s="13"/>
      <c r="B93" s="18" t="s">
        <v>89</v>
      </c>
      <c r="C93" s="15" t="s">
        <v>85</v>
      </c>
      <c r="D93" s="480"/>
      <c r="E93" s="480"/>
      <c r="F93" s="480"/>
      <c r="G93" s="480"/>
      <c r="H93" s="480"/>
      <c r="I93" s="480"/>
      <c r="J93" s="480"/>
      <c r="K93" s="480">
        <f>SUM(D93:J93)</f>
        <v>0</v>
      </c>
      <c r="L93" s="17"/>
    </row>
    <row r="94" spans="1:12">
      <c r="A94" s="13"/>
      <c r="B94" s="18" t="s">
        <v>90</v>
      </c>
      <c r="C94" s="15" t="s">
        <v>85</v>
      </c>
      <c r="D94" s="480"/>
      <c r="E94" s="480"/>
      <c r="F94" s="480"/>
      <c r="G94" s="480"/>
      <c r="H94" s="480"/>
      <c r="I94" s="480"/>
      <c r="J94" s="480"/>
      <c r="K94" s="480">
        <f>SUM(D94:J94)</f>
        <v>0</v>
      </c>
      <c r="L94" s="17"/>
    </row>
    <row r="95" spans="1:12">
      <c r="A95" s="13"/>
      <c r="B95" s="18" t="s">
        <v>91</v>
      </c>
      <c r="C95" s="15" t="s">
        <v>85</v>
      </c>
      <c r="D95" s="480"/>
      <c r="E95" s="480"/>
      <c r="F95" s="480"/>
      <c r="G95" s="480"/>
      <c r="H95" s="480"/>
      <c r="I95" s="480"/>
      <c r="J95" s="480"/>
      <c r="K95" s="480"/>
      <c r="L95" s="17"/>
    </row>
    <row r="96" spans="1:12" ht="54">
      <c r="A96" s="19" t="s">
        <v>94</v>
      </c>
      <c r="B96" s="20" t="s">
        <v>110</v>
      </c>
      <c r="C96" s="15" t="s">
        <v>85</v>
      </c>
      <c r="D96" s="480"/>
      <c r="E96" s="480"/>
      <c r="F96" s="480"/>
      <c r="G96" s="480"/>
      <c r="H96" s="480"/>
      <c r="I96" s="480"/>
      <c r="J96" s="480"/>
      <c r="K96" s="480">
        <f t="shared" ref="K96:K104" si="25">SUM(D96:J96)</f>
        <v>0</v>
      </c>
      <c r="L96" s="17"/>
    </row>
    <row r="97" spans="1:12" ht="61.5" customHeight="1">
      <c r="A97" s="19"/>
      <c r="B97" s="18" t="s">
        <v>96</v>
      </c>
      <c r="C97" s="15"/>
      <c r="D97" s="480"/>
      <c r="E97" s="480"/>
      <c r="F97" s="480"/>
      <c r="G97" s="480"/>
      <c r="H97" s="480"/>
      <c r="I97" s="480"/>
      <c r="J97" s="480"/>
      <c r="K97" s="480">
        <f t="shared" si="25"/>
        <v>0</v>
      </c>
      <c r="L97" s="17"/>
    </row>
    <row r="98" spans="1:12" ht="67.5">
      <c r="A98" s="19" t="s">
        <v>97</v>
      </c>
      <c r="B98" s="14" t="s">
        <v>98</v>
      </c>
      <c r="C98" s="21" t="s">
        <v>85</v>
      </c>
      <c r="D98" s="482">
        <f t="shared" ref="D98:J98" si="26">SUM(D99:D103)</f>
        <v>0</v>
      </c>
      <c r="E98" s="482">
        <f t="shared" si="26"/>
        <v>0</v>
      </c>
      <c r="F98" s="482">
        <f t="shared" si="26"/>
        <v>0</v>
      </c>
      <c r="G98" s="482">
        <f t="shared" si="26"/>
        <v>0</v>
      </c>
      <c r="H98" s="482">
        <f t="shared" si="26"/>
        <v>0</v>
      </c>
      <c r="I98" s="482">
        <f t="shared" si="26"/>
        <v>0</v>
      </c>
      <c r="J98" s="482">
        <f t="shared" si="26"/>
        <v>0</v>
      </c>
      <c r="K98" s="482">
        <f t="shared" si="25"/>
        <v>0</v>
      </c>
      <c r="L98" s="23"/>
    </row>
    <row r="99" spans="1:12">
      <c r="A99" s="13"/>
      <c r="B99" s="18" t="s">
        <v>86</v>
      </c>
      <c r="C99" s="15" t="s">
        <v>85</v>
      </c>
      <c r="D99" s="480">
        <f>+D85-D91</f>
        <v>0</v>
      </c>
      <c r="E99" s="480">
        <f t="shared" ref="E99:J99" si="27">+E85-E91</f>
        <v>0</v>
      </c>
      <c r="F99" s="480">
        <f t="shared" si="27"/>
        <v>0</v>
      </c>
      <c r="G99" s="480">
        <f t="shared" si="27"/>
        <v>0</v>
      </c>
      <c r="H99" s="480">
        <f t="shared" si="27"/>
        <v>0</v>
      </c>
      <c r="I99" s="480">
        <f t="shared" si="27"/>
        <v>0</v>
      </c>
      <c r="J99" s="480">
        <f t="shared" si="27"/>
        <v>0</v>
      </c>
      <c r="K99" s="480">
        <f t="shared" si="25"/>
        <v>0</v>
      </c>
      <c r="L99" s="17"/>
    </row>
    <row r="100" spans="1:12">
      <c r="A100" s="13"/>
      <c r="B100" s="18" t="s">
        <v>99</v>
      </c>
      <c r="C100" s="15" t="s">
        <v>85</v>
      </c>
      <c r="D100" s="480">
        <f>+D86-D92</f>
        <v>0</v>
      </c>
      <c r="E100" s="480">
        <f t="shared" ref="E100:J103" si="28">+E86-E92</f>
        <v>0</v>
      </c>
      <c r="F100" s="480">
        <f t="shared" si="28"/>
        <v>0</v>
      </c>
      <c r="G100" s="480">
        <f t="shared" si="28"/>
        <v>0</v>
      </c>
      <c r="H100" s="480">
        <f t="shared" si="28"/>
        <v>0</v>
      </c>
      <c r="I100" s="480">
        <f t="shared" si="28"/>
        <v>0</v>
      </c>
      <c r="J100" s="480">
        <f t="shared" si="28"/>
        <v>0</v>
      </c>
      <c r="K100" s="480">
        <f t="shared" si="25"/>
        <v>0</v>
      </c>
      <c r="L100" s="17"/>
    </row>
    <row r="101" spans="1:12">
      <c r="A101" s="13"/>
      <c r="B101" s="18" t="s">
        <v>100</v>
      </c>
      <c r="C101" s="15" t="s">
        <v>85</v>
      </c>
      <c r="D101" s="480">
        <f>+D87-D93</f>
        <v>0</v>
      </c>
      <c r="E101" s="480">
        <f t="shared" si="28"/>
        <v>0</v>
      </c>
      <c r="F101" s="480">
        <f t="shared" si="28"/>
        <v>0</v>
      </c>
      <c r="G101" s="480">
        <f t="shared" si="28"/>
        <v>0</v>
      </c>
      <c r="H101" s="480">
        <f t="shared" si="28"/>
        <v>0</v>
      </c>
      <c r="I101" s="480">
        <f t="shared" si="28"/>
        <v>0</v>
      </c>
      <c r="J101" s="480">
        <f t="shared" si="28"/>
        <v>0</v>
      </c>
      <c r="K101" s="480">
        <f t="shared" si="25"/>
        <v>0</v>
      </c>
      <c r="L101" s="17"/>
    </row>
    <row r="102" spans="1:12">
      <c r="A102" s="13"/>
      <c r="B102" s="18" t="s">
        <v>101</v>
      </c>
      <c r="C102" s="15" t="s">
        <v>85</v>
      </c>
      <c r="D102" s="480">
        <f>+D88-D94</f>
        <v>0</v>
      </c>
      <c r="E102" s="480">
        <f t="shared" si="28"/>
        <v>0</v>
      </c>
      <c r="F102" s="480">
        <f t="shared" si="28"/>
        <v>0</v>
      </c>
      <c r="G102" s="480">
        <f t="shared" si="28"/>
        <v>0</v>
      </c>
      <c r="H102" s="480">
        <f t="shared" si="28"/>
        <v>0</v>
      </c>
      <c r="I102" s="480">
        <f t="shared" si="28"/>
        <v>0</v>
      </c>
      <c r="J102" s="480">
        <f t="shared" si="28"/>
        <v>0</v>
      </c>
      <c r="K102" s="480">
        <f t="shared" si="25"/>
        <v>0</v>
      </c>
      <c r="L102" s="17"/>
    </row>
    <row r="103" spans="1:12">
      <c r="A103" s="13"/>
      <c r="B103" s="18" t="s">
        <v>102</v>
      </c>
      <c r="C103" s="15" t="s">
        <v>85</v>
      </c>
      <c r="D103" s="480">
        <f>+D89-D95</f>
        <v>0</v>
      </c>
      <c r="E103" s="480">
        <f t="shared" si="28"/>
        <v>0</v>
      </c>
      <c r="F103" s="480">
        <f t="shared" si="28"/>
        <v>0</v>
      </c>
      <c r="G103" s="480">
        <f t="shared" si="28"/>
        <v>0</v>
      </c>
      <c r="H103" s="480">
        <f t="shared" si="28"/>
        <v>0</v>
      </c>
      <c r="I103" s="480">
        <f t="shared" si="28"/>
        <v>0</v>
      </c>
      <c r="J103" s="480">
        <f t="shared" si="28"/>
        <v>0</v>
      </c>
      <c r="K103" s="480">
        <f t="shared" si="25"/>
        <v>0</v>
      </c>
      <c r="L103" s="17"/>
    </row>
    <row r="104" spans="1:12" ht="15.75" customHeight="1">
      <c r="A104" s="19"/>
      <c r="B104" s="18" t="s">
        <v>103</v>
      </c>
      <c r="C104" s="15" t="s">
        <v>85</v>
      </c>
      <c r="D104" s="480">
        <f>+D97</f>
        <v>0</v>
      </c>
      <c r="E104" s="480">
        <f t="shared" ref="E104:J104" si="29">+E97</f>
        <v>0</v>
      </c>
      <c r="F104" s="480">
        <f t="shared" si="29"/>
        <v>0</v>
      </c>
      <c r="G104" s="480">
        <f t="shared" si="29"/>
        <v>0</v>
      </c>
      <c r="H104" s="480">
        <f t="shared" si="29"/>
        <v>0</v>
      </c>
      <c r="I104" s="480">
        <f t="shared" si="29"/>
        <v>0</v>
      </c>
      <c r="J104" s="480">
        <f t="shared" si="29"/>
        <v>0</v>
      </c>
      <c r="K104" s="480">
        <f t="shared" si="25"/>
        <v>0</v>
      </c>
      <c r="L104" s="17"/>
    </row>
    <row r="105" spans="1:12" ht="23.25" customHeight="1">
      <c r="A105" s="258" t="s">
        <v>121</v>
      </c>
      <c r="B105" s="259" t="s">
        <v>122</v>
      </c>
      <c r="C105" s="260"/>
      <c r="D105" s="478"/>
      <c r="E105" s="478"/>
      <c r="F105" s="478"/>
      <c r="G105" s="478"/>
      <c r="H105" s="478"/>
      <c r="I105" s="478"/>
      <c r="J105" s="478"/>
      <c r="K105" s="479"/>
      <c r="L105" s="261"/>
    </row>
    <row r="106" spans="1:12" ht="67.5">
      <c r="A106" s="254" t="s">
        <v>123</v>
      </c>
      <c r="B106" s="14" t="s">
        <v>84</v>
      </c>
      <c r="C106" s="254"/>
      <c r="D106" s="483"/>
      <c r="E106" s="483"/>
      <c r="F106" s="483"/>
      <c r="G106" s="483"/>
      <c r="H106" s="483"/>
      <c r="I106" s="483"/>
      <c r="J106" s="483"/>
      <c r="K106" s="483"/>
      <c r="L106" s="257"/>
    </row>
    <row r="107" spans="1:12" ht="54">
      <c r="A107" s="254" t="s">
        <v>124</v>
      </c>
      <c r="B107" s="14" t="s">
        <v>93</v>
      </c>
      <c r="C107" s="254"/>
      <c r="D107" s="483"/>
      <c r="E107" s="483"/>
      <c r="F107" s="483"/>
      <c r="G107" s="483"/>
      <c r="H107" s="483"/>
      <c r="I107" s="483"/>
      <c r="J107" s="483"/>
      <c r="K107" s="483"/>
      <c r="L107" s="257"/>
    </row>
    <row r="108" spans="1:12" ht="54">
      <c r="A108" s="254" t="s">
        <v>125</v>
      </c>
      <c r="B108" s="20" t="s">
        <v>110</v>
      </c>
      <c r="C108" s="254"/>
      <c r="D108" s="483"/>
      <c r="E108" s="483"/>
      <c r="F108" s="483"/>
      <c r="G108" s="483"/>
      <c r="H108" s="483"/>
      <c r="I108" s="483"/>
      <c r="J108" s="483"/>
      <c r="K108" s="483"/>
      <c r="L108" s="257"/>
    </row>
    <row r="109" spans="1:12" ht="67.5">
      <c r="A109" s="254" t="s">
        <v>126</v>
      </c>
      <c r="B109" s="14" t="s">
        <v>98</v>
      </c>
      <c r="C109" s="254"/>
      <c r="D109" s="483"/>
      <c r="E109" s="483"/>
      <c r="F109" s="483"/>
      <c r="G109" s="483"/>
      <c r="H109" s="483"/>
      <c r="I109" s="483"/>
      <c r="J109" s="483"/>
      <c r="K109" s="483"/>
      <c r="L109" s="257"/>
    </row>
    <row r="110" spans="1:12">
      <c r="A110" s="254"/>
      <c r="B110" s="255"/>
      <c r="C110" s="254"/>
      <c r="D110" s="483"/>
      <c r="E110" s="483"/>
      <c r="F110" s="483"/>
      <c r="G110" s="483"/>
      <c r="H110" s="483"/>
      <c r="I110" s="483"/>
      <c r="J110" s="483"/>
      <c r="K110" s="483"/>
      <c r="L110" s="257"/>
    </row>
    <row r="111" spans="1:12">
      <c r="A111" s="254"/>
      <c r="B111" s="255"/>
      <c r="C111" s="254"/>
      <c r="D111" s="483"/>
      <c r="E111" s="483"/>
      <c r="F111" s="483"/>
      <c r="G111" s="483"/>
      <c r="H111" s="483"/>
      <c r="I111" s="483"/>
      <c r="J111" s="483"/>
      <c r="K111" s="483"/>
      <c r="L111" s="257"/>
    </row>
    <row r="112" spans="1:12">
      <c r="A112" s="254"/>
      <c r="B112" s="255"/>
      <c r="C112" s="254"/>
      <c r="D112" s="483"/>
      <c r="E112" s="483"/>
      <c r="F112" s="483"/>
      <c r="G112" s="483"/>
      <c r="H112" s="483"/>
      <c r="I112" s="483"/>
      <c r="J112" s="483"/>
      <c r="K112" s="483"/>
      <c r="L112" s="257"/>
    </row>
    <row r="113" spans="1:12">
      <c r="A113" s="97"/>
      <c r="B113" s="98"/>
      <c r="C113" s="98"/>
      <c r="D113" s="98"/>
      <c r="E113" s="98"/>
      <c r="F113" s="98"/>
      <c r="G113" s="98"/>
      <c r="H113" s="98"/>
      <c r="I113" s="98"/>
      <c r="J113" s="721"/>
      <c r="K113" s="721"/>
      <c r="L113" s="721"/>
    </row>
    <row r="114" spans="1:12">
      <c r="A114" s="262"/>
      <c r="B114" s="263"/>
      <c r="C114" s="264"/>
      <c r="D114" s="264"/>
      <c r="E114" s="264"/>
      <c r="F114" s="264"/>
      <c r="G114" s="264"/>
      <c r="H114" s="264"/>
      <c r="I114" s="264"/>
      <c r="K114" s="119"/>
      <c r="L114" s="120" t="s">
        <v>127</v>
      </c>
    </row>
    <row r="115" spans="1:12" ht="15.5">
      <c r="A115" s="715"/>
      <c r="B115" s="715"/>
      <c r="C115" s="715"/>
      <c r="D115" s="265"/>
      <c r="E115" s="265"/>
      <c r="F115" s="265"/>
      <c r="G115" s="265"/>
      <c r="H115" s="265"/>
      <c r="I115" s="265"/>
      <c r="J115" s="716" t="s">
        <v>128</v>
      </c>
      <c r="K115" s="716"/>
      <c r="L115" s="716"/>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cols>
    <col min="1" max="1" width="5.1796875" style="158" customWidth="1"/>
    <col min="2" max="2" width="40.1796875" style="158" customWidth="1"/>
    <col min="3" max="3" width="18.54296875" style="158" customWidth="1"/>
    <col min="4" max="4" width="20.7265625" style="158" customWidth="1"/>
    <col min="5" max="16384" width="9" style="158"/>
  </cols>
  <sheetData>
    <row r="1" spans="1:6">
      <c r="A1" s="861" t="s">
        <v>680</v>
      </c>
      <c r="B1" s="861"/>
      <c r="C1" s="156"/>
      <c r="D1" s="100" t="s">
        <v>681</v>
      </c>
      <c r="E1" s="156"/>
      <c r="F1" s="156"/>
    </row>
    <row r="2" spans="1:6">
      <c r="A2" s="863" t="s">
        <v>682</v>
      </c>
      <c r="B2" s="863"/>
      <c r="C2" s="156"/>
      <c r="D2" s="156"/>
      <c r="E2" s="156"/>
      <c r="F2" s="156"/>
    </row>
    <row r="3" spans="1:6">
      <c r="A3" s="156"/>
      <c r="B3" s="156"/>
      <c r="C3" s="156"/>
      <c r="D3" s="156"/>
      <c r="E3" s="156"/>
      <c r="F3" s="156"/>
    </row>
    <row r="4" spans="1:6">
      <c r="A4" s="864" t="s">
        <v>60</v>
      </c>
      <c r="B4" s="864"/>
      <c r="C4" s="864"/>
      <c r="D4" s="864"/>
      <c r="E4" s="156"/>
      <c r="F4" s="156"/>
    </row>
    <row r="5" spans="1:6" ht="18.5" thickBot="1">
      <c r="A5" s="156"/>
      <c r="B5" s="156"/>
      <c r="C5" s="868" t="s">
        <v>610</v>
      </c>
      <c r="D5" s="868"/>
      <c r="E5" s="156"/>
      <c r="F5" s="156"/>
    </row>
    <row r="6" spans="1:6" s="73" customFormat="1" ht="15.5" thickTop="1">
      <c r="A6" s="160" t="s">
        <v>3</v>
      </c>
      <c r="B6" s="161" t="s">
        <v>69</v>
      </c>
      <c r="C6" s="162" t="s">
        <v>683</v>
      </c>
      <c r="D6" s="163" t="s">
        <v>7</v>
      </c>
      <c r="E6" s="164"/>
      <c r="F6" s="164"/>
    </row>
    <row r="7" spans="1:6" s="130" customFormat="1" ht="15">
      <c r="A7" s="165" t="s">
        <v>79</v>
      </c>
      <c r="B7" s="166" t="s">
        <v>684</v>
      </c>
      <c r="C7" s="672">
        <f>SUM(C8:C10)</f>
        <v>24116481</v>
      </c>
      <c r="D7" s="167"/>
      <c r="E7" s="168"/>
      <c r="F7" s="168"/>
    </row>
    <row r="8" spans="1:6" s="127" customFormat="1" ht="15.5">
      <c r="A8" s="203">
        <v>1</v>
      </c>
      <c r="B8" s="176" t="s">
        <v>552</v>
      </c>
      <c r="C8" s="671">
        <f>'9a Tong thu DH va SDH'!C26+'9a Tong thu DH va SDH'!P26</f>
        <v>24116481</v>
      </c>
      <c r="D8" s="204"/>
      <c r="E8" s="205"/>
      <c r="F8" s="205"/>
    </row>
    <row r="9" spans="1:6" s="127" customFormat="1" ht="15.5">
      <c r="A9" s="206">
        <v>2</v>
      </c>
      <c r="B9" s="177" t="s">
        <v>685</v>
      </c>
      <c r="C9" s="673">
        <f>'[1]Bieu 9-Tong hop thu'!E61</f>
        <v>0</v>
      </c>
      <c r="D9" s="174"/>
      <c r="E9" s="205"/>
      <c r="F9" s="205"/>
    </row>
    <row r="10" spans="1:6" s="127" customFormat="1" ht="15.5">
      <c r="A10" s="207">
        <v>3</v>
      </c>
      <c r="B10" s="177" t="s">
        <v>567</v>
      </c>
      <c r="C10" s="673">
        <f>'[1]Bieu 9-Tong hop thu'!E60-'[1]Bieu 9-Tong hop thu'!E61</f>
        <v>0</v>
      </c>
      <c r="D10" s="174"/>
      <c r="E10" s="205"/>
      <c r="F10" s="205"/>
    </row>
    <row r="11" spans="1:6" s="127" customFormat="1" ht="15.5">
      <c r="A11" s="208"/>
      <c r="B11" s="209"/>
      <c r="C11" s="674"/>
      <c r="D11" s="210"/>
      <c r="E11" s="205"/>
      <c r="F11" s="205"/>
    </row>
    <row r="12" spans="1:6" s="130" customFormat="1" ht="15">
      <c r="A12" s="165" t="s">
        <v>288</v>
      </c>
      <c r="B12" s="166" t="s">
        <v>686</v>
      </c>
      <c r="C12" s="672">
        <f>SUM(C13:C16)</f>
        <v>6551706.9481055196</v>
      </c>
      <c r="D12" s="167"/>
      <c r="E12" s="168"/>
      <c r="F12" s="168"/>
    </row>
    <row r="13" spans="1:6" s="127" customFormat="1" ht="15.5">
      <c r="A13" s="203">
        <v>1</v>
      </c>
      <c r="B13" s="176" t="s">
        <v>613</v>
      </c>
      <c r="C13" s="671">
        <f>'Bieu 10-Tong chi'!C8</f>
        <v>5575945.6481055198</v>
      </c>
      <c r="D13" s="204"/>
      <c r="E13" s="205"/>
      <c r="F13" s="205"/>
    </row>
    <row r="14" spans="1:6" s="127" customFormat="1" ht="15.5">
      <c r="A14" s="207">
        <v>2</v>
      </c>
      <c r="B14" s="177" t="s">
        <v>687</v>
      </c>
      <c r="C14" s="673">
        <f>'Bieu 10-Tong chi'!C19</f>
        <v>965761.3</v>
      </c>
      <c r="D14" s="174"/>
      <c r="E14" s="205"/>
      <c r="F14" s="205"/>
    </row>
    <row r="15" spans="1:6" s="127" customFormat="1" ht="15.5">
      <c r="A15" s="211">
        <v>3</v>
      </c>
      <c r="B15" s="184" t="s">
        <v>673</v>
      </c>
      <c r="C15" s="675">
        <f>'Bieu 10-Tong chi'!C33</f>
        <v>0</v>
      </c>
      <c r="D15" s="179"/>
      <c r="E15" s="205"/>
      <c r="F15" s="205"/>
    </row>
    <row r="16" spans="1:6" s="127" customFormat="1" ht="15.5">
      <c r="A16" s="211">
        <v>4</v>
      </c>
      <c r="B16" s="184" t="s">
        <v>440</v>
      </c>
      <c r="C16" s="675">
        <f>'Bieu 10-Tong chi'!C37</f>
        <v>10000</v>
      </c>
      <c r="D16" s="179"/>
      <c r="E16" s="205"/>
      <c r="F16" s="205"/>
    </row>
    <row r="17" spans="1:6" s="127" customFormat="1" ht="16" thickBot="1">
      <c r="A17" s="212"/>
      <c r="B17" s="213" t="s">
        <v>688</v>
      </c>
      <c r="C17" s="676">
        <f>C7-C12</f>
        <v>17564774.051894478</v>
      </c>
      <c r="D17" s="191"/>
      <c r="E17" s="205"/>
      <c r="F17" s="205"/>
    </row>
    <row r="18" spans="1:6" ht="18.5" thickTop="1">
      <c r="A18" s="156"/>
      <c r="B18" s="156"/>
      <c r="C18" s="869" t="s">
        <v>545</v>
      </c>
      <c r="D18" s="869"/>
      <c r="E18" s="156"/>
      <c r="F18" s="156"/>
    </row>
    <row r="19" spans="1:6">
      <c r="A19" s="156"/>
      <c r="B19" s="156"/>
      <c r="C19" s="867" t="s">
        <v>128</v>
      </c>
      <c r="D19" s="867"/>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5"/>
  <cols>
    <col min="1" max="1" width="4.54296875" style="155" customWidth="1"/>
    <col min="2" max="2" width="40.26953125" style="140" bestFit="1" customWidth="1"/>
    <col min="3" max="3" width="21.1796875" style="138" customWidth="1"/>
    <col min="4" max="4" width="19.1796875" style="138" customWidth="1"/>
    <col min="5" max="5" width="17.453125" style="138" customWidth="1"/>
    <col min="6" max="6" width="18.26953125" style="138" customWidth="1"/>
    <col min="7" max="7" width="16.54296875" style="140" customWidth="1"/>
    <col min="8" max="8" width="12.453125" style="140" bestFit="1" customWidth="1"/>
    <col min="9" max="9" width="9" style="140"/>
    <col min="10" max="10" width="41.54296875" style="140" bestFit="1" customWidth="1"/>
    <col min="11" max="11" width="15.1796875" style="140" customWidth="1"/>
    <col min="12" max="12" width="15.54296875" style="140" bestFit="1" customWidth="1"/>
    <col min="13" max="13" width="15.1796875" style="140" bestFit="1" customWidth="1"/>
    <col min="14" max="14" width="16.1796875" style="140" customWidth="1"/>
    <col min="15" max="256" width="9" style="140"/>
    <col min="257" max="257" width="4.54296875" style="140" customWidth="1"/>
    <col min="258" max="258" width="40.26953125" style="140" bestFit="1" customWidth="1"/>
    <col min="259" max="259" width="21.1796875" style="140" customWidth="1"/>
    <col min="260" max="260" width="19.1796875" style="140" customWidth="1"/>
    <col min="261" max="261" width="15.1796875" style="140" customWidth="1"/>
    <col min="262" max="262" width="14.453125" style="140" bestFit="1" customWidth="1"/>
    <col min="263" max="263" width="16.54296875" style="140" customWidth="1"/>
    <col min="264" max="512" width="9" style="140"/>
    <col min="513" max="513" width="4.54296875" style="140" customWidth="1"/>
    <col min="514" max="514" width="40.26953125" style="140" bestFit="1" customWidth="1"/>
    <col min="515" max="515" width="21.1796875" style="140" customWidth="1"/>
    <col min="516" max="516" width="19.1796875" style="140" customWidth="1"/>
    <col min="517" max="517" width="15.1796875" style="140" customWidth="1"/>
    <col min="518" max="518" width="14.453125" style="140" bestFit="1" customWidth="1"/>
    <col min="519" max="519" width="16.54296875" style="140" customWidth="1"/>
    <col min="520" max="768" width="9" style="140"/>
    <col min="769" max="769" width="4.54296875" style="140" customWidth="1"/>
    <col min="770" max="770" width="40.26953125" style="140" bestFit="1" customWidth="1"/>
    <col min="771" max="771" width="21.1796875" style="140" customWidth="1"/>
    <col min="772" max="772" width="19.1796875" style="140" customWidth="1"/>
    <col min="773" max="773" width="15.1796875" style="140" customWidth="1"/>
    <col min="774" max="774" width="14.453125" style="140" bestFit="1" customWidth="1"/>
    <col min="775" max="775" width="16.54296875" style="140" customWidth="1"/>
    <col min="776" max="1024" width="9" style="140"/>
    <col min="1025" max="1025" width="4.54296875" style="140" customWidth="1"/>
    <col min="1026" max="1026" width="40.26953125" style="140" bestFit="1" customWidth="1"/>
    <col min="1027" max="1027" width="21.1796875" style="140" customWidth="1"/>
    <col min="1028" max="1028" width="19.1796875" style="140" customWidth="1"/>
    <col min="1029" max="1029" width="15.1796875" style="140" customWidth="1"/>
    <col min="1030" max="1030" width="14.453125" style="140" bestFit="1" customWidth="1"/>
    <col min="1031" max="1031" width="16.54296875" style="140" customWidth="1"/>
    <col min="1032" max="1280" width="9" style="140"/>
    <col min="1281" max="1281" width="4.54296875" style="140" customWidth="1"/>
    <col min="1282" max="1282" width="40.26953125" style="140" bestFit="1" customWidth="1"/>
    <col min="1283" max="1283" width="21.1796875" style="140" customWidth="1"/>
    <col min="1284" max="1284" width="19.1796875" style="140" customWidth="1"/>
    <col min="1285" max="1285" width="15.1796875" style="140" customWidth="1"/>
    <col min="1286" max="1286" width="14.453125" style="140" bestFit="1" customWidth="1"/>
    <col min="1287" max="1287" width="16.54296875" style="140" customWidth="1"/>
    <col min="1288" max="1536" width="9" style="140"/>
    <col min="1537" max="1537" width="4.54296875" style="140" customWidth="1"/>
    <col min="1538" max="1538" width="40.26953125" style="140" bestFit="1" customWidth="1"/>
    <col min="1539" max="1539" width="21.1796875" style="140" customWidth="1"/>
    <col min="1540" max="1540" width="19.1796875" style="140" customWidth="1"/>
    <col min="1541" max="1541" width="15.1796875" style="140" customWidth="1"/>
    <col min="1542" max="1542" width="14.453125" style="140" bestFit="1" customWidth="1"/>
    <col min="1543" max="1543" width="16.54296875" style="140" customWidth="1"/>
    <col min="1544" max="1792" width="9" style="140"/>
    <col min="1793" max="1793" width="4.54296875" style="140" customWidth="1"/>
    <col min="1794" max="1794" width="40.26953125" style="140" bestFit="1" customWidth="1"/>
    <col min="1795" max="1795" width="21.1796875" style="140" customWidth="1"/>
    <col min="1796" max="1796" width="19.1796875" style="140" customWidth="1"/>
    <col min="1797" max="1797" width="15.1796875" style="140" customWidth="1"/>
    <col min="1798" max="1798" width="14.453125" style="140" bestFit="1" customWidth="1"/>
    <col min="1799" max="1799" width="16.54296875" style="140" customWidth="1"/>
    <col min="1800" max="2048" width="9" style="140"/>
    <col min="2049" max="2049" width="4.54296875" style="140" customWidth="1"/>
    <col min="2050" max="2050" width="40.26953125" style="140" bestFit="1" customWidth="1"/>
    <col min="2051" max="2051" width="21.1796875" style="140" customWidth="1"/>
    <col min="2052" max="2052" width="19.1796875" style="140" customWidth="1"/>
    <col min="2053" max="2053" width="15.1796875" style="140" customWidth="1"/>
    <col min="2054" max="2054" width="14.453125" style="140" bestFit="1" customWidth="1"/>
    <col min="2055" max="2055" width="16.54296875" style="140" customWidth="1"/>
    <col min="2056" max="2304" width="9" style="140"/>
    <col min="2305" max="2305" width="4.54296875" style="140" customWidth="1"/>
    <col min="2306" max="2306" width="40.26953125" style="140" bestFit="1" customWidth="1"/>
    <col min="2307" max="2307" width="21.1796875" style="140" customWidth="1"/>
    <col min="2308" max="2308" width="19.1796875" style="140" customWidth="1"/>
    <col min="2309" max="2309" width="15.1796875" style="140" customWidth="1"/>
    <col min="2310" max="2310" width="14.453125" style="140" bestFit="1" customWidth="1"/>
    <col min="2311" max="2311" width="16.54296875" style="140" customWidth="1"/>
    <col min="2312" max="2560" width="9" style="140"/>
    <col min="2561" max="2561" width="4.54296875" style="140" customWidth="1"/>
    <col min="2562" max="2562" width="40.26953125" style="140" bestFit="1" customWidth="1"/>
    <col min="2563" max="2563" width="21.1796875" style="140" customWidth="1"/>
    <col min="2564" max="2564" width="19.1796875" style="140" customWidth="1"/>
    <col min="2565" max="2565" width="15.1796875" style="140" customWidth="1"/>
    <col min="2566" max="2566" width="14.453125" style="140" bestFit="1" customWidth="1"/>
    <col min="2567" max="2567" width="16.54296875" style="140" customWidth="1"/>
    <col min="2568" max="2816" width="9" style="140"/>
    <col min="2817" max="2817" width="4.54296875" style="140" customWidth="1"/>
    <col min="2818" max="2818" width="40.26953125" style="140" bestFit="1" customWidth="1"/>
    <col min="2819" max="2819" width="21.1796875" style="140" customWidth="1"/>
    <col min="2820" max="2820" width="19.1796875" style="140" customWidth="1"/>
    <col min="2821" max="2821" width="15.1796875" style="140" customWidth="1"/>
    <col min="2822" max="2822" width="14.453125" style="140" bestFit="1" customWidth="1"/>
    <col min="2823" max="2823" width="16.54296875" style="140" customWidth="1"/>
    <col min="2824" max="3072" width="9" style="140"/>
    <col min="3073" max="3073" width="4.54296875" style="140" customWidth="1"/>
    <col min="3074" max="3074" width="40.26953125" style="140" bestFit="1" customWidth="1"/>
    <col min="3075" max="3075" width="21.1796875" style="140" customWidth="1"/>
    <col min="3076" max="3076" width="19.1796875" style="140" customWidth="1"/>
    <col min="3077" max="3077" width="15.1796875" style="140" customWidth="1"/>
    <col min="3078" max="3078" width="14.453125" style="140" bestFit="1" customWidth="1"/>
    <col min="3079" max="3079" width="16.54296875" style="140" customWidth="1"/>
    <col min="3080" max="3328" width="9" style="140"/>
    <col min="3329" max="3329" width="4.54296875" style="140" customWidth="1"/>
    <col min="3330" max="3330" width="40.26953125" style="140" bestFit="1" customWidth="1"/>
    <col min="3331" max="3331" width="21.1796875" style="140" customWidth="1"/>
    <col min="3332" max="3332" width="19.1796875" style="140" customWidth="1"/>
    <col min="3333" max="3333" width="15.1796875" style="140" customWidth="1"/>
    <col min="3334" max="3334" width="14.453125" style="140" bestFit="1" customWidth="1"/>
    <col min="3335" max="3335" width="16.54296875" style="140" customWidth="1"/>
    <col min="3336" max="3584" width="9" style="140"/>
    <col min="3585" max="3585" width="4.54296875" style="140" customWidth="1"/>
    <col min="3586" max="3586" width="40.26953125" style="140" bestFit="1" customWidth="1"/>
    <col min="3587" max="3587" width="21.1796875" style="140" customWidth="1"/>
    <col min="3588" max="3588" width="19.1796875" style="140" customWidth="1"/>
    <col min="3589" max="3589" width="15.1796875" style="140" customWidth="1"/>
    <col min="3590" max="3590" width="14.453125" style="140" bestFit="1" customWidth="1"/>
    <col min="3591" max="3591" width="16.54296875" style="140" customWidth="1"/>
    <col min="3592" max="3840" width="9" style="140"/>
    <col min="3841" max="3841" width="4.54296875" style="140" customWidth="1"/>
    <col min="3842" max="3842" width="40.26953125" style="140" bestFit="1" customWidth="1"/>
    <col min="3843" max="3843" width="21.1796875" style="140" customWidth="1"/>
    <col min="3844" max="3844" width="19.1796875" style="140" customWidth="1"/>
    <col min="3845" max="3845" width="15.1796875" style="140" customWidth="1"/>
    <col min="3846" max="3846" width="14.453125" style="140" bestFit="1" customWidth="1"/>
    <col min="3847" max="3847" width="16.54296875" style="140" customWidth="1"/>
    <col min="3848" max="4096" width="9" style="140"/>
    <col min="4097" max="4097" width="4.54296875" style="140" customWidth="1"/>
    <col min="4098" max="4098" width="40.26953125" style="140" bestFit="1" customWidth="1"/>
    <col min="4099" max="4099" width="21.1796875" style="140" customWidth="1"/>
    <col min="4100" max="4100" width="19.1796875" style="140" customWidth="1"/>
    <col min="4101" max="4101" width="15.1796875" style="140" customWidth="1"/>
    <col min="4102" max="4102" width="14.453125" style="140" bestFit="1" customWidth="1"/>
    <col min="4103" max="4103" width="16.54296875" style="140" customWidth="1"/>
    <col min="4104" max="4352" width="9" style="140"/>
    <col min="4353" max="4353" width="4.54296875" style="140" customWidth="1"/>
    <col min="4354" max="4354" width="40.26953125" style="140" bestFit="1" customWidth="1"/>
    <col min="4355" max="4355" width="21.1796875" style="140" customWidth="1"/>
    <col min="4356" max="4356" width="19.1796875" style="140" customWidth="1"/>
    <col min="4357" max="4357" width="15.1796875" style="140" customWidth="1"/>
    <col min="4358" max="4358" width="14.453125" style="140" bestFit="1" customWidth="1"/>
    <col min="4359" max="4359" width="16.54296875" style="140" customWidth="1"/>
    <col min="4360" max="4608" width="9" style="140"/>
    <col min="4609" max="4609" width="4.54296875" style="140" customWidth="1"/>
    <col min="4610" max="4610" width="40.26953125" style="140" bestFit="1" customWidth="1"/>
    <col min="4611" max="4611" width="21.1796875" style="140" customWidth="1"/>
    <col min="4612" max="4612" width="19.1796875" style="140" customWidth="1"/>
    <col min="4613" max="4613" width="15.1796875" style="140" customWidth="1"/>
    <col min="4614" max="4614" width="14.453125" style="140" bestFit="1" customWidth="1"/>
    <col min="4615" max="4615" width="16.54296875" style="140" customWidth="1"/>
    <col min="4616" max="4864" width="9" style="140"/>
    <col min="4865" max="4865" width="4.54296875" style="140" customWidth="1"/>
    <col min="4866" max="4866" width="40.26953125" style="140" bestFit="1" customWidth="1"/>
    <col min="4867" max="4867" width="21.1796875" style="140" customWidth="1"/>
    <col min="4868" max="4868" width="19.1796875" style="140" customWidth="1"/>
    <col min="4869" max="4869" width="15.1796875" style="140" customWidth="1"/>
    <col min="4870" max="4870" width="14.453125" style="140" bestFit="1" customWidth="1"/>
    <col min="4871" max="4871" width="16.54296875" style="140" customWidth="1"/>
    <col min="4872" max="5120" width="9" style="140"/>
    <col min="5121" max="5121" width="4.54296875" style="140" customWidth="1"/>
    <col min="5122" max="5122" width="40.26953125" style="140" bestFit="1" customWidth="1"/>
    <col min="5123" max="5123" width="21.1796875" style="140" customWidth="1"/>
    <col min="5124" max="5124" width="19.1796875" style="140" customWidth="1"/>
    <col min="5125" max="5125" width="15.1796875" style="140" customWidth="1"/>
    <col min="5126" max="5126" width="14.453125" style="140" bestFit="1" customWidth="1"/>
    <col min="5127" max="5127" width="16.54296875" style="140" customWidth="1"/>
    <col min="5128" max="5376" width="9" style="140"/>
    <col min="5377" max="5377" width="4.54296875" style="140" customWidth="1"/>
    <col min="5378" max="5378" width="40.26953125" style="140" bestFit="1" customWidth="1"/>
    <col min="5379" max="5379" width="21.1796875" style="140" customWidth="1"/>
    <col min="5380" max="5380" width="19.1796875" style="140" customWidth="1"/>
    <col min="5381" max="5381" width="15.1796875" style="140" customWidth="1"/>
    <col min="5382" max="5382" width="14.453125" style="140" bestFit="1" customWidth="1"/>
    <col min="5383" max="5383" width="16.54296875" style="140" customWidth="1"/>
    <col min="5384" max="5632" width="9" style="140"/>
    <col min="5633" max="5633" width="4.54296875" style="140" customWidth="1"/>
    <col min="5634" max="5634" width="40.26953125" style="140" bestFit="1" customWidth="1"/>
    <col min="5635" max="5635" width="21.1796875" style="140" customWidth="1"/>
    <col min="5636" max="5636" width="19.1796875" style="140" customWidth="1"/>
    <col min="5637" max="5637" width="15.1796875" style="140" customWidth="1"/>
    <col min="5638" max="5638" width="14.453125" style="140" bestFit="1" customWidth="1"/>
    <col min="5639" max="5639" width="16.54296875" style="140" customWidth="1"/>
    <col min="5640" max="5888" width="9" style="140"/>
    <col min="5889" max="5889" width="4.54296875" style="140" customWidth="1"/>
    <col min="5890" max="5890" width="40.26953125" style="140" bestFit="1" customWidth="1"/>
    <col min="5891" max="5891" width="21.1796875" style="140" customWidth="1"/>
    <col min="5892" max="5892" width="19.1796875" style="140" customWidth="1"/>
    <col min="5893" max="5893" width="15.1796875" style="140" customWidth="1"/>
    <col min="5894" max="5894" width="14.453125" style="140" bestFit="1" customWidth="1"/>
    <col min="5895" max="5895" width="16.54296875" style="140" customWidth="1"/>
    <col min="5896" max="6144" width="9" style="140"/>
    <col min="6145" max="6145" width="4.54296875" style="140" customWidth="1"/>
    <col min="6146" max="6146" width="40.26953125" style="140" bestFit="1" customWidth="1"/>
    <col min="6147" max="6147" width="21.1796875" style="140" customWidth="1"/>
    <col min="6148" max="6148" width="19.1796875" style="140" customWidth="1"/>
    <col min="6149" max="6149" width="15.1796875" style="140" customWidth="1"/>
    <col min="6150" max="6150" width="14.453125" style="140" bestFit="1" customWidth="1"/>
    <col min="6151" max="6151" width="16.54296875" style="140" customWidth="1"/>
    <col min="6152" max="6400" width="9" style="140"/>
    <col min="6401" max="6401" width="4.54296875" style="140" customWidth="1"/>
    <col min="6402" max="6402" width="40.26953125" style="140" bestFit="1" customWidth="1"/>
    <col min="6403" max="6403" width="21.1796875" style="140" customWidth="1"/>
    <col min="6404" max="6404" width="19.1796875" style="140" customWidth="1"/>
    <col min="6405" max="6405" width="15.1796875" style="140" customWidth="1"/>
    <col min="6406" max="6406" width="14.453125" style="140" bestFit="1" customWidth="1"/>
    <col min="6407" max="6407" width="16.54296875" style="140" customWidth="1"/>
    <col min="6408" max="6656" width="9" style="140"/>
    <col min="6657" max="6657" width="4.54296875" style="140" customWidth="1"/>
    <col min="6658" max="6658" width="40.26953125" style="140" bestFit="1" customWidth="1"/>
    <col min="6659" max="6659" width="21.1796875" style="140" customWidth="1"/>
    <col min="6660" max="6660" width="19.1796875" style="140" customWidth="1"/>
    <col min="6661" max="6661" width="15.1796875" style="140" customWidth="1"/>
    <col min="6662" max="6662" width="14.453125" style="140" bestFit="1" customWidth="1"/>
    <col min="6663" max="6663" width="16.54296875" style="140" customWidth="1"/>
    <col min="6664" max="6912" width="9" style="140"/>
    <col min="6913" max="6913" width="4.54296875" style="140" customWidth="1"/>
    <col min="6914" max="6914" width="40.26953125" style="140" bestFit="1" customWidth="1"/>
    <col min="6915" max="6915" width="21.1796875" style="140" customWidth="1"/>
    <col min="6916" max="6916" width="19.1796875" style="140" customWidth="1"/>
    <col min="6917" max="6917" width="15.1796875" style="140" customWidth="1"/>
    <col min="6918" max="6918" width="14.453125" style="140" bestFit="1" customWidth="1"/>
    <col min="6919" max="6919" width="16.54296875" style="140" customWidth="1"/>
    <col min="6920" max="7168" width="9" style="140"/>
    <col min="7169" max="7169" width="4.54296875" style="140" customWidth="1"/>
    <col min="7170" max="7170" width="40.26953125" style="140" bestFit="1" customWidth="1"/>
    <col min="7171" max="7171" width="21.1796875" style="140" customWidth="1"/>
    <col min="7172" max="7172" width="19.1796875" style="140" customWidth="1"/>
    <col min="7173" max="7173" width="15.1796875" style="140" customWidth="1"/>
    <col min="7174" max="7174" width="14.453125" style="140" bestFit="1" customWidth="1"/>
    <col min="7175" max="7175" width="16.54296875" style="140" customWidth="1"/>
    <col min="7176" max="7424" width="9" style="140"/>
    <col min="7425" max="7425" width="4.54296875" style="140" customWidth="1"/>
    <col min="7426" max="7426" width="40.26953125" style="140" bestFit="1" customWidth="1"/>
    <col min="7427" max="7427" width="21.1796875" style="140" customWidth="1"/>
    <col min="7428" max="7428" width="19.1796875" style="140" customWidth="1"/>
    <col min="7429" max="7429" width="15.1796875" style="140" customWidth="1"/>
    <col min="7430" max="7430" width="14.453125" style="140" bestFit="1" customWidth="1"/>
    <col min="7431" max="7431" width="16.54296875" style="140" customWidth="1"/>
    <col min="7432" max="7680" width="9" style="140"/>
    <col min="7681" max="7681" width="4.54296875" style="140" customWidth="1"/>
    <col min="7682" max="7682" width="40.26953125" style="140" bestFit="1" customWidth="1"/>
    <col min="7683" max="7683" width="21.1796875" style="140" customWidth="1"/>
    <col min="7684" max="7684" width="19.1796875" style="140" customWidth="1"/>
    <col min="7685" max="7685" width="15.1796875" style="140" customWidth="1"/>
    <col min="7686" max="7686" width="14.453125" style="140" bestFit="1" customWidth="1"/>
    <col min="7687" max="7687" width="16.54296875" style="140" customWidth="1"/>
    <col min="7688" max="7936" width="9" style="140"/>
    <col min="7937" max="7937" width="4.54296875" style="140" customWidth="1"/>
    <col min="7938" max="7938" width="40.26953125" style="140" bestFit="1" customWidth="1"/>
    <col min="7939" max="7939" width="21.1796875" style="140" customWidth="1"/>
    <col min="7940" max="7940" width="19.1796875" style="140" customWidth="1"/>
    <col min="7941" max="7941" width="15.1796875" style="140" customWidth="1"/>
    <col min="7942" max="7942" width="14.453125" style="140" bestFit="1" customWidth="1"/>
    <col min="7943" max="7943" width="16.54296875" style="140" customWidth="1"/>
    <col min="7944" max="8192" width="9" style="140"/>
    <col min="8193" max="8193" width="4.54296875" style="140" customWidth="1"/>
    <col min="8194" max="8194" width="40.26953125" style="140" bestFit="1" customWidth="1"/>
    <col min="8195" max="8195" width="21.1796875" style="140" customWidth="1"/>
    <col min="8196" max="8196" width="19.1796875" style="140" customWidth="1"/>
    <col min="8197" max="8197" width="15.1796875" style="140" customWidth="1"/>
    <col min="8198" max="8198" width="14.453125" style="140" bestFit="1" customWidth="1"/>
    <col min="8199" max="8199" width="16.54296875" style="140" customWidth="1"/>
    <col min="8200" max="8448" width="9" style="140"/>
    <col min="8449" max="8449" width="4.54296875" style="140" customWidth="1"/>
    <col min="8450" max="8450" width="40.26953125" style="140" bestFit="1" customWidth="1"/>
    <col min="8451" max="8451" width="21.1796875" style="140" customWidth="1"/>
    <col min="8452" max="8452" width="19.1796875" style="140" customWidth="1"/>
    <col min="8453" max="8453" width="15.1796875" style="140" customWidth="1"/>
    <col min="8454" max="8454" width="14.453125" style="140" bestFit="1" customWidth="1"/>
    <col min="8455" max="8455" width="16.54296875" style="140" customWidth="1"/>
    <col min="8456" max="8704" width="9" style="140"/>
    <col min="8705" max="8705" width="4.54296875" style="140" customWidth="1"/>
    <col min="8706" max="8706" width="40.26953125" style="140" bestFit="1" customWidth="1"/>
    <col min="8707" max="8707" width="21.1796875" style="140" customWidth="1"/>
    <col min="8708" max="8708" width="19.1796875" style="140" customWidth="1"/>
    <col min="8709" max="8709" width="15.1796875" style="140" customWidth="1"/>
    <col min="8710" max="8710" width="14.453125" style="140" bestFit="1" customWidth="1"/>
    <col min="8711" max="8711" width="16.54296875" style="140" customWidth="1"/>
    <col min="8712" max="8960" width="9" style="140"/>
    <col min="8961" max="8961" width="4.54296875" style="140" customWidth="1"/>
    <col min="8962" max="8962" width="40.26953125" style="140" bestFit="1" customWidth="1"/>
    <col min="8963" max="8963" width="21.1796875" style="140" customWidth="1"/>
    <col min="8964" max="8964" width="19.1796875" style="140" customWidth="1"/>
    <col min="8965" max="8965" width="15.1796875" style="140" customWidth="1"/>
    <col min="8966" max="8966" width="14.453125" style="140" bestFit="1" customWidth="1"/>
    <col min="8967" max="8967" width="16.54296875" style="140" customWidth="1"/>
    <col min="8968" max="9216" width="9" style="140"/>
    <col min="9217" max="9217" width="4.54296875" style="140" customWidth="1"/>
    <col min="9218" max="9218" width="40.26953125" style="140" bestFit="1" customWidth="1"/>
    <col min="9219" max="9219" width="21.1796875" style="140" customWidth="1"/>
    <col min="9220" max="9220" width="19.1796875" style="140" customWidth="1"/>
    <col min="9221" max="9221" width="15.1796875" style="140" customWidth="1"/>
    <col min="9222" max="9222" width="14.453125" style="140" bestFit="1" customWidth="1"/>
    <col min="9223" max="9223" width="16.54296875" style="140" customWidth="1"/>
    <col min="9224" max="9472" width="9" style="140"/>
    <col min="9473" max="9473" width="4.54296875" style="140" customWidth="1"/>
    <col min="9474" max="9474" width="40.26953125" style="140" bestFit="1" customWidth="1"/>
    <col min="9475" max="9475" width="21.1796875" style="140" customWidth="1"/>
    <col min="9476" max="9476" width="19.1796875" style="140" customWidth="1"/>
    <col min="9477" max="9477" width="15.1796875" style="140" customWidth="1"/>
    <col min="9478" max="9478" width="14.453125" style="140" bestFit="1" customWidth="1"/>
    <col min="9479" max="9479" width="16.54296875" style="140" customWidth="1"/>
    <col min="9480" max="9728" width="9" style="140"/>
    <col min="9729" max="9729" width="4.54296875" style="140" customWidth="1"/>
    <col min="9730" max="9730" width="40.26953125" style="140" bestFit="1" customWidth="1"/>
    <col min="9731" max="9731" width="21.1796875" style="140" customWidth="1"/>
    <col min="9732" max="9732" width="19.1796875" style="140" customWidth="1"/>
    <col min="9733" max="9733" width="15.1796875" style="140" customWidth="1"/>
    <col min="9734" max="9734" width="14.453125" style="140" bestFit="1" customWidth="1"/>
    <col min="9735" max="9735" width="16.54296875" style="140" customWidth="1"/>
    <col min="9736" max="9984" width="9" style="140"/>
    <col min="9985" max="9985" width="4.54296875" style="140" customWidth="1"/>
    <col min="9986" max="9986" width="40.26953125" style="140" bestFit="1" customWidth="1"/>
    <col min="9987" max="9987" width="21.1796875" style="140" customWidth="1"/>
    <col min="9988" max="9988" width="19.1796875" style="140" customWidth="1"/>
    <col min="9989" max="9989" width="15.1796875" style="140" customWidth="1"/>
    <col min="9990" max="9990" width="14.453125" style="140" bestFit="1" customWidth="1"/>
    <col min="9991" max="9991" width="16.54296875" style="140" customWidth="1"/>
    <col min="9992" max="10240" width="9" style="140"/>
    <col min="10241" max="10241" width="4.54296875" style="140" customWidth="1"/>
    <col min="10242" max="10242" width="40.26953125" style="140" bestFit="1" customWidth="1"/>
    <col min="10243" max="10243" width="21.1796875" style="140" customWidth="1"/>
    <col min="10244" max="10244" width="19.1796875" style="140" customWidth="1"/>
    <col min="10245" max="10245" width="15.1796875" style="140" customWidth="1"/>
    <col min="10246" max="10246" width="14.453125" style="140" bestFit="1" customWidth="1"/>
    <col min="10247" max="10247" width="16.54296875" style="140" customWidth="1"/>
    <col min="10248" max="10496" width="9" style="140"/>
    <col min="10497" max="10497" width="4.54296875" style="140" customWidth="1"/>
    <col min="10498" max="10498" width="40.26953125" style="140" bestFit="1" customWidth="1"/>
    <col min="10499" max="10499" width="21.1796875" style="140" customWidth="1"/>
    <col min="10500" max="10500" width="19.1796875" style="140" customWidth="1"/>
    <col min="10501" max="10501" width="15.1796875" style="140" customWidth="1"/>
    <col min="10502" max="10502" width="14.453125" style="140" bestFit="1" customWidth="1"/>
    <col min="10503" max="10503" width="16.54296875" style="140" customWidth="1"/>
    <col min="10504" max="10752" width="9" style="140"/>
    <col min="10753" max="10753" width="4.54296875" style="140" customWidth="1"/>
    <col min="10754" max="10754" width="40.26953125" style="140" bestFit="1" customWidth="1"/>
    <col min="10755" max="10755" width="21.1796875" style="140" customWidth="1"/>
    <col min="10756" max="10756" width="19.1796875" style="140" customWidth="1"/>
    <col min="10757" max="10757" width="15.1796875" style="140" customWidth="1"/>
    <col min="10758" max="10758" width="14.453125" style="140" bestFit="1" customWidth="1"/>
    <col min="10759" max="10759" width="16.54296875" style="140" customWidth="1"/>
    <col min="10760" max="11008" width="9" style="140"/>
    <col min="11009" max="11009" width="4.54296875" style="140" customWidth="1"/>
    <col min="11010" max="11010" width="40.26953125" style="140" bestFit="1" customWidth="1"/>
    <col min="11011" max="11011" width="21.1796875" style="140" customWidth="1"/>
    <col min="11012" max="11012" width="19.1796875" style="140" customWidth="1"/>
    <col min="11013" max="11013" width="15.1796875" style="140" customWidth="1"/>
    <col min="11014" max="11014" width="14.453125" style="140" bestFit="1" customWidth="1"/>
    <col min="11015" max="11015" width="16.54296875" style="140" customWidth="1"/>
    <col min="11016" max="11264" width="9" style="140"/>
    <col min="11265" max="11265" width="4.54296875" style="140" customWidth="1"/>
    <col min="11266" max="11266" width="40.26953125" style="140" bestFit="1" customWidth="1"/>
    <col min="11267" max="11267" width="21.1796875" style="140" customWidth="1"/>
    <col min="11268" max="11268" width="19.1796875" style="140" customWidth="1"/>
    <col min="11269" max="11269" width="15.1796875" style="140" customWidth="1"/>
    <col min="11270" max="11270" width="14.453125" style="140" bestFit="1" customWidth="1"/>
    <col min="11271" max="11271" width="16.54296875" style="140" customWidth="1"/>
    <col min="11272" max="11520" width="9" style="140"/>
    <col min="11521" max="11521" width="4.54296875" style="140" customWidth="1"/>
    <col min="11522" max="11522" width="40.26953125" style="140" bestFit="1" customWidth="1"/>
    <col min="11523" max="11523" width="21.1796875" style="140" customWidth="1"/>
    <col min="11524" max="11524" width="19.1796875" style="140" customWidth="1"/>
    <col min="11525" max="11525" width="15.1796875" style="140" customWidth="1"/>
    <col min="11526" max="11526" width="14.453125" style="140" bestFit="1" customWidth="1"/>
    <col min="11527" max="11527" width="16.54296875" style="140" customWidth="1"/>
    <col min="11528" max="11776" width="9" style="140"/>
    <col min="11777" max="11777" width="4.54296875" style="140" customWidth="1"/>
    <col min="11778" max="11778" width="40.26953125" style="140" bestFit="1" customWidth="1"/>
    <col min="11779" max="11779" width="21.1796875" style="140" customWidth="1"/>
    <col min="11780" max="11780" width="19.1796875" style="140" customWidth="1"/>
    <col min="11781" max="11781" width="15.1796875" style="140" customWidth="1"/>
    <col min="11782" max="11782" width="14.453125" style="140" bestFit="1" customWidth="1"/>
    <col min="11783" max="11783" width="16.54296875" style="140" customWidth="1"/>
    <col min="11784" max="12032" width="9" style="140"/>
    <col min="12033" max="12033" width="4.54296875" style="140" customWidth="1"/>
    <col min="12034" max="12034" width="40.26953125" style="140" bestFit="1" customWidth="1"/>
    <col min="12035" max="12035" width="21.1796875" style="140" customWidth="1"/>
    <col min="12036" max="12036" width="19.1796875" style="140" customWidth="1"/>
    <col min="12037" max="12037" width="15.1796875" style="140" customWidth="1"/>
    <col min="12038" max="12038" width="14.453125" style="140" bestFit="1" customWidth="1"/>
    <col min="12039" max="12039" width="16.54296875" style="140" customWidth="1"/>
    <col min="12040" max="12288" width="9" style="140"/>
    <col min="12289" max="12289" width="4.54296875" style="140" customWidth="1"/>
    <col min="12290" max="12290" width="40.26953125" style="140" bestFit="1" customWidth="1"/>
    <col min="12291" max="12291" width="21.1796875" style="140" customWidth="1"/>
    <col min="12292" max="12292" width="19.1796875" style="140" customWidth="1"/>
    <col min="12293" max="12293" width="15.1796875" style="140" customWidth="1"/>
    <col min="12294" max="12294" width="14.453125" style="140" bestFit="1" customWidth="1"/>
    <col min="12295" max="12295" width="16.54296875" style="140" customWidth="1"/>
    <col min="12296" max="12544" width="9" style="140"/>
    <col min="12545" max="12545" width="4.54296875" style="140" customWidth="1"/>
    <col min="12546" max="12546" width="40.26953125" style="140" bestFit="1" customWidth="1"/>
    <col min="12547" max="12547" width="21.1796875" style="140" customWidth="1"/>
    <col min="12548" max="12548" width="19.1796875" style="140" customWidth="1"/>
    <col min="12549" max="12549" width="15.1796875" style="140" customWidth="1"/>
    <col min="12550" max="12550" width="14.453125" style="140" bestFit="1" customWidth="1"/>
    <col min="12551" max="12551" width="16.54296875" style="140" customWidth="1"/>
    <col min="12552" max="12800" width="9" style="140"/>
    <col min="12801" max="12801" width="4.54296875" style="140" customWidth="1"/>
    <col min="12802" max="12802" width="40.26953125" style="140" bestFit="1" customWidth="1"/>
    <col min="12803" max="12803" width="21.1796875" style="140" customWidth="1"/>
    <col min="12804" max="12804" width="19.1796875" style="140" customWidth="1"/>
    <col min="12805" max="12805" width="15.1796875" style="140" customWidth="1"/>
    <col min="12806" max="12806" width="14.453125" style="140" bestFit="1" customWidth="1"/>
    <col min="12807" max="12807" width="16.54296875" style="140" customWidth="1"/>
    <col min="12808" max="13056" width="9" style="140"/>
    <col min="13057" max="13057" width="4.54296875" style="140" customWidth="1"/>
    <col min="13058" max="13058" width="40.26953125" style="140" bestFit="1" customWidth="1"/>
    <col min="13059" max="13059" width="21.1796875" style="140" customWidth="1"/>
    <col min="13060" max="13060" width="19.1796875" style="140" customWidth="1"/>
    <col min="13061" max="13061" width="15.1796875" style="140" customWidth="1"/>
    <col min="13062" max="13062" width="14.453125" style="140" bestFit="1" customWidth="1"/>
    <col min="13063" max="13063" width="16.54296875" style="140" customWidth="1"/>
    <col min="13064" max="13312" width="9" style="140"/>
    <col min="13313" max="13313" width="4.54296875" style="140" customWidth="1"/>
    <col min="13314" max="13314" width="40.26953125" style="140" bestFit="1" customWidth="1"/>
    <col min="13315" max="13315" width="21.1796875" style="140" customWidth="1"/>
    <col min="13316" max="13316" width="19.1796875" style="140" customWidth="1"/>
    <col min="13317" max="13317" width="15.1796875" style="140" customWidth="1"/>
    <col min="13318" max="13318" width="14.453125" style="140" bestFit="1" customWidth="1"/>
    <col min="13319" max="13319" width="16.54296875" style="140" customWidth="1"/>
    <col min="13320" max="13568" width="9" style="140"/>
    <col min="13569" max="13569" width="4.54296875" style="140" customWidth="1"/>
    <col min="13570" max="13570" width="40.26953125" style="140" bestFit="1" customWidth="1"/>
    <col min="13571" max="13571" width="21.1796875" style="140" customWidth="1"/>
    <col min="13572" max="13572" width="19.1796875" style="140" customWidth="1"/>
    <col min="13573" max="13573" width="15.1796875" style="140" customWidth="1"/>
    <col min="13574" max="13574" width="14.453125" style="140" bestFit="1" customWidth="1"/>
    <col min="13575" max="13575" width="16.54296875" style="140" customWidth="1"/>
    <col min="13576" max="13824" width="9" style="140"/>
    <col min="13825" max="13825" width="4.54296875" style="140" customWidth="1"/>
    <col min="13826" max="13826" width="40.26953125" style="140" bestFit="1" customWidth="1"/>
    <col min="13827" max="13827" width="21.1796875" style="140" customWidth="1"/>
    <col min="13828" max="13828" width="19.1796875" style="140" customWidth="1"/>
    <col min="13829" max="13829" width="15.1796875" style="140" customWidth="1"/>
    <col min="13830" max="13830" width="14.453125" style="140" bestFit="1" customWidth="1"/>
    <col min="13831" max="13831" width="16.54296875" style="140" customWidth="1"/>
    <col min="13832" max="14080" width="9" style="140"/>
    <col min="14081" max="14081" width="4.54296875" style="140" customWidth="1"/>
    <col min="14082" max="14082" width="40.26953125" style="140" bestFit="1" customWidth="1"/>
    <col min="14083" max="14083" width="21.1796875" style="140" customWidth="1"/>
    <col min="14084" max="14084" width="19.1796875" style="140" customWidth="1"/>
    <col min="14085" max="14085" width="15.1796875" style="140" customWidth="1"/>
    <col min="14086" max="14086" width="14.453125" style="140" bestFit="1" customWidth="1"/>
    <col min="14087" max="14087" width="16.54296875" style="140" customWidth="1"/>
    <col min="14088" max="14336" width="9" style="140"/>
    <col min="14337" max="14337" width="4.54296875" style="140" customWidth="1"/>
    <col min="14338" max="14338" width="40.26953125" style="140" bestFit="1" customWidth="1"/>
    <col min="14339" max="14339" width="21.1796875" style="140" customWidth="1"/>
    <col min="14340" max="14340" width="19.1796875" style="140" customWidth="1"/>
    <col min="14341" max="14341" width="15.1796875" style="140" customWidth="1"/>
    <col min="14342" max="14342" width="14.453125" style="140" bestFit="1" customWidth="1"/>
    <col min="14343" max="14343" width="16.54296875" style="140" customWidth="1"/>
    <col min="14344" max="14592" width="9" style="140"/>
    <col min="14593" max="14593" width="4.54296875" style="140" customWidth="1"/>
    <col min="14594" max="14594" width="40.26953125" style="140" bestFit="1" customWidth="1"/>
    <col min="14595" max="14595" width="21.1796875" style="140" customWidth="1"/>
    <col min="14596" max="14596" width="19.1796875" style="140" customWidth="1"/>
    <col min="14597" max="14597" width="15.1796875" style="140" customWidth="1"/>
    <col min="14598" max="14598" width="14.453125" style="140" bestFit="1" customWidth="1"/>
    <col min="14599" max="14599" width="16.54296875" style="140" customWidth="1"/>
    <col min="14600" max="14848" width="9" style="140"/>
    <col min="14849" max="14849" width="4.54296875" style="140" customWidth="1"/>
    <col min="14850" max="14850" width="40.26953125" style="140" bestFit="1" customWidth="1"/>
    <col min="14851" max="14851" width="21.1796875" style="140" customWidth="1"/>
    <col min="14852" max="14852" width="19.1796875" style="140" customWidth="1"/>
    <col min="14853" max="14853" width="15.1796875" style="140" customWidth="1"/>
    <col min="14854" max="14854" width="14.453125" style="140" bestFit="1" customWidth="1"/>
    <col min="14855" max="14855" width="16.54296875" style="140" customWidth="1"/>
    <col min="14856" max="15104" width="9" style="140"/>
    <col min="15105" max="15105" width="4.54296875" style="140" customWidth="1"/>
    <col min="15106" max="15106" width="40.26953125" style="140" bestFit="1" customWidth="1"/>
    <col min="15107" max="15107" width="21.1796875" style="140" customWidth="1"/>
    <col min="15108" max="15108" width="19.1796875" style="140" customWidth="1"/>
    <col min="15109" max="15109" width="15.1796875" style="140" customWidth="1"/>
    <col min="15110" max="15110" width="14.453125" style="140" bestFit="1" customWidth="1"/>
    <col min="15111" max="15111" width="16.54296875" style="140" customWidth="1"/>
    <col min="15112" max="15360" width="9" style="140"/>
    <col min="15361" max="15361" width="4.54296875" style="140" customWidth="1"/>
    <col min="15362" max="15362" width="40.26953125" style="140" bestFit="1" customWidth="1"/>
    <col min="15363" max="15363" width="21.1796875" style="140" customWidth="1"/>
    <col min="15364" max="15364" width="19.1796875" style="140" customWidth="1"/>
    <col min="15365" max="15365" width="15.1796875" style="140" customWidth="1"/>
    <col min="15366" max="15366" width="14.453125" style="140" bestFit="1" customWidth="1"/>
    <col min="15367" max="15367" width="16.54296875" style="140" customWidth="1"/>
    <col min="15368" max="15616" width="9" style="140"/>
    <col min="15617" max="15617" width="4.54296875" style="140" customWidth="1"/>
    <col min="15618" max="15618" width="40.26953125" style="140" bestFit="1" customWidth="1"/>
    <col min="15619" max="15619" width="21.1796875" style="140" customWidth="1"/>
    <col min="15620" max="15620" width="19.1796875" style="140" customWidth="1"/>
    <col min="15621" max="15621" width="15.1796875" style="140" customWidth="1"/>
    <col min="15622" max="15622" width="14.453125" style="140" bestFit="1" customWidth="1"/>
    <col min="15623" max="15623" width="16.54296875" style="140" customWidth="1"/>
    <col min="15624" max="15872" width="9" style="140"/>
    <col min="15873" max="15873" width="4.54296875" style="140" customWidth="1"/>
    <col min="15874" max="15874" width="40.26953125" style="140" bestFit="1" customWidth="1"/>
    <col min="15875" max="15875" width="21.1796875" style="140" customWidth="1"/>
    <col min="15876" max="15876" width="19.1796875" style="140" customWidth="1"/>
    <col min="15877" max="15877" width="15.1796875" style="140" customWidth="1"/>
    <col min="15878" max="15878" width="14.453125" style="140" bestFit="1" customWidth="1"/>
    <col min="15879" max="15879" width="16.54296875" style="140" customWidth="1"/>
    <col min="15880" max="16128" width="9" style="140"/>
    <col min="16129" max="16129" width="4.54296875" style="140" customWidth="1"/>
    <col min="16130" max="16130" width="40.26953125" style="140" bestFit="1" customWidth="1"/>
    <col min="16131" max="16131" width="21.1796875" style="140" customWidth="1"/>
    <col min="16132" max="16132" width="19.1796875" style="140" customWidth="1"/>
    <col min="16133" max="16133" width="15.1796875" style="140" customWidth="1"/>
    <col min="16134" max="16134" width="14.453125" style="140" bestFit="1" customWidth="1"/>
    <col min="16135" max="16135" width="16.54296875" style="140" customWidth="1"/>
    <col min="16136" max="16384" width="9" style="140"/>
  </cols>
  <sheetData>
    <row r="1" spans="1:15">
      <c r="A1" s="870" t="s">
        <v>0</v>
      </c>
      <c r="B1" s="870"/>
      <c r="G1" s="139" t="s">
        <v>689</v>
      </c>
      <c r="I1" s="870" t="s">
        <v>0</v>
      </c>
      <c r="J1" s="870"/>
      <c r="K1" s="138"/>
      <c r="L1" s="138"/>
      <c r="M1" s="138"/>
      <c r="N1" s="138"/>
      <c r="O1" s="139" t="s">
        <v>408</v>
      </c>
    </row>
    <row r="2" spans="1:15" ht="62">
      <c r="A2" s="871" t="s">
        <v>64</v>
      </c>
      <c r="B2" s="871"/>
      <c r="C2" s="318" t="s">
        <v>690</v>
      </c>
      <c r="G2" s="141" t="s">
        <v>691</v>
      </c>
      <c r="I2" s="871" t="s">
        <v>64</v>
      </c>
      <c r="J2" s="871"/>
      <c r="K2" s="138"/>
      <c r="L2" s="138"/>
      <c r="M2" s="138"/>
      <c r="N2" s="138"/>
      <c r="O2" s="142" t="s">
        <v>691</v>
      </c>
    </row>
    <row r="3" spans="1:15" ht="57" customHeight="1">
      <c r="A3" s="872" t="s">
        <v>62</v>
      </c>
      <c r="B3" s="872"/>
      <c r="C3" s="872"/>
      <c r="D3" s="872"/>
      <c r="E3" s="872"/>
      <c r="F3" s="872"/>
      <c r="G3" s="872"/>
      <c r="I3" s="872" t="s">
        <v>62</v>
      </c>
      <c r="J3" s="872"/>
      <c r="K3" s="872"/>
      <c r="L3" s="872"/>
      <c r="M3" s="872"/>
      <c r="N3" s="872"/>
      <c r="O3" s="872"/>
    </row>
    <row r="4" spans="1:15" s="145" customFormat="1" ht="75">
      <c r="A4" s="143" t="s">
        <v>68</v>
      </c>
      <c r="B4" s="144" t="s">
        <v>692</v>
      </c>
      <c r="C4" s="144" t="s">
        <v>693</v>
      </c>
      <c r="D4" s="144" t="s">
        <v>694</v>
      </c>
      <c r="E4" s="144" t="s">
        <v>695</v>
      </c>
      <c r="F4" s="144" t="s">
        <v>696</v>
      </c>
      <c r="G4" s="144" t="s">
        <v>7</v>
      </c>
      <c r="I4" s="143" t="s">
        <v>68</v>
      </c>
      <c r="J4" s="144" t="s">
        <v>692</v>
      </c>
      <c r="K4" s="144" t="s">
        <v>693</v>
      </c>
      <c r="L4" s="144" t="s">
        <v>694</v>
      </c>
      <c r="M4" s="144" t="s">
        <v>695</v>
      </c>
      <c r="N4" s="144" t="s">
        <v>696</v>
      </c>
      <c r="O4" s="144" t="s">
        <v>7</v>
      </c>
    </row>
    <row r="5" spans="1:15" s="145" customFormat="1" ht="15">
      <c r="A5" s="143"/>
      <c r="B5" s="435" t="s">
        <v>697</v>
      </c>
      <c r="C5" s="144"/>
      <c r="D5" s="144"/>
      <c r="E5" s="144"/>
      <c r="F5" s="144"/>
      <c r="G5" s="144"/>
      <c r="I5" s="143"/>
      <c r="J5" s="144"/>
      <c r="K5" s="144"/>
      <c r="L5" s="144"/>
      <c r="M5" s="144"/>
      <c r="N5" s="144"/>
      <c r="O5" s="144"/>
    </row>
    <row r="6" spans="1:15">
      <c r="A6" s="146">
        <v>1</v>
      </c>
      <c r="B6" s="436" t="s">
        <v>370</v>
      </c>
      <c r="C6" s="148"/>
      <c r="D6" s="148"/>
      <c r="E6" s="148"/>
      <c r="F6" s="148"/>
      <c r="G6" s="149"/>
      <c r="I6" s="146">
        <v>1</v>
      </c>
      <c r="J6" s="436" t="s">
        <v>370</v>
      </c>
      <c r="K6" s="148"/>
      <c r="L6" s="148"/>
      <c r="M6" s="148"/>
      <c r="N6" s="148"/>
      <c r="O6" s="149"/>
    </row>
    <row r="7" spans="1:15" s="145" customFormat="1">
      <c r="A7" s="146"/>
      <c r="B7" s="147" t="s">
        <v>698</v>
      </c>
      <c r="C7" s="438">
        <v>1298937771</v>
      </c>
      <c r="D7" s="438">
        <v>451059834.94378763</v>
      </c>
      <c r="E7" s="438">
        <v>326020808.88000005</v>
      </c>
      <c r="F7" s="438">
        <v>2076018414.8237877</v>
      </c>
      <c r="G7" s="149"/>
      <c r="I7" s="143"/>
      <c r="J7" s="147" t="s">
        <v>698</v>
      </c>
      <c r="K7" s="438">
        <f>1298937771/1000</f>
        <v>1298937.7709999999</v>
      </c>
      <c r="L7" s="438">
        <f>451059834.943788/1000</f>
        <v>451059.83494378801</v>
      </c>
      <c r="M7" s="438">
        <f>326020808.88/1000</f>
        <v>326020.80887999997</v>
      </c>
      <c r="N7" s="438">
        <f>2076018414.82379/1000</f>
        <v>2076018.4148237901</v>
      </c>
      <c r="O7" s="149"/>
    </row>
    <row r="8" spans="1:15" s="145" customFormat="1">
      <c r="A8" s="146"/>
      <c r="B8" s="147" t="s">
        <v>699</v>
      </c>
      <c r="C8" s="438">
        <v>1677215623.6199999</v>
      </c>
      <c r="D8" s="438">
        <v>905329917.12504196</v>
      </c>
      <c r="E8" s="438">
        <v>394927325.04000002</v>
      </c>
      <c r="F8" s="438">
        <v>2977472865.7850423</v>
      </c>
      <c r="G8" s="149"/>
      <c r="I8" s="143"/>
      <c r="J8" s="147" t="s">
        <v>699</v>
      </c>
      <c r="K8" s="438">
        <f>1677215623.62/1000</f>
        <v>1677215.62362</v>
      </c>
      <c r="L8" s="438">
        <f>905329917.125042/1000</f>
        <v>905329.91712504195</v>
      </c>
      <c r="M8" s="438">
        <f>394927325.04/1000</f>
        <v>394927.32504000003</v>
      </c>
      <c r="N8" s="438">
        <f>2977472865.78504/1000</f>
        <v>2977472.86578504</v>
      </c>
      <c r="O8" s="149"/>
    </row>
    <row r="9" spans="1:15" s="145" customFormat="1">
      <c r="A9" s="146"/>
      <c r="B9" s="147" t="s">
        <v>700</v>
      </c>
      <c r="C9" s="438">
        <v>1257446878.8839998</v>
      </c>
      <c r="D9" s="438">
        <v>1469674372.1349423</v>
      </c>
      <c r="E9" s="438">
        <v>295536295.72800004</v>
      </c>
      <c r="F9" s="438">
        <v>3022657546.746943</v>
      </c>
      <c r="G9" s="149"/>
      <c r="I9" s="143"/>
      <c r="J9" s="147" t="s">
        <v>700</v>
      </c>
      <c r="K9" s="438">
        <f>1257446878.884/1000</f>
        <v>1257446.878884</v>
      </c>
      <c r="L9" s="438">
        <f>1469674372.13494/1000</f>
        <v>1469674.37213494</v>
      </c>
      <c r="M9" s="438">
        <f>295536295.728/1000</f>
        <v>295536.295728</v>
      </c>
      <c r="N9" s="438">
        <f>3022657546.74694/1000</f>
        <v>3022657.5467469404</v>
      </c>
      <c r="O9" s="149"/>
    </row>
    <row r="10" spans="1:15" s="145" customFormat="1">
      <c r="A10" s="146"/>
      <c r="B10" s="147" t="s">
        <v>701</v>
      </c>
      <c r="C10" s="438">
        <v>1260051667.7399998</v>
      </c>
      <c r="D10" s="438">
        <v>1767736120.3655221</v>
      </c>
      <c r="E10" s="438">
        <v>296421184.08000004</v>
      </c>
      <c r="F10" s="438">
        <v>3324208972.1855221</v>
      </c>
      <c r="G10" s="149"/>
      <c r="I10" s="143"/>
      <c r="J10" s="147" t="s">
        <v>701</v>
      </c>
      <c r="K10" s="438">
        <f>1260051667.74/1000</f>
        <v>1260051.6677399999</v>
      </c>
      <c r="L10" s="438">
        <f>1767736120.36552/1000</f>
        <v>1767736.12036552</v>
      </c>
      <c r="M10" s="438">
        <f>296421184.08/1000</f>
        <v>296421.18407999998</v>
      </c>
      <c r="N10" s="438">
        <f>3324208972.18552/1000</f>
        <v>3324208.97218552</v>
      </c>
      <c r="O10" s="149"/>
    </row>
    <row r="11" spans="1:15" s="145" customFormat="1">
      <c r="A11" s="146"/>
      <c r="B11" s="147" t="s">
        <v>702</v>
      </c>
      <c r="C11" s="438">
        <v>2082287215.8000002</v>
      </c>
      <c r="D11" s="438">
        <v>544775790.87479448</v>
      </c>
      <c r="E11" s="438">
        <v>515352021.60000002</v>
      </c>
      <c r="F11" s="438">
        <v>3142415028.2747951</v>
      </c>
      <c r="G11" s="149"/>
      <c r="I11" s="143"/>
      <c r="J11" s="147" t="s">
        <v>702</v>
      </c>
      <c r="K11" s="438">
        <f>2082287215.8/1000</f>
        <v>2082287.2157999999</v>
      </c>
      <c r="L11" s="438">
        <f>544775790.874794/1000</f>
        <v>544775.79087479401</v>
      </c>
      <c r="M11" s="438">
        <f>515352021.6/1000</f>
        <v>515352.02160000004</v>
      </c>
      <c r="N11" s="438">
        <f>3142415028.2748/1000</f>
        <v>3142415.0282747997</v>
      </c>
      <c r="O11" s="149"/>
    </row>
    <row r="12" spans="1:15" s="145" customFormat="1">
      <c r="A12" s="146"/>
      <c r="B12" s="147" t="s">
        <v>703</v>
      </c>
      <c r="C12" s="438">
        <v>1707763557.8399999</v>
      </c>
      <c r="D12" s="438">
        <v>521428225.4325158</v>
      </c>
      <c r="E12" s="438">
        <v>398846585.28000003</v>
      </c>
      <c r="F12" s="438">
        <v>2628038368.552516</v>
      </c>
      <c r="G12" s="149"/>
      <c r="I12" s="143"/>
      <c r="J12" s="147" t="s">
        <v>703</v>
      </c>
      <c r="K12" s="438">
        <f>1707763557.84/1000</f>
        <v>1707763.5578399999</v>
      </c>
      <c r="L12" s="438">
        <f>521428225.432516/1000</f>
        <v>521428.22543251596</v>
      </c>
      <c r="M12" s="438">
        <f>398846585.28/1000</f>
        <v>398846.58528</v>
      </c>
      <c r="N12" s="438">
        <f>2628038368.55252/1000</f>
        <v>2628038.3685525199</v>
      </c>
      <c r="O12" s="149"/>
    </row>
    <row r="13" spans="1:15" s="145" customFormat="1">
      <c r="A13" s="146"/>
      <c r="B13" s="147" t="s">
        <v>704</v>
      </c>
      <c r="C13" s="438">
        <v>2496654075.6599998</v>
      </c>
      <c r="D13" s="438">
        <v>911311868.64822686</v>
      </c>
      <c r="E13" s="438">
        <v>588400296.72000003</v>
      </c>
      <c r="F13" s="438">
        <v>3996366241.0282278</v>
      </c>
      <c r="G13" s="149"/>
      <c r="I13" s="143"/>
      <c r="J13" s="147" t="s">
        <v>704</v>
      </c>
      <c r="K13" s="438">
        <f>2496654075.66/1000</f>
        <v>2496654.0756599996</v>
      </c>
      <c r="L13" s="438">
        <f>911311868.648227/1000</f>
        <v>911311.86864822695</v>
      </c>
      <c r="M13" s="438">
        <f>588400296.72/1000</f>
        <v>588400.29671999998</v>
      </c>
      <c r="N13" s="438">
        <f>3996366241.02823/1000</f>
        <v>3996366.2410282302</v>
      </c>
      <c r="O13" s="149"/>
    </row>
    <row r="14" spans="1:15" s="145" customFormat="1">
      <c r="A14" s="146"/>
      <c r="B14" s="147" t="s">
        <v>705</v>
      </c>
      <c r="C14" s="438">
        <v>1566879374.46</v>
      </c>
      <c r="D14" s="438">
        <v>433505312.98064876</v>
      </c>
      <c r="E14" s="438">
        <v>413538187.92000002</v>
      </c>
      <c r="F14" s="438">
        <v>2413922875.3606491</v>
      </c>
      <c r="G14" s="149"/>
      <c r="I14" s="143"/>
      <c r="J14" s="147" t="s">
        <v>705</v>
      </c>
      <c r="K14" s="438">
        <f>1566879374.46/1000</f>
        <v>1566879.3744600001</v>
      </c>
      <c r="L14" s="438">
        <f>433505312.980649/1000</f>
        <v>433505.312980649</v>
      </c>
      <c r="M14" s="438">
        <f>413538187.92/1000</f>
        <v>413538.18792</v>
      </c>
      <c r="N14" s="438">
        <f>2413922875.36065/1000</f>
        <v>2413922.87536065</v>
      </c>
      <c r="O14" s="149"/>
    </row>
    <row r="15" spans="1:15" s="145" customFormat="1">
      <c r="A15" s="146"/>
      <c r="B15" s="147" t="s">
        <v>706</v>
      </c>
      <c r="C15" s="438">
        <v>2247729055.3260002</v>
      </c>
      <c r="D15" s="438">
        <v>1696279976.7052901</v>
      </c>
      <c r="E15" s="438">
        <v>532723396.39200002</v>
      </c>
      <c r="F15" s="438">
        <v>4476732428.4232912</v>
      </c>
      <c r="G15" s="149"/>
      <c r="I15" s="143"/>
      <c r="J15" s="147" t="s">
        <v>706</v>
      </c>
      <c r="K15" s="438">
        <f>2247729055.326/1000</f>
        <v>2247729.0553260003</v>
      </c>
      <c r="L15" s="438">
        <f>1696279976.70529/1000</f>
        <v>1696279.9767052901</v>
      </c>
      <c r="M15" s="438">
        <f>532723396.392/1000</f>
        <v>532723.39639200002</v>
      </c>
      <c r="N15" s="438">
        <f>4476732428.42329/1000</f>
        <v>4476732.4284232901</v>
      </c>
      <c r="O15" s="149"/>
    </row>
    <row r="16" spans="1:15" s="145" customFormat="1">
      <c r="A16" s="146"/>
      <c r="B16" s="147" t="s">
        <v>707</v>
      </c>
      <c r="C16" s="438">
        <v>581274997.44000006</v>
      </c>
      <c r="D16" s="438">
        <v>412239722.05003357</v>
      </c>
      <c r="E16" s="438">
        <v>139179636.48000002</v>
      </c>
      <c r="F16" s="438">
        <v>1132694355.9700336</v>
      </c>
      <c r="G16" s="149"/>
      <c r="I16" s="143"/>
      <c r="J16" s="147" t="s">
        <v>707</v>
      </c>
      <c r="K16" s="438">
        <f>581274997.44/1000</f>
        <v>581274.99744000006</v>
      </c>
      <c r="L16" s="438">
        <f>412239722.050034/1000</f>
        <v>412239.72205003398</v>
      </c>
      <c r="M16" s="438">
        <f>139179636.48/1000</f>
        <v>139179.63647999999</v>
      </c>
      <c r="N16" s="438">
        <f>1132694355.97003/1000</f>
        <v>1132694.3559700302</v>
      </c>
      <c r="O16" s="149"/>
    </row>
    <row r="17" spans="1:15" s="145" customFormat="1">
      <c r="A17" s="146"/>
      <c r="B17" s="147" t="s">
        <v>708</v>
      </c>
      <c r="C17" s="438">
        <v>3883786093.9200001</v>
      </c>
      <c r="D17" s="438">
        <v>1429721053.7739069</v>
      </c>
      <c r="E17" s="438">
        <v>998109804.48000026</v>
      </c>
      <c r="F17" s="438">
        <v>6311616952.1739063</v>
      </c>
      <c r="G17" s="149"/>
      <c r="I17" s="143"/>
      <c r="J17" s="147" t="s">
        <v>708</v>
      </c>
      <c r="K17" s="438">
        <f>3883786093.92/1000</f>
        <v>3883786.0939199999</v>
      </c>
      <c r="L17" s="438">
        <f>1429721053.77391/1000</f>
        <v>1429721.05377391</v>
      </c>
      <c r="M17" s="438">
        <f>998109804.48/1000</f>
        <v>998109.80448000005</v>
      </c>
      <c r="N17" s="438">
        <f>6311616952.17391/1000</f>
        <v>6311616.9521739101</v>
      </c>
      <c r="O17" s="149"/>
    </row>
    <row r="18" spans="1:15" s="145" customFormat="1">
      <c r="A18" s="146"/>
      <c r="B18" s="147" t="s">
        <v>709</v>
      </c>
      <c r="C18" s="438">
        <v>1359734142.6599998</v>
      </c>
      <c r="D18" s="438">
        <v>470449131.8606897</v>
      </c>
      <c r="E18" s="438">
        <v>338150028.72000009</v>
      </c>
      <c r="F18" s="438">
        <v>2168333303.2406898</v>
      </c>
      <c r="G18" s="149"/>
      <c r="I18" s="143"/>
      <c r="J18" s="147" t="s">
        <v>709</v>
      </c>
      <c r="K18" s="438">
        <f>1359734142.66/1000</f>
        <v>1359734.1426600001</v>
      </c>
      <c r="L18" s="438">
        <f>470449131.86069/1000</f>
        <v>470449.13186069002</v>
      </c>
      <c r="M18" s="438">
        <f>338150028.72/1000</f>
        <v>338150.02872</v>
      </c>
      <c r="N18" s="438">
        <f>2168333303.24069/1000</f>
        <v>2168333.3032406904</v>
      </c>
      <c r="O18" s="149"/>
    </row>
    <row r="19" spans="1:15" s="145" customFormat="1" ht="31">
      <c r="A19" s="146"/>
      <c r="B19" s="147" t="s">
        <v>710</v>
      </c>
      <c r="C19" s="438">
        <v>500801657.28000003</v>
      </c>
      <c r="D19" s="438">
        <v>274626291.9284035</v>
      </c>
      <c r="E19" s="438">
        <v>120081221.76000002</v>
      </c>
      <c r="F19" s="438">
        <v>895509170.96840346</v>
      </c>
      <c r="G19" s="149"/>
      <c r="I19" s="143"/>
      <c r="J19" s="147" t="s">
        <v>710</v>
      </c>
      <c r="K19" s="438">
        <f>500801657.28/1000</f>
        <v>500801.65727999998</v>
      </c>
      <c r="L19" s="438">
        <f>274626291.928403/1000</f>
        <v>274626.29192840302</v>
      </c>
      <c r="M19" s="438">
        <f>120081221.76/1000</f>
        <v>120081.22176</v>
      </c>
      <c r="N19" s="438">
        <f>895509170.968403/1000</f>
        <v>895509.17096840299</v>
      </c>
      <c r="O19" s="149"/>
    </row>
    <row r="20" spans="1:15" s="145" customFormat="1">
      <c r="A20" s="146"/>
      <c r="B20" s="147" t="s">
        <v>711</v>
      </c>
      <c r="C20" s="438">
        <v>683783016.12</v>
      </c>
      <c r="D20" s="438">
        <v>326557517.07712382</v>
      </c>
      <c r="E20" s="438">
        <v>169939172.64000002</v>
      </c>
      <c r="F20" s="438">
        <v>1180279705.8371239</v>
      </c>
      <c r="G20" s="149"/>
      <c r="I20" s="143"/>
      <c r="J20" s="147" t="s">
        <v>711</v>
      </c>
      <c r="K20" s="438">
        <f>683783016.12/1000</f>
        <v>683783.01612000004</v>
      </c>
      <c r="L20" s="438">
        <f>326557517.077124/1000</f>
        <v>326557.51707712398</v>
      </c>
      <c r="M20" s="438">
        <f>169939172.64/1000</f>
        <v>169939.17263999998</v>
      </c>
      <c r="N20" s="438">
        <f>1180279705.83712/1000</f>
        <v>1180279.7058371201</v>
      </c>
      <c r="O20" s="149"/>
    </row>
    <row r="21" spans="1:15">
      <c r="A21" s="146">
        <v>2</v>
      </c>
      <c r="B21" s="436" t="s">
        <v>372</v>
      </c>
      <c r="C21" s="148"/>
      <c r="D21" s="148"/>
      <c r="E21" s="148"/>
      <c r="F21" s="148"/>
      <c r="G21" s="149"/>
      <c r="I21" s="146">
        <v>2</v>
      </c>
      <c r="J21" s="436" t="s">
        <v>372</v>
      </c>
      <c r="K21" s="148"/>
      <c r="L21" s="148"/>
      <c r="M21" s="148"/>
      <c r="N21" s="148"/>
      <c r="O21" s="149"/>
    </row>
    <row r="22" spans="1:15" s="145" customFormat="1" ht="31">
      <c r="A22" s="146"/>
      <c r="B22" s="147" t="s">
        <v>712</v>
      </c>
      <c r="C22" s="438">
        <v>1704261420.5999999</v>
      </c>
      <c r="D22" s="438">
        <v>753320282.90688491</v>
      </c>
      <c r="E22" s="438">
        <v>404333671.20000005</v>
      </c>
      <c r="F22" s="438">
        <v>2861915374.7068849</v>
      </c>
      <c r="G22" s="149"/>
      <c r="I22" s="143"/>
      <c r="J22" s="147" t="s">
        <v>712</v>
      </c>
      <c r="K22" s="438">
        <f>1704261420.6/1000</f>
        <v>1704261.4205999998</v>
      </c>
      <c r="L22" s="438">
        <f>753320282.906885/1000</f>
        <v>753320.28290688503</v>
      </c>
      <c r="M22" s="438">
        <f>404333671.2/1000</f>
        <v>404333.67119999998</v>
      </c>
      <c r="N22" s="438">
        <f>2861915374.70688/1000</f>
        <v>2861915.3747068802</v>
      </c>
      <c r="O22" s="144"/>
    </row>
    <row r="23" spans="1:15" s="145" customFormat="1" ht="31">
      <c r="A23" s="146"/>
      <c r="B23" s="147" t="s">
        <v>713</v>
      </c>
      <c r="C23" s="438">
        <v>1797957485.1600003</v>
      </c>
      <c r="D23" s="438">
        <v>721903415.97511756</v>
      </c>
      <c r="E23" s="438">
        <v>431055402.72000009</v>
      </c>
      <c r="F23" s="438">
        <v>2950916303.8551178</v>
      </c>
      <c r="G23" s="149"/>
      <c r="I23" s="143"/>
      <c r="J23" s="147" t="s">
        <v>713</v>
      </c>
      <c r="K23" s="438">
        <f>1797957485.16/1000</f>
        <v>1797957.4851600002</v>
      </c>
      <c r="L23" s="438">
        <f>721903415.975118/1000</f>
        <v>721903.41597511806</v>
      </c>
      <c r="M23" s="438">
        <f>431055402.72/1000</f>
        <v>431055.40272000001</v>
      </c>
      <c r="N23" s="438">
        <f>2950916303.85512/1000</f>
        <v>2950916.3038551202</v>
      </c>
      <c r="O23" s="144"/>
    </row>
    <row r="24" spans="1:15" s="145" customFormat="1" ht="31">
      <c r="A24" s="146"/>
      <c r="B24" s="147" t="s">
        <v>714</v>
      </c>
      <c r="C24" s="438">
        <v>1543482294.9000001</v>
      </c>
      <c r="D24" s="438">
        <v>1573656571.2687161</v>
      </c>
      <c r="E24" s="438">
        <v>370809922.80000001</v>
      </c>
      <c r="F24" s="438">
        <v>3487948788.9687157</v>
      </c>
      <c r="G24" s="149"/>
      <c r="I24" s="143"/>
      <c r="J24" s="147" t="s">
        <v>714</v>
      </c>
      <c r="K24" s="438">
        <f>1543482294.9/1000</f>
        <v>1543482.2949000001</v>
      </c>
      <c r="L24" s="438">
        <f>1573656571.26872/1000</f>
        <v>1573656.5712687199</v>
      </c>
      <c r="M24" s="438">
        <f>370809922.8/1000</f>
        <v>370809.9228</v>
      </c>
      <c r="N24" s="438">
        <f>3487948788.96872/1000</f>
        <v>3487948.78896872</v>
      </c>
      <c r="O24" s="144"/>
    </row>
    <row r="25" spans="1:15" s="145" customFormat="1" ht="31">
      <c r="A25" s="146"/>
      <c r="B25" s="147" t="s">
        <v>715</v>
      </c>
      <c r="C25" s="438">
        <v>1451962885.0800002</v>
      </c>
      <c r="D25" s="438">
        <v>1368787745.2257314</v>
      </c>
      <c r="E25" s="438">
        <v>345759363.36000001</v>
      </c>
      <c r="F25" s="438">
        <v>3166509993.6657329</v>
      </c>
      <c r="G25" s="149"/>
      <c r="I25" s="143"/>
      <c r="J25" s="147" t="s">
        <v>715</v>
      </c>
      <c r="K25" s="438">
        <f>1451962885.08/1000</f>
        <v>1451962.8850799999</v>
      </c>
      <c r="L25" s="438">
        <f>1368787745.22573/1000</f>
        <v>1368787.7452257299</v>
      </c>
      <c r="M25" s="438">
        <f>345759363.36/1000</f>
        <v>345759.36336000002</v>
      </c>
      <c r="N25" s="438">
        <f>3166509993.66573/1000</f>
        <v>3166509.9936657301</v>
      </c>
      <c r="O25" s="144"/>
    </row>
    <row r="26" spans="1:15" s="145" customFormat="1">
      <c r="A26" s="146"/>
      <c r="B26" s="147" t="s">
        <v>716</v>
      </c>
      <c r="C26" s="438">
        <v>427068630</v>
      </c>
      <c r="D26" s="438">
        <v>239119819.0116685</v>
      </c>
      <c r="E26" s="438">
        <v>101218680.00000001</v>
      </c>
      <c r="F26" s="438">
        <v>767407129.01166844</v>
      </c>
      <c r="G26" s="149"/>
      <c r="I26" s="143"/>
      <c r="J26" s="147" t="s">
        <v>716</v>
      </c>
      <c r="K26" s="438">
        <f>427068630/1000</f>
        <v>427068.63</v>
      </c>
      <c r="L26" s="438">
        <f>239119819.011669/1000</f>
        <v>239119.81901166902</v>
      </c>
      <c r="M26" s="438">
        <f>101218680/1000</f>
        <v>101218.68</v>
      </c>
      <c r="N26" s="438">
        <f>767407129.011668/1000</f>
        <v>767407.12901166792</v>
      </c>
      <c r="O26" s="144"/>
    </row>
    <row r="27" spans="1:15">
      <c r="A27" s="146">
        <v>3</v>
      </c>
      <c r="B27" s="436" t="s">
        <v>371</v>
      </c>
      <c r="C27" s="148"/>
      <c r="D27" s="148"/>
      <c r="E27" s="148"/>
      <c r="F27" s="148"/>
      <c r="G27" s="149"/>
      <c r="I27" s="146">
        <v>3</v>
      </c>
      <c r="J27" s="436" t="s">
        <v>371</v>
      </c>
      <c r="K27" s="148"/>
      <c r="L27" s="148"/>
      <c r="M27" s="148"/>
      <c r="N27" s="148"/>
      <c r="O27" s="149"/>
    </row>
    <row r="28" spans="1:15" s="145" customFormat="1">
      <c r="A28" s="146"/>
      <c r="B28" s="147" t="s">
        <v>717</v>
      </c>
      <c r="C28" s="438">
        <v>1510794531.8400002</v>
      </c>
      <c r="D28" s="438">
        <v>984989245.19382036</v>
      </c>
      <c r="E28" s="438">
        <v>371794145.28000003</v>
      </c>
      <c r="F28" s="438">
        <v>2867577922.3138208</v>
      </c>
      <c r="G28" s="149"/>
      <c r="I28" s="143"/>
      <c r="J28" s="147" t="s">
        <v>717</v>
      </c>
      <c r="K28" s="438">
        <f>1510794531.84/1000</f>
        <v>1510794.5318399998</v>
      </c>
      <c r="L28" s="438">
        <f>984989245.19382/1000</f>
        <v>984989.24519381998</v>
      </c>
      <c r="M28" s="438">
        <f>371794145.28/1000</f>
        <v>371794.14528</v>
      </c>
      <c r="N28" s="438">
        <f>2867577922.31382/1000</f>
        <v>2867577.9223138201</v>
      </c>
      <c r="O28" s="149"/>
    </row>
    <row r="29" spans="1:15" s="145" customFormat="1">
      <c r="A29" s="146"/>
      <c r="B29" s="147" t="s">
        <v>718</v>
      </c>
      <c r="C29" s="438">
        <v>1480998270.9000001</v>
      </c>
      <c r="D29" s="438">
        <v>1149468685.8703337</v>
      </c>
      <c r="E29" s="438">
        <v>362299042.80000007</v>
      </c>
      <c r="F29" s="438">
        <v>2992765999.5703344</v>
      </c>
      <c r="G29" s="149"/>
      <c r="I29" s="143"/>
      <c r="J29" s="147" t="s">
        <v>718</v>
      </c>
      <c r="K29" s="438">
        <f>1480998270.9/1000</f>
        <v>1480998.2709000001</v>
      </c>
      <c r="L29" s="438">
        <f>1149468685.87033/1000</f>
        <v>1149468.6858703301</v>
      </c>
      <c r="M29" s="438">
        <f>362299042.8/1000</f>
        <v>362299.0428</v>
      </c>
      <c r="N29" s="438">
        <f>2992765999.57033/1000</f>
        <v>2992765.9995703301</v>
      </c>
      <c r="O29" s="149"/>
    </row>
    <row r="30" spans="1:15" s="145" customFormat="1">
      <c r="A30" s="146"/>
      <c r="B30" s="147" t="s">
        <v>719</v>
      </c>
      <c r="C30" s="438">
        <v>850445293.0200001</v>
      </c>
      <c r="D30" s="438">
        <v>634970659.91920233</v>
      </c>
      <c r="E30" s="438">
        <v>213943461.84000006</v>
      </c>
      <c r="F30" s="438">
        <v>1699359414.7792025</v>
      </c>
      <c r="G30" s="149"/>
      <c r="I30" s="143"/>
      <c r="J30" s="147" t="s">
        <v>719</v>
      </c>
      <c r="K30" s="438">
        <f>850445293.02/1000</f>
        <v>850445.29301999998</v>
      </c>
      <c r="L30" s="438">
        <f>634970659.919202/1000</f>
        <v>634970.65991920198</v>
      </c>
      <c r="M30" s="438">
        <f>213943461.84/1000</f>
        <v>213943.46184</v>
      </c>
      <c r="N30" s="438">
        <f>1699359414.7792/1000</f>
        <v>1699359.4147792</v>
      </c>
      <c r="O30" s="149"/>
    </row>
    <row r="31" spans="1:15" s="145" customFormat="1" ht="31">
      <c r="A31" s="146"/>
      <c r="B31" s="147" t="s">
        <v>720</v>
      </c>
      <c r="C31" s="438">
        <v>1095191156.0400002</v>
      </c>
      <c r="D31" s="438">
        <v>602249031.32941318</v>
      </c>
      <c r="E31" s="438">
        <v>262836643.68000001</v>
      </c>
      <c r="F31" s="438">
        <v>1960276831.0494134</v>
      </c>
      <c r="G31" s="149"/>
      <c r="I31" s="143"/>
      <c r="J31" s="147" t="s">
        <v>720</v>
      </c>
      <c r="K31" s="438">
        <f>1095191156.04/1000</f>
        <v>1095191.15604</v>
      </c>
      <c r="L31" s="438">
        <f>602249031.329413/1000</f>
        <v>602249.03132941306</v>
      </c>
      <c r="M31" s="438">
        <f>262836643.68/1000</f>
        <v>262836.64367999998</v>
      </c>
      <c r="N31" s="438">
        <f>1960276831.04941/1000</f>
        <v>1960276.8310494102</v>
      </c>
      <c r="O31" s="149"/>
    </row>
    <row r="32" spans="1:15" s="145" customFormat="1">
      <c r="A32" s="146"/>
      <c r="B32" s="147" t="s">
        <v>721</v>
      </c>
      <c r="C32" s="438">
        <v>356378249.39999998</v>
      </c>
      <c r="D32" s="438">
        <v>203405774.55695534</v>
      </c>
      <c r="E32" s="438">
        <v>87048064.799999997</v>
      </c>
      <c r="F32" s="438">
        <v>646832088.75695527</v>
      </c>
      <c r="G32" s="149"/>
      <c r="I32" s="143"/>
      <c r="J32" s="147" t="s">
        <v>721</v>
      </c>
      <c r="K32" s="438">
        <f>356378249.4/1000</f>
        <v>356378.24939999997</v>
      </c>
      <c r="L32" s="438">
        <f>203405774.556955/1000</f>
        <v>203405.774556955</v>
      </c>
      <c r="M32" s="438">
        <f>87048064.8/1000</f>
        <v>87048.064799999993</v>
      </c>
      <c r="N32" s="438">
        <f>646832088.756955/1000</f>
        <v>646832.088756955</v>
      </c>
      <c r="O32" s="149"/>
    </row>
    <row r="33" spans="1:15">
      <c r="A33" s="146">
        <v>4</v>
      </c>
      <c r="B33" s="436" t="s">
        <v>373</v>
      </c>
      <c r="C33" s="148"/>
      <c r="D33" s="148"/>
      <c r="E33" s="148"/>
      <c r="F33" s="148"/>
      <c r="G33" s="149"/>
      <c r="I33" s="146">
        <v>4</v>
      </c>
      <c r="J33" s="436" t="s">
        <v>373</v>
      </c>
      <c r="K33" s="148"/>
      <c r="L33" s="148"/>
      <c r="M33" s="148"/>
      <c r="N33" s="148"/>
      <c r="O33" s="149"/>
    </row>
    <row r="34" spans="1:15" s="145" customFormat="1">
      <c r="A34" s="146"/>
      <c r="B34" s="437" t="s">
        <v>722</v>
      </c>
      <c r="C34" s="438">
        <v>518156061.84000003</v>
      </c>
      <c r="D34" s="438">
        <v>288185825.43370527</v>
      </c>
      <c r="E34" s="438">
        <v>120905561.28000003</v>
      </c>
      <c r="F34" s="438">
        <v>927247448.55370545</v>
      </c>
      <c r="G34" s="439"/>
      <c r="I34" s="143"/>
      <c r="J34" s="147" t="s">
        <v>722</v>
      </c>
      <c r="K34" s="438">
        <f>518156061.84/1000</f>
        <v>518156.06183999998</v>
      </c>
      <c r="L34" s="438">
        <f>288185825.433705/1000</f>
        <v>288185.82543370494</v>
      </c>
      <c r="M34" s="438">
        <f>120905561.28/1000</f>
        <v>120905.56127999999</v>
      </c>
      <c r="N34" s="438">
        <f>927247448.553705/1000</f>
        <v>927247.44855370501</v>
      </c>
      <c r="O34" s="144"/>
    </row>
    <row r="35" spans="1:15" s="145" customFormat="1">
      <c r="A35" s="146"/>
      <c r="B35" s="437" t="s">
        <v>723</v>
      </c>
      <c r="C35" s="438">
        <v>736600412.51999998</v>
      </c>
      <c r="D35" s="438">
        <v>404704248.53124756</v>
      </c>
      <c r="E35" s="438">
        <v>173623167.84000003</v>
      </c>
      <c r="F35" s="438">
        <v>1314927828.8912477</v>
      </c>
      <c r="G35" s="439"/>
      <c r="I35" s="143"/>
      <c r="J35" s="147" t="s">
        <v>723</v>
      </c>
      <c r="K35" s="438">
        <f>736600412.52/1000</f>
        <v>736600.41252000001</v>
      </c>
      <c r="L35" s="438">
        <f>404704248.531248/1000</f>
        <v>404704.24853124795</v>
      </c>
      <c r="M35" s="438">
        <f>173623167.84/1000</f>
        <v>173623.16784000001</v>
      </c>
      <c r="N35" s="438">
        <f>1314927828.89125/1000</f>
        <v>1314927.8288912498</v>
      </c>
      <c r="O35" s="144"/>
    </row>
    <row r="36" spans="1:15" s="145" customFormat="1">
      <c r="A36" s="146"/>
      <c r="B36" s="437" t="s">
        <v>724</v>
      </c>
      <c r="C36" s="438">
        <v>603484344.66000009</v>
      </c>
      <c r="D36" s="438">
        <v>314198773.50703406</v>
      </c>
      <c r="E36" s="438">
        <v>145378596.72000003</v>
      </c>
      <c r="F36" s="438">
        <v>1063061714.8870341</v>
      </c>
      <c r="G36" s="439"/>
      <c r="I36" s="143"/>
      <c r="J36" s="147" t="s">
        <v>724</v>
      </c>
      <c r="K36" s="438">
        <f>603484344.66/1000</f>
        <v>603484.34465999994</v>
      </c>
      <c r="L36" s="438">
        <f>314198773.507034/1000</f>
        <v>314198.773507034</v>
      </c>
      <c r="M36" s="438">
        <f>145378596.72/1000</f>
        <v>145378.59672</v>
      </c>
      <c r="N36" s="438">
        <f>1063061714.88703/1000</f>
        <v>1063061.71488703</v>
      </c>
      <c r="O36" s="144"/>
    </row>
    <row r="37" spans="1:15" s="145" customFormat="1" ht="31">
      <c r="A37" s="146"/>
      <c r="B37" s="437" t="s">
        <v>725</v>
      </c>
      <c r="C37" s="438">
        <v>894781013.76000011</v>
      </c>
      <c r="D37" s="438">
        <v>650365242.22442663</v>
      </c>
      <c r="E37" s="438">
        <v>210204145.92000005</v>
      </c>
      <c r="F37" s="438">
        <v>1755350401.9044268</v>
      </c>
      <c r="G37" s="439"/>
      <c r="I37" s="143"/>
      <c r="J37" s="147" t="s">
        <v>725</v>
      </c>
      <c r="K37" s="438">
        <f>894781013.76/1000</f>
        <v>894781.01376</v>
      </c>
      <c r="L37" s="438">
        <f>650365242.224427/1000</f>
        <v>650365.24222442694</v>
      </c>
      <c r="M37" s="438">
        <f>210204145.92/1000</f>
        <v>210204.14591999998</v>
      </c>
      <c r="N37" s="438">
        <f>1755350401.90443/1000</f>
        <v>1755350.40190443</v>
      </c>
      <c r="O37" s="144"/>
    </row>
    <row r="38" spans="1:15" s="145" customFormat="1">
      <c r="A38" s="146"/>
      <c r="B38" s="437" t="s">
        <v>726</v>
      </c>
      <c r="C38" s="438">
        <v>597297920.58000004</v>
      </c>
      <c r="D38" s="438">
        <v>343322930.23011196</v>
      </c>
      <c r="E38" s="438">
        <v>134735133.36000001</v>
      </c>
      <c r="F38" s="438">
        <v>1075355984.1701119</v>
      </c>
      <c r="G38" s="439"/>
      <c r="I38" s="143"/>
      <c r="J38" s="147" t="s">
        <v>726</v>
      </c>
      <c r="K38" s="438">
        <f>597297920.58/1000</f>
        <v>597297.92058000003</v>
      </c>
      <c r="L38" s="438">
        <f>343322930.230112/1000</f>
        <v>343322.93023011199</v>
      </c>
      <c r="M38" s="438">
        <f>134735133.36/1000</f>
        <v>134735.13336000001</v>
      </c>
      <c r="N38" s="438">
        <f>1075355984.17011/1000</f>
        <v>1075355.98417011</v>
      </c>
      <c r="O38" s="144"/>
    </row>
    <row r="39" spans="1:15">
      <c r="A39" s="146">
        <v>5</v>
      </c>
      <c r="B39" s="436" t="s">
        <v>376</v>
      </c>
      <c r="C39" s="148">
        <v>1710424613.2800002</v>
      </c>
      <c r="D39" s="148">
        <v>698469107.88030148</v>
      </c>
      <c r="E39" s="148">
        <v>434679821.76000011</v>
      </c>
      <c r="F39" s="148">
        <v>2843573542.9203019</v>
      </c>
      <c r="G39" s="149"/>
      <c r="I39" s="146">
        <v>5</v>
      </c>
      <c r="J39" s="436" t="s">
        <v>376</v>
      </c>
      <c r="K39" s="148">
        <v>1710425</v>
      </c>
      <c r="L39" s="148">
        <v>698469</v>
      </c>
      <c r="M39" s="148">
        <v>434680</v>
      </c>
      <c r="N39" s="148">
        <f t="shared" ref="N39:N45" si="0">SUM(K39:M39)</f>
        <v>2843574</v>
      </c>
      <c r="O39" s="149"/>
    </row>
    <row r="40" spans="1:15">
      <c r="A40" s="146">
        <v>6</v>
      </c>
      <c r="B40" s="147" t="s">
        <v>377</v>
      </c>
      <c r="C40" s="148">
        <v>4043236004.1000009</v>
      </c>
      <c r="D40" s="148">
        <v>2337997601.692502</v>
      </c>
      <c r="E40" s="148">
        <v>1083354170.6400001</v>
      </c>
      <c r="F40" s="148">
        <v>7464587776.4325027</v>
      </c>
      <c r="G40" s="149"/>
      <c r="I40" s="146">
        <v>6</v>
      </c>
      <c r="J40" s="147" t="s">
        <v>377</v>
      </c>
      <c r="K40" s="148">
        <v>4043236</v>
      </c>
      <c r="L40" s="148">
        <v>2337998</v>
      </c>
      <c r="M40" s="148">
        <v>1083354</v>
      </c>
      <c r="N40" s="148">
        <f t="shared" si="0"/>
        <v>7464588</v>
      </c>
      <c r="O40" s="149"/>
    </row>
    <row r="41" spans="1:15">
      <c r="A41" s="146">
        <v>7</v>
      </c>
      <c r="B41" s="147" t="s">
        <v>378</v>
      </c>
      <c r="C41" s="148">
        <v>3815518258.9799995</v>
      </c>
      <c r="D41" s="148">
        <v>1482799266.699908</v>
      </c>
      <c r="E41" s="148">
        <v>1023370704.2400002</v>
      </c>
      <c r="F41" s="148">
        <v>6321688229.9199085</v>
      </c>
      <c r="G41" s="149"/>
      <c r="I41" s="146">
        <v>7</v>
      </c>
      <c r="J41" s="147" t="s">
        <v>378</v>
      </c>
      <c r="K41" s="148">
        <v>3815518</v>
      </c>
      <c r="L41" s="148">
        <v>1482799</v>
      </c>
      <c r="M41" s="148">
        <v>1023371</v>
      </c>
      <c r="N41" s="148">
        <f t="shared" si="0"/>
        <v>6321688</v>
      </c>
      <c r="O41" s="149"/>
    </row>
    <row r="42" spans="1:15">
      <c r="A42" s="146">
        <v>8</v>
      </c>
      <c r="B42" s="147" t="s">
        <v>380</v>
      </c>
      <c r="C42" s="148">
        <v>3044245617.3600001</v>
      </c>
      <c r="D42" s="148">
        <v>1675870948.3158629</v>
      </c>
      <c r="E42" s="148">
        <v>964840166.63999999</v>
      </c>
      <c r="F42" s="148">
        <v>5684956732.3158655</v>
      </c>
      <c r="G42" s="149"/>
      <c r="I42" s="146">
        <v>8</v>
      </c>
      <c r="J42" s="147" t="s">
        <v>380</v>
      </c>
      <c r="K42" s="148">
        <v>3044246</v>
      </c>
      <c r="L42" s="148">
        <v>1675871</v>
      </c>
      <c r="M42" s="148">
        <v>964840</v>
      </c>
      <c r="N42" s="148">
        <f t="shared" si="0"/>
        <v>5684957</v>
      </c>
      <c r="O42" s="149"/>
    </row>
    <row r="43" spans="1:15">
      <c r="A43" s="146">
        <v>8</v>
      </c>
      <c r="B43" s="147" t="s">
        <v>375</v>
      </c>
      <c r="C43" s="148">
        <v>2615061120.0000005</v>
      </c>
      <c r="D43" s="148">
        <v>980154389.47291219</v>
      </c>
      <c r="E43" s="148">
        <v>635884320.00000012</v>
      </c>
      <c r="F43" s="148">
        <v>4231099829.4729118</v>
      </c>
      <c r="G43" s="149"/>
      <c r="I43" s="146">
        <v>8</v>
      </c>
      <c r="J43" s="147" t="s">
        <v>375</v>
      </c>
      <c r="K43" s="148">
        <v>2615061</v>
      </c>
      <c r="L43" s="148">
        <v>980154</v>
      </c>
      <c r="M43" s="148">
        <v>635884</v>
      </c>
      <c r="N43" s="148">
        <f t="shared" si="0"/>
        <v>4231099</v>
      </c>
      <c r="O43" s="149"/>
    </row>
    <row r="44" spans="1:15">
      <c r="A44" s="146">
        <v>9</v>
      </c>
      <c r="B44" s="147" t="s">
        <v>381</v>
      </c>
      <c r="C44" s="148">
        <v>9787006165.5827999</v>
      </c>
      <c r="D44" s="148">
        <v>3081909183.7585058</v>
      </c>
      <c r="E44" s="148">
        <v>2046315730.7376001</v>
      </c>
      <c r="F44" s="148">
        <v>14915231080.078915</v>
      </c>
      <c r="G44" s="149"/>
      <c r="I44" s="146">
        <v>9</v>
      </c>
      <c r="J44" s="147" t="s">
        <v>381</v>
      </c>
      <c r="K44" s="148">
        <v>9787006</v>
      </c>
      <c r="L44" s="148">
        <v>3081909</v>
      </c>
      <c r="M44" s="148">
        <v>2046316</v>
      </c>
      <c r="N44" s="148">
        <f t="shared" si="0"/>
        <v>14915231</v>
      </c>
      <c r="O44" s="149"/>
    </row>
    <row r="45" spans="1:15">
      <c r="A45" s="146">
        <v>10</v>
      </c>
      <c r="B45" s="436" t="s">
        <v>382</v>
      </c>
      <c r="C45" s="148">
        <v>8612290736.8199997</v>
      </c>
      <c r="D45" s="148">
        <v>3379658112.1203022</v>
      </c>
      <c r="E45" s="148">
        <v>2056798229.0400002</v>
      </c>
      <c r="F45" s="148">
        <v>14048747077.980322</v>
      </c>
      <c r="G45" s="149"/>
      <c r="I45" s="146">
        <v>10</v>
      </c>
      <c r="J45" s="436" t="s">
        <v>382</v>
      </c>
      <c r="K45" s="148">
        <v>8612291</v>
      </c>
      <c r="L45" s="148">
        <v>3379658</v>
      </c>
      <c r="M45" s="148">
        <v>2056798</v>
      </c>
      <c r="N45" s="148">
        <f t="shared" si="0"/>
        <v>14048747</v>
      </c>
      <c r="O45" s="149"/>
    </row>
    <row r="46" spans="1:15" s="145" customFormat="1">
      <c r="A46" s="146"/>
      <c r="B46" s="437" t="s">
        <v>727</v>
      </c>
      <c r="C46" s="438">
        <v>3745203534.48</v>
      </c>
      <c r="D46" s="438">
        <v>1411941246.6565254</v>
      </c>
      <c r="E46" s="438">
        <v>896966506.55999994</v>
      </c>
      <c r="F46" s="438">
        <v>6054111287.6965256</v>
      </c>
      <c r="G46" s="149"/>
      <c r="I46" s="143"/>
      <c r="J46" s="147" t="s">
        <v>727</v>
      </c>
      <c r="K46" s="438">
        <v>3745203534.48</v>
      </c>
      <c r="L46" s="438">
        <v>1411941246.6565254</v>
      </c>
      <c r="M46" s="438">
        <v>896966506.55999994</v>
      </c>
      <c r="N46" s="438">
        <v>6054111287.6965256</v>
      </c>
      <c r="O46" s="149"/>
    </row>
    <row r="47" spans="1:15" s="145" customFormat="1">
      <c r="A47" s="146"/>
      <c r="B47" s="437" t="s">
        <v>728</v>
      </c>
      <c r="C47" s="438">
        <v>2858771114.9400005</v>
      </c>
      <c r="D47" s="438">
        <v>1084367934.604933</v>
      </c>
      <c r="E47" s="438">
        <v>687714971.27999997</v>
      </c>
      <c r="F47" s="438">
        <v>4630854020.8249331</v>
      </c>
      <c r="G47" s="149"/>
      <c r="I47" s="143"/>
      <c r="J47" s="147" t="s">
        <v>728</v>
      </c>
      <c r="K47" s="438">
        <v>2858771114.9400005</v>
      </c>
      <c r="L47" s="438">
        <v>1084367934.604933</v>
      </c>
      <c r="M47" s="438">
        <v>687714971.27999997</v>
      </c>
      <c r="N47" s="438">
        <v>4630854020.8249331</v>
      </c>
      <c r="O47" s="149"/>
    </row>
    <row r="48" spans="1:15" s="145" customFormat="1">
      <c r="A48" s="146"/>
      <c r="B48" s="437" t="s">
        <v>729</v>
      </c>
      <c r="C48" s="438">
        <v>2332499782.4400001</v>
      </c>
      <c r="D48" s="438">
        <v>1002731687.5446537</v>
      </c>
      <c r="E48" s="438">
        <v>543549782.88000011</v>
      </c>
      <c r="F48" s="438">
        <v>3878781252.8646531</v>
      </c>
      <c r="G48" s="149"/>
      <c r="I48" s="143"/>
      <c r="J48" s="147" t="s">
        <v>729</v>
      </c>
      <c r="K48" s="438">
        <v>2332499782.4400001</v>
      </c>
      <c r="L48" s="438">
        <v>1002731687.5446537</v>
      </c>
      <c r="M48" s="438">
        <v>543549782.88000011</v>
      </c>
      <c r="N48" s="438">
        <v>3878781252.8646531</v>
      </c>
      <c r="O48" s="149"/>
    </row>
    <row r="49" spans="1:15">
      <c r="A49" s="146">
        <v>11</v>
      </c>
      <c r="B49" s="147" t="s">
        <v>383</v>
      </c>
      <c r="C49" s="148">
        <v>1160105448</v>
      </c>
      <c r="D49" s="148">
        <v>644674324.74702108</v>
      </c>
      <c r="E49" s="148">
        <v>280494288</v>
      </c>
      <c r="F49" s="148">
        <v>2085274060.7470207</v>
      </c>
      <c r="G49" s="149"/>
      <c r="I49" s="146">
        <v>11</v>
      </c>
      <c r="J49" s="147" t="s">
        <v>383</v>
      </c>
      <c r="K49" s="148">
        <v>1160105</v>
      </c>
      <c r="L49" s="148">
        <v>644674</v>
      </c>
      <c r="M49" s="148">
        <v>280494</v>
      </c>
      <c r="N49" s="148">
        <f>SUM(K49:M49)</f>
        <v>2085273</v>
      </c>
      <c r="O49" s="149"/>
    </row>
    <row r="50" spans="1:15">
      <c r="A50" s="146">
        <v>12</v>
      </c>
      <c r="B50" s="147" t="s">
        <v>384</v>
      </c>
      <c r="C50" s="148">
        <v>587322660.48000002</v>
      </c>
      <c r="D50" s="148">
        <v>323839922.65304977</v>
      </c>
      <c r="E50" s="148">
        <v>141066620.16000003</v>
      </c>
      <c r="F50" s="148">
        <v>1052229203.2930498</v>
      </c>
      <c r="G50" s="149"/>
      <c r="I50" s="146">
        <v>12</v>
      </c>
      <c r="J50" s="147" t="s">
        <v>384</v>
      </c>
      <c r="K50" s="148">
        <v>587323</v>
      </c>
      <c r="L50" s="148">
        <v>323840</v>
      </c>
      <c r="M50" s="148">
        <v>141067</v>
      </c>
      <c r="N50" s="148">
        <f t="shared" ref="N50:N73" si="1">SUM(K50:M50)</f>
        <v>1052230</v>
      </c>
      <c r="O50" s="149"/>
    </row>
    <row r="51" spans="1:15">
      <c r="A51" s="146">
        <v>13</v>
      </c>
      <c r="B51" s="147" t="s">
        <v>385</v>
      </c>
      <c r="C51" s="148">
        <v>782915232.96000004</v>
      </c>
      <c r="D51" s="148">
        <v>398695230.18862873</v>
      </c>
      <c r="E51" s="148">
        <v>195224997.12</v>
      </c>
      <c r="F51" s="148">
        <v>1376835460.2686288</v>
      </c>
      <c r="G51" s="149"/>
      <c r="I51" s="146">
        <v>13</v>
      </c>
      <c r="J51" s="147" t="s">
        <v>385</v>
      </c>
      <c r="K51" s="148">
        <v>782915</v>
      </c>
      <c r="L51" s="148">
        <v>398695</v>
      </c>
      <c r="M51" s="148">
        <v>195225</v>
      </c>
      <c r="N51" s="148">
        <f t="shared" si="1"/>
        <v>1376835</v>
      </c>
      <c r="O51" s="149"/>
    </row>
    <row r="52" spans="1:15">
      <c r="A52" s="146">
        <v>14</v>
      </c>
      <c r="B52" s="147" t="s">
        <v>386</v>
      </c>
      <c r="C52" s="148">
        <v>1660627275.1200001</v>
      </c>
      <c r="D52" s="148">
        <v>852820524.24198854</v>
      </c>
      <c r="E52" s="148">
        <v>401112911.04000002</v>
      </c>
      <c r="F52" s="148">
        <v>2914560710.401989</v>
      </c>
      <c r="G52" s="149"/>
      <c r="I52" s="146">
        <v>14</v>
      </c>
      <c r="J52" s="147" t="s">
        <v>386</v>
      </c>
      <c r="K52" s="148">
        <v>1660627</v>
      </c>
      <c r="L52" s="148">
        <v>852821</v>
      </c>
      <c r="M52" s="148">
        <v>401113</v>
      </c>
      <c r="N52" s="148">
        <f t="shared" si="1"/>
        <v>2914561</v>
      </c>
      <c r="O52" s="149"/>
    </row>
    <row r="53" spans="1:15">
      <c r="A53" s="146">
        <v>15</v>
      </c>
      <c r="B53" s="147" t="s">
        <v>387</v>
      </c>
      <c r="C53" s="148">
        <v>70271850</v>
      </c>
      <c r="D53" s="148">
        <v>47366758.925906666</v>
      </c>
      <c r="E53" s="148">
        <v>16231464</v>
      </c>
      <c r="F53" s="148">
        <v>133870072.92590666</v>
      </c>
      <c r="G53" s="149"/>
      <c r="I53" s="146">
        <v>15</v>
      </c>
      <c r="J53" s="147" t="s">
        <v>730</v>
      </c>
      <c r="K53" s="148">
        <v>70272</v>
      </c>
      <c r="L53" s="148">
        <v>47367</v>
      </c>
      <c r="M53" s="148">
        <v>16231</v>
      </c>
      <c r="N53" s="148">
        <f t="shared" si="1"/>
        <v>133870</v>
      </c>
      <c r="O53" s="149"/>
    </row>
    <row r="54" spans="1:15">
      <c r="A54" s="146">
        <v>16</v>
      </c>
      <c r="B54" s="147" t="s">
        <v>388</v>
      </c>
      <c r="C54" s="148">
        <v>70271850</v>
      </c>
      <c r="D54" s="148">
        <v>47366758.925906666</v>
      </c>
      <c r="E54" s="148">
        <v>16231464</v>
      </c>
      <c r="F54" s="148">
        <v>133870072.92590666</v>
      </c>
      <c r="G54" s="149"/>
      <c r="I54" s="146">
        <v>16</v>
      </c>
      <c r="J54" s="147" t="s">
        <v>731</v>
      </c>
      <c r="K54" s="148">
        <v>70272</v>
      </c>
      <c r="L54" s="148">
        <v>47367</v>
      </c>
      <c r="M54" s="148">
        <v>16231</v>
      </c>
      <c r="N54" s="148">
        <f t="shared" si="1"/>
        <v>133870</v>
      </c>
      <c r="O54" s="149"/>
    </row>
    <row r="55" spans="1:15">
      <c r="A55" s="146">
        <v>17</v>
      </c>
      <c r="B55" s="147" t="s">
        <v>374</v>
      </c>
      <c r="C55" s="148">
        <v>6034242374.3400011</v>
      </c>
      <c r="D55" s="148">
        <v>3098158222.9159479</v>
      </c>
      <c r="E55" s="148">
        <v>1502990404.0799997</v>
      </c>
      <c r="F55" s="148">
        <v>10635391001.335947</v>
      </c>
      <c r="G55" s="149"/>
      <c r="I55" s="146">
        <v>17</v>
      </c>
      <c r="J55" s="147" t="s">
        <v>374</v>
      </c>
      <c r="K55" s="148">
        <v>6034242</v>
      </c>
      <c r="L55" s="148">
        <v>3098158</v>
      </c>
      <c r="M55" s="148">
        <v>1502990</v>
      </c>
      <c r="N55" s="148">
        <f t="shared" si="1"/>
        <v>10635390</v>
      </c>
      <c r="O55" s="149"/>
    </row>
    <row r="56" spans="1:15">
      <c r="A56" s="146">
        <v>18</v>
      </c>
      <c r="B56" s="147" t="s">
        <v>379</v>
      </c>
      <c r="C56" s="148">
        <v>815257860</v>
      </c>
      <c r="D56" s="148">
        <v>506267837.1720826</v>
      </c>
      <c r="E56" s="148">
        <v>184321344.00000003</v>
      </c>
      <c r="F56" s="148">
        <v>1505847041.1720827</v>
      </c>
      <c r="G56" s="149"/>
      <c r="I56" s="146">
        <v>18</v>
      </c>
      <c r="J56" s="147" t="s">
        <v>379</v>
      </c>
      <c r="K56" s="148">
        <v>815258</v>
      </c>
      <c r="L56" s="148">
        <v>506268</v>
      </c>
      <c r="M56" s="148">
        <v>184321</v>
      </c>
      <c r="N56" s="148">
        <f t="shared" si="1"/>
        <v>1505847</v>
      </c>
      <c r="O56" s="149"/>
    </row>
    <row r="57" spans="1:15">
      <c r="A57" s="146">
        <v>19</v>
      </c>
      <c r="B57" s="147" t="s">
        <v>389</v>
      </c>
      <c r="C57" s="148">
        <v>799932447.24000001</v>
      </c>
      <c r="D57" s="148">
        <v>493534232.29120004</v>
      </c>
      <c r="E57" s="148">
        <v>190688698.08000001</v>
      </c>
      <c r="F57" s="148">
        <v>1484155377.6111999</v>
      </c>
      <c r="G57" s="149"/>
      <c r="I57" s="146">
        <v>19</v>
      </c>
      <c r="J57" s="147" t="s">
        <v>389</v>
      </c>
      <c r="K57" s="148">
        <v>799932</v>
      </c>
      <c r="L57" s="148">
        <v>493534</v>
      </c>
      <c r="M57" s="148">
        <v>190689</v>
      </c>
      <c r="N57" s="148">
        <f t="shared" si="1"/>
        <v>1484155</v>
      </c>
      <c r="O57" s="149"/>
    </row>
    <row r="58" spans="1:15">
      <c r="A58" s="146">
        <v>20</v>
      </c>
      <c r="B58" s="147" t="s">
        <v>390</v>
      </c>
      <c r="C58" s="148">
        <v>996251152.79999995</v>
      </c>
      <c r="D58" s="148">
        <v>533313382.72997123</v>
      </c>
      <c r="E58" s="148">
        <v>238474857.60000002</v>
      </c>
      <c r="F58" s="148">
        <v>1768039393.129971</v>
      </c>
      <c r="G58" s="149"/>
      <c r="I58" s="146">
        <v>20</v>
      </c>
      <c r="J58" s="147" t="s">
        <v>390</v>
      </c>
      <c r="K58" s="148">
        <v>996251</v>
      </c>
      <c r="L58" s="148">
        <v>533313</v>
      </c>
      <c r="M58" s="148">
        <v>238475</v>
      </c>
      <c r="N58" s="148">
        <f t="shared" si="1"/>
        <v>1768039</v>
      </c>
      <c r="O58" s="149"/>
    </row>
    <row r="59" spans="1:15">
      <c r="A59" s="146">
        <v>21</v>
      </c>
      <c r="B59" s="147" t="s">
        <v>391</v>
      </c>
      <c r="C59" s="148">
        <v>909133321.91999996</v>
      </c>
      <c r="D59" s="148">
        <v>361087041.01764834</v>
      </c>
      <c r="E59" s="148">
        <v>222980192.63999999</v>
      </c>
      <c r="F59" s="148">
        <v>1493200555.5776484</v>
      </c>
      <c r="G59" s="149"/>
      <c r="I59" s="146">
        <v>21</v>
      </c>
      <c r="J59" s="147" t="s">
        <v>391</v>
      </c>
      <c r="K59" s="148">
        <v>909133</v>
      </c>
      <c r="L59" s="148">
        <v>361087</v>
      </c>
      <c r="M59" s="148">
        <v>222980</v>
      </c>
      <c r="N59" s="148">
        <f t="shared" si="1"/>
        <v>1493200</v>
      </c>
      <c r="O59" s="149"/>
    </row>
    <row r="60" spans="1:15">
      <c r="A60" s="146">
        <v>22</v>
      </c>
      <c r="B60" s="147" t="s">
        <v>392</v>
      </c>
      <c r="C60" s="148">
        <v>1365685983.48</v>
      </c>
      <c r="D60" s="148">
        <v>782750234.77966833</v>
      </c>
      <c r="E60" s="148">
        <v>332968726.56000006</v>
      </c>
      <c r="F60" s="148">
        <v>2481404944.8196678</v>
      </c>
      <c r="G60" s="149"/>
      <c r="I60" s="146">
        <v>22</v>
      </c>
      <c r="J60" s="147" t="s">
        <v>392</v>
      </c>
      <c r="K60" s="148">
        <v>1365686</v>
      </c>
      <c r="L60" s="148">
        <v>782750</v>
      </c>
      <c r="M60" s="148">
        <v>332969</v>
      </c>
      <c r="N60" s="148">
        <f t="shared" si="1"/>
        <v>2481405</v>
      </c>
      <c r="O60" s="149"/>
    </row>
    <row r="61" spans="1:15">
      <c r="A61" s="146">
        <v>23</v>
      </c>
      <c r="B61" s="147" t="s">
        <v>393</v>
      </c>
      <c r="C61" s="148">
        <v>1125861054</v>
      </c>
      <c r="D61" s="148">
        <v>657118231.94791448</v>
      </c>
      <c r="E61" s="148">
        <v>272652120</v>
      </c>
      <c r="F61" s="148">
        <v>2055631405.9479144</v>
      </c>
      <c r="G61" s="149"/>
      <c r="H61" s="150"/>
      <c r="I61" s="146">
        <v>23</v>
      </c>
      <c r="J61" s="147" t="s">
        <v>393</v>
      </c>
      <c r="K61" s="148">
        <v>1125861</v>
      </c>
      <c r="L61" s="148">
        <v>657118</v>
      </c>
      <c r="M61" s="148">
        <v>272652</v>
      </c>
      <c r="N61" s="148">
        <f t="shared" si="1"/>
        <v>2055631</v>
      </c>
      <c r="O61" s="149"/>
    </row>
    <row r="62" spans="1:15">
      <c r="A62" s="146">
        <v>24</v>
      </c>
      <c r="B62" s="147" t="s">
        <v>394</v>
      </c>
      <c r="C62" s="148">
        <v>2264401005.3600001</v>
      </c>
      <c r="D62" s="148">
        <v>1236157590.9164994</v>
      </c>
      <c r="E62" s="148">
        <v>555928249.92000008</v>
      </c>
      <c r="F62" s="148">
        <v>4056486846.1964993</v>
      </c>
      <c r="G62" s="149"/>
      <c r="I62" s="146">
        <v>24</v>
      </c>
      <c r="J62" s="147" t="s">
        <v>394</v>
      </c>
      <c r="K62" s="148">
        <v>2264401</v>
      </c>
      <c r="L62" s="148">
        <v>1236158</v>
      </c>
      <c r="M62" s="148">
        <v>555928</v>
      </c>
      <c r="N62" s="148">
        <f t="shared" si="1"/>
        <v>4056487</v>
      </c>
      <c r="O62" s="149"/>
    </row>
    <row r="63" spans="1:15">
      <c r="A63" s="146">
        <v>25</v>
      </c>
      <c r="B63" s="147" t="s">
        <v>395</v>
      </c>
      <c r="C63" s="148">
        <v>752111687.63999999</v>
      </c>
      <c r="D63" s="148">
        <v>345691910.7435227</v>
      </c>
      <c r="E63" s="148">
        <v>187734206.88000003</v>
      </c>
      <c r="F63" s="148">
        <v>1285537805.2635226</v>
      </c>
      <c r="G63" s="149"/>
      <c r="I63" s="146">
        <v>25</v>
      </c>
      <c r="J63" s="147" t="s">
        <v>395</v>
      </c>
      <c r="K63" s="148">
        <v>752112</v>
      </c>
      <c r="L63" s="148">
        <v>345692</v>
      </c>
      <c r="M63" s="148">
        <v>187734</v>
      </c>
      <c r="N63" s="148">
        <f t="shared" si="1"/>
        <v>1285538</v>
      </c>
      <c r="O63" s="149"/>
    </row>
    <row r="64" spans="1:15">
      <c r="A64" s="146">
        <v>26</v>
      </c>
      <c r="B64" s="147" t="s">
        <v>396</v>
      </c>
      <c r="C64" s="148">
        <v>639238656.60000002</v>
      </c>
      <c r="D64" s="148">
        <v>376580183.1224128</v>
      </c>
      <c r="E64" s="148">
        <v>150344695.20000002</v>
      </c>
      <c r="F64" s="148">
        <v>1166163534.9224129</v>
      </c>
      <c r="G64" s="149"/>
      <c r="I64" s="146">
        <v>26</v>
      </c>
      <c r="J64" s="147" t="s">
        <v>396</v>
      </c>
      <c r="K64" s="148">
        <v>639239</v>
      </c>
      <c r="L64" s="148">
        <v>376580</v>
      </c>
      <c r="M64" s="148">
        <v>150345</v>
      </c>
      <c r="N64" s="148">
        <f t="shared" si="1"/>
        <v>1166164</v>
      </c>
      <c r="O64" s="149"/>
    </row>
    <row r="65" spans="1:19">
      <c r="A65" s="146">
        <v>27</v>
      </c>
      <c r="B65" s="147" t="s">
        <v>397</v>
      </c>
      <c r="C65" s="148">
        <v>1237931499.3600001</v>
      </c>
      <c r="D65" s="148">
        <v>671527169.58370054</v>
      </c>
      <c r="E65" s="148">
        <v>302607985.92000002</v>
      </c>
      <c r="F65" s="148">
        <v>2212066654.8637004</v>
      </c>
      <c r="G65" s="149"/>
      <c r="I65" s="146">
        <v>27</v>
      </c>
      <c r="J65" s="147" t="s">
        <v>397</v>
      </c>
      <c r="K65" s="148">
        <v>1237931</v>
      </c>
      <c r="L65" s="148">
        <v>671527</v>
      </c>
      <c r="M65" s="148">
        <v>302608</v>
      </c>
      <c r="N65" s="148">
        <f t="shared" si="1"/>
        <v>2212066</v>
      </c>
      <c r="O65" s="149"/>
    </row>
    <row r="66" spans="1:19">
      <c r="A66" s="146">
        <v>28</v>
      </c>
      <c r="B66" s="147" t="s">
        <v>398</v>
      </c>
      <c r="C66" s="148">
        <v>710062926</v>
      </c>
      <c r="D66" s="148">
        <v>427636334.07974142</v>
      </c>
      <c r="E66" s="148">
        <v>171858984.00000003</v>
      </c>
      <c r="F66" s="148">
        <v>1309558244.0797415</v>
      </c>
      <c r="G66" s="149"/>
      <c r="I66" s="146">
        <v>28</v>
      </c>
      <c r="J66" s="147" t="s">
        <v>398</v>
      </c>
      <c r="K66" s="148">
        <v>710063</v>
      </c>
      <c r="L66" s="148">
        <v>427636</v>
      </c>
      <c r="M66" s="148">
        <v>171859</v>
      </c>
      <c r="N66" s="148">
        <f t="shared" si="1"/>
        <v>1309558</v>
      </c>
      <c r="O66" s="149"/>
    </row>
    <row r="67" spans="1:19">
      <c r="A67" s="146">
        <v>29</v>
      </c>
      <c r="B67" s="147" t="s">
        <v>399</v>
      </c>
      <c r="C67" s="148">
        <v>1024572521.76</v>
      </c>
      <c r="D67" s="148">
        <v>594323393.79806113</v>
      </c>
      <c r="E67" s="148">
        <v>269172385.92000008</v>
      </c>
      <c r="F67" s="148">
        <v>1888068301.478061</v>
      </c>
      <c r="G67" s="149"/>
      <c r="I67" s="146">
        <v>29</v>
      </c>
      <c r="J67" s="147" t="s">
        <v>399</v>
      </c>
      <c r="K67" s="148">
        <v>1024573</v>
      </c>
      <c r="L67" s="148">
        <v>594323</v>
      </c>
      <c r="M67" s="148">
        <v>269172</v>
      </c>
      <c r="N67" s="148">
        <f t="shared" si="1"/>
        <v>1888068</v>
      </c>
      <c r="O67" s="149"/>
    </row>
    <row r="68" spans="1:19">
      <c r="A68" s="146">
        <v>30</v>
      </c>
      <c r="B68" s="147" t="s">
        <v>400</v>
      </c>
      <c r="C68" s="148">
        <v>863653191.53999996</v>
      </c>
      <c r="D68" s="148">
        <v>382136524.51410919</v>
      </c>
      <c r="E68" s="148">
        <v>213883885.68000001</v>
      </c>
      <c r="F68" s="148">
        <v>1459673601.7341094</v>
      </c>
      <c r="G68" s="149"/>
      <c r="I68" s="146">
        <v>30</v>
      </c>
      <c r="J68" s="147" t="s">
        <v>400</v>
      </c>
      <c r="K68" s="148">
        <v>863653</v>
      </c>
      <c r="L68" s="148">
        <v>382137</v>
      </c>
      <c r="M68" s="148">
        <v>213884</v>
      </c>
      <c r="N68" s="148">
        <f t="shared" si="1"/>
        <v>1459674</v>
      </c>
      <c r="O68" s="149"/>
    </row>
    <row r="69" spans="1:19">
      <c r="A69" s="146">
        <v>31</v>
      </c>
      <c r="B69" s="147" t="s">
        <v>401</v>
      </c>
      <c r="C69" s="148">
        <v>1363504123.9200001</v>
      </c>
      <c r="D69" s="148">
        <v>843038291.12715137</v>
      </c>
      <c r="E69" s="148">
        <v>322058994.24000001</v>
      </c>
      <c r="F69" s="148">
        <v>2528601409.2871518</v>
      </c>
      <c r="G69" s="149"/>
      <c r="I69" s="146">
        <v>31</v>
      </c>
      <c r="J69" s="147" t="s">
        <v>401</v>
      </c>
      <c r="K69" s="148">
        <v>1363504</v>
      </c>
      <c r="L69" s="148">
        <v>843038</v>
      </c>
      <c r="M69" s="148">
        <v>322059</v>
      </c>
      <c r="N69" s="148">
        <f t="shared" si="1"/>
        <v>2528601</v>
      </c>
      <c r="O69" s="149"/>
    </row>
    <row r="70" spans="1:19">
      <c r="A70" s="146">
        <v>32</v>
      </c>
      <c r="B70" s="147" t="s">
        <v>402</v>
      </c>
      <c r="C70" s="148">
        <v>2228082342</v>
      </c>
      <c r="D70" s="148">
        <v>1269150881.0557177</v>
      </c>
      <c r="E70" s="148">
        <v>536124648.00000006</v>
      </c>
      <c r="F70" s="148">
        <v>4033357871.0557179</v>
      </c>
      <c r="G70" s="149"/>
      <c r="I70" s="146">
        <v>32</v>
      </c>
      <c r="J70" s="147" t="s">
        <v>402</v>
      </c>
      <c r="K70" s="148">
        <v>2228082</v>
      </c>
      <c r="L70" s="148">
        <v>1269151</v>
      </c>
      <c r="M70" s="148">
        <v>536125</v>
      </c>
      <c r="N70" s="148">
        <f t="shared" si="1"/>
        <v>4033358</v>
      </c>
      <c r="O70" s="149"/>
    </row>
    <row r="71" spans="1:19">
      <c r="A71" s="146">
        <v>33</v>
      </c>
      <c r="B71" s="147" t="s">
        <v>403</v>
      </c>
      <c r="C71" s="148">
        <v>2747011941.2399998</v>
      </c>
      <c r="D71" s="148">
        <v>1475510964.9948292</v>
      </c>
      <c r="E71" s="148">
        <v>659188325.27999997</v>
      </c>
      <c r="F71" s="148">
        <v>4881711231.5148296</v>
      </c>
      <c r="G71" s="149"/>
      <c r="I71" s="146">
        <v>33</v>
      </c>
      <c r="J71" s="147" t="s">
        <v>403</v>
      </c>
      <c r="K71" s="148">
        <v>2747012</v>
      </c>
      <c r="L71" s="148">
        <v>1475511</v>
      </c>
      <c r="M71" s="148">
        <v>659188</v>
      </c>
      <c r="N71" s="148">
        <f t="shared" si="1"/>
        <v>4881711</v>
      </c>
      <c r="O71" s="149"/>
    </row>
    <row r="72" spans="1:19" s="145" customFormat="1">
      <c r="A72" s="146">
        <v>34</v>
      </c>
      <c r="B72" s="147" t="s">
        <v>404</v>
      </c>
      <c r="C72" s="148">
        <v>153465576</v>
      </c>
      <c r="D72" s="148">
        <v>97202148.870673329</v>
      </c>
      <c r="E72" s="148">
        <v>36475200</v>
      </c>
      <c r="F72" s="148">
        <v>287142924.8706733</v>
      </c>
      <c r="G72" s="149"/>
      <c r="I72" s="146">
        <v>34</v>
      </c>
      <c r="J72" s="147" t="s">
        <v>404</v>
      </c>
      <c r="K72" s="148">
        <v>153466</v>
      </c>
      <c r="L72" s="148">
        <v>97202</v>
      </c>
      <c r="M72" s="148">
        <v>36475</v>
      </c>
      <c r="N72" s="148">
        <f t="shared" si="1"/>
        <v>287143</v>
      </c>
      <c r="O72" s="149"/>
      <c r="Q72" s="140"/>
      <c r="R72" s="140"/>
      <c r="S72" s="140"/>
    </row>
    <row r="73" spans="1:19">
      <c r="A73" s="146">
        <v>35</v>
      </c>
      <c r="B73" s="147" t="s">
        <v>405</v>
      </c>
      <c r="C73" s="151">
        <v>525341070</v>
      </c>
      <c r="D73" s="151">
        <v>239042501.45737901</v>
      </c>
      <c r="E73" s="151">
        <v>126629736.00000001</v>
      </c>
      <c r="F73" s="151">
        <v>891013307.45737898</v>
      </c>
      <c r="G73" s="149"/>
      <c r="I73" s="146">
        <v>35</v>
      </c>
      <c r="J73" s="147" t="s">
        <v>405</v>
      </c>
      <c r="K73" s="151">
        <v>525341</v>
      </c>
      <c r="L73" s="151">
        <v>239043</v>
      </c>
      <c r="M73" s="151">
        <v>126630</v>
      </c>
      <c r="N73" s="148">
        <f t="shared" si="1"/>
        <v>891014</v>
      </c>
      <c r="O73" s="149"/>
    </row>
    <row r="74" spans="1:19">
      <c r="A74" s="152"/>
      <c r="B74" s="152" t="s">
        <v>732</v>
      </c>
      <c r="C74" s="153">
        <f>SUM(C49:C72)</f>
        <v>30361913981.759995</v>
      </c>
      <c r="D74" s="153">
        <f>SUM(D49:D72)</f>
        <v>16465948095.343353</v>
      </c>
      <c r="E74" s="153">
        <f>SUM(E49:E72)</f>
        <v>7400815648.3199987</v>
      </c>
      <c r="F74" s="153">
        <f>SUM(F49:F73)</f>
        <v>55119691032.880737</v>
      </c>
      <c r="G74" s="154"/>
      <c r="I74" s="152"/>
      <c r="J74" s="152" t="s">
        <v>732</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5"/>
  <cols>
    <col min="1" max="1" width="4.81640625" style="55" customWidth="1"/>
    <col min="2" max="2" width="40.1796875" style="56" customWidth="1"/>
    <col min="3" max="3" width="8.26953125" style="56" customWidth="1"/>
    <col min="4" max="4" width="8.1796875" style="56" customWidth="1"/>
    <col min="5" max="10" width="8.1796875" style="56" hidden="1" customWidth="1"/>
    <col min="11" max="12" width="8.1796875" customWidth="1"/>
    <col min="13" max="13" width="68.7265625" style="56" customWidth="1"/>
  </cols>
  <sheetData>
    <row r="1" spans="1:17" ht="14.25" customHeight="1">
      <c r="A1" s="725" t="s">
        <v>733</v>
      </c>
      <c r="B1" s="725"/>
      <c r="C1" s="1"/>
      <c r="D1" s="1"/>
      <c r="E1" s="1"/>
      <c r="F1" s="1"/>
      <c r="G1" s="1"/>
      <c r="H1" s="1"/>
      <c r="I1" s="1"/>
      <c r="J1" s="1"/>
      <c r="K1" s="726" t="s">
        <v>65</v>
      </c>
      <c r="L1" s="726"/>
      <c r="M1" s="1"/>
      <c r="N1" s="34"/>
      <c r="O1" s="34"/>
      <c r="P1" s="34"/>
      <c r="Q1" s="34"/>
    </row>
    <row r="2" spans="1:17">
      <c r="A2" s="727" t="s">
        <v>925</v>
      </c>
      <c r="B2" s="727"/>
      <c r="C2" s="1"/>
      <c r="D2" s="1"/>
      <c r="E2" s="1"/>
      <c r="F2" s="1"/>
      <c r="G2" s="1"/>
      <c r="H2" s="1"/>
      <c r="I2" s="1"/>
      <c r="J2" s="1"/>
      <c r="K2" s="2"/>
      <c r="L2" s="2"/>
      <c r="M2" s="1"/>
      <c r="N2" s="34"/>
      <c r="O2" s="34"/>
      <c r="P2" s="34"/>
      <c r="Q2" s="34"/>
    </row>
    <row r="3" spans="1:17" ht="22.5" customHeight="1">
      <c r="A3" s="719" t="s">
        <v>12</v>
      </c>
      <c r="B3" s="719"/>
      <c r="C3" s="719"/>
      <c r="D3" s="719"/>
      <c r="E3" s="719"/>
      <c r="F3" s="719"/>
      <c r="G3" s="719"/>
      <c r="H3" s="719"/>
      <c r="I3" s="719"/>
      <c r="J3" s="719"/>
      <c r="K3" s="719"/>
      <c r="L3" s="719"/>
      <c r="M3" s="1"/>
      <c r="N3" s="34"/>
      <c r="O3" s="34"/>
      <c r="P3" s="34"/>
      <c r="Q3" s="34"/>
    </row>
    <row r="4" spans="1:17" ht="23.25" customHeight="1" thickBot="1">
      <c r="A4" s="3"/>
      <c r="B4" s="3"/>
      <c r="C4" s="3"/>
      <c r="D4" s="3"/>
      <c r="E4" s="3"/>
      <c r="F4" s="3"/>
      <c r="G4" s="3"/>
      <c r="H4" s="3"/>
      <c r="I4" s="3"/>
      <c r="J4" s="3"/>
      <c r="K4" s="3"/>
      <c r="L4" s="4" t="s">
        <v>67</v>
      </c>
      <c r="M4" s="1"/>
      <c r="N4" s="34"/>
      <c r="O4" s="34"/>
      <c r="P4" s="34"/>
      <c r="Q4" s="34"/>
    </row>
    <row r="5" spans="1:17" ht="35.25" customHeight="1" thickTop="1">
      <c r="A5" s="5" t="s">
        <v>68</v>
      </c>
      <c r="B5" s="6" t="s">
        <v>69</v>
      </c>
      <c r="C5" s="6" t="s">
        <v>70</v>
      </c>
      <c r="D5" s="6" t="s">
        <v>71</v>
      </c>
      <c r="E5" s="6" t="s">
        <v>72</v>
      </c>
      <c r="F5" s="6" t="s">
        <v>73</v>
      </c>
      <c r="G5" s="6" t="s">
        <v>74</v>
      </c>
      <c r="H5" s="6" t="s">
        <v>75</v>
      </c>
      <c r="I5" s="6" t="s">
        <v>76</v>
      </c>
      <c r="J5" s="6" t="s">
        <v>77</v>
      </c>
      <c r="K5" s="6" t="s">
        <v>78</v>
      </c>
      <c r="L5" s="7" t="s">
        <v>7</v>
      </c>
      <c r="M5" s="1"/>
      <c r="N5" s="34"/>
      <c r="O5" s="34"/>
      <c r="P5" s="34"/>
      <c r="Q5" s="34"/>
    </row>
    <row r="6" spans="1:17" s="41" customFormat="1" ht="19.5" customHeight="1">
      <c r="A6" s="35" t="s">
        <v>79</v>
      </c>
      <c r="B6" s="36" t="s">
        <v>129</v>
      </c>
      <c r="C6" s="37"/>
      <c r="D6" s="601"/>
      <c r="E6" s="601"/>
      <c r="F6" s="601"/>
      <c r="G6" s="601"/>
      <c r="H6" s="601"/>
      <c r="I6" s="601"/>
      <c r="J6" s="601"/>
      <c r="K6" s="601"/>
      <c r="L6" s="38"/>
      <c r="M6" s="39"/>
      <c r="N6" s="40"/>
      <c r="O6" s="40"/>
      <c r="P6" s="40"/>
      <c r="Q6" s="40"/>
    </row>
    <row r="7" spans="1:17" s="41" customFormat="1" ht="19.5" customHeight="1">
      <c r="A7" s="35" t="s">
        <v>81</v>
      </c>
      <c r="B7" s="36" t="s">
        <v>130</v>
      </c>
      <c r="C7" s="37"/>
      <c r="D7" s="601"/>
      <c r="E7" s="601"/>
      <c r="F7" s="601"/>
      <c r="G7" s="601"/>
      <c r="H7" s="601"/>
      <c r="I7" s="601"/>
      <c r="J7" s="601"/>
      <c r="K7" s="601"/>
      <c r="L7" s="38"/>
      <c r="M7" s="39"/>
      <c r="N7" s="40"/>
      <c r="O7" s="40"/>
      <c r="P7" s="40"/>
      <c r="Q7" s="40"/>
    </row>
    <row r="8" spans="1:17" s="41" customFormat="1" ht="73.5" customHeight="1">
      <c r="A8" s="13" t="s">
        <v>83</v>
      </c>
      <c r="B8" s="14" t="s">
        <v>131</v>
      </c>
      <c r="C8" s="15" t="s">
        <v>132</v>
      </c>
      <c r="D8" s="480">
        <f>SUM(D9:D11)</f>
        <v>125</v>
      </c>
      <c r="E8" s="480">
        <f t="shared" ref="E8:J8" si="0">SUM(E9:E11)</f>
        <v>0</v>
      </c>
      <c r="F8" s="480">
        <f t="shared" si="0"/>
        <v>0</v>
      </c>
      <c r="G8" s="480">
        <f t="shared" si="0"/>
        <v>0</v>
      </c>
      <c r="H8" s="480">
        <f t="shared" si="0"/>
        <v>0</v>
      </c>
      <c r="I8" s="480">
        <f t="shared" si="0"/>
        <v>0</v>
      </c>
      <c r="J8" s="480">
        <f t="shared" si="0"/>
        <v>0</v>
      </c>
      <c r="K8" s="480">
        <f>SUM(D8:J8)</f>
        <v>125</v>
      </c>
      <c r="L8" s="17"/>
      <c r="M8" s="39"/>
      <c r="N8" s="40"/>
      <c r="O8" s="40"/>
      <c r="P8" s="40"/>
      <c r="Q8" s="40"/>
    </row>
    <row r="9" spans="1:17" s="41" customFormat="1" ht="26">
      <c r="A9" s="13"/>
      <c r="B9" s="18" t="s">
        <v>133</v>
      </c>
      <c r="C9" s="15" t="s">
        <v>132</v>
      </c>
      <c r="D9" s="480">
        <v>0</v>
      </c>
      <c r="E9" s="480"/>
      <c r="F9" s="480"/>
      <c r="G9" s="480"/>
      <c r="H9" s="480"/>
      <c r="I9" s="480"/>
      <c r="J9" s="480"/>
      <c r="K9" s="480">
        <f>SUM(D9:J9)</f>
        <v>0</v>
      </c>
      <c r="L9" s="17"/>
      <c r="M9" s="39"/>
      <c r="N9" s="40"/>
      <c r="O9" s="40"/>
      <c r="P9" s="40"/>
      <c r="Q9" s="40"/>
    </row>
    <row r="10" spans="1:17" s="41" customFormat="1">
      <c r="A10" s="13"/>
      <c r="B10" s="18" t="s">
        <v>134</v>
      </c>
      <c r="C10" s="15" t="s">
        <v>132</v>
      </c>
      <c r="D10" s="480">
        <f>17+14+11+33</f>
        <v>75</v>
      </c>
      <c r="E10" s="480"/>
      <c r="F10" s="480"/>
      <c r="G10" s="480"/>
      <c r="H10" s="480"/>
      <c r="I10" s="480"/>
      <c r="J10" s="480"/>
      <c r="K10" s="480">
        <v>75</v>
      </c>
      <c r="L10" s="17"/>
      <c r="M10" s="39"/>
      <c r="N10" s="40"/>
      <c r="O10" s="40"/>
      <c r="P10" s="40"/>
      <c r="Q10" s="40"/>
    </row>
    <row r="11" spans="1:17" s="41" customFormat="1">
      <c r="A11" s="13"/>
      <c r="B11" s="18" t="s">
        <v>135</v>
      </c>
      <c r="C11" s="15" t="s">
        <v>132</v>
      </c>
      <c r="D11" s="480">
        <v>50</v>
      </c>
      <c r="E11" s="480"/>
      <c r="F11" s="480"/>
      <c r="G11" s="480"/>
      <c r="H11" s="480"/>
      <c r="I11" s="480"/>
      <c r="J11" s="480"/>
      <c r="K11" s="480">
        <v>50</v>
      </c>
      <c r="L11" s="17"/>
      <c r="M11" s="39"/>
      <c r="N11" s="40"/>
      <c r="O11" s="40"/>
      <c r="P11" s="40"/>
      <c r="Q11" s="40"/>
    </row>
    <row r="12" spans="1:17" s="41" customFormat="1" ht="62.25" customHeight="1">
      <c r="A12" s="13" t="s">
        <v>92</v>
      </c>
      <c r="B12" s="14" t="s">
        <v>136</v>
      </c>
      <c r="C12" s="15" t="s">
        <v>132</v>
      </c>
      <c r="D12" s="480">
        <f>SUM(D13:D15)</f>
        <v>75</v>
      </c>
      <c r="E12" s="480">
        <f>SUM(E13:E15)</f>
        <v>0</v>
      </c>
      <c r="F12" s="480">
        <f t="shared" ref="F12:J12" si="1">SUM(F13:F15)</f>
        <v>0</v>
      </c>
      <c r="G12" s="480">
        <f t="shared" si="1"/>
        <v>0</v>
      </c>
      <c r="H12" s="480">
        <f t="shared" si="1"/>
        <v>0</v>
      </c>
      <c r="I12" s="480">
        <f t="shared" si="1"/>
        <v>0</v>
      </c>
      <c r="J12" s="480">
        <f t="shared" si="1"/>
        <v>0</v>
      </c>
      <c r="K12" s="480">
        <f t="shared" ref="K12:K16" si="2">SUM(D12:J12)</f>
        <v>75</v>
      </c>
      <c r="L12" s="17"/>
      <c r="M12" s="39"/>
      <c r="N12" s="40"/>
      <c r="O12" s="40"/>
      <c r="P12" s="40"/>
      <c r="Q12" s="40"/>
    </row>
    <row r="13" spans="1:17" s="41" customFormat="1" ht="26">
      <c r="A13" s="13"/>
      <c r="B13" s="18" t="s">
        <v>133</v>
      </c>
      <c r="C13" s="15" t="s">
        <v>132</v>
      </c>
      <c r="D13" s="480">
        <v>0</v>
      </c>
      <c r="E13" s="480"/>
      <c r="F13" s="480"/>
      <c r="G13" s="480"/>
      <c r="H13" s="480"/>
      <c r="I13" s="480"/>
      <c r="J13" s="480"/>
      <c r="K13" s="480">
        <f t="shared" si="2"/>
        <v>0</v>
      </c>
      <c r="L13" s="17"/>
      <c r="M13" s="39"/>
      <c r="N13" s="40"/>
      <c r="O13" s="40"/>
      <c r="P13" s="40"/>
      <c r="Q13" s="40"/>
    </row>
    <row r="14" spans="1:17" s="41" customFormat="1">
      <c r="A14" s="13"/>
      <c r="B14" s="18" t="s">
        <v>134</v>
      </c>
      <c r="C14" s="15" t="s">
        <v>132</v>
      </c>
      <c r="D14" s="480">
        <v>75</v>
      </c>
      <c r="E14" s="480"/>
      <c r="F14" s="480"/>
      <c r="G14" s="480"/>
      <c r="H14" s="480"/>
      <c r="I14" s="480"/>
      <c r="J14" s="480"/>
      <c r="K14" s="480">
        <f t="shared" si="2"/>
        <v>75</v>
      </c>
      <c r="L14" s="17"/>
      <c r="M14" s="39"/>
      <c r="N14" s="40"/>
      <c r="O14" s="40"/>
      <c r="P14" s="40"/>
      <c r="Q14" s="40"/>
    </row>
    <row r="15" spans="1:17" s="41" customFormat="1">
      <c r="A15" s="13"/>
      <c r="B15" s="18" t="s">
        <v>135</v>
      </c>
      <c r="C15" s="15" t="s">
        <v>132</v>
      </c>
      <c r="D15" s="480">
        <v>0</v>
      </c>
      <c r="E15" s="480"/>
      <c r="F15" s="480"/>
      <c r="G15" s="480"/>
      <c r="H15" s="480"/>
      <c r="I15" s="480"/>
      <c r="J15" s="480"/>
      <c r="K15" s="480">
        <f t="shared" si="2"/>
        <v>0</v>
      </c>
      <c r="L15" s="17"/>
      <c r="M15" s="39"/>
      <c r="N15" s="40"/>
      <c r="O15" s="40"/>
      <c r="P15" s="40"/>
      <c r="Q15" s="40"/>
    </row>
    <row r="16" spans="1:17" s="41" customFormat="1" ht="27">
      <c r="A16" s="13" t="s">
        <v>94</v>
      </c>
      <c r="B16" s="20" t="s">
        <v>137</v>
      </c>
      <c r="C16" s="15" t="s">
        <v>132</v>
      </c>
      <c r="D16" s="480">
        <v>0</v>
      </c>
      <c r="E16" s="480"/>
      <c r="F16" s="480"/>
      <c r="G16" s="480"/>
      <c r="H16" s="480"/>
      <c r="I16" s="480"/>
      <c r="J16" s="480">
        <v>0</v>
      </c>
      <c r="K16" s="480">
        <f t="shared" si="2"/>
        <v>0</v>
      </c>
      <c r="L16" s="17"/>
      <c r="M16" s="39"/>
      <c r="N16" s="40"/>
      <c r="O16" s="40"/>
      <c r="P16" s="40"/>
      <c r="Q16" s="40"/>
    </row>
    <row r="17" spans="1:17" s="41" customFormat="1">
      <c r="A17" s="13"/>
      <c r="B17" s="602" t="s">
        <v>138</v>
      </c>
      <c r="C17" s="25" t="s">
        <v>132</v>
      </c>
      <c r="D17" s="603">
        <v>45</v>
      </c>
      <c r="E17" s="603"/>
      <c r="F17" s="603"/>
      <c r="G17" s="603"/>
      <c r="H17" s="603"/>
      <c r="I17" s="603"/>
      <c r="J17" s="603"/>
      <c r="K17" s="603">
        <v>45</v>
      </c>
      <c r="L17" s="28"/>
      <c r="M17" s="39"/>
      <c r="N17" s="40"/>
      <c r="O17" s="40"/>
      <c r="P17" s="40"/>
      <c r="Q17" s="40"/>
    </row>
    <row r="18" spans="1:17" s="44" customFormat="1" ht="76.5" customHeight="1">
      <c r="A18" s="13" t="s">
        <v>97</v>
      </c>
      <c r="B18" s="14" t="s">
        <v>139</v>
      </c>
      <c r="C18" s="15" t="s">
        <v>132</v>
      </c>
      <c r="D18" s="482">
        <f>SUM(D19:D22)</f>
        <v>95</v>
      </c>
      <c r="E18" s="482">
        <f t="shared" ref="E18:J18" si="3">SUM(E19:E22)</f>
        <v>0</v>
      </c>
      <c r="F18" s="482">
        <f t="shared" si="3"/>
        <v>0</v>
      </c>
      <c r="G18" s="482">
        <f t="shared" si="3"/>
        <v>0</v>
      </c>
      <c r="H18" s="482">
        <f t="shared" si="3"/>
        <v>0</v>
      </c>
      <c r="I18" s="482">
        <f t="shared" si="3"/>
        <v>0</v>
      </c>
      <c r="J18" s="482">
        <f t="shared" si="3"/>
        <v>0</v>
      </c>
      <c r="K18" s="480">
        <f>SUM(D18:J18)</f>
        <v>95</v>
      </c>
      <c r="L18" s="23"/>
      <c r="M18" s="42"/>
      <c r="N18" s="43"/>
      <c r="O18" s="43"/>
      <c r="P18" s="43"/>
      <c r="Q18" s="43"/>
    </row>
    <row r="19" spans="1:17" s="41" customFormat="1" ht="26">
      <c r="A19" s="13"/>
      <c r="B19" s="18" t="s">
        <v>133</v>
      </c>
      <c r="C19" s="15" t="s">
        <v>132</v>
      </c>
      <c r="D19" s="480">
        <f>+D9-D13</f>
        <v>0</v>
      </c>
      <c r="E19" s="480"/>
      <c r="F19" s="480"/>
      <c r="G19" s="480"/>
      <c r="H19" s="480"/>
      <c r="I19" s="480"/>
      <c r="J19" s="480"/>
      <c r="K19" s="480">
        <f>SUM(D19:J19)</f>
        <v>0</v>
      </c>
      <c r="L19" s="17"/>
      <c r="M19" s="39"/>
      <c r="N19" s="40"/>
      <c r="O19" s="40"/>
      <c r="P19" s="40"/>
      <c r="Q19" s="40"/>
    </row>
    <row r="20" spans="1:17" s="41" customFormat="1">
      <c r="A20" s="13"/>
      <c r="B20" s="18" t="s">
        <v>134</v>
      </c>
      <c r="C20" s="15" t="s">
        <v>132</v>
      </c>
      <c r="D20" s="480">
        <f t="shared" ref="D20:D21" si="4">+D10-D14</f>
        <v>0</v>
      </c>
      <c r="E20" s="480"/>
      <c r="F20" s="480"/>
      <c r="G20" s="480"/>
      <c r="H20" s="480"/>
      <c r="I20" s="480"/>
      <c r="J20" s="480"/>
      <c r="K20" s="480">
        <f t="shared" ref="K20:K22" si="5">SUM(D20:J20)</f>
        <v>0</v>
      </c>
      <c r="L20" s="17"/>
      <c r="M20" s="39"/>
      <c r="N20" s="40"/>
      <c r="O20" s="40"/>
      <c r="P20" s="40"/>
      <c r="Q20" s="40"/>
    </row>
    <row r="21" spans="1:17" s="41" customFormat="1">
      <c r="A21" s="13"/>
      <c r="B21" s="18" t="s">
        <v>135</v>
      </c>
      <c r="C21" s="15" t="s">
        <v>132</v>
      </c>
      <c r="D21" s="480">
        <f t="shared" si="4"/>
        <v>50</v>
      </c>
      <c r="E21" s="480"/>
      <c r="F21" s="480"/>
      <c r="G21" s="480"/>
      <c r="H21" s="480"/>
      <c r="I21" s="480"/>
      <c r="J21" s="480"/>
      <c r="K21" s="480">
        <f t="shared" si="5"/>
        <v>50</v>
      </c>
      <c r="L21" s="17"/>
      <c r="M21" s="39"/>
      <c r="N21" s="40"/>
      <c r="O21" s="40"/>
      <c r="P21" s="40"/>
      <c r="Q21" s="40"/>
    </row>
    <row r="22" spans="1:17" s="41" customFormat="1">
      <c r="A22" s="13"/>
      <c r="B22" s="18" t="s">
        <v>138</v>
      </c>
      <c r="C22" s="15" t="s">
        <v>132</v>
      </c>
      <c r="D22" s="480">
        <f>+D17</f>
        <v>45</v>
      </c>
      <c r="E22" s="480"/>
      <c r="F22" s="480"/>
      <c r="G22" s="480"/>
      <c r="H22" s="480"/>
      <c r="I22" s="480"/>
      <c r="J22" s="480"/>
      <c r="K22" s="480">
        <f t="shared" si="5"/>
        <v>45</v>
      </c>
      <c r="L22" s="17"/>
      <c r="M22" s="39"/>
      <c r="N22" s="40"/>
      <c r="O22" s="40"/>
      <c r="P22" s="40"/>
      <c r="Q22" s="40"/>
    </row>
    <row r="23" spans="1:17" s="41" customFormat="1" ht="19.5" customHeight="1">
      <c r="A23" s="35" t="s">
        <v>104</v>
      </c>
      <c r="B23" s="36" t="s">
        <v>140</v>
      </c>
      <c r="C23" s="37"/>
      <c r="D23" s="601"/>
      <c r="E23" s="601"/>
      <c r="F23" s="601"/>
      <c r="G23" s="601"/>
      <c r="H23" s="601"/>
      <c r="I23" s="601"/>
      <c r="J23" s="601"/>
      <c r="K23" s="601"/>
      <c r="L23" s="38"/>
      <c r="M23" s="39"/>
      <c r="N23" s="40"/>
      <c r="O23" s="40"/>
      <c r="P23" s="40"/>
      <c r="Q23" s="40"/>
    </row>
    <row r="24" spans="1:17" s="41" customFormat="1" ht="73.5" customHeight="1">
      <c r="A24" s="13" t="s">
        <v>83</v>
      </c>
      <c r="B24" s="14" t="s">
        <v>131</v>
      </c>
      <c r="C24" s="15" t="s">
        <v>132</v>
      </c>
      <c r="D24" s="480">
        <f>SUM(D25:D27)</f>
        <v>0</v>
      </c>
      <c r="E24" s="480">
        <f t="shared" ref="E24:J24" si="6">SUM(E25:E27)</f>
        <v>0</v>
      </c>
      <c r="F24" s="480">
        <f t="shared" si="6"/>
        <v>0</v>
      </c>
      <c r="G24" s="480">
        <f t="shared" si="6"/>
        <v>0</v>
      </c>
      <c r="H24" s="480">
        <f t="shared" si="6"/>
        <v>0</v>
      </c>
      <c r="I24" s="480">
        <f t="shared" si="6"/>
        <v>0</v>
      </c>
      <c r="J24" s="480">
        <f t="shared" si="6"/>
        <v>0</v>
      </c>
      <c r="K24" s="480">
        <f>SUM(D24:J24)</f>
        <v>0</v>
      </c>
      <c r="L24" s="17"/>
      <c r="M24" s="39"/>
      <c r="N24" s="40"/>
      <c r="O24" s="40"/>
      <c r="P24" s="40"/>
      <c r="Q24" s="40"/>
    </row>
    <row r="25" spans="1:17" s="41" customFormat="1" ht="26">
      <c r="A25" s="13"/>
      <c r="B25" s="18" t="s">
        <v>133</v>
      </c>
      <c r="C25" s="15" t="s">
        <v>132</v>
      </c>
      <c r="D25" s="480"/>
      <c r="E25" s="480"/>
      <c r="F25" s="480"/>
      <c r="G25" s="480"/>
      <c r="H25" s="480"/>
      <c r="I25" s="480"/>
      <c r="J25" s="480"/>
      <c r="K25" s="480">
        <f>SUM(D25:J25)</f>
        <v>0</v>
      </c>
      <c r="L25" s="17"/>
      <c r="M25" s="39"/>
      <c r="N25" s="40"/>
      <c r="O25" s="40"/>
      <c r="P25" s="40"/>
      <c r="Q25" s="40"/>
    </row>
    <row r="26" spans="1:17" s="41" customFormat="1">
      <c r="A26" s="13"/>
      <c r="B26" s="18" t="s">
        <v>134</v>
      </c>
      <c r="C26" s="15" t="s">
        <v>132</v>
      </c>
      <c r="D26" s="480"/>
      <c r="E26" s="480"/>
      <c r="F26" s="480"/>
      <c r="G26" s="480"/>
      <c r="H26" s="480"/>
      <c r="I26" s="480"/>
      <c r="J26" s="480"/>
      <c r="K26" s="480"/>
      <c r="L26" s="17"/>
      <c r="M26" s="39"/>
      <c r="N26" s="40"/>
      <c r="O26" s="40"/>
      <c r="P26" s="40"/>
      <c r="Q26" s="40"/>
    </row>
    <row r="27" spans="1:17" s="41" customFormat="1">
      <c r="A27" s="13"/>
      <c r="B27" s="18" t="s">
        <v>135</v>
      </c>
      <c r="C27" s="15" t="s">
        <v>132</v>
      </c>
      <c r="D27" s="480"/>
      <c r="E27" s="480"/>
      <c r="F27" s="480"/>
      <c r="G27" s="480"/>
      <c r="H27" s="480"/>
      <c r="I27" s="480"/>
      <c r="J27" s="480"/>
      <c r="K27" s="480">
        <f>SUM(D27:J27)</f>
        <v>0</v>
      </c>
      <c r="L27" s="17"/>
      <c r="M27" s="39"/>
      <c r="N27" s="40"/>
      <c r="O27" s="40"/>
      <c r="P27" s="40"/>
      <c r="Q27" s="40"/>
    </row>
    <row r="28" spans="1:17" s="41" customFormat="1" ht="62.25" customHeight="1">
      <c r="A28" s="13" t="s">
        <v>92</v>
      </c>
      <c r="B28" s="14" t="s">
        <v>136</v>
      </c>
      <c r="C28" s="15" t="s">
        <v>132</v>
      </c>
      <c r="D28" s="480">
        <f>SUM(D29:D31)</f>
        <v>0</v>
      </c>
      <c r="E28" s="480">
        <f>SUM(E29:E31)</f>
        <v>0</v>
      </c>
      <c r="F28" s="480">
        <f t="shared" ref="F28:J28" si="7">SUM(F29:F31)</f>
        <v>0</v>
      </c>
      <c r="G28" s="480">
        <f t="shared" si="7"/>
        <v>0</v>
      </c>
      <c r="H28" s="480">
        <f t="shared" si="7"/>
        <v>0</v>
      </c>
      <c r="I28" s="480">
        <f t="shared" si="7"/>
        <v>0</v>
      </c>
      <c r="J28" s="480">
        <f t="shared" si="7"/>
        <v>0</v>
      </c>
      <c r="K28" s="480">
        <f>SUM(D28:J28)</f>
        <v>0</v>
      </c>
      <c r="L28" s="17"/>
      <c r="M28" s="39"/>
      <c r="N28" s="40"/>
      <c r="O28" s="40"/>
      <c r="P28" s="40"/>
      <c r="Q28" s="40"/>
    </row>
    <row r="29" spans="1:17" s="41" customFormat="1" ht="26">
      <c r="A29" s="13"/>
      <c r="B29" s="18" t="s">
        <v>133</v>
      </c>
      <c r="C29" s="15" t="s">
        <v>132</v>
      </c>
      <c r="D29" s="480"/>
      <c r="E29" s="480"/>
      <c r="F29" s="480"/>
      <c r="G29" s="480"/>
      <c r="H29" s="480"/>
      <c r="I29" s="480"/>
      <c r="J29" s="480"/>
      <c r="K29" s="480">
        <f>SUM(D29:J29)</f>
        <v>0</v>
      </c>
      <c r="L29" s="17"/>
      <c r="M29" s="39"/>
      <c r="N29" s="40"/>
      <c r="O29" s="40"/>
      <c r="P29" s="40"/>
      <c r="Q29" s="40"/>
    </row>
    <row r="30" spans="1:17" s="41" customFormat="1">
      <c r="A30" s="13"/>
      <c r="B30" s="18" t="s">
        <v>134</v>
      </c>
      <c r="C30" s="15" t="s">
        <v>132</v>
      </c>
      <c r="D30" s="480"/>
      <c r="E30" s="480"/>
      <c r="F30" s="480"/>
      <c r="G30" s="480"/>
      <c r="H30" s="480"/>
      <c r="I30" s="480"/>
      <c r="J30" s="480"/>
      <c r="K30" s="480"/>
      <c r="L30" s="17"/>
      <c r="M30" s="39"/>
      <c r="N30" s="40"/>
      <c r="O30" s="40"/>
      <c r="P30" s="40"/>
      <c r="Q30" s="40"/>
    </row>
    <row r="31" spans="1:17" s="41" customFormat="1">
      <c r="A31" s="13"/>
      <c r="B31" s="18" t="s">
        <v>135</v>
      </c>
      <c r="C31" s="15" t="s">
        <v>132</v>
      </c>
      <c r="D31" s="480"/>
      <c r="E31" s="480"/>
      <c r="F31" s="480"/>
      <c r="G31" s="480"/>
      <c r="H31" s="480"/>
      <c r="I31" s="480"/>
      <c r="J31" s="480"/>
      <c r="K31" s="480">
        <f>SUM(D31:J31)</f>
        <v>0</v>
      </c>
      <c r="L31" s="17"/>
      <c r="M31" s="39"/>
      <c r="N31" s="40"/>
      <c r="O31" s="40"/>
      <c r="P31" s="40"/>
      <c r="Q31" s="40"/>
    </row>
    <row r="32" spans="1:17" s="41" customFormat="1" ht="27">
      <c r="A32" s="13" t="s">
        <v>94</v>
      </c>
      <c r="B32" s="20" t="s">
        <v>137</v>
      </c>
      <c r="C32" s="15" t="s">
        <v>132</v>
      </c>
      <c r="D32" s="480">
        <v>0</v>
      </c>
      <c r="E32" s="480"/>
      <c r="F32" s="480"/>
      <c r="G32" s="480"/>
      <c r="H32" s="480"/>
      <c r="I32" s="480"/>
      <c r="J32" s="480">
        <v>0</v>
      </c>
      <c r="K32" s="480">
        <f>SUM(D32:J32)</f>
        <v>0</v>
      </c>
      <c r="L32" s="17"/>
      <c r="M32" s="39"/>
      <c r="N32" s="40"/>
      <c r="O32" s="40"/>
      <c r="P32" s="40"/>
      <c r="Q32" s="40"/>
    </row>
    <row r="33" spans="1:17" s="41" customFormat="1">
      <c r="A33" s="13"/>
      <c r="B33" s="18" t="s">
        <v>138</v>
      </c>
      <c r="C33" s="15" t="s">
        <v>132</v>
      </c>
      <c r="D33" s="480"/>
      <c r="E33" s="480"/>
      <c r="F33" s="480"/>
      <c r="G33" s="480"/>
      <c r="H33" s="480"/>
      <c r="I33" s="480"/>
      <c r="J33" s="480"/>
      <c r="K33" s="480"/>
      <c r="L33" s="17"/>
      <c r="M33" s="39"/>
      <c r="N33" s="40"/>
      <c r="O33" s="40"/>
      <c r="P33" s="40"/>
      <c r="Q33" s="40"/>
    </row>
    <row r="34" spans="1:17" s="44" customFormat="1" ht="76.5" customHeight="1">
      <c r="A34" s="13" t="s">
        <v>97</v>
      </c>
      <c r="B34" s="14" t="s">
        <v>139</v>
      </c>
      <c r="C34" s="15" t="s">
        <v>132</v>
      </c>
      <c r="D34" s="482">
        <f>SUM(D35:D38)</f>
        <v>0</v>
      </c>
      <c r="E34" s="482">
        <f t="shared" ref="E34:J34" si="8">SUM(E35:E38)</f>
        <v>0</v>
      </c>
      <c r="F34" s="482">
        <f t="shared" si="8"/>
        <v>0</v>
      </c>
      <c r="G34" s="482">
        <f t="shared" si="8"/>
        <v>0</v>
      </c>
      <c r="H34" s="482">
        <f t="shared" si="8"/>
        <v>0</v>
      </c>
      <c r="I34" s="482">
        <f t="shared" si="8"/>
        <v>0</v>
      </c>
      <c r="J34" s="482">
        <f t="shared" si="8"/>
        <v>0</v>
      </c>
      <c r="K34" s="480">
        <f>SUM(D34:J34)</f>
        <v>0</v>
      </c>
      <c r="L34" s="23"/>
      <c r="M34" s="42"/>
      <c r="N34" s="43"/>
      <c r="O34" s="43"/>
      <c r="P34" s="43"/>
      <c r="Q34" s="43"/>
    </row>
    <row r="35" spans="1:17" s="41" customFormat="1" ht="26">
      <c r="A35" s="13"/>
      <c r="B35" s="18" t="s">
        <v>133</v>
      </c>
      <c r="C35" s="15" t="s">
        <v>132</v>
      </c>
      <c r="D35" s="480">
        <f>+D25-D29</f>
        <v>0</v>
      </c>
      <c r="E35" s="480"/>
      <c r="F35" s="480"/>
      <c r="G35" s="480"/>
      <c r="H35" s="480"/>
      <c r="I35" s="480"/>
      <c r="J35" s="480"/>
      <c r="K35" s="480">
        <f>SUM(D35:J35)</f>
        <v>0</v>
      </c>
      <c r="L35" s="17"/>
      <c r="M35" s="39"/>
      <c r="N35" s="40"/>
      <c r="O35" s="40"/>
      <c r="P35" s="40"/>
      <c r="Q35" s="40"/>
    </row>
    <row r="36" spans="1:17" s="41" customFormat="1">
      <c r="A36" s="13"/>
      <c r="B36" s="18" t="s">
        <v>134</v>
      </c>
      <c r="C36" s="15" t="s">
        <v>132</v>
      </c>
      <c r="D36" s="480">
        <f t="shared" ref="D36:D37" si="9">+D26-D30</f>
        <v>0</v>
      </c>
      <c r="E36" s="480"/>
      <c r="F36" s="480"/>
      <c r="G36" s="480"/>
      <c r="H36" s="480"/>
      <c r="I36" s="480"/>
      <c r="J36" s="480"/>
      <c r="K36" s="480"/>
      <c r="L36" s="17"/>
      <c r="M36" s="39"/>
      <c r="N36" s="40"/>
      <c r="O36" s="40"/>
      <c r="P36" s="40"/>
      <c r="Q36" s="40"/>
    </row>
    <row r="37" spans="1:17" s="41" customFormat="1">
      <c r="A37" s="13"/>
      <c r="B37" s="18" t="s">
        <v>135</v>
      </c>
      <c r="C37" s="15" t="s">
        <v>132</v>
      </c>
      <c r="D37" s="480">
        <f t="shared" si="9"/>
        <v>0</v>
      </c>
      <c r="E37" s="480"/>
      <c r="F37" s="480"/>
      <c r="G37" s="480"/>
      <c r="H37" s="480"/>
      <c r="I37" s="480"/>
      <c r="J37" s="480"/>
      <c r="K37" s="480">
        <f>SUM(D37:J37)</f>
        <v>0</v>
      </c>
      <c r="L37" s="17"/>
      <c r="M37" s="39"/>
      <c r="N37" s="40"/>
      <c r="O37" s="40"/>
      <c r="P37" s="40"/>
      <c r="Q37" s="40"/>
    </row>
    <row r="38" spans="1:17" s="41" customFormat="1">
      <c r="A38" s="13"/>
      <c r="B38" s="18" t="s">
        <v>138</v>
      </c>
      <c r="C38" s="15" t="s">
        <v>132</v>
      </c>
      <c r="D38" s="480">
        <f>+D33</f>
        <v>0</v>
      </c>
      <c r="E38" s="480"/>
      <c r="F38" s="480"/>
      <c r="G38" s="480"/>
      <c r="H38" s="480"/>
      <c r="I38" s="480"/>
      <c r="J38" s="480"/>
      <c r="K38" s="480"/>
      <c r="L38" s="17"/>
      <c r="M38" s="39"/>
      <c r="N38" s="40"/>
      <c r="O38" s="40"/>
      <c r="P38" s="40"/>
      <c r="Q38" s="40"/>
    </row>
    <row r="39" spans="1:17" s="41" customFormat="1" ht="19.5" customHeight="1">
      <c r="A39" s="35" t="s">
        <v>79</v>
      </c>
      <c r="B39" s="36" t="s">
        <v>141</v>
      </c>
      <c r="C39" s="37"/>
      <c r="D39" s="601"/>
      <c r="E39" s="601"/>
      <c r="F39" s="601"/>
      <c r="G39" s="601"/>
      <c r="H39" s="601"/>
      <c r="I39" s="601"/>
      <c r="J39" s="601"/>
      <c r="K39" s="601"/>
      <c r="L39" s="38"/>
      <c r="M39" s="39"/>
      <c r="N39" s="40"/>
      <c r="O39" s="40"/>
      <c r="P39" s="40"/>
      <c r="Q39" s="40"/>
    </row>
    <row r="40" spans="1:17" s="41" customFormat="1" ht="27.75" customHeight="1">
      <c r="A40" s="45" t="s">
        <v>81</v>
      </c>
      <c r="B40" s="36" t="s">
        <v>142</v>
      </c>
      <c r="C40" s="37"/>
      <c r="D40" s="601"/>
      <c r="E40" s="601"/>
      <c r="F40" s="601"/>
      <c r="G40" s="601"/>
      <c r="H40" s="601"/>
      <c r="I40" s="601"/>
      <c r="J40" s="601"/>
      <c r="K40" s="601"/>
      <c r="L40" s="38"/>
      <c r="M40" s="39"/>
      <c r="N40" s="40"/>
      <c r="O40" s="40"/>
      <c r="P40" s="40"/>
      <c r="Q40" s="40"/>
    </row>
    <row r="41" spans="1:17" s="44" customFormat="1" ht="67.5">
      <c r="A41" s="19" t="s">
        <v>83</v>
      </c>
      <c r="B41" s="14" t="s">
        <v>131</v>
      </c>
      <c r="C41" s="21" t="s">
        <v>143</v>
      </c>
      <c r="D41" s="482">
        <f>SUM(D42:D45)</f>
        <v>0</v>
      </c>
      <c r="E41" s="482"/>
      <c r="F41" s="482"/>
      <c r="G41" s="482"/>
      <c r="H41" s="482"/>
      <c r="I41" s="482"/>
      <c r="J41" s="482">
        <f>SUM(J42:J45)</f>
        <v>0</v>
      </c>
      <c r="K41" s="482">
        <f>SUM(D41:J41)</f>
        <v>0</v>
      </c>
      <c r="L41" s="23"/>
      <c r="M41" s="42"/>
      <c r="N41" s="43"/>
      <c r="O41" s="43"/>
      <c r="P41" s="43"/>
      <c r="Q41" s="43"/>
    </row>
    <row r="42" spans="1:17" s="41" customFormat="1">
      <c r="A42" s="13"/>
      <c r="B42" s="18" t="s">
        <v>144</v>
      </c>
      <c r="C42" s="15"/>
      <c r="D42" s="480"/>
      <c r="E42" s="480"/>
      <c r="F42" s="480"/>
      <c r="G42" s="480"/>
      <c r="H42" s="480"/>
      <c r="I42" s="480"/>
      <c r="J42" s="480"/>
      <c r="K42" s="480">
        <f>SUM(D42:J42)</f>
        <v>0</v>
      </c>
      <c r="L42" s="17"/>
      <c r="M42" s="39"/>
      <c r="N42" s="40"/>
      <c r="O42" s="40"/>
      <c r="P42" s="40"/>
      <c r="Q42" s="40"/>
    </row>
    <row r="43" spans="1:17" s="41" customFormat="1">
      <c r="A43" s="13"/>
      <c r="B43" s="18" t="s">
        <v>145</v>
      </c>
      <c r="C43" s="15"/>
      <c r="D43" s="480"/>
      <c r="E43" s="480"/>
      <c r="F43" s="480"/>
      <c r="G43" s="480"/>
      <c r="H43" s="480"/>
      <c r="I43" s="480"/>
      <c r="J43" s="480"/>
      <c r="K43" s="480">
        <f>SUM(D43:J43)</f>
        <v>0</v>
      </c>
      <c r="L43" s="17"/>
      <c r="M43" s="39"/>
      <c r="N43" s="40"/>
      <c r="O43" s="40"/>
      <c r="P43" s="40"/>
      <c r="Q43" s="40"/>
    </row>
    <row r="44" spans="1:17" s="41" customFormat="1">
      <c r="A44" s="13"/>
      <c r="B44" s="18" t="s">
        <v>146</v>
      </c>
      <c r="C44" s="15"/>
      <c r="D44" s="480"/>
      <c r="E44" s="480"/>
      <c r="F44" s="480"/>
      <c r="G44" s="480"/>
      <c r="H44" s="480"/>
      <c r="I44" s="480"/>
      <c r="J44" s="480"/>
      <c r="K44" s="480">
        <f>SUM(D44:J44)</f>
        <v>0</v>
      </c>
      <c r="L44" s="17"/>
      <c r="M44" s="39"/>
      <c r="N44" s="40"/>
      <c r="O44" s="40"/>
      <c r="P44" s="40"/>
      <c r="Q44" s="40"/>
    </row>
    <row r="45" spans="1:17" s="41" customFormat="1">
      <c r="A45" s="13"/>
      <c r="B45" s="18" t="s">
        <v>147</v>
      </c>
      <c r="C45" s="15"/>
      <c r="D45" s="480"/>
      <c r="E45" s="480"/>
      <c r="F45" s="480"/>
      <c r="G45" s="480"/>
      <c r="H45" s="480"/>
      <c r="I45" s="480"/>
      <c r="J45" s="480"/>
      <c r="K45" s="480">
        <f>SUM(D45:J45)</f>
        <v>0</v>
      </c>
      <c r="L45" s="17"/>
      <c r="M45" s="39"/>
      <c r="N45" s="40"/>
      <c r="O45" s="40"/>
      <c r="P45" s="40"/>
      <c r="Q45" s="40"/>
    </row>
    <row r="46" spans="1:17" s="41" customFormat="1">
      <c r="A46" s="13"/>
      <c r="B46" s="18" t="s">
        <v>148</v>
      </c>
      <c r="C46" s="15"/>
      <c r="D46" s="480"/>
      <c r="E46" s="480"/>
      <c r="F46" s="480"/>
      <c r="G46" s="480"/>
      <c r="H46" s="480"/>
      <c r="I46" s="480"/>
      <c r="J46" s="480"/>
      <c r="K46" s="480"/>
      <c r="L46" s="17"/>
      <c r="M46" s="39"/>
      <c r="N46" s="40"/>
      <c r="O46" s="40"/>
      <c r="P46" s="40"/>
      <c r="Q46" s="40"/>
    </row>
    <row r="47" spans="1:17" s="41" customFormat="1">
      <c r="A47" s="13"/>
      <c r="B47" s="18" t="s">
        <v>149</v>
      </c>
      <c r="C47" s="15"/>
      <c r="D47" s="480"/>
      <c r="E47" s="480"/>
      <c r="F47" s="480"/>
      <c r="G47" s="480"/>
      <c r="H47" s="480"/>
      <c r="I47" s="480"/>
      <c r="J47" s="480"/>
      <c r="K47" s="480"/>
      <c r="L47" s="17"/>
      <c r="M47" s="39"/>
      <c r="N47" s="40"/>
      <c r="O47" s="40"/>
      <c r="P47" s="40"/>
      <c r="Q47" s="40"/>
    </row>
    <row r="48" spans="1:17" s="44" customFormat="1" ht="40.5">
      <c r="A48" s="19" t="s">
        <v>92</v>
      </c>
      <c r="B48" s="14" t="s">
        <v>136</v>
      </c>
      <c r="C48" s="21" t="s">
        <v>143</v>
      </c>
      <c r="D48" s="482">
        <f>SUM(D49:D54)</f>
        <v>0</v>
      </c>
      <c r="E48" s="482">
        <f t="shared" ref="E48:K48" si="10">SUM(E49:E54)</f>
        <v>0</v>
      </c>
      <c r="F48" s="482">
        <f t="shared" si="10"/>
        <v>0</v>
      </c>
      <c r="G48" s="482">
        <f t="shared" si="10"/>
        <v>0</v>
      </c>
      <c r="H48" s="482">
        <f t="shared" si="10"/>
        <v>0</v>
      </c>
      <c r="I48" s="482">
        <f t="shared" si="10"/>
        <v>0</v>
      </c>
      <c r="J48" s="482">
        <f t="shared" si="10"/>
        <v>0</v>
      </c>
      <c r="K48" s="482">
        <f t="shared" si="10"/>
        <v>0</v>
      </c>
      <c r="L48" s="23"/>
      <c r="M48" s="42"/>
      <c r="N48" s="43"/>
      <c r="O48" s="43"/>
      <c r="P48" s="43"/>
      <c r="Q48" s="43"/>
    </row>
    <row r="49" spans="1:17" s="41" customFormat="1">
      <c r="A49" s="13"/>
      <c r="B49" s="18" t="s">
        <v>144</v>
      </c>
      <c r="C49" s="15"/>
      <c r="D49" s="480"/>
      <c r="E49" s="480"/>
      <c r="F49" s="480"/>
      <c r="G49" s="480"/>
      <c r="H49" s="480"/>
      <c r="I49" s="480"/>
      <c r="J49" s="480"/>
      <c r="K49" s="480">
        <f>SUM(D49:J49)</f>
        <v>0</v>
      </c>
      <c r="L49" s="17"/>
      <c r="M49" s="39"/>
      <c r="N49" s="40"/>
      <c r="O49" s="40"/>
      <c r="P49" s="40"/>
      <c r="Q49" s="40"/>
    </row>
    <row r="50" spans="1:17" s="41" customFormat="1">
      <c r="A50" s="13"/>
      <c r="B50" s="18" t="s">
        <v>145</v>
      </c>
      <c r="C50" s="15"/>
      <c r="D50" s="480"/>
      <c r="E50" s="480"/>
      <c r="F50" s="480"/>
      <c r="G50" s="480"/>
      <c r="H50" s="480"/>
      <c r="I50" s="480"/>
      <c r="J50" s="480"/>
      <c r="K50" s="480">
        <f>SUM(D50:J50)</f>
        <v>0</v>
      </c>
      <c r="L50" s="17"/>
      <c r="M50" s="39"/>
      <c r="N50" s="40"/>
      <c r="O50" s="40"/>
      <c r="P50" s="40"/>
      <c r="Q50" s="40"/>
    </row>
    <row r="51" spans="1:17" s="41" customFormat="1">
      <c r="A51" s="13"/>
      <c r="B51" s="18" t="s">
        <v>146</v>
      </c>
      <c r="C51" s="15"/>
      <c r="D51" s="480"/>
      <c r="E51" s="480"/>
      <c r="F51" s="480"/>
      <c r="G51" s="480"/>
      <c r="H51" s="480"/>
      <c r="I51" s="480"/>
      <c r="J51" s="480"/>
      <c r="K51" s="480">
        <f>SUM(D51:J51)</f>
        <v>0</v>
      </c>
      <c r="L51" s="17"/>
      <c r="M51" s="39"/>
      <c r="N51" s="40"/>
      <c r="O51" s="40"/>
      <c r="P51" s="40"/>
      <c r="Q51" s="40"/>
    </row>
    <row r="52" spans="1:17" s="41" customFormat="1">
      <c r="A52" s="13"/>
      <c r="B52" s="18" t="s">
        <v>147</v>
      </c>
      <c r="C52" s="15"/>
      <c r="D52" s="480"/>
      <c r="E52" s="480"/>
      <c r="F52" s="480"/>
      <c r="G52" s="480"/>
      <c r="H52" s="480"/>
      <c r="I52" s="480"/>
      <c r="J52" s="480"/>
      <c r="K52" s="480">
        <f>SUM(D52:J52)</f>
        <v>0</v>
      </c>
      <c r="L52" s="17"/>
      <c r="M52" s="39"/>
      <c r="N52" s="40"/>
      <c r="O52" s="40"/>
      <c r="P52" s="40"/>
      <c r="Q52" s="40"/>
    </row>
    <row r="53" spans="1:17" s="41" customFormat="1">
      <c r="A53" s="13"/>
      <c r="B53" s="18" t="s">
        <v>148</v>
      </c>
      <c r="C53" s="15"/>
      <c r="D53" s="480"/>
      <c r="E53" s="480"/>
      <c r="F53" s="480"/>
      <c r="G53" s="480"/>
      <c r="H53" s="480"/>
      <c r="I53" s="480"/>
      <c r="J53" s="480"/>
      <c r="K53" s="480"/>
      <c r="L53" s="17"/>
      <c r="M53" s="39"/>
      <c r="N53" s="40"/>
      <c r="O53" s="40"/>
      <c r="P53" s="40"/>
      <c r="Q53" s="40"/>
    </row>
    <row r="54" spans="1:17" s="41" customFormat="1">
      <c r="A54" s="13"/>
      <c r="B54" s="18" t="s">
        <v>149</v>
      </c>
      <c r="C54" s="15"/>
      <c r="D54" s="480"/>
      <c r="E54" s="480"/>
      <c r="F54" s="480"/>
      <c r="G54" s="480"/>
      <c r="H54" s="480"/>
      <c r="I54" s="480"/>
      <c r="J54" s="480"/>
      <c r="K54" s="480"/>
      <c r="L54" s="17"/>
      <c r="M54" s="39"/>
      <c r="N54" s="40"/>
      <c r="O54" s="40"/>
      <c r="P54" s="40"/>
      <c r="Q54" s="40"/>
    </row>
    <row r="55" spans="1:17" s="44" customFormat="1" ht="13.5">
      <c r="A55" s="19" t="s">
        <v>94</v>
      </c>
      <c r="B55" s="14" t="s">
        <v>150</v>
      </c>
      <c r="C55" s="15" t="s">
        <v>143</v>
      </c>
      <c r="D55" s="482">
        <f>D41+D48</f>
        <v>0</v>
      </c>
      <c r="E55" s="482"/>
      <c r="F55" s="482"/>
      <c r="G55" s="482"/>
      <c r="H55" s="482"/>
      <c r="I55" s="482"/>
      <c r="J55" s="482">
        <f t="shared" ref="J55" si="11">J41+J48</f>
        <v>0</v>
      </c>
      <c r="K55" s="480">
        <f>SUM(D55:J55)</f>
        <v>0</v>
      </c>
      <c r="L55" s="23"/>
      <c r="M55" s="42"/>
      <c r="N55" s="43"/>
      <c r="O55" s="43"/>
      <c r="P55" s="43"/>
      <c r="Q55" s="43"/>
    </row>
    <row r="56" spans="1:17" s="41" customFormat="1">
      <c r="A56" s="13"/>
      <c r="B56" s="18" t="s">
        <v>151</v>
      </c>
      <c r="C56" s="15" t="s">
        <v>143</v>
      </c>
      <c r="D56" s="480"/>
      <c r="E56" s="480"/>
      <c r="F56" s="480"/>
      <c r="G56" s="480"/>
      <c r="H56" s="480"/>
      <c r="I56" s="480"/>
      <c r="J56" s="480"/>
      <c r="K56" s="480"/>
      <c r="L56" s="17"/>
      <c r="M56" s="39"/>
      <c r="N56" s="40"/>
      <c r="O56" s="40"/>
      <c r="P56" s="40"/>
      <c r="Q56" s="40"/>
    </row>
    <row r="57" spans="1:17" s="44" customFormat="1" ht="67.5">
      <c r="A57" s="19" t="s">
        <v>97</v>
      </c>
      <c r="B57" s="14" t="s">
        <v>139</v>
      </c>
      <c r="C57" s="21" t="s">
        <v>143</v>
      </c>
      <c r="D57" s="482">
        <f>SUM(D58:D64)</f>
        <v>0</v>
      </c>
      <c r="E57" s="482">
        <f t="shared" ref="E57:J57" si="12">SUM(E58:E64)</f>
        <v>0</v>
      </c>
      <c r="F57" s="482">
        <f t="shared" si="12"/>
        <v>0</v>
      </c>
      <c r="G57" s="482">
        <f t="shared" si="12"/>
        <v>0</v>
      </c>
      <c r="H57" s="482">
        <f t="shared" si="12"/>
        <v>0</v>
      </c>
      <c r="I57" s="482">
        <f t="shared" si="12"/>
        <v>0</v>
      </c>
      <c r="J57" s="482">
        <f t="shared" si="12"/>
        <v>0</v>
      </c>
      <c r="K57" s="482">
        <f>SUM(D57:J57)</f>
        <v>0</v>
      </c>
      <c r="L57" s="23"/>
      <c r="M57" s="42"/>
      <c r="N57" s="43"/>
      <c r="O57" s="43"/>
      <c r="P57" s="43"/>
      <c r="Q57" s="43"/>
    </row>
    <row r="58" spans="1:17" s="41" customFormat="1">
      <c r="A58" s="13"/>
      <c r="B58" s="18" t="s">
        <v>144</v>
      </c>
      <c r="C58" s="15"/>
      <c r="D58" s="480"/>
      <c r="E58" s="480"/>
      <c r="F58" s="480"/>
      <c r="G58" s="480"/>
      <c r="H58" s="480"/>
      <c r="I58" s="480"/>
      <c r="J58" s="480"/>
      <c r="K58" s="480">
        <f>SUM(D58:J58)</f>
        <v>0</v>
      </c>
      <c r="L58" s="17"/>
      <c r="M58" s="39"/>
      <c r="N58" s="40"/>
      <c r="O58" s="40"/>
      <c r="P58" s="40"/>
      <c r="Q58" s="40"/>
    </row>
    <row r="59" spans="1:17" s="41" customFormat="1">
      <c r="A59" s="13"/>
      <c r="B59" s="18" t="s">
        <v>145</v>
      </c>
      <c r="C59" s="15"/>
      <c r="D59" s="480"/>
      <c r="E59" s="480"/>
      <c r="F59" s="480"/>
      <c r="G59" s="480"/>
      <c r="H59" s="480"/>
      <c r="I59" s="480"/>
      <c r="J59" s="480"/>
      <c r="K59" s="480">
        <f>SUM(D59:J59)</f>
        <v>0</v>
      </c>
      <c r="L59" s="17"/>
      <c r="M59" s="39"/>
      <c r="N59" s="40"/>
      <c r="O59" s="40"/>
      <c r="P59" s="40"/>
      <c r="Q59" s="40"/>
    </row>
    <row r="60" spans="1:17" s="41" customFormat="1">
      <c r="A60" s="13"/>
      <c r="B60" s="18" t="s">
        <v>146</v>
      </c>
      <c r="C60" s="15"/>
      <c r="D60" s="480"/>
      <c r="E60" s="480"/>
      <c r="F60" s="480"/>
      <c r="G60" s="480"/>
      <c r="H60" s="480"/>
      <c r="I60" s="480"/>
      <c r="J60" s="480"/>
      <c r="K60" s="480">
        <f>SUM(D60:J60)</f>
        <v>0</v>
      </c>
      <c r="L60" s="17"/>
      <c r="M60" s="39"/>
      <c r="N60" s="40"/>
      <c r="O60" s="40"/>
      <c r="P60" s="40"/>
      <c r="Q60" s="40"/>
    </row>
    <row r="61" spans="1:17" s="41" customFormat="1">
      <c r="A61" s="13"/>
      <c r="B61" s="18" t="s">
        <v>147</v>
      </c>
      <c r="C61" s="15"/>
      <c r="D61" s="480"/>
      <c r="E61" s="480"/>
      <c r="F61" s="480"/>
      <c r="G61" s="480"/>
      <c r="H61" s="480"/>
      <c r="I61" s="480"/>
      <c r="J61" s="480"/>
      <c r="K61" s="480">
        <f>SUM(D61:J61)</f>
        <v>0</v>
      </c>
      <c r="L61" s="17"/>
      <c r="M61" s="39"/>
      <c r="N61" s="40"/>
      <c r="O61" s="40"/>
      <c r="P61" s="40"/>
      <c r="Q61" s="40"/>
    </row>
    <row r="62" spans="1:17" s="41" customFormat="1">
      <c r="A62" s="13"/>
      <c r="B62" s="18" t="s">
        <v>148</v>
      </c>
      <c r="C62" s="15"/>
      <c r="D62" s="480"/>
      <c r="E62" s="480"/>
      <c r="F62" s="480"/>
      <c r="G62" s="480"/>
      <c r="H62" s="480"/>
      <c r="I62" s="480"/>
      <c r="J62" s="480"/>
      <c r="K62" s="480"/>
      <c r="L62" s="17"/>
      <c r="M62" s="39"/>
      <c r="N62" s="40"/>
      <c r="O62" s="40"/>
      <c r="P62" s="40"/>
      <c r="Q62" s="40"/>
    </row>
    <row r="63" spans="1:17" s="41" customFormat="1">
      <c r="A63" s="13"/>
      <c r="B63" s="18" t="s">
        <v>149</v>
      </c>
      <c r="C63" s="15"/>
      <c r="D63" s="480"/>
      <c r="E63" s="480"/>
      <c r="F63" s="480"/>
      <c r="G63" s="480"/>
      <c r="H63" s="480"/>
      <c r="I63" s="480"/>
      <c r="J63" s="480"/>
      <c r="K63" s="480"/>
      <c r="L63" s="17"/>
      <c r="M63" s="39"/>
      <c r="N63" s="40"/>
      <c r="O63" s="40"/>
      <c r="P63" s="40"/>
      <c r="Q63" s="40"/>
    </row>
    <row r="64" spans="1:17" s="41" customFormat="1">
      <c r="A64" s="13"/>
      <c r="B64" s="18" t="s">
        <v>151</v>
      </c>
      <c r="C64" s="15" t="s">
        <v>143</v>
      </c>
      <c r="D64" s="480"/>
      <c r="E64" s="480"/>
      <c r="F64" s="480"/>
      <c r="G64" s="480"/>
      <c r="H64" s="480"/>
      <c r="I64" s="480"/>
      <c r="J64" s="480"/>
      <c r="K64" s="480"/>
      <c r="L64" s="17"/>
      <c r="M64" s="39"/>
      <c r="N64" s="40"/>
      <c r="O64" s="40"/>
      <c r="P64" s="40"/>
      <c r="Q64" s="40"/>
    </row>
    <row r="65" spans="1:17" s="41" customFormat="1" ht="27.75" customHeight="1">
      <c r="A65" s="45" t="s">
        <v>104</v>
      </c>
      <c r="B65" s="36" t="s">
        <v>152</v>
      </c>
      <c r="C65" s="37"/>
      <c r="D65" s="601"/>
      <c r="E65" s="601"/>
      <c r="F65" s="601"/>
      <c r="G65" s="601"/>
      <c r="H65" s="601"/>
      <c r="I65" s="601"/>
      <c r="J65" s="601"/>
      <c r="K65" s="601"/>
      <c r="L65" s="38"/>
      <c r="M65" s="39"/>
      <c r="N65" s="40"/>
      <c r="O65" s="40"/>
      <c r="P65" s="40"/>
      <c r="Q65" s="40"/>
    </row>
    <row r="66" spans="1:17" s="44" customFormat="1" ht="67.5">
      <c r="A66" s="19" t="s">
        <v>83</v>
      </c>
      <c r="B66" s="14" t="s">
        <v>131</v>
      </c>
      <c r="C66" s="21" t="s">
        <v>143</v>
      </c>
      <c r="D66" s="482">
        <f>SUM(D67:D70)</f>
        <v>0</v>
      </c>
      <c r="E66" s="482"/>
      <c r="F66" s="482"/>
      <c r="G66" s="482"/>
      <c r="H66" s="482"/>
      <c r="I66" s="482"/>
      <c r="J66" s="482">
        <f>SUM(J67:J70)</f>
        <v>0</v>
      </c>
      <c r="K66" s="482">
        <f>SUM(D66:J66)</f>
        <v>0</v>
      </c>
      <c r="L66" s="23"/>
      <c r="M66" s="42"/>
      <c r="N66" s="43"/>
      <c r="O66" s="43"/>
      <c r="P66" s="43"/>
      <c r="Q66" s="43"/>
    </row>
    <row r="67" spans="1:17" s="41" customFormat="1">
      <c r="A67" s="13"/>
      <c r="B67" s="18" t="s">
        <v>144</v>
      </c>
      <c r="C67" s="15"/>
      <c r="D67" s="480"/>
      <c r="E67" s="480"/>
      <c r="F67" s="480"/>
      <c r="G67" s="480"/>
      <c r="H67" s="480"/>
      <c r="I67" s="480"/>
      <c r="J67" s="480"/>
      <c r="K67" s="480">
        <f>SUM(D67:J67)</f>
        <v>0</v>
      </c>
      <c r="L67" s="17"/>
      <c r="M67" s="39"/>
      <c r="N67" s="40"/>
      <c r="O67" s="40"/>
      <c r="P67" s="40"/>
      <c r="Q67" s="40"/>
    </row>
    <row r="68" spans="1:17" s="41" customFormat="1">
      <c r="A68" s="13"/>
      <c r="B68" s="18" t="s">
        <v>145</v>
      </c>
      <c r="C68" s="15"/>
      <c r="D68" s="480"/>
      <c r="E68" s="480"/>
      <c r="F68" s="480"/>
      <c r="G68" s="480"/>
      <c r="H68" s="480"/>
      <c r="I68" s="480"/>
      <c r="J68" s="480"/>
      <c r="K68" s="480">
        <f>SUM(D68:J68)</f>
        <v>0</v>
      </c>
      <c r="L68" s="17"/>
      <c r="M68" s="39"/>
      <c r="N68" s="40"/>
      <c r="O68" s="40"/>
      <c r="P68" s="40"/>
      <c r="Q68" s="40"/>
    </row>
    <row r="69" spans="1:17" s="41" customFormat="1">
      <c r="A69" s="13"/>
      <c r="B69" s="18" t="s">
        <v>146</v>
      </c>
      <c r="C69" s="15"/>
      <c r="D69" s="480"/>
      <c r="E69" s="480"/>
      <c r="F69" s="480"/>
      <c r="G69" s="480"/>
      <c r="H69" s="480"/>
      <c r="I69" s="480"/>
      <c r="J69" s="480"/>
      <c r="K69" s="480">
        <f>SUM(D69:J69)</f>
        <v>0</v>
      </c>
      <c r="L69" s="17"/>
      <c r="M69" s="39"/>
      <c r="N69" s="40"/>
      <c r="O69" s="40"/>
      <c r="P69" s="40"/>
      <c r="Q69" s="40"/>
    </row>
    <row r="70" spans="1:17" s="41" customFormat="1">
      <c r="A70" s="13"/>
      <c r="B70" s="18" t="s">
        <v>147</v>
      </c>
      <c r="C70" s="15"/>
      <c r="D70" s="480"/>
      <c r="E70" s="480"/>
      <c r="F70" s="480"/>
      <c r="G70" s="480"/>
      <c r="H70" s="480"/>
      <c r="I70" s="480"/>
      <c r="J70" s="480"/>
      <c r="K70" s="480">
        <f>SUM(D70:J70)</f>
        <v>0</v>
      </c>
      <c r="L70" s="17"/>
      <c r="M70" s="39"/>
      <c r="N70" s="40"/>
      <c r="O70" s="40"/>
      <c r="P70" s="40"/>
      <c r="Q70" s="40"/>
    </row>
    <row r="71" spans="1:17" s="41" customFormat="1">
      <c r="A71" s="13"/>
      <c r="B71" s="18" t="s">
        <v>148</v>
      </c>
      <c r="C71" s="15"/>
      <c r="D71" s="480"/>
      <c r="E71" s="480"/>
      <c r="F71" s="480"/>
      <c r="G71" s="480"/>
      <c r="H71" s="480"/>
      <c r="I71" s="480"/>
      <c r="J71" s="480"/>
      <c r="K71" s="480"/>
      <c r="L71" s="17"/>
      <c r="M71" s="39"/>
      <c r="N71" s="40"/>
      <c r="O71" s="40"/>
      <c r="P71" s="40"/>
      <c r="Q71" s="40"/>
    </row>
    <row r="72" spans="1:17" s="41" customFormat="1">
      <c r="A72" s="13"/>
      <c r="B72" s="18" t="s">
        <v>149</v>
      </c>
      <c r="C72" s="15"/>
      <c r="D72" s="480"/>
      <c r="E72" s="480"/>
      <c r="F72" s="480"/>
      <c r="G72" s="480"/>
      <c r="H72" s="480"/>
      <c r="I72" s="480"/>
      <c r="J72" s="480"/>
      <c r="K72" s="480"/>
      <c r="L72" s="17"/>
      <c r="M72" s="39"/>
      <c r="N72" s="40"/>
      <c r="O72" s="40"/>
      <c r="P72" s="40"/>
      <c r="Q72" s="40"/>
    </row>
    <row r="73" spans="1:17" s="44" customFormat="1" ht="40.5">
      <c r="A73" s="19" t="s">
        <v>92</v>
      </c>
      <c r="B73" s="14" t="s">
        <v>136</v>
      </c>
      <c r="C73" s="21" t="s">
        <v>143</v>
      </c>
      <c r="D73" s="482">
        <f>SUM(D74:D79)</f>
        <v>0</v>
      </c>
      <c r="E73" s="482">
        <f t="shared" ref="E73:K73" si="13">SUM(E74:E79)</f>
        <v>0</v>
      </c>
      <c r="F73" s="482">
        <f t="shared" si="13"/>
        <v>0</v>
      </c>
      <c r="G73" s="482">
        <f t="shared" si="13"/>
        <v>0</v>
      </c>
      <c r="H73" s="482">
        <f t="shared" si="13"/>
        <v>0</v>
      </c>
      <c r="I73" s="482">
        <f t="shared" si="13"/>
        <v>0</v>
      </c>
      <c r="J73" s="482">
        <f t="shared" si="13"/>
        <v>0</v>
      </c>
      <c r="K73" s="482">
        <f t="shared" si="13"/>
        <v>0</v>
      </c>
      <c r="L73" s="23"/>
      <c r="M73" s="42"/>
      <c r="N73" s="43"/>
      <c r="O73" s="43"/>
      <c r="P73" s="43"/>
      <c r="Q73" s="43"/>
    </row>
    <row r="74" spans="1:17" s="41" customFormat="1">
      <c r="A74" s="13"/>
      <c r="B74" s="18" t="s">
        <v>144</v>
      </c>
      <c r="C74" s="15"/>
      <c r="D74" s="480"/>
      <c r="E74" s="480"/>
      <c r="F74" s="480"/>
      <c r="G74" s="480"/>
      <c r="H74" s="480"/>
      <c r="I74" s="480"/>
      <c r="J74" s="480"/>
      <c r="K74" s="480">
        <f>SUM(D74:J74)</f>
        <v>0</v>
      </c>
      <c r="L74" s="17"/>
      <c r="M74" s="39"/>
      <c r="N74" s="40"/>
      <c r="O74" s="40"/>
      <c r="P74" s="40"/>
      <c r="Q74" s="40"/>
    </row>
    <row r="75" spans="1:17" s="41" customFormat="1">
      <c r="A75" s="13"/>
      <c r="B75" s="18" t="s">
        <v>145</v>
      </c>
      <c r="C75" s="15"/>
      <c r="D75" s="480"/>
      <c r="E75" s="480"/>
      <c r="F75" s="480"/>
      <c r="G75" s="480"/>
      <c r="H75" s="480"/>
      <c r="I75" s="480"/>
      <c r="J75" s="480"/>
      <c r="K75" s="480">
        <f>SUM(D75:J75)</f>
        <v>0</v>
      </c>
      <c r="L75" s="17"/>
      <c r="M75" s="39"/>
      <c r="N75" s="40"/>
      <c r="O75" s="40"/>
      <c r="P75" s="40"/>
      <c r="Q75" s="40"/>
    </row>
    <row r="76" spans="1:17" s="41" customFormat="1">
      <c r="A76" s="13"/>
      <c r="B76" s="18" t="s">
        <v>146</v>
      </c>
      <c r="C76" s="15"/>
      <c r="D76" s="480"/>
      <c r="E76" s="480"/>
      <c r="F76" s="480"/>
      <c r="G76" s="480"/>
      <c r="H76" s="480"/>
      <c r="I76" s="480"/>
      <c r="J76" s="480"/>
      <c r="K76" s="480">
        <f>SUM(D76:J76)</f>
        <v>0</v>
      </c>
      <c r="L76" s="17"/>
      <c r="M76" s="39"/>
      <c r="N76" s="40"/>
      <c r="O76" s="40"/>
      <c r="P76" s="40"/>
      <c r="Q76" s="40"/>
    </row>
    <row r="77" spans="1:17" s="41" customFormat="1">
      <c r="A77" s="13"/>
      <c r="B77" s="18" t="s">
        <v>147</v>
      </c>
      <c r="C77" s="15"/>
      <c r="D77" s="480"/>
      <c r="E77" s="480"/>
      <c r="F77" s="480"/>
      <c r="G77" s="480"/>
      <c r="H77" s="480"/>
      <c r="I77" s="480"/>
      <c r="J77" s="480"/>
      <c r="K77" s="480">
        <f>SUM(D77:J77)</f>
        <v>0</v>
      </c>
      <c r="L77" s="17"/>
      <c r="M77" s="39"/>
      <c r="N77" s="40"/>
      <c r="O77" s="40"/>
      <c r="P77" s="40"/>
      <c r="Q77" s="40"/>
    </row>
    <row r="78" spans="1:17" s="41" customFormat="1">
      <c r="A78" s="13"/>
      <c r="B78" s="18" t="s">
        <v>148</v>
      </c>
      <c r="C78" s="15"/>
      <c r="D78" s="480"/>
      <c r="E78" s="480"/>
      <c r="F78" s="480"/>
      <c r="G78" s="480"/>
      <c r="H78" s="480"/>
      <c r="I78" s="480"/>
      <c r="J78" s="480"/>
      <c r="K78" s="480"/>
      <c r="L78" s="17"/>
      <c r="M78" s="39"/>
      <c r="N78" s="40"/>
      <c r="O78" s="40"/>
      <c r="P78" s="40"/>
      <c r="Q78" s="40"/>
    </row>
    <row r="79" spans="1:17" s="41" customFormat="1">
      <c r="A79" s="13"/>
      <c r="B79" s="18" t="s">
        <v>149</v>
      </c>
      <c r="C79" s="15"/>
      <c r="D79" s="480"/>
      <c r="E79" s="480"/>
      <c r="F79" s="480"/>
      <c r="G79" s="480"/>
      <c r="H79" s="480"/>
      <c r="I79" s="480"/>
      <c r="J79" s="480"/>
      <c r="K79" s="480"/>
      <c r="L79" s="17"/>
      <c r="M79" s="39"/>
      <c r="N79" s="40"/>
      <c r="O79" s="40"/>
      <c r="P79" s="40"/>
      <c r="Q79" s="40"/>
    </row>
    <row r="80" spans="1:17" s="44" customFormat="1" ht="13.5">
      <c r="A80" s="19" t="s">
        <v>94</v>
      </c>
      <c r="B80" s="14" t="s">
        <v>150</v>
      </c>
      <c r="C80" s="15" t="s">
        <v>143</v>
      </c>
      <c r="D80" s="482">
        <f>D66+D73</f>
        <v>0</v>
      </c>
      <c r="E80" s="482"/>
      <c r="F80" s="482"/>
      <c r="G80" s="482"/>
      <c r="H80" s="482"/>
      <c r="I80" s="482"/>
      <c r="J80" s="482">
        <f t="shared" ref="J80" si="14">J66+J73</f>
        <v>0</v>
      </c>
      <c r="K80" s="480">
        <f>SUM(D80:J80)</f>
        <v>0</v>
      </c>
      <c r="L80" s="23"/>
      <c r="M80" s="42"/>
      <c r="N80" s="43"/>
      <c r="O80" s="43"/>
      <c r="P80" s="43"/>
      <c r="Q80" s="43"/>
    </row>
    <row r="81" spans="1:17" s="41" customFormat="1">
      <c r="A81" s="13"/>
      <c r="B81" s="18" t="s">
        <v>151</v>
      </c>
      <c r="C81" s="15" t="s">
        <v>143</v>
      </c>
      <c r="D81" s="480"/>
      <c r="E81" s="480"/>
      <c r="F81" s="480"/>
      <c r="G81" s="480"/>
      <c r="H81" s="480"/>
      <c r="I81" s="480"/>
      <c r="J81" s="480"/>
      <c r="K81" s="480"/>
      <c r="L81" s="17"/>
      <c r="M81" s="39"/>
      <c r="N81" s="40"/>
      <c r="O81" s="40"/>
      <c r="P81" s="40"/>
      <c r="Q81" s="40"/>
    </row>
    <row r="82" spans="1:17" s="44" customFormat="1" ht="67.5">
      <c r="A82" s="19" t="s">
        <v>97</v>
      </c>
      <c r="B82" s="14" t="s">
        <v>139</v>
      </c>
      <c r="C82" s="21" t="s">
        <v>143</v>
      </c>
      <c r="D82" s="482">
        <f>SUM(D83:D89)</f>
        <v>0</v>
      </c>
      <c r="E82" s="482">
        <f t="shared" ref="E82:J82" si="15">SUM(E83:E89)</f>
        <v>0</v>
      </c>
      <c r="F82" s="482">
        <f t="shared" si="15"/>
        <v>0</v>
      </c>
      <c r="G82" s="482">
        <f t="shared" si="15"/>
        <v>0</v>
      </c>
      <c r="H82" s="482">
        <f t="shared" si="15"/>
        <v>0</v>
      </c>
      <c r="I82" s="482">
        <f t="shared" si="15"/>
        <v>0</v>
      </c>
      <c r="J82" s="482">
        <f t="shared" si="15"/>
        <v>0</v>
      </c>
      <c r="K82" s="482">
        <f>SUM(D82:J82)</f>
        <v>0</v>
      </c>
      <c r="L82" s="23"/>
      <c r="M82" s="42"/>
      <c r="N82" s="43"/>
      <c r="O82" s="43"/>
      <c r="P82" s="43"/>
      <c r="Q82" s="43"/>
    </row>
    <row r="83" spans="1:17" s="41" customFormat="1">
      <c r="A83" s="13"/>
      <c r="B83" s="18" t="s">
        <v>144</v>
      </c>
      <c r="C83" s="15"/>
      <c r="D83" s="480"/>
      <c r="E83" s="480"/>
      <c r="F83" s="480"/>
      <c r="G83" s="480"/>
      <c r="H83" s="480"/>
      <c r="I83" s="480"/>
      <c r="J83" s="480"/>
      <c r="K83" s="480">
        <f>SUM(D83:J83)</f>
        <v>0</v>
      </c>
      <c r="L83" s="17"/>
      <c r="M83" s="39"/>
      <c r="N83" s="40"/>
      <c r="O83" s="40"/>
      <c r="P83" s="40"/>
      <c r="Q83" s="40"/>
    </row>
    <row r="84" spans="1:17" s="41" customFormat="1">
      <c r="A84" s="13"/>
      <c r="B84" s="18" t="s">
        <v>145</v>
      </c>
      <c r="C84" s="15"/>
      <c r="D84" s="480"/>
      <c r="E84" s="480"/>
      <c r="F84" s="480"/>
      <c r="G84" s="480"/>
      <c r="H84" s="480"/>
      <c r="I84" s="480"/>
      <c r="J84" s="480"/>
      <c r="K84" s="480">
        <f>SUM(D84:J84)</f>
        <v>0</v>
      </c>
      <c r="L84" s="17"/>
      <c r="M84" s="39"/>
      <c r="N84" s="40"/>
      <c r="O84" s="40"/>
      <c r="P84" s="40"/>
      <c r="Q84" s="40"/>
    </row>
    <row r="85" spans="1:17" s="41" customFormat="1">
      <c r="A85" s="13"/>
      <c r="B85" s="18" t="s">
        <v>146</v>
      </c>
      <c r="C85" s="15"/>
      <c r="D85" s="480"/>
      <c r="E85" s="480"/>
      <c r="F85" s="480"/>
      <c r="G85" s="480"/>
      <c r="H85" s="480"/>
      <c r="I85" s="480"/>
      <c r="J85" s="480"/>
      <c r="K85" s="480">
        <f>SUM(D85:J85)</f>
        <v>0</v>
      </c>
      <c r="L85" s="17"/>
      <c r="M85" s="39"/>
      <c r="N85" s="40"/>
      <c r="O85" s="40"/>
      <c r="P85" s="40"/>
      <c r="Q85" s="40"/>
    </row>
    <row r="86" spans="1:17" s="41" customFormat="1">
      <c r="A86" s="13"/>
      <c r="B86" s="18" t="s">
        <v>147</v>
      </c>
      <c r="C86" s="15"/>
      <c r="D86" s="480"/>
      <c r="E86" s="480"/>
      <c r="F86" s="480"/>
      <c r="G86" s="480"/>
      <c r="H86" s="480"/>
      <c r="I86" s="480"/>
      <c r="J86" s="480"/>
      <c r="K86" s="480">
        <f>SUM(D86:J86)</f>
        <v>0</v>
      </c>
      <c r="L86" s="17"/>
      <c r="M86" s="39"/>
      <c r="N86" s="40"/>
      <c r="O86" s="40"/>
      <c r="P86" s="40"/>
      <c r="Q86" s="40"/>
    </row>
    <row r="87" spans="1:17" s="41" customFormat="1">
      <c r="A87" s="13"/>
      <c r="B87" s="18" t="s">
        <v>148</v>
      </c>
      <c r="C87" s="15"/>
      <c r="D87" s="480"/>
      <c r="E87" s="480"/>
      <c r="F87" s="480"/>
      <c r="G87" s="480"/>
      <c r="H87" s="480"/>
      <c r="I87" s="480"/>
      <c r="J87" s="480"/>
      <c r="K87" s="480"/>
      <c r="L87" s="17"/>
      <c r="M87" s="39"/>
      <c r="N87" s="40"/>
      <c r="O87" s="40"/>
      <c r="P87" s="40"/>
      <c r="Q87" s="40"/>
    </row>
    <row r="88" spans="1:17" s="41" customFormat="1">
      <c r="A88" s="13"/>
      <c r="B88" s="18" t="s">
        <v>149</v>
      </c>
      <c r="C88" s="15"/>
      <c r="D88" s="480"/>
      <c r="E88" s="480"/>
      <c r="F88" s="480"/>
      <c r="G88" s="480"/>
      <c r="H88" s="480"/>
      <c r="I88" s="480"/>
      <c r="J88" s="480"/>
      <c r="K88" s="480"/>
      <c r="L88" s="17"/>
      <c r="M88" s="39"/>
      <c r="N88" s="40"/>
      <c r="O88" s="40"/>
      <c r="P88" s="40"/>
      <c r="Q88" s="40"/>
    </row>
    <row r="89" spans="1:17" s="41" customFormat="1" ht="15" thickBot="1">
      <c r="A89" s="13"/>
      <c r="B89" s="18" t="s">
        <v>151</v>
      </c>
      <c r="C89" s="15" t="s">
        <v>143</v>
      </c>
      <c r="D89" s="480"/>
      <c r="E89" s="480"/>
      <c r="F89" s="480"/>
      <c r="G89" s="480"/>
      <c r="H89" s="480"/>
      <c r="I89" s="480"/>
      <c r="J89" s="480"/>
      <c r="K89" s="480"/>
      <c r="L89" s="17"/>
      <c r="M89" s="39"/>
      <c r="N89" s="40"/>
      <c r="O89" s="40"/>
      <c r="P89" s="40"/>
      <c r="Q89" s="40"/>
    </row>
    <row r="90" spans="1:17" ht="15" thickTop="1">
      <c r="A90" s="29"/>
      <c r="B90" s="1"/>
      <c r="C90" s="1"/>
      <c r="D90" s="1"/>
      <c r="E90" s="1"/>
      <c r="F90" s="1"/>
      <c r="G90" s="1"/>
      <c r="H90" s="1"/>
      <c r="I90" s="1"/>
      <c r="J90" s="728"/>
      <c r="K90" s="728"/>
      <c r="L90" s="728"/>
      <c r="M90" s="1"/>
      <c r="N90" s="34"/>
      <c r="O90" s="34"/>
      <c r="P90" s="34"/>
      <c r="Q90" s="34"/>
    </row>
    <row r="91" spans="1:17" ht="12.75" customHeight="1">
      <c r="A91" s="30"/>
      <c r="B91" s="31"/>
      <c r="C91" s="32"/>
      <c r="D91" s="32"/>
      <c r="E91" s="32"/>
      <c r="F91" s="32"/>
      <c r="G91" s="32"/>
      <c r="H91" s="32"/>
      <c r="I91" s="32"/>
      <c r="J91" s="729" t="s">
        <v>127</v>
      </c>
      <c r="K91" s="729"/>
      <c r="L91" s="729"/>
      <c r="M91" s="1"/>
      <c r="N91" s="34"/>
      <c r="O91" s="34"/>
      <c r="P91" s="34"/>
      <c r="Q91" s="34"/>
    </row>
    <row r="92" spans="1:17" ht="20.25" customHeight="1">
      <c r="A92" s="722"/>
      <c r="B92" s="723"/>
      <c r="C92" s="723"/>
      <c r="D92" s="33"/>
      <c r="E92" s="33"/>
      <c r="F92" s="33"/>
      <c r="G92" s="33"/>
      <c r="H92" s="33"/>
      <c r="I92" s="33"/>
      <c r="J92" s="716" t="s">
        <v>128</v>
      </c>
      <c r="K92" s="716"/>
      <c r="L92" s="716"/>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153</v>
      </c>
      <c r="B97" s="48"/>
      <c r="C97" s="48"/>
      <c r="D97" s="48"/>
      <c r="E97" s="48"/>
      <c r="F97" s="48"/>
      <c r="G97" s="48"/>
      <c r="H97" s="48"/>
      <c r="I97" s="48"/>
      <c r="J97" s="48"/>
      <c r="K97" s="48"/>
      <c r="L97" s="48"/>
      <c r="M97" s="49"/>
      <c r="N97" s="50"/>
      <c r="O97" s="50"/>
      <c r="P97" s="50"/>
      <c r="Q97" s="50"/>
    </row>
    <row r="98" spans="1:17" ht="34.5" customHeight="1">
      <c r="A98" s="724"/>
      <c r="B98" s="724"/>
      <c r="C98" s="724"/>
      <c r="D98" s="724"/>
      <c r="E98" s="724"/>
      <c r="F98" s="724"/>
      <c r="G98" s="724"/>
      <c r="H98" s="724"/>
      <c r="I98" s="724"/>
      <c r="J98" s="724"/>
      <c r="K98" s="724"/>
      <c r="L98" s="724"/>
      <c r="M98" s="1"/>
      <c r="N98" s="34"/>
      <c r="O98" s="34"/>
      <c r="P98" s="34"/>
      <c r="Q98" s="34"/>
    </row>
    <row r="99" spans="1:17" ht="33.75" customHeight="1">
      <c r="A99" s="724"/>
      <c r="B99" s="724"/>
      <c r="C99" s="724"/>
      <c r="D99" s="724"/>
      <c r="E99" s="724"/>
      <c r="F99" s="724"/>
      <c r="G99" s="724"/>
      <c r="H99" s="724"/>
      <c r="I99" s="724"/>
      <c r="J99" s="724"/>
      <c r="K99" s="724"/>
      <c r="L99" s="724"/>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5"/>
  <cols>
    <col min="1" max="1" width="4.81640625" customWidth="1"/>
    <col min="2" max="2" width="43" customWidth="1"/>
    <col min="3" max="3" width="10.453125" customWidth="1"/>
    <col min="4" max="4" width="8.1796875" customWidth="1"/>
    <col min="5" max="10" width="8.1796875" hidden="1" customWidth="1"/>
    <col min="11" max="11" width="8.1796875" customWidth="1"/>
    <col min="12" max="12" width="25.453125" customWidth="1"/>
  </cols>
  <sheetData>
    <row r="1" spans="1:12">
      <c r="A1" s="725" t="s">
        <v>733</v>
      </c>
      <c r="B1" s="725"/>
      <c r="C1" s="1"/>
      <c r="D1" s="1"/>
      <c r="E1" s="1"/>
      <c r="F1" s="1"/>
      <c r="G1" s="1"/>
      <c r="H1" s="1"/>
      <c r="I1" s="1"/>
      <c r="J1" s="1"/>
      <c r="K1" s="726" t="s">
        <v>65</v>
      </c>
      <c r="L1" s="726"/>
    </row>
    <row r="2" spans="1:12">
      <c r="A2" s="727" t="s">
        <v>925</v>
      </c>
      <c r="B2" s="727"/>
      <c r="C2" s="1"/>
      <c r="D2" s="1"/>
      <c r="E2" s="1"/>
      <c r="F2" s="1"/>
      <c r="G2" s="1"/>
      <c r="H2" s="1"/>
      <c r="I2" s="1"/>
      <c r="J2" s="1"/>
      <c r="K2" s="2"/>
      <c r="L2" s="2"/>
    </row>
    <row r="3" spans="1:12">
      <c r="A3" s="719" t="s">
        <v>15</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71</v>
      </c>
      <c r="E5" s="6" t="s">
        <v>72</v>
      </c>
      <c r="F5" s="6" t="s">
        <v>73</v>
      </c>
      <c r="G5" s="6" t="s">
        <v>74</v>
      </c>
      <c r="H5" s="6" t="s">
        <v>75</v>
      </c>
      <c r="I5" s="6" t="s">
        <v>76</v>
      </c>
      <c r="J5" s="6" t="s">
        <v>77</v>
      </c>
      <c r="K5" s="6" t="s">
        <v>78</v>
      </c>
      <c r="L5" s="7" t="s">
        <v>7</v>
      </c>
    </row>
    <row r="6" spans="1:12">
      <c r="A6" s="8" t="s">
        <v>79</v>
      </c>
      <c r="B6" s="9" t="s">
        <v>80</v>
      </c>
      <c r="C6" s="10"/>
      <c r="D6" s="10"/>
      <c r="E6" s="10"/>
      <c r="F6" s="10"/>
      <c r="G6" s="10"/>
      <c r="H6" s="10"/>
      <c r="I6" s="10"/>
      <c r="J6" s="10"/>
      <c r="K6" s="11"/>
      <c r="L6" s="12"/>
    </row>
    <row r="7" spans="1:12">
      <c r="A7" s="57" t="s">
        <v>81</v>
      </c>
      <c r="B7" s="24" t="s">
        <v>154</v>
      </c>
      <c r="C7" s="25"/>
      <c r="D7" s="26"/>
      <c r="E7" s="26"/>
      <c r="F7" s="26"/>
      <c r="G7" s="26"/>
      <c r="H7" s="26"/>
      <c r="I7" s="26"/>
      <c r="J7" s="26"/>
      <c r="K7" s="27"/>
      <c r="L7" s="28"/>
    </row>
    <row r="8" spans="1:12" ht="54">
      <c r="A8" s="13" t="s">
        <v>83</v>
      </c>
      <c r="B8" s="14" t="s">
        <v>84</v>
      </c>
      <c r="C8" s="15" t="s">
        <v>85</v>
      </c>
      <c r="D8" s="480">
        <f>SUM(D9:D14)</f>
        <v>8232</v>
      </c>
      <c r="E8" s="480">
        <f t="shared" ref="E8:J8" si="0">SUM(E9:E13)</f>
        <v>0</v>
      </c>
      <c r="F8" s="480">
        <f t="shared" si="0"/>
        <v>0</v>
      </c>
      <c r="G8" s="480">
        <f t="shared" si="0"/>
        <v>0</v>
      </c>
      <c r="H8" s="480">
        <f t="shared" si="0"/>
        <v>0</v>
      </c>
      <c r="I8" s="480">
        <f t="shared" si="0"/>
        <v>0</v>
      </c>
      <c r="J8" s="480">
        <f t="shared" si="0"/>
        <v>0</v>
      </c>
      <c r="K8" s="480">
        <f t="shared" ref="K8:K29" si="1">SUM(D8:J8)</f>
        <v>8232</v>
      </c>
      <c r="L8" s="17"/>
    </row>
    <row r="9" spans="1:12">
      <c r="A9" s="13"/>
      <c r="B9" s="18" t="s">
        <v>86</v>
      </c>
      <c r="C9" s="15" t="s">
        <v>85</v>
      </c>
      <c r="D9" s="480"/>
      <c r="E9" s="480"/>
      <c r="F9" s="480"/>
      <c r="G9" s="480"/>
      <c r="H9" s="480"/>
      <c r="I9" s="480"/>
      <c r="J9" s="480"/>
      <c r="K9" s="480">
        <f t="shared" si="1"/>
        <v>0</v>
      </c>
      <c r="L9" s="17"/>
    </row>
    <row r="10" spans="1:12">
      <c r="A10" s="13"/>
      <c r="B10" s="18" t="s">
        <v>87</v>
      </c>
      <c r="C10" s="15" t="s">
        <v>85</v>
      </c>
      <c r="D10" s="480"/>
      <c r="E10" s="480"/>
      <c r="F10" s="480"/>
      <c r="G10" s="480"/>
      <c r="H10" s="480"/>
      <c r="I10" s="480"/>
      <c r="J10" s="480"/>
      <c r="K10" s="480">
        <f t="shared" si="1"/>
        <v>0</v>
      </c>
      <c r="L10" s="17"/>
    </row>
    <row r="11" spans="1:12">
      <c r="A11" s="13"/>
      <c r="B11" s="18" t="s">
        <v>99</v>
      </c>
      <c r="C11" s="15" t="s">
        <v>85</v>
      </c>
      <c r="D11" s="480"/>
      <c r="E11" s="480"/>
      <c r="F11" s="480"/>
      <c r="G11" s="480"/>
      <c r="H11" s="480"/>
      <c r="I11" s="480"/>
      <c r="J11" s="480"/>
      <c r="K11" s="480">
        <f t="shared" si="1"/>
        <v>0</v>
      </c>
      <c r="L11" s="17"/>
    </row>
    <row r="12" spans="1:12">
      <c r="A12" s="13"/>
      <c r="B12" s="18" t="s">
        <v>100</v>
      </c>
      <c r="C12" s="15" t="s">
        <v>85</v>
      </c>
      <c r="D12" s="480">
        <v>2401</v>
      </c>
      <c r="E12" s="480"/>
      <c r="F12" s="480"/>
      <c r="G12" s="480"/>
      <c r="H12" s="480"/>
      <c r="I12" s="480"/>
      <c r="J12" s="480"/>
      <c r="K12" s="480">
        <f t="shared" si="1"/>
        <v>2401</v>
      </c>
      <c r="L12" s="17"/>
    </row>
    <row r="13" spans="1:12">
      <c r="A13" s="13"/>
      <c r="B13" s="18" t="s">
        <v>101</v>
      </c>
      <c r="C13" s="15" t="s">
        <v>85</v>
      </c>
      <c r="D13" s="480">
        <v>4361</v>
      </c>
      <c r="E13" s="480"/>
      <c r="F13" s="480"/>
      <c r="G13" s="480"/>
      <c r="H13" s="480"/>
      <c r="I13" s="480"/>
      <c r="J13" s="480"/>
      <c r="K13" s="480">
        <f t="shared" si="1"/>
        <v>4361</v>
      </c>
      <c r="L13" s="17"/>
    </row>
    <row r="14" spans="1:12">
      <c r="A14" s="13"/>
      <c r="B14" s="18" t="s">
        <v>102</v>
      </c>
      <c r="C14" s="15" t="s">
        <v>85</v>
      </c>
      <c r="D14" s="480">
        <v>1470</v>
      </c>
      <c r="E14" s="480"/>
      <c r="F14" s="480"/>
      <c r="G14" s="480"/>
      <c r="H14" s="480"/>
      <c r="I14" s="480"/>
      <c r="J14" s="480"/>
      <c r="K14" s="480">
        <f t="shared" ref="K14" si="2">SUM(D14:J14)</f>
        <v>1470</v>
      </c>
      <c r="L14" s="17"/>
    </row>
    <row r="15" spans="1:12" ht="40.5">
      <c r="A15" s="19" t="s">
        <v>92</v>
      </c>
      <c r="B15" s="14" t="s">
        <v>93</v>
      </c>
      <c r="C15" s="15"/>
      <c r="D15" s="480">
        <f t="shared" ref="D15:J15" si="3">SUM(D16:D20)</f>
        <v>4086</v>
      </c>
      <c r="E15" s="480">
        <f t="shared" si="3"/>
        <v>0</v>
      </c>
      <c r="F15" s="480">
        <f t="shared" si="3"/>
        <v>0</v>
      </c>
      <c r="G15" s="480">
        <f t="shared" si="3"/>
        <v>0</v>
      </c>
      <c r="H15" s="480">
        <f t="shared" si="3"/>
        <v>0</v>
      </c>
      <c r="I15" s="480">
        <f t="shared" si="3"/>
        <v>0</v>
      </c>
      <c r="J15" s="480">
        <f t="shared" si="3"/>
        <v>0</v>
      </c>
      <c r="K15" s="480">
        <f t="shared" si="1"/>
        <v>4086</v>
      </c>
      <c r="L15" s="17"/>
    </row>
    <row r="16" spans="1:12">
      <c r="A16" s="13"/>
      <c r="B16" s="18" t="s">
        <v>86</v>
      </c>
      <c r="C16" s="15" t="s">
        <v>85</v>
      </c>
      <c r="D16" s="480">
        <v>0</v>
      </c>
      <c r="E16" s="480"/>
      <c r="F16" s="480"/>
      <c r="G16" s="480"/>
      <c r="H16" s="480"/>
      <c r="I16" s="480"/>
      <c r="J16" s="480"/>
      <c r="K16" s="480">
        <f t="shared" si="1"/>
        <v>0</v>
      </c>
      <c r="L16" s="17"/>
    </row>
    <row r="17" spans="1:12">
      <c r="A17" s="13"/>
      <c r="B17" s="18" t="s">
        <v>87</v>
      </c>
      <c r="C17" s="15" t="s">
        <v>85</v>
      </c>
      <c r="D17" s="480">
        <v>0</v>
      </c>
      <c r="E17" s="480"/>
      <c r="F17" s="480"/>
      <c r="G17" s="480"/>
      <c r="H17" s="480"/>
      <c r="I17" s="480"/>
      <c r="J17" s="480"/>
      <c r="K17" s="480">
        <f t="shared" si="1"/>
        <v>0</v>
      </c>
      <c r="L17" s="17"/>
    </row>
    <row r="18" spans="1:12">
      <c r="A18" s="13"/>
      <c r="B18" s="18" t="s">
        <v>99</v>
      </c>
      <c r="C18" s="15" t="s">
        <v>85</v>
      </c>
      <c r="D18" s="480">
        <v>0</v>
      </c>
      <c r="E18" s="480"/>
      <c r="F18" s="480"/>
      <c r="G18" s="480"/>
      <c r="H18" s="480"/>
      <c r="I18" s="480"/>
      <c r="J18" s="480"/>
      <c r="K18" s="480">
        <f t="shared" si="1"/>
        <v>0</v>
      </c>
      <c r="L18" s="17"/>
    </row>
    <row r="19" spans="1:12">
      <c r="A19" s="13"/>
      <c r="B19" s="18" t="s">
        <v>100</v>
      </c>
      <c r="C19" s="15" t="s">
        <v>85</v>
      </c>
      <c r="D19" s="480">
        <f>337+77</f>
        <v>414</v>
      </c>
      <c r="E19" s="480"/>
      <c r="F19" s="480"/>
      <c r="G19" s="480"/>
      <c r="H19" s="480"/>
      <c r="I19" s="480"/>
      <c r="J19" s="480"/>
      <c r="K19" s="480">
        <f t="shared" si="1"/>
        <v>414</v>
      </c>
      <c r="L19" s="17" t="s">
        <v>886</v>
      </c>
    </row>
    <row r="20" spans="1:12">
      <c r="A20" s="13"/>
      <c r="B20" s="18" t="s">
        <v>101</v>
      </c>
      <c r="C20" s="15" t="s">
        <v>85</v>
      </c>
      <c r="D20" s="480">
        <v>3672</v>
      </c>
      <c r="E20" s="480"/>
      <c r="F20" s="480"/>
      <c r="G20" s="480"/>
      <c r="H20" s="480"/>
      <c r="I20" s="480"/>
      <c r="J20" s="480"/>
      <c r="K20" s="480">
        <f t="shared" si="1"/>
        <v>3672</v>
      </c>
      <c r="L20" s="17" t="s">
        <v>887</v>
      </c>
    </row>
    <row r="21" spans="1:12" ht="27">
      <c r="A21" s="19" t="s">
        <v>94</v>
      </c>
      <c r="B21" s="20" t="s">
        <v>110</v>
      </c>
      <c r="C21" s="15" t="s">
        <v>85</v>
      </c>
      <c r="D21" s="480"/>
      <c r="E21" s="480"/>
      <c r="F21" s="480"/>
      <c r="G21" s="480"/>
      <c r="H21" s="480"/>
      <c r="I21" s="480"/>
      <c r="J21" s="480"/>
      <c r="K21" s="480">
        <f t="shared" si="1"/>
        <v>0</v>
      </c>
      <c r="L21" s="17"/>
    </row>
    <row r="22" spans="1:12">
      <c r="A22" s="637"/>
      <c r="B22" s="311" t="s">
        <v>885</v>
      </c>
      <c r="C22" s="309"/>
      <c r="D22" s="481">
        <v>400</v>
      </c>
      <c r="E22" s="481"/>
      <c r="F22" s="481"/>
      <c r="G22" s="481"/>
      <c r="H22" s="481"/>
      <c r="I22" s="481"/>
      <c r="J22" s="481"/>
      <c r="K22" s="481">
        <f t="shared" si="1"/>
        <v>400</v>
      </c>
      <c r="L22" s="310" t="s">
        <v>918</v>
      </c>
    </row>
    <row r="23" spans="1:12" ht="54">
      <c r="A23" s="19" t="s">
        <v>97</v>
      </c>
      <c r="B23" s="14" t="s">
        <v>98</v>
      </c>
      <c r="C23" s="21" t="s">
        <v>85</v>
      </c>
      <c r="D23" s="482">
        <f>SUM(D24:D29)</f>
        <v>2159</v>
      </c>
      <c r="E23" s="482">
        <f t="shared" ref="E23:J23" si="4">SUM(E24:E29)</f>
        <v>0</v>
      </c>
      <c r="F23" s="482">
        <f t="shared" si="4"/>
        <v>0</v>
      </c>
      <c r="G23" s="482">
        <f t="shared" si="4"/>
        <v>0</v>
      </c>
      <c r="H23" s="482">
        <f t="shared" si="4"/>
        <v>0</v>
      </c>
      <c r="I23" s="482">
        <f t="shared" si="4"/>
        <v>0</v>
      </c>
      <c r="J23" s="482">
        <f t="shared" si="4"/>
        <v>0</v>
      </c>
      <c r="K23" s="482">
        <f t="shared" si="1"/>
        <v>2159</v>
      </c>
      <c r="L23" s="23"/>
    </row>
    <row r="24" spans="1:12">
      <c r="A24" s="13"/>
      <c r="B24" s="18" t="s">
        <v>86</v>
      </c>
      <c r="C24" s="15" t="s">
        <v>85</v>
      </c>
      <c r="D24" s="480">
        <f t="shared" ref="D24:J24" si="5">D9-D16</f>
        <v>0</v>
      </c>
      <c r="E24" s="480">
        <f t="shared" si="5"/>
        <v>0</v>
      </c>
      <c r="F24" s="480">
        <f t="shared" si="5"/>
        <v>0</v>
      </c>
      <c r="G24" s="480">
        <f t="shared" si="5"/>
        <v>0</v>
      </c>
      <c r="H24" s="480">
        <f t="shared" si="5"/>
        <v>0</v>
      </c>
      <c r="I24" s="480">
        <f t="shared" si="5"/>
        <v>0</v>
      </c>
      <c r="J24" s="480">
        <f t="shared" si="5"/>
        <v>0</v>
      </c>
      <c r="K24" s="480">
        <f t="shared" si="1"/>
        <v>0</v>
      </c>
      <c r="L24" s="17"/>
    </row>
    <row r="25" spans="1:12">
      <c r="A25" s="13"/>
      <c r="B25" s="18" t="s">
        <v>87</v>
      </c>
      <c r="C25" s="15" t="s">
        <v>85</v>
      </c>
      <c r="D25" s="480">
        <f t="shared" ref="D25:J28" si="6">+D10-D17</f>
        <v>0</v>
      </c>
      <c r="E25" s="480">
        <f t="shared" si="6"/>
        <v>0</v>
      </c>
      <c r="F25" s="480">
        <f t="shared" si="6"/>
        <v>0</v>
      </c>
      <c r="G25" s="480">
        <f t="shared" si="6"/>
        <v>0</v>
      </c>
      <c r="H25" s="480">
        <f t="shared" si="6"/>
        <v>0</v>
      </c>
      <c r="I25" s="480">
        <f t="shared" si="6"/>
        <v>0</v>
      </c>
      <c r="J25" s="480">
        <f t="shared" si="6"/>
        <v>0</v>
      </c>
      <c r="K25" s="480">
        <f t="shared" si="1"/>
        <v>0</v>
      </c>
      <c r="L25" s="17"/>
    </row>
    <row r="26" spans="1:12">
      <c r="A26" s="13"/>
      <c r="B26" s="18" t="s">
        <v>99</v>
      </c>
      <c r="C26" s="15" t="s">
        <v>85</v>
      </c>
      <c r="D26" s="480">
        <f t="shared" si="6"/>
        <v>0</v>
      </c>
      <c r="E26" s="480">
        <f t="shared" si="6"/>
        <v>0</v>
      </c>
      <c r="F26" s="480">
        <f t="shared" si="6"/>
        <v>0</v>
      </c>
      <c r="G26" s="480">
        <f t="shared" si="6"/>
        <v>0</v>
      </c>
      <c r="H26" s="480">
        <f t="shared" si="6"/>
        <v>0</v>
      </c>
      <c r="I26" s="480">
        <f t="shared" si="6"/>
        <v>0</v>
      </c>
      <c r="J26" s="480">
        <f t="shared" si="6"/>
        <v>0</v>
      </c>
      <c r="K26" s="480">
        <f t="shared" si="1"/>
        <v>0</v>
      </c>
      <c r="L26" s="17"/>
    </row>
    <row r="27" spans="1:12">
      <c r="A27" s="13"/>
      <c r="B27" s="18" t="s">
        <v>100</v>
      </c>
      <c r="C27" s="15" t="s">
        <v>85</v>
      </c>
      <c r="D27" s="480">
        <v>0</v>
      </c>
      <c r="E27" s="480">
        <f t="shared" si="6"/>
        <v>0</v>
      </c>
      <c r="F27" s="480">
        <f t="shared" si="6"/>
        <v>0</v>
      </c>
      <c r="G27" s="480">
        <f t="shared" si="6"/>
        <v>0</v>
      </c>
      <c r="H27" s="480">
        <f t="shared" si="6"/>
        <v>0</v>
      </c>
      <c r="I27" s="480">
        <f t="shared" si="6"/>
        <v>0</v>
      </c>
      <c r="J27" s="480">
        <f t="shared" si="6"/>
        <v>0</v>
      </c>
      <c r="K27" s="480">
        <v>0</v>
      </c>
      <c r="L27" s="17"/>
    </row>
    <row r="28" spans="1:12">
      <c r="A28" s="13"/>
      <c r="B28" s="18" t="s">
        <v>101</v>
      </c>
      <c r="C28" s="15" t="s">
        <v>85</v>
      </c>
      <c r="D28" s="480">
        <f t="shared" si="6"/>
        <v>689</v>
      </c>
      <c r="E28" s="480">
        <f t="shared" si="6"/>
        <v>0</v>
      </c>
      <c r="F28" s="480">
        <f t="shared" si="6"/>
        <v>0</v>
      </c>
      <c r="G28" s="480">
        <f t="shared" si="6"/>
        <v>0</v>
      </c>
      <c r="H28" s="480">
        <f t="shared" si="6"/>
        <v>0</v>
      </c>
      <c r="I28" s="480">
        <f t="shared" si="6"/>
        <v>0</v>
      </c>
      <c r="J28" s="480">
        <f t="shared" si="6"/>
        <v>0</v>
      </c>
      <c r="K28" s="480">
        <f t="shared" si="1"/>
        <v>689</v>
      </c>
      <c r="L28" s="17"/>
    </row>
    <row r="29" spans="1:12">
      <c r="A29" s="13"/>
      <c r="B29" s="18" t="s">
        <v>102</v>
      </c>
      <c r="C29" s="15" t="s">
        <v>85</v>
      </c>
      <c r="D29" s="480">
        <v>1470</v>
      </c>
      <c r="E29" s="480">
        <f t="shared" ref="E29:J30" si="7">+E22</f>
        <v>0</v>
      </c>
      <c r="F29" s="480">
        <f t="shared" si="7"/>
        <v>0</v>
      </c>
      <c r="G29" s="480">
        <f t="shared" si="7"/>
        <v>0</v>
      </c>
      <c r="H29" s="480">
        <f t="shared" si="7"/>
        <v>0</v>
      </c>
      <c r="I29" s="480">
        <f t="shared" si="7"/>
        <v>0</v>
      </c>
      <c r="J29" s="480">
        <f t="shared" si="7"/>
        <v>0</v>
      </c>
      <c r="K29" s="480">
        <f t="shared" si="1"/>
        <v>1470</v>
      </c>
      <c r="L29" s="17"/>
    </row>
    <row r="30" spans="1:12">
      <c r="A30" s="13"/>
      <c r="B30" s="18" t="s">
        <v>885</v>
      </c>
      <c r="C30" s="15" t="s">
        <v>85</v>
      </c>
      <c r="D30" s="480">
        <v>400</v>
      </c>
      <c r="E30" s="480">
        <f t="shared" si="7"/>
        <v>0</v>
      </c>
      <c r="F30" s="480">
        <f t="shared" si="7"/>
        <v>0</v>
      </c>
      <c r="G30" s="480">
        <f t="shared" si="7"/>
        <v>0</v>
      </c>
      <c r="H30" s="480">
        <f t="shared" si="7"/>
        <v>0</v>
      </c>
      <c r="I30" s="480">
        <f t="shared" si="7"/>
        <v>0</v>
      </c>
      <c r="J30" s="480">
        <f t="shared" si="7"/>
        <v>0</v>
      </c>
      <c r="K30" s="480">
        <f t="shared" ref="K30" si="8">SUM(D30:J30)</f>
        <v>400</v>
      </c>
      <c r="L30" s="17"/>
    </row>
    <row r="31" spans="1:12" s="316" customFormat="1">
      <c r="A31" s="312"/>
      <c r="B31" s="313" t="s">
        <v>155</v>
      </c>
      <c r="C31" s="314"/>
      <c r="D31" s="636"/>
      <c r="E31" s="636"/>
      <c r="F31" s="636"/>
      <c r="G31" s="636"/>
      <c r="H31" s="636"/>
      <c r="I31" s="636"/>
      <c r="J31" s="636"/>
      <c r="K31" s="636"/>
      <c r="L31" s="315"/>
    </row>
    <row r="32" spans="1:12" ht="54">
      <c r="A32" s="13" t="s">
        <v>83</v>
      </c>
      <c r="B32" s="14" t="s">
        <v>84</v>
      </c>
      <c r="C32" s="15" t="s">
        <v>85</v>
      </c>
      <c r="D32" s="480">
        <f>SUM(D33:D37)</f>
        <v>0</v>
      </c>
      <c r="E32" s="480">
        <f t="shared" ref="E32:J32" si="9">SUM(E33:E37)</f>
        <v>0</v>
      </c>
      <c r="F32" s="480">
        <f t="shared" si="9"/>
        <v>0</v>
      </c>
      <c r="G32" s="480">
        <f t="shared" si="9"/>
        <v>0</v>
      </c>
      <c r="H32" s="480">
        <f t="shared" si="9"/>
        <v>0</v>
      </c>
      <c r="I32" s="480">
        <f t="shared" si="9"/>
        <v>0</v>
      </c>
      <c r="J32" s="480">
        <f t="shared" si="9"/>
        <v>0</v>
      </c>
      <c r="K32" s="480">
        <f t="shared" ref="K32:K52" si="10">SUM(D32:J32)</f>
        <v>0</v>
      </c>
      <c r="L32" s="17"/>
    </row>
    <row r="33" spans="1:12">
      <c r="A33" s="13"/>
      <c r="B33" s="311" t="s">
        <v>86</v>
      </c>
      <c r="C33" s="15" t="s">
        <v>85</v>
      </c>
      <c r="D33" s="480"/>
      <c r="E33" s="480"/>
      <c r="F33" s="480"/>
      <c r="G33" s="480"/>
      <c r="H33" s="480"/>
      <c r="I33" s="480"/>
      <c r="J33" s="480"/>
      <c r="K33" s="480">
        <f t="shared" si="10"/>
        <v>0</v>
      </c>
      <c r="L33" s="17"/>
    </row>
    <row r="34" spans="1:12">
      <c r="A34" s="13"/>
      <c r="B34" s="311" t="s">
        <v>87</v>
      </c>
      <c r="C34" s="15" t="s">
        <v>85</v>
      </c>
      <c r="D34" s="480"/>
      <c r="E34" s="480"/>
      <c r="F34" s="480"/>
      <c r="G34" s="480"/>
      <c r="H34" s="480"/>
      <c r="I34" s="480"/>
      <c r="J34" s="480"/>
      <c r="K34" s="480">
        <f t="shared" si="10"/>
        <v>0</v>
      </c>
      <c r="L34" s="17"/>
    </row>
    <row r="35" spans="1:12">
      <c r="A35" s="13"/>
      <c r="B35" s="311" t="s">
        <v>99</v>
      </c>
      <c r="C35" s="15" t="s">
        <v>85</v>
      </c>
      <c r="D35" s="480"/>
      <c r="E35" s="480"/>
      <c r="F35" s="480"/>
      <c r="G35" s="480"/>
      <c r="H35" s="480"/>
      <c r="I35" s="480"/>
      <c r="J35" s="480"/>
      <c r="K35" s="480">
        <f t="shared" si="10"/>
        <v>0</v>
      </c>
      <c r="L35" s="17"/>
    </row>
    <row r="36" spans="1:12">
      <c r="A36" s="13"/>
      <c r="B36" s="311" t="s">
        <v>100</v>
      </c>
      <c r="C36" s="15" t="s">
        <v>85</v>
      </c>
      <c r="D36" s="480"/>
      <c r="E36" s="480"/>
      <c r="F36" s="480"/>
      <c r="G36" s="480"/>
      <c r="H36" s="480"/>
      <c r="I36" s="480"/>
      <c r="J36" s="480"/>
      <c r="K36" s="480">
        <f t="shared" si="10"/>
        <v>0</v>
      </c>
      <c r="L36" s="17"/>
    </row>
    <row r="37" spans="1:12">
      <c r="A37" s="13"/>
      <c r="B37" s="311" t="s">
        <v>101</v>
      </c>
      <c r="C37" s="15" t="s">
        <v>85</v>
      </c>
      <c r="D37" s="480"/>
      <c r="E37" s="480"/>
      <c r="F37" s="480"/>
      <c r="G37" s="480"/>
      <c r="H37" s="480"/>
      <c r="I37" s="480"/>
      <c r="J37" s="480"/>
      <c r="K37" s="480">
        <f t="shared" si="10"/>
        <v>0</v>
      </c>
      <c r="L37" s="17"/>
    </row>
    <row r="38" spans="1:12" ht="40.5">
      <c r="A38" s="19" t="s">
        <v>92</v>
      </c>
      <c r="B38" s="14" t="s">
        <v>93</v>
      </c>
      <c r="C38" s="15"/>
      <c r="D38" s="480">
        <f>SUM(D39:D43)</f>
        <v>0</v>
      </c>
      <c r="E38" s="480">
        <f t="shared" ref="E38:J38" si="11">SUM(E39:E43)</f>
        <v>0</v>
      </c>
      <c r="F38" s="480">
        <f t="shared" si="11"/>
        <v>0</v>
      </c>
      <c r="G38" s="480">
        <f t="shared" si="11"/>
        <v>0</v>
      </c>
      <c r="H38" s="480">
        <f t="shared" si="11"/>
        <v>0</v>
      </c>
      <c r="I38" s="480">
        <f t="shared" si="11"/>
        <v>0</v>
      </c>
      <c r="J38" s="480">
        <f t="shared" si="11"/>
        <v>0</v>
      </c>
      <c r="K38" s="480">
        <f t="shared" si="10"/>
        <v>0</v>
      </c>
      <c r="L38" s="17"/>
    </row>
    <row r="39" spans="1:12">
      <c r="A39" s="13"/>
      <c r="B39" s="311" t="s">
        <v>86</v>
      </c>
      <c r="C39" s="15" t="s">
        <v>85</v>
      </c>
      <c r="D39" s="480"/>
      <c r="E39" s="480"/>
      <c r="F39" s="480"/>
      <c r="G39" s="480"/>
      <c r="H39" s="480"/>
      <c r="I39" s="480"/>
      <c r="J39" s="480"/>
      <c r="K39" s="480">
        <f t="shared" si="10"/>
        <v>0</v>
      </c>
      <c r="L39" s="17"/>
    </row>
    <row r="40" spans="1:12">
      <c r="A40" s="13"/>
      <c r="B40" s="311" t="s">
        <v>87</v>
      </c>
      <c r="C40" s="15" t="s">
        <v>85</v>
      </c>
      <c r="D40" s="480"/>
      <c r="E40" s="480"/>
      <c r="F40" s="480"/>
      <c r="G40" s="480"/>
      <c r="H40" s="480"/>
      <c r="I40" s="480"/>
      <c r="J40" s="480"/>
      <c r="K40" s="480">
        <f t="shared" si="10"/>
        <v>0</v>
      </c>
      <c r="L40" s="17"/>
    </row>
    <row r="41" spans="1:12">
      <c r="A41" s="13"/>
      <c r="B41" s="311" t="s">
        <v>99</v>
      </c>
      <c r="C41" s="15" t="s">
        <v>85</v>
      </c>
      <c r="D41" s="480"/>
      <c r="E41" s="480"/>
      <c r="F41" s="480"/>
      <c r="G41" s="480"/>
      <c r="H41" s="480"/>
      <c r="I41" s="480"/>
      <c r="J41" s="480"/>
      <c r="K41" s="480">
        <f t="shared" si="10"/>
        <v>0</v>
      </c>
      <c r="L41" s="17"/>
    </row>
    <row r="42" spans="1:12">
      <c r="A42" s="13"/>
      <c r="B42" s="311" t="s">
        <v>100</v>
      </c>
      <c r="C42" s="15" t="s">
        <v>85</v>
      </c>
      <c r="D42" s="480"/>
      <c r="E42" s="480"/>
      <c r="F42" s="480"/>
      <c r="G42" s="480"/>
      <c r="H42" s="480"/>
      <c r="I42" s="480"/>
      <c r="J42" s="480"/>
      <c r="K42" s="480">
        <f t="shared" si="10"/>
        <v>0</v>
      </c>
      <c r="L42" s="17"/>
    </row>
    <row r="43" spans="1:12">
      <c r="A43" s="13"/>
      <c r="B43" s="311" t="s">
        <v>101</v>
      </c>
      <c r="C43" s="15" t="s">
        <v>85</v>
      </c>
      <c r="D43" s="480"/>
      <c r="E43" s="480"/>
      <c r="F43" s="480"/>
      <c r="G43" s="480"/>
      <c r="H43" s="480"/>
      <c r="I43" s="480"/>
      <c r="J43" s="480"/>
      <c r="K43" s="480">
        <f t="shared" si="10"/>
        <v>0</v>
      </c>
      <c r="L43" s="17"/>
    </row>
    <row r="44" spans="1:12" ht="27">
      <c r="A44" s="19" t="s">
        <v>94</v>
      </c>
      <c r="B44" s="20" t="s">
        <v>110</v>
      </c>
      <c r="C44" s="15" t="s">
        <v>85</v>
      </c>
      <c r="D44" s="480"/>
      <c r="E44" s="480"/>
      <c r="F44" s="480"/>
      <c r="G44" s="480"/>
      <c r="H44" s="480"/>
      <c r="I44" s="480"/>
      <c r="J44" s="480"/>
      <c r="K44" s="480">
        <f t="shared" si="10"/>
        <v>0</v>
      </c>
      <c r="L44" s="17"/>
    </row>
    <row r="45" spans="1:12">
      <c r="A45" s="19"/>
      <c r="B45" s="18" t="s">
        <v>102</v>
      </c>
      <c r="C45" s="15"/>
      <c r="D45" s="480"/>
      <c r="E45" s="480"/>
      <c r="F45" s="480"/>
      <c r="G45" s="480"/>
      <c r="H45" s="480"/>
      <c r="I45" s="480"/>
      <c r="J45" s="480"/>
      <c r="K45" s="480">
        <f t="shared" si="10"/>
        <v>0</v>
      </c>
      <c r="L45" s="17"/>
    </row>
    <row r="46" spans="1:12" ht="54">
      <c r="A46" s="19" t="s">
        <v>97</v>
      </c>
      <c r="B46" s="14" t="s">
        <v>98</v>
      </c>
      <c r="C46" s="21" t="s">
        <v>85</v>
      </c>
      <c r="D46" s="482">
        <f>SUM(D47:D52)</f>
        <v>0</v>
      </c>
      <c r="E46" s="482">
        <f t="shared" ref="E46:J46" si="12">SUM(E47:E52)</f>
        <v>0</v>
      </c>
      <c r="F46" s="482">
        <f t="shared" si="12"/>
        <v>0</v>
      </c>
      <c r="G46" s="482">
        <f t="shared" si="12"/>
        <v>0</v>
      </c>
      <c r="H46" s="482">
        <f t="shared" si="12"/>
        <v>0</v>
      </c>
      <c r="I46" s="482">
        <f t="shared" si="12"/>
        <v>0</v>
      </c>
      <c r="J46" s="482">
        <f t="shared" si="12"/>
        <v>0</v>
      </c>
      <c r="K46" s="482">
        <f t="shared" si="10"/>
        <v>0</v>
      </c>
      <c r="L46" s="23"/>
    </row>
    <row r="47" spans="1:12">
      <c r="A47" s="13"/>
      <c r="B47" s="311" t="s">
        <v>86</v>
      </c>
      <c r="C47" s="15" t="s">
        <v>85</v>
      </c>
      <c r="D47" s="480">
        <f>D33-D39</f>
        <v>0</v>
      </c>
      <c r="E47" s="480">
        <f t="shared" ref="E47:J47" si="13">E33-E39</f>
        <v>0</v>
      </c>
      <c r="F47" s="480">
        <f t="shared" si="13"/>
        <v>0</v>
      </c>
      <c r="G47" s="480">
        <f t="shared" si="13"/>
        <v>0</v>
      </c>
      <c r="H47" s="480">
        <f t="shared" si="13"/>
        <v>0</v>
      </c>
      <c r="I47" s="480">
        <f t="shared" si="13"/>
        <v>0</v>
      </c>
      <c r="J47" s="480">
        <f t="shared" si="13"/>
        <v>0</v>
      </c>
      <c r="K47" s="480">
        <f t="shared" si="10"/>
        <v>0</v>
      </c>
      <c r="L47" s="17"/>
    </row>
    <row r="48" spans="1:12">
      <c r="A48" s="13"/>
      <c r="B48" s="311" t="s">
        <v>87</v>
      </c>
      <c r="C48" s="15" t="s">
        <v>85</v>
      </c>
      <c r="D48" s="480">
        <f>+D34-D40</f>
        <v>0</v>
      </c>
      <c r="E48" s="480">
        <f t="shared" ref="E48:J48" si="14">+E34-E40</f>
        <v>0</v>
      </c>
      <c r="F48" s="480">
        <f t="shared" si="14"/>
        <v>0</v>
      </c>
      <c r="G48" s="480">
        <f t="shared" si="14"/>
        <v>0</v>
      </c>
      <c r="H48" s="480">
        <f t="shared" si="14"/>
        <v>0</v>
      </c>
      <c r="I48" s="480">
        <f t="shared" si="14"/>
        <v>0</v>
      </c>
      <c r="J48" s="480">
        <f t="shared" si="14"/>
        <v>0</v>
      </c>
      <c r="K48" s="480">
        <f t="shared" si="10"/>
        <v>0</v>
      </c>
      <c r="L48" s="17"/>
    </row>
    <row r="49" spans="1:12">
      <c r="A49" s="13"/>
      <c r="B49" s="311" t="s">
        <v>99</v>
      </c>
      <c r="C49" s="15" t="s">
        <v>85</v>
      </c>
      <c r="D49" s="480">
        <f>+D35-D41</f>
        <v>0</v>
      </c>
      <c r="E49" s="480">
        <f t="shared" ref="E49:J49" si="15">+E35-E41</f>
        <v>0</v>
      </c>
      <c r="F49" s="480">
        <f t="shared" si="15"/>
        <v>0</v>
      </c>
      <c r="G49" s="480">
        <f t="shared" si="15"/>
        <v>0</v>
      </c>
      <c r="H49" s="480">
        <f t="shared" si="15"/>
        <v>0</v>
      </c>
      <c r="I49" s="480">
        <f t="shared" si="15"/>
        <v>0</v>
      </c>
      <c r="J49" s="480">
        <f t="shared" si="15"/>
        <v>0</v>
      </c>
      <c r="K49" s="480">
        <f t="shared" si="10"/>
        <v>0</v>
      </c>
      <c r="L49" s="17"/>
    </row>
    <row r="50" spans="1:12">
      <c r="A50" s="13"/>
      <c r="B50" s="311" t="s">
        <v>100</v>
      </c>
      <c r="C50" s="15" t="s">
        <v>85</v>
      </c>
      <c r="D50" s="480">
        <f>+D36-D42</f>
        <v>0</v>
      </c>
      <c r="E50" s="480">
        <f t="shared" ref="E50:J50" si="16">+E36-E42</f>
        <v>0</v>
      </c>
      <c r="F50" s="480">
        <f t="shared" si="16"/>
        <v>0</v>
      </c>
      <c r="G50" s="480">
        <f t="shared" si="16"/>
        <v>0</v>
      </c>
      <c r="H50" s="480">
        <f t="shared" si="16"/>
        <v>0</v>
      </c>
      <c r="I50" s="480">
        <f t="shared" si="16"/>
        <v>0</v>
      </c>
      <c r="J50" s="480">
        <f t="shared" si="16"/>
        <v>0</v>
      </c>
      <c r="K50" s="480">
        <f t="shared" si="10"/>
        <v>0</v>
      </c>
      <c r="L50" s="17"/>
    </row>
    <row r="51" spans="1:12">
      <c r="A51" s="13"/>
      <c r="B51" s="311" t="s">
        <v>101</v>
      </c>
      <c r="C51" s="15" t="s">
        <v>85</v>
      </c>
      <c r="D51" s="480">
        <f>+D37-D43</f>
        <v>0</v>
      </c>
      <c r="E51" s="480">
        <f t="shared" ref="E51:J51" si="17">+E37-E43</f>
        <v>0</v>
      </c>
      <c r="F51" s="480">
        <f t="shared" si="17"/>
        <v>0</v>
      </c>
      <c r="G51" s="480">
        <f t="shared" si="17"/>
        <v>0</v>
      </c>
      <c r="H51" s="480">
        <f t="shared" si="17"/>
        <v>0</v>
      </c>
      <c r="I51" s="480">
        <f t="shared" si="17"/>
        <v>0</v>
      </c>
      <c r="J51" s="480">
        <f t="shared" si="17"/>
        <v>0</v>
      </c>
      <c r="K51" s="480">
        <f t="shared" si="10"/>
        <v>0</v>
      </c>
      <c r="L51" s="17"/>
    </row>
    <row r="52" spans="1:12">
      <c r="A52" s="13"/>
      <c r="B52" s="311" t="s">
        <v>102</v>
      </c>
      <c r="C52" s="15" t="s">
        <v>85</v>
      </c>
      <c r="D52" s="480">
        <f>+D45</f>
        <v>0</v>
      </c>
      <c r="E52" s="480">
        <f t="shared" ref="E52:J52" si="18">+E45</f>
        <v>0</v>
      </c>
      <c r="F52" s="480">
        <f t="shared" si="18"/>
        <v>0</v>
      </c>
      <c r="G52" s="480">
        <f t="shared" si="18"/>
        <v>0</v>
      </c>
      <c r="H52" s="480">
        <f t="shared" si="18"/>
        <v>0</v>
      </c>
      <c r="I52" s="480">
        <f t="shared" si="18"/>
        <v>0</v>
      </c>
      <c r="J52" s="480">
        <f t="shared" si="18"/>
        <v>0</v>
      </c>
      <c r="K52" s="480">
        <f t="shared" si="10"/>
        <v>0</v>
      </c>
      <c r="L52" s="17"/>
    </row>
    <row r="53" spans="1:12">
      <c r="A53" s="307" t="s">
        <v>104</v>
      </c>
      <c r="B53" s="308" t="s">
        <v>156</v>
      </c>
      <c r="C53" s="309"/>
      <c r="D53" s="481"/>
      <c r="E53" s="481"/>
      <c r="F53" s="481"/>
      <c r="G53" s="481"/>
      <c r="H53" s="481"/>
      <c r="I53" s="481"/>
      <c r="J53" s="481"/>
      <c r="K53" s="636"/>
      <c r="L53" s="310"/>
    </row>
    <row r="54" spans="1:12" ht="54">
      <c r="A54" s="13" t="s">
        <v>83</v>
      </c>
      <c r="B54" s="14" t="s">
        <v>84</v>
      </c>
      <c r="C54" s="15" t="s">
        <v>85</v>
      </c>
      <c r="D54" s="480">
        <f>SUM(D55:D59)</f>
        <v>0</v>
      </c>
      <c r="E54" s="480">
        <f t="shared" ref="E54:J54" si="19">SUM(E55:E59)</f>
        <v>0</v>
      </c>
      <c r="F54" s="480">
        <f t="shared" si="19"/>
        <v>0</v>
      </c>
      <c r="G54" s="480">
        <f t="shared" si="19"/>
        <v>0</v>
      </c>
      <c r="H54" s="480">
        <f t="shared" si="19"/>
        <v>0</v>
      </c>
      <c r="I54" s="480">
        <f t="shared" si="19"/>
        <v>0</v>
      </c>
      <c r="J54" s="480">
        <f t="shared" si="19"/>
        <v>0</v>
      </c>
      <c r="K54" s="480">
        <f t="shared" ref="K54:K74" si="20">SUM(D54:J54)</f>
        <v>0</v>
      </c>
      <c r="L54" s="17"/>
    </row>
    <row r="55" spans="1:12">
      <c r="A55" s="13"/>
      <c r="B55" s="18" t="s">
        <v>86</v>
      </c>
      <c r="C55" s="15" t="s">
        <v>85</v>
      </c>
      <c r="D55" s="480"/>
      <c r="E55" s="480"/>
      <c r="F55" s="480"/>
      <c r="G55" s="480"/>
      <c r="H55" s="480"/>
      <c r="I55" s="480"/>
      <c r="J55" s="480"/>
      <c r="K55" s="480">
        <f t="shared" si="20"/>
        <v>0</v>
      </c>
      <c r="L55" s="17"/>
    </row>
    <row r="56" spans="1:12">
      <c r="A56" s="13"/>
      <c r="B56" s="18" t="s">
        <v>87</v>
      </c>
      <c r="C56" s="15" t="s">
        <v>85</v>
      </c>
      <c r="D56" s="480"/>
      <c r="E56" s="480"/>
      <c r="F56" s="480"/>
      <c r="G56" s="480"/>
      <c r="H56" s="480"/>
      <c r="I56" s="480"/>
      <c r="J56" s="480"/>
      <c r="K56" s="480">
        <f t="shared" si="20"/>
        <v>0</v>
      </c>
      <c r="L56" s="17"/>
    </row>
    <row r="57" spans="1:12">
      <c r="A57" s="13"/>
      <c r="B57" s="18" t="s">
        <v>99</v>
      </c>
      <c r="C57" s="15" t="s">
        <v>85</v>
      </c>
      <c r="D57" s="480"/>
      <c r="E57" s="480"/>
      <c r="F57" s="480"/>
      <c r="G57" s="480"/>
      <c r="H57" s="480"/>
      <c r="I57" s="480"/>
      <c r="J57" s="480"/>
      <c r="K57" s="480">
        <f t="shared" si="20"/>
        <v>0</v>
      </c>
      <c r="L57" s="17"/>
    </row>
    <row r="58" spans="1:12">
      <c r="A58" s="13"/>
      <c r="B58" s="18" t="s">
        <v>100</v>
      </c>
      <c r="C58" s="15" t="s">
        <v>85</v>
      </c>
      <c r="D58" s="480"/>
      <c r="E58" s="480"/>
      <c r="F58" s="480"/>
      <c r="G58" s="480"/>
      <c r="H58" s="480"/>
      <c r="I58" s="480"/>
      <c r="J58" s="480"/>
      <c r="K58" s="480">
        <f t="shared" si="20"/>
        <v>0</v>
      </c>
      <c r="L58" s="17"/>
    </row>
    <row r="59" spans="1:12">
      <c r="A59" s="13"/>
      <c r="B59" s="18" t="s">
        <v>101</v>
      </c>
      <c r="C59" s="15" t="s">
        <v>85</v>
      </c>
      <c r="D59" s="480"/>
      <c r="E59" s="480"/>
      <c r="F59" s="480"/>
      <c r="G59" s="480"/>
      <c r="H59" s="480"/>
      <c r="I59" s="480"/>
      <c r="J59" s="480"/>
      <c r="K59" s="480">
        <f t="shared" si="20"/>
        <v>0</v>
      </c>
      <c r="L59" s="17"/>
    </row>
    <row r="60" spans="1:12" ht="40.5">
      <c r="A60" s="19" t="s">
        <v>92</v>
      </c>
      <c r="B60" s="14" t="s">
        <v>93</v>
      </c>
      <c r="C60" s="15"/>
      <c r="D60" s="480">
        <f>SUM(D61:D65)</f>
        <v>0</v>
      </c>
      <c r="E60" s="480">
        <f t="shared" ref="E60:J60" si="21">SUM(E61:E65)</f>
        <v>0</v>
      </c>
      <c r="F60" s="480">
        <f t="shared" si="21"/>
        <v>0</v>
      </c>
      <c r="G60" s="480">
        <f t="shared" si="21"/>
        <v>0</v>
      </c>
      <c r="H60" s="480">
        <f t="shared" si="21"/>
        <v>0</v>
      </c>
      <c r="I60" s="480">
        <f t="shared" si="21"/>
        <v>0</v>
      </c>
      <c r="J60" s="480">
        <f t="shared" si="21"/>
        <v>0</v>
      </c>
      <c r="K60" s="480">
        <f t="shared" si="20"/>
        <v>0</v>
      </c>
      <c r="L60" s="17"/>
    </row>
    <row r="61" spans="1:12">
      <c r="A61" s="13"/>
      <c r="B61" s="18" t="s">
        <v>86</v>
      </c>
      <c r="C61" s="15" t="s">
        <v>85</v>
      </c>
      <c r="D61" s="480"/>
      <c r="E61" s="480"/>
      <c r="F61" s="480"/>
      <c r="G61" s="480"/>
      <c r="H61" s="480"/>
      <c r="I61" s="480"/>
      <c r="J61" s="480"/>
      <c r="K61" s="480">
        <f t="shared" si="20"/>
        <v>0</v>
      </c>
      <c r="L61" s="17"/>
    </row>
    <row r="62" spans="1:12">
      <c r="A62" s="13"/>
      <c r="B62" s="18" t="s">
        <v>87</v>
      </c>
      <c r="C62" s="15" t="s">
        <v>85</v>
      </c>
      <c r="D62" s="480"/>
      <c r="E62" s="480"/>
      <c r="F62" s="480"/>
      <c r="G62" s="480"/>
      <c r="H62" s="480"/>
      <c r="I62" s="480"/>
      <c r="J62" s="480"/>
      <c r="K62" s="480">
        <f t="shared" si="20"/>
        <v>0</v>
      </c>
      <c r="L62" s="17"/>
    </row>
    <row r="63" spans="1:12">
      <c r="A63" s="13"/>
      <c r="B63" s="18" t="s">
        <v>99</v>
      </c>
      <c r="C63" s="15" t="s">
        <v>85</v>
      </c>
      <c r="D63" s="480"/>
      <c r="E63" s="480"/>
      <c r="F63" s="480"/>
      <c r="G63" s="480"/>
      <c r="H63" s="480"/>
      <c r="I63" s="480"/>
      <c r="J63" s="480"/>
      <c r="K63" s="480">
        <f t="shared" si="20"/>
        <v>0</v>
      </c>
      <c r="L63" s="17"/>
    </row>
    <row r="64" spans="1:12">
      <c r="A64" s="13"/>
      <c r="B64" s="18" t="s">
        <v>100</v>
      </c>
      <c r="C64" s="15" t="s">
        <v>85</v>
      </c>
      <c r="D64" s="480"/>
      <c r="E64" s="480"/>
      <c r="F64" s="480"/>
      <c r="G64" s="480"/>
      <c r="H64" s="480"/>
      <c r="I64" s="480"/>
      <c r="J64" s="480"/>
      <c r="K64" s="480">
        <f t="shared" si="20"/>
        <v>0</v>
      </c>
      <c r="L64" s="17"/>
    </row>
    <row r="65" spans="1:12">
      <c r="A65" s="13"/>
      <c r="B65" s="18" t="s">
        <v>101</v>
      </c>
      <c r="C65" s="15" t="s">
        <v>85</v>
      </c>
      <c r="D65" s="480"/>
      <c r="E65" s="480"/>
      <c r="F65" s="480"/>
      <c r="G65" s="480"/>
      <c r="H65" s="480"/>
      <c r="I65" s="480"/>
      <c r="J65" s="480"/>
      <c r="K65" s="480">
        <f t="shared" si="20"/>
        <v>0</v>
      </c>
      <c r="L65" s="17"/>
    </row>
    <row r="66" spans="1:12" ht="27">
      <c r="A66" s="19" t="s">
        <v>94</v>
      </c>
      <c r="B66" s="20" t="s">
        <v>110</v>
      </c>
      <c r="C66" s="15" t="s">
        <v>85</v>
      </c>
      <c r="D66" s="480"/>
      <c r="E66" s="480"/>
      <c r="F66" s="480"/>
      <c r="G66" s="480"/>
      <c r="H66" s="480"/>
      <c r="I66" s="480"/>
      <c r="J66" s="480"/>
      <c r="K66" s="480">
        <f t="shared" si="20"/>
        <v>0</v>
      </c>
      <c r="L66" s="17"/>
    </row>
    <row r="67" spans="1:12">
      <c r="A67" s="19"/>
      <c r="B67" s="18" t="s">
        <v>102</v>
      </c>
      <c r="C67" s="15"/>
      <c r="D67" s="480"/>
      <c r="E67" s="480"/>
      <c r="F67" s="480"/>
      <c r="G67" s="480"/>
      <c r="H67" s="480"/>
      <c r="I67" s="480"/>
      <c r="J67" s="480"/>
      <c r="K67" s="480">
        <f t="shared" si="20"/>
        <v>0</v>
      </c>
      <c r="L67" s="17"/>
    </row>
    <row r="68" spans="1:12" ht="54">
      <c r="A68" s="19" t="s">
        <v>97</v>
      </c>
      <c r="B68" s="14" t="s">
        <v>98</v>
      </c>
      <c r="C68" s="21" t="s">
        <v>85</v>
      </c>
      <c r="D68" s="482">
        <f>SUM(D69:D74)</f>
        <v>0</v>
      </c>
      <c r="E68" s="482">
        <f t="shared" ref="E68:J68" si="22">SUM(E69:E74)</f>
        <v>0</v>
      </c>
      <c r="F68" s="482">
        <f t="shared" si="22"/>
        <v>0</v>
      </c>
      <c r="G68" s="482">
        <f t="shared" si="22"/>
        <v>0</v>
      </c>
      <c r="H68" s="482">
        <f t="shared" si="22"/>
        <v>0</v>
      </c>
      <c r="I68" s="482">
        <f t="shared" si="22"/>
        <v>0</v>
      </c>
      <c r="J68" s="482">
        <f t="shared" si="22"/>
        <v>0</v>
      </c>
      <c r="K68" s="482">
        <f t="shared" si="20"/>
        <v>0</v>
      </c>
      <c r="L68" s="23"/>
    </row>
    <row r="69" spans="1:12">
      <c r="A69" s="13"/>
      <c r="B69" s="18" t="s">
        <v>86</v>
      </c>
      <c r="C69" s="15" t="s">
        <v>85</v>
      </c>
      <c r="D69" s="480">
        <f>D55-D61</f>
        <v>0</v>
      </c>
      <c r="E69" s="480">
        <f t="shared" ref="E69:J69" si="23">E55-E61</f>
        <v>0</v>
      </c>
      <c r="F69" s="480">
        <f t="shared" si="23"/>
        <v>0</v>
      </c>
      <c r="G69" s="480">
        <f t="shared" si="23"/>
        <v>0</v>
      </c>
      <c r="H69" s="480">
        <f t="shared" si="23"/>
        <v>0</v>
      </c>
      <c r="I69" s="480">
        <f t="shared" si="23"/>
        <v>0</v>
      </c>
      <c r="J69" s="480">
        <f t="shared" si="23"/>
        <v>0</v>
      </c>
      <c r="K69" s="480">
        <f t="shared" si="20"/>
        <v>0</v>
      </c>
      <c r="L69" s="17"/>
    </row>
    <row r="70" spans="1:12">
      <c r="A70" s="13"/>
      <c r="B70" s="18" t="s">
        <v>87</v>
      </c>
      <c r="C70" s="15" t="s">
        <v>85</v>
      </c>
      <c r="D70" s="480">
        <f>+D56-D62</f>
        <v>0</v>
      </c>
      <c r="E70" s="480">
        <f t="shared" ref="E70:J73" si="24">+E56-E62</f>
        <v>0</v>
      </c>
      <c r="F70" s="480">
        <f t="shared" si="24"/>
        <v>0</v>
      </c>
      <c r="G70" s="480">
        <f t="shared" si="24"/>
        <v>0</v>
      </c>
      <c r="H70" s="480">
        <f t="shared" si="24"/>
        <v>0</v>
      </c>
      <c r="I70" s="480">
        <f t="shared" si="24"/>
        <v>0</v>
      </c>
      <c r="J70" s="480">
        <f t="shared" si="24"/>
        <v>0</v>
      </c>
      <c r="K70" s="480">
        <f t="shared" si="20"/>
        <v>0</v>
      </c>
      <c r="L70" s="17"/>
    </row>
    <row r="71" spans="1:12">
      <c r="A71" s="13"/>
      <c r="B71" s="18" t="s">
        <v>99</v>
      </c>
      <c r="C71" s="15" t="s">
        <v>85</v>
      </c>
      <c r="D71" s="480">
        <f>+D57-D63</f>
        <v>0</v>
      </c>
      <c r="E71" s="480">
        <f t="shared" si="24"/>
        <v>0</v>
      </c>
      <c r="F71" s="480">
        <f t="shared" si="24"/>
        <v>0</v>
      </c>
      <c r="G71" s="480">
        <f t="shared" si="24"/>
        <v>0</v>
      </c>
      <c r="H71" s="480">
        <f t="shared" si="24"/>
        <v>0</v>
      </c>
      <c r="I71" s="480">
        <f t="shared" si="24"/>
        <v>0</v>
      </c>
      <c r="J71" s="480">
        <f t="shared" si="24"/>
        <v>0</v>
      </c>
      <c r="K71" s="480">
        <f t="shared" si="20"/>
        <v>0</v>
      </c>
      <c r="L71" s="17"/>
    </row>
    <row r="72" spans="1:12">
      <c r="A72" s="13"/>
      <c r="B72" s="18" t="s">
        <v>100</v>
      </c>
      <c r="C72" s="15" t="s">
        <v>85</v>
      </c>
      <c r="D72" s="480">
        <f>+D58-D64</f>
        <v>0</v>
      </c>
      <c r="E72" s="480">
        <f t="shared" si="24"/>
        <v>0</v>
      </c>
      <c r="F72" s="480">
        <f t="shared" si="24"/>
        <v>0</v>
      </c>
      <c r="G72" s="480">
        <f t="shared" si="24"/>
        <v>0</v>
      </c>
      <c r="H72" s="480">
        <f t="shared" si="24"/>
        <v>0</v>
      </c>
      <c r="I72" s="480">
        <f t="shared" si="24"/>
        <v>0</v>
      </c>
      <c r="J72" s="480">
        <f t="shared" si="24"/>
        <v>0</v>
      </c>
      <c r="K72" s="480">
        <f t="shared" si="20"/>
        <v>0</v>
      </c>
      <c r="L72" s="17"/>
    </row>
    <row r="73" spans="1:12">
      <c r="A73" s="13"/>
      <c r="B73" s="18" t="s">
        <v>101</v>
      </c>
      <c r="C73" s="15" t="s">
        <v>85</v>
      </c>
      <c r="D73" s="480">
        <f>+D59-D65</f>
        <v>0</v>
      </c>
      <c r="E73" s="480">
        <f t="shared" si="24"/>
        <v>0</v>
      </c>
      <c r="F73" s="480">
        <f t="shared" si="24"/>
        <v>0</v>
      </c>
      <c r="G73" s="480">
        <f t="shared" si="24"/>
        <v>0</v>
      </c>
      <c r="H73" s="480">
        <f t="shared" si="24"/>
        <v>0</v>
      </c>
      <c r="I73" s="480">
        <f t="shared" si="24"/>
        <v>0</v>
      </c>
      <c r="J73" s="480">
        <f t="shared" si="24"/>
        <v>0</v>
      </c>
      <c r="K73" s="480">
        <f t="shared" si="20"/>
        <v>0</v>
      </c>
      <c r="L73" s="17"/>
    </row>
    <row r="74" spans="1:12" ht="15" thickBot="1">
      <c r="A74" s="13"/>
      <c r="B74" s="18" t="s">
        <v>102</v>
      </c>
      <c r="C74" s="15" t="s">
        <v>85</v>
      </c>
      <c r="D74" s="480">
        <f>+D67</f>
        <v>0</v>
      </c>
      <c r="E74" s="480">
        <f t="shared" ref="E74:J74" si="25">+E67</f>
        <v>0</v>
      </c>
      <c r="F74" s="480">
        <f t="shared" si="25"/>
        <v>0</v>
      </c>
      <c r="G74" s="480">
        <f t="shared" si="25"/>
        <v>0</v>
      </c>
      <c r="H74" s="480">
        <f t="shared" si="25"/>
        <v>0</v>
      </c>
      <c r="I74" s="480">
        <f t="shared" si="25"/>
        <v>0</v>
      </c>
      <c r="J74" s="480">
        <f t="shared" si="25"/>
        <v>0</v>
      </c>
      <c r="K74" s="480">
        <f t="shared" si="20"/>
        <v>0</v>
      </c>
      <c r="L74" s="17"/>
    </row>
    <row r="75" spans="1:12" ht="15" thickTop="1">
      <c r="A75" s="29"/>
      <c r="B75" s="1"/>
      <c r="C75" s="1"/>
      <c r="D75" s="1"/>
      <c r="E75" s="1"/>
      <c r="F75" s="1"/>
      <c r="G75" s="1"/>
      <c r="H75" s="1"/>
      <c r="I75" s="1"/>
      <c r="J75" s="728"/>
      <c r="K75" s="728"/>
      <c r="L75" s="728"/>
    </row>
    <row r="76" spans="1:12">
      <c r="A76" s="30"/>
      <c r="B76" s="31"/>
      <c r="C76" s="32"/>
      <c r="D76" s="32"/>
      <c r="E76" s="32"/>
      <c r="F76" s="32"/>
      <c r="G76" s="32"/>
      <c r="H76" s="32"/>
      <c r="I76" s="32"/>
      <c r="J76" s="729" t="s">
        <v>127</v>
      </c>
      <c r="K76" s="729"/>
      <c r="L76" s="729"/>
    </row>
    <row r="77" spans="1:12" ht="15.5">
      <c r="A77" s="722"/>
      <c r="B77" s="723"/>
      <c r="C77" s="723"/>
      <c r="D77" s="33"/>
      <c r="E77" s="33"/>
      <c r="F77" s="33"/>
      <c r="G77" s="33"/>
      <c r="H77" s="33"/>
      <c r="I77" s="33"/>
      <c r="J77" s="716" t="s">
        <v>128</v>
      </c>
      <c r="K77" s="716"/>
      <c r="L77" s="716"/>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153</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18</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440" t="s">
        <v>81</v>
      </c>
      <c r="B6" s="441" t="s">
        <v>158</v>
      </c>
      <c r="C6" s="442"/>
      <c r="D6" s="443"/>
      <c r="E6" s="443"/>
      <c r="F6" s="443"/>
      <c r="G6" s="443"/>
      <c r="H6" s="443"/>
      <c r="I6" s="443"/>
      <c r="J6" s="443"/>
      <c r="K6" s="444"/>
      <c r="L6" s="445"/>
    </row>
    <row r="7" spans="1:12" ht="40.5">
      <c r="A7" s="446" t="s">
        <v>83</v>
      </c>
      <c r="B7" s="447" t="s">
        <v>159</v>
      </c>
      <c r="C7" s="254" t="s">
        <v>160</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8"/>
    </row>
    <row r="8" spans="1:12">
      <c r="A8" s="446"/>
      <c r="B8" s="255" t="s">
        <v>161</v>
      </c>
      <c r="C8" s="254" t="s">
        <v>160</v>
      </c>
      <c r="D8" s="256"/>
      <c r="E8" s="256"/>
      <c r="F8" s="256"/>
      <c r="G8" s="256"/>
      <c r="H8" s="256"/>
      <c r="I8" s="256"/>
      <c r="J8" s="256"/>
      <c r="K8" s="256">
        <f t="shared" si="1"/>
        <v>0</v>
      </c>
      <c r="L8" s="448"/>
    </row>
    <row r="9" spans="1:12">
      <c r="A9" s="446"/>
      <c r="B9" s="255" t="s">
        <v>162</v>
      </c>
      <c r="C9" s="254" t="s">
        <v>160</v>
      </c>
      <c r="D9" s="256"/>
      <c r="E9" s="256"/>
      <c r="F9" s="256"/>
      <c r="G9" s="256"/>
      <c r="H9" s="256"/>
      <c r="I9" s="256"/>
      <c r="J9" s="256"/>
      <c r="K9" s="256">
        <f t="shared" si="1"/>
        <v>0</v>
      </c>
      <c r="L9" s="448"/>
    </row>
    <row r="10" spans="1:12">
      <c r="A10" s="446"/>
      <c r="B10" s="255" t="s">
        <v>163</v>
      </c>
      <c r="C10" s="254" t="s">
        <v>160</v>
      </c>
      <c r="D10" s="256"/>
      <c r="E10" s="256"/>
      <c r="F10" s="256"/>
      <c r="G10" s="256"/>
      <c r="H10" s="256"/>
      <c r="I10" s="256"/>
      <c r="J10" s="256"/>
      <c r="K10" s="256">
        <f t="shared" si="1"/>
        <v>0</v>
      </c>
      <c r="L10" s="448"/>
    </row>
    <row r="11" spans="1:12" ht="27">
      <c r="A11" s="449" t="s">
        <v>92</v>
      </c>
      <c r="B11" s="447" t="s">
        <v>164</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8"/>
    </row>
    <row r="12" spans="1:12">
      <c r="A12" s="446"/>
      <c r="B12" s="255" t="s">
        <v>161</v>
      </c>
      <c r="C12" s="254" t="s">
        <v>160</v>
      </c>
      <c r="D12" s="256"/>
      <c r="E12" s="256"/>
      <c r="F12" s="256"/>
      <c r="G12" s="256"/>
      <c r="H12" s="256"/>
      <c r="I12" s="256"/>
      <c r="J12" s="256"/>
      <c r="K12" s="256">
        <f t="shared" si="1"/>
        <v>0</v>
      </c>
      <c r="L12" s="448"/>
    </row>
    <row r="13" spans="1:12">
      <c r="A13" s="446"/>
      <c r="B13" s="255" t="s">
        <v>162</v>
      </c>
      <c r="C13" s="254" t="s">
        <v>160</v>
      </c>
      <c r="D13" s="256"/>
      <c r="E13" s="256"/>
      <c r="F13" s="256"/>
      <c r="G13" s="256"/>
      <c r="H13" s="256"/>
      <c r="I13" s="256"/>
      <c r="J13" s="256"/>
      <c r="K13" s="256">
        <f t="shared" si="1"/>
        <v>0</v>
      </c>
      <c r="L13" s="448"/>
    </row>
    <row r="14" spans="1:12">
      <c r="A14" s="446"/>
      <c r="B14" s="255" t="s">
        <v>163</v>
      </c>
      <c r="C14" s="254" t="s">
        <v>160</v>
      </c>
      <c r="D14" s="256"/>
      <c r="E14" s="256"/>
      <c r="F14" s="256"/>
      <c r="G14" s="256"/>
      <c r="H14" s="256"/>
      <c r="I14" s="256"/>
      <c r="J14" s="256"/>
      <c r="K14" s="256">
        <f t="shared" si="1"/>
        <v>0</v>
      </c>
      <c r="L14" s="448"/>
    </row>
    <row r="15" spans="1:12" ht="27">
      <c r="A15" s="449" t="s">
        <v>94</v>
      </c>
      <c r="B15" s="450" t="s">
        <v>165</v>
      </c>
      <c r="C15" s="254" t="s">
        <v>85</v>
      </c>
      <c r="D15" s="256"/>
      <c r="E15" s="256"/>
      <c r="F15" s="256"/>
      <c r="G15" s="256"/>
      <c r="H15" s="256"/>
      <c r="I15" s="256"/>
      <c r="J15" s="256"/>
      <c r="K15" s="256">
        <f t="shared" si="1"/>
        <v>0</v>
      </c>
      <c r="L15" s="448"/>
    </row>
    <row r="16" spans="1:12">
      <c r="A16" s="449"/>
      <c r="B16" s="255" t="s">
        <v>166</v>
      </c>
      <c r="C16" s="254"/>
      <c r="D16" s="256"/>
      <c r="E16" s="256"/>
      <c r="F16" s="256"/>
      <c r="G16" s="256"/>
      <c r="H16" s="256"/>
      <c r="I16" s="256"/>
      <c r="J16" s="256"/>
      <c r="K16" s="256">
        <f t="shared" si="1"/>
        <v>0</v>
      </c>
      <c r="L16" s="448"/>
    </row>
    <row r="17" spans="1:12" ht="40.5">
      <c r="A17" s="449" t="s">
        <v>97</v>
      </c>
      <c r="B17" s="447" t="s">
        <v>167</v>
      </c>
      <c r="C17" s="451" t="s">
        <v>85</v>
      </c>
      <c r="D17" s="452">
        <f t="shared" ref="D17:J17" si="3">SUM(D18:D20)</f>
        <v>0</v>
      </c>
      <c r="E17" s="452">
        <f t="shared" si="3"/>
        <v>0</v>
      </c>
      <c r="F17" s="452">
        <f t="shared" si="3"/>
        <v>0</v>
      </c>
      <c r="G17" s="452">
        <f t="shared" si="3"/>
        <v>0</v>
      </c>
      <c r="H17" s="452">
        <f t="shared" si="3"/>
        <v>0</v>
      </c>
      <c r="I17" s="452">
        <f t="shared" si="3"/>
        <v>0</v>
      </c>
      <c r="J17" s="452">
        <f t="shared" si="3"/>
        <v>0</v>
      </c>
      <c r="K17" s="452">
        <f t="shared" si="1"/>
        <v>0</v>
      </c>
      <c r="L17" s="453"/>
    </row>
    <row r="18" spans="1:12">
      <c r="A18" s="446"/>
      <c r="B18" s="255" t="s">
        <v>168</v>
      </c>
      <c r="C18" s="254" t="s">
        <v>85</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8"/>
    </row>
    <row r="19" spans="1:12">
      <c r="A19" s="446"/>
      <c r="B19" s="255" t="s">
        <v>169</v>
      </c>
      <c r="C19" s="254" t="s">
        <v>85</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8"/>
    </row>
    <row r="20" spans="1:12">
      <c r="A20" s="446"/>
      <c r="B20" s="255" t="s">
        <v>170</v>
      </c>
      <c r="C20" s="254" t="s">
        <v>85</v>
      </c>
      <c r="D20" s="256">
        <f>+D16</f>
        <v>0</v>
      </c>
      <c r="E20" s="256">
        <f t="shared" si="5"/>
        <v>0</v>
      </c>
      <c r="F20" s="256">
        <f t="shared" si="5"/>
        <v>0</v>
      </c>
      <c r="G20" s="256">
        <f t="shared" si="5"/>
        <v>0</v>
      </c>
      <c r="H20" s="256">
        <f t="shared" si="5"/>
        <v>0</v>
      </c>
      <c r="I20" s="256">
        <f t="shared" si="5"/>
        <v>0</v>
      </c>
      <c r="J20" s="256">
        <f t="shared" si="5"/>
        <v>0</v>
      </c>
      <c r="K20" s="256">
        <f t="shared" si="1"/>
        <v>0</v>
      </c>
      <c r="L20" s="448"/>
    </row>
    <row r="21" spans="1:12">
      <c r="A21" s="440" t="s">
        <v>81</v>
      </c>
      <c r="B21" s="441" t="s">
        <v>171</v>
      </c>
      <c r="C21" s="454" t="s">
        <v>172</v>
      </c>
      <c r="D21" s="455"/>
      <c r="E21" s="455"/>
      <c r="F21" s="455"/>
      <c r="G21" s="455"/>
      <c r="H21" s="455"/>
      <c r="I21" s="455"/>
      <c r="J21" s="455"/>
      <c r="K21" s="455"/>
      <c r="L21" s="456"/>
    </row>
    <row r="22" spans="1:12" ht="54">
      <c r="A22" s="446" t="s">
        <v>83</v>
      </c>
      <c r="B22" s="447" t="s">
        <v>173</v>
      </c>
      <c r="C22" s="254" t="s">
        <v>160</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8"/>
    </row>
    <row r="23" spans="1:12">
      <c r="A23" s="446"/>
      <c r="B23" s="255" t="s">
        <v>161</v>
      </c>
      <c r="C23" s="254" t="s">
        <v>160</v>
      </c>
      <c r="D23" s="256"/>
      <c r="E23" s="256"/>
      <c r="F23" s="256"/>
      <c r="G23" s="256"/>
      <c r="H23" s="256"/>
      <c r="I23" s="256"/>
      <c r="J23" s="256"/>
      <c r="K23" s="256">
        <f t="shared" si="7"/>
        <v>0</v>
      </c>
      <c r="L23" s="448"/>
    </row>
    <row r="24" spans="1:12">
      <c r="A24" s="446"/>
      <c r="B24" s="255" t="s">
        <v>162</v>
      </c>
      <c r="C24" s="254" t="s">
        <v>160</v>
      </c>
      <c r="D24" s="256"/>
      <c r="E24" s="256"/>
      <c r="F24" s="256"/>
      <c r="G24" s="256"/>
      <c r="H24" s="256"/>
      <c r="I24" s="256"/>
      <c r="J24" s="256"/>
      <c r="K24" s="256">
        <f t="shared" si="7"/>
        <v>0</v>
      </c>
      <c r="L24" s="448"/>
    </row>
    <row r="25" spans="1:12">
      <c r="A25" s="446"/>
      <c r="B25" s="255" t="s">
        <v>163</v>
      </c>
      <c r="C25" s="254" t="s">
        <v>160</v>
      </c>
      <c r="D25" s="256"/>
      <c r="E25" s="256"/>
      <c r="F25" s="256"/>
      <c r="G25" s="256"/>
      <c r="H25" s="256"/>
      <c r="I25" s="256"/>
      <c r="J25" s="256"/>
      <c r="K25" s="256">
        <f t="shared" si="7"/>
        <v>0</v>
      </c>
      <c r="L25" s="448"/>
    </row>
    <row r="26" spans="1:12" ht="27">
      <c r="A26" s="449" t="s">
        <v>92</v>
      </c>
      <c r="B26" s="447" t="s">
        <v>164</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8"/>
    </row>
    <row r="27" spans="1:12">
      <c r="A27" s="446"/>
      <c r="B27" s="255" t="s">
        <v>161</v>
      </c>
      <c r="C27" s="254" t="s">
        <v>160</v>
      </c>
      <c r="D27" s="256"/>
      <c r="E27" s="256"/>
      <c r="F27" s="256"/>
      <c r="G27" s="256"/>
      <c r="H27" s="256"/>
      <c r="I27" s="256"/>
      <c r="J27" s="256"/>
      <c r="K27" s="256">
        <f t="shared" si="7"/>
        <v>0</v>
      </c>
      <c r="L27" s="448"/>
    </row>
    <row r="28" spans="1:12">
      <c r="A28" s="446"/>
      <c r="B28" s="255" t="s">
        <v>162</v>
      </c>
      <c r="C28" s="254" t="s">
        <v>160</v>
      </c>
      <c r="D28" s="256"/>
      <c r="E28" s="256"/>
      <c r="F28" s="256"/>
      <c r="G28" s="256"/>
      <c r="H28" s="256"/>
      <c r="I28" s="256"/>
      <c r="J28" s="256"/>
      <c r="K28" s="256">
        <f t="shared" si="7"/>
        <v>0</v>
      </c>
      <c r="L28" s="448"/>
    </row>
    <row r="29" spans="1:12">
      <c r="A29" s="446"/>
      <c r="B29" s="255" t="s">
        <v>163</v>
      </c>
      <c r="C29" s="254" t="s">
        <v>160</v>
      </c>
      <c r="D29" s="256"/>
      <c r="E29" s="256"/>
      <c r="F29" s="256"/>
      <c r="G29" s="256"/>
      <c r="H29" s="256"/>
      <c r="I29" s="256"/>
      <c r="J29" s="256"/>
      <c r="K29" s="256">
        <f t="shared" si="7"/>
        <v>0</v>
      </c>
      <c r="L29" s="448"/>
    </row>
    <row r="30" spans="1:12" ht="27">
      <c r="A30" s="449" t="s">
        <v>94</v>
      </c>
      <c r="B30" s="450" t="s">
        <v>174</v>
      </c>
      <c r="C30" s="254" t="s">
        <v>85</v>
      </c>
      <c r="D30" s="256"/>
      <c r="E30" s="256"/>
      <c r="F30" s="256"/>
      <c r="G30" s="256"/>
      <c r="H30" s="256"/>
      <c r="I30" s="256"/>
      <c r="J30" s="256"/>
      <c r="K30" s="256">
        <f t="shared" si="7"/>
        <v>0</v>
      </c>
      <c r="L30" s="448"/>
    </row>
    <row r="31" spans="1:12">
      <c r="A31" s="449"/>
      <c r="B31" s="255" t="s">
        <v>166</v>
      </c>
      <c r="C31" s="254"/>
      <c r="D31" s="256"/>
      <c r="E31" s="256"/>
      <c r="F31" s="256"/>
      <c r="G31" s="256"/>
      <c r="H31" s="256"/>
      <c r="I31" s="256"/>
      <c r="J31" s="256"/>
      <c r="K31" s="256">
        <f t="shared" si="7"/>
        <v>0</v>
      </c>
      <c r="L31" s="448"/>
    </row>
    <row r="32" spans="1:12" ht="54">
      <c r="A32" s="449" t="s">
        <v>97</v>
      </c>
      <c r="B32" s="447" t="s">
        <v>98</v>
      </c>
      <c r="C32" s="451" t="s">
        <v>85</v>
      </c>
      <c r="D32" s="452">
        <f t="shared" ref="D32:J32" si="9">SUM(D33:D35)</f>
        <v>0</v>
      </c>
      <c r="E32" s="452">
        <f t="shared" si="9"/>
        <v>0</v>
      </c>
      <c r="F32" s="452">
        <f t="shared" si="9"/>
        <v>0</v>
      </c>
      <c r="G32" s="452">
        <f t="shared" si="9"/>
        <v>0</v>
      </c>
      <c r="H32" s="452">
        <f t="shared" si="9"/>
        <v>0</v>
      </c>
      <c r="I32" s="452">
        <f t="shared" si="9"/>
        <v>0</v>
      </c>
      <c r="J32" s="452">
        <f t="shared" si="9"/>
        <v>0</v>
      </c>
      <c r="K32" s="452">
        <f t="shared" si="7"/>
        <v>0</v>
      </c>
      <c r="L32" s="453"/>
    </row>
    <row r="33" spans="1:12">
      <c r="A33" s="446"/>
      <c r="B33" s="255" t="s">
        <v>168</v>
      </c>
      <c r="C33" s="254" t="s">
        <v>85</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8"/>
    </row>
    <row r="34" spans="1:12">
      <c r="A34" s="446"/>
      <c r="B34" s="255" t="s">
        <v>169</v>
      </c>
      <c r="C34" s="254" t="s">
        <v>85</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8"/>
    </row>
    <row r="35" spans="1:12" ht="15" thickBot="1">
      <c r="A35" s="457"/>
      <c r="B35" s="458" t="s">
        <v>170</v>
      </c>
      <c r="C35" s="459" t="s">
        <v>85</v>
      </c>
      <c r="D35" s="460">
        <f>+D31</f>
        <v>0</v>
      </c>
      <c r="E35" s="460">
        <f t="shared" si="11"/>
        <v>0</v>
      </c>
      <c r="F35" s="460">
        <f t="shared" si="11"/>
        <v>0</v>
      </c>
      <c r="G35" s="460">
        <f t="shared" si="11"/>
        <v>0</v>
      </c>
      <c r="H35" s="460">
        <f t="shared" si="11"/>
        <v>0</v>
      </c>
      <c r="I35" s="460">
        <f t="shared" si="11"/>
        <v>0</v>
      </c>
      <c r="J35" s="460">
        <f t="shared" si="11"/>
        <v>0</v>
      </c>
      <c r="K35" s="460">
        <f t="shared" si="7"/>
        <v>0</v>
      </c>
      <c r="L35" s="461"/>
    </row>
    <row r="36" spans="1:12" ht="15" thickTop="1">
      <c r="A36" s="29"/>
      <c r="B36" s="1"/>
      <c r="C36" s="1"/>
      <c r="D36" s="1"/>
      <c r="E36" s="1"/>
      <c r="F36" s="1"/>
      <c r="G36" s="1"/>
      <c r="H36" s="1"/>
      <c r="I36" s="1"/>
      <c r="J36" s="730"/>
      <c r="K36" s="730"/>
      <c r="L36" s="730"/>
    </row>
    <row r="37" spans="1:12">
      <c r="A37" s="30"/>
      <c r="B37" s="31"/>
      <c r="C37" s="32"/>
      <c r="D37" s="32"/>
      <c r="E37" s="32"/>
      <c r="F37" s="32"/>
      <c r="G37" s="32"/>
      <c r="H37" s="32"/>
      <c r="I37" s="32"/>
      <c r="J37" s="729" t="s">
        <v>127</v>
      </c>
      <c r="K37" s="729"/>
      <c r="L37" s="729"/>
    </row>
    <row r="38" spans="1:12" ht="15.5">
      <c r="A38" s="722"/>
      <c r="B38" s="723"/>
      <c r="C38" s="723"/>
      <c r="D38" s="33"/>
      <c r="E38" s="33"/>
      <c r="F38" s="33"/>
      <c r="G38" s="33"/>
      <c r="H38" s="33"/>
      <c r="I38" s="33"/>
      <c r="J38" s="716" t="s">
        <v>128</v>
      </c>
      <c r="K38" s="716"/>
      <c r="L38" s="716"/>
    </row>
    <row r="39" spans="1:12">
      <c r="A39" s="46"/>
      <c r="B39" s="46"/>
      <c r="C39" s="46"/>
      <c r="D39" s="46"/>
      <c r="E39" s="46"/>
      <c r="F39" s="46"/>
      <c r="G39" s="46"/>
      <c r="H39" s="46"/>
      <c r="I39" s="46"/>
      <c r="J39" s="46"/>
      <c r="K39" s="46"/>
      <c r="L39" s="46"/>
    </row>
    <row r="40" spans="1:12" ht="19">
      <c r="A40" s="58" t="s">
        <v>153</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21</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60" t="s">
        <v>81</v>
      </c>
      <c r="B6" s="61" t="s">
        <v>175</v>
      </c>
      <c r="C6" s="62"/>
      <c r="D6" s="63"/>
      <c r="E6" s="63"/>
      <c r="F6" s="63"/>
      <c r="G6" s="63"/>
      <c r="H6" s="63"/>
      <c r="I6" s="63"/>
      <c r="J6" s="63"/>
      <c r="K6" s="64"/>
      <c r="L6" s="65"/>
    </row>
    <row r="7" spans="1:12" ht="40.5">
      <c r="A7" s="13" t="s">
        <v>83</v>
      </c>
      <c r="B7" s="14" t="s">
        <v>159</v>
      </c>
      <c r="C7" s="15" t="s">
        <v>176</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177</v>
      </c>
      <c r="C8" s="15" t="s">
        <v>176</v>
      </c>
      <c r="D8" s="16"/>
      <c r="E8" s="16"/>
      <c r="F8" s="16"/>
      <c r="G8" s="16"/>
      <c r="H8" s="16"/>
      <c r="I8" s="16"/>
      <c r="J8" s="16"/>
      <c r="K8" s="16">
        <f>SUM(D8:J8)</f>
        <v>0</v>
      </c>
      <c r="L8" s="17"/>
    </row>
    <row r="9" spans="1:12">
      <c r="A9" s="13"/>
      <c r="B9" s="18" t="s">
        <v>178</v>
      </c>
      <c r="C9" s="15" t="s">
        <v>176</v>
      </c>
      <c r="D9" s="16"/>
      <c r="E9" s="16"/>
      <c r="F9" s="16"/>
      <c r="G9" s="16"/>
      <c r="H9" s="16"/>
      <c r="I9" s="16"/>
      <c r="J9" s="16"/>
      <c r="K9" s="16">
        <f>SUM(D9:J9)</f>
        <v>0</v>
      </c>
      <c r="L9" s="17"/>
    </row>
    <row r="10" spans="1:12">
      <c r="A10" s="13"/>
      <c r="B10" s="18" t="s">
        <v>179</v>
      </c>
      <c r="C10" s="15" t="s">
        <v>176</v>
      </c>
      <c r="D10" s="16"/>
      <c r="E10" s="16"/>
      <c r="F10" s="16"/>
      <c r="G10" s="16"/>
      <c r="H10" s="16"/>
      <c r="I10" s="16"/>
      <c r="J10" s="16"/>
      <c r="K10" s="16">
        <f>SUM(D10:J10)</f>
        <v>0</v>
      </c>
      <c r="L10" s="17"/>
    </row>
    <row r="11" spans="1:12">
      <c r="A11" s="13"/>
      <c r="B11" s="18" t="s">
        <v>180</v>
      </c>
      <c r="C11" s="15" t="s">
        <v>176</v>
      </c>
      <c r="D11" s="16"/>
      <c r="E11" s="16"/>
      <c r="F11" s="16"/>
      <c r="G11" s="16"/>
      <c r="H11" s="16"/>
      <c r="I11" s="16"/>
      <c r="J11" s="16"/>
      <c r="K11" s="16"/>
      <c r="L11" s="17"/>
    </row>
    <row r="12" spans="1:12" ht="27">
      <c r="A12" s="19" t="s">
        <v>92</v>
      </c>
      <c r="B12" s="14" t="s">
        <v>181</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177</v>
      </c>
      <c r="C13" s="15" t="s">
        <v>176</v>
      </c>
      <c r="D13" s="16"/>
      <c r="E13" s="16"/>
      <c r="F13" s="16"/>
      <c r="G13" s="16"/>
      <c r="H13" s="16"/>
      <c r="I13" s="16"/>
      <c r="J13" s="16"/>
      <c r="K13" s="16">
        <f>SUM(D13:J13)</f>
        <v>0</v>
      </c>
      <c r="L13" s="17"/>
    </row>
    <row r="14" spans="1:12">
      <c r="A14" s="13"/>
      <c r="B14" s="18" t="s">
        <v>178</v>
      </c>
      <c r="C14" s="15" t="s">
        <v>176</v>
      </c>
      <c r="D14" s="16"/>
      <c r="E14" s="16"/>
      <c r="F14" s="16"/>
      <c r="G14" s="16"/>
      <c r="H14" s="16"/>
      <c r="I14" s="16"/>
      <c r="J14" s="16"/>
      <c r="K14" s="16">
        <f>SUM(D14:J14)</f>
        <v>0</v>
      </c>
      <c r="L14" s="17"/>
    </row>
    <row r="15" spans="1:12">
      <c r="A15" s="13"/>
      <c r="B15" s="18" t="s">
        <v>179</v>
      </c>
      <c r="C15" s="15" t="s">
        <v>176</v>
      </c>
      <c r="D15" s="16"/>
      <c r="E15" s="16"/>
      <c r="F15" s="16"/>
      <c r="G15" s="16"/>
      <c r="H15" s="16"/>
      <c r="I15" s="16"/>
      <c r="J15" s="16"/>
      <c r="K15" s="16">
        <f>SUM(D15:J15)</f>
        <v>0</v>
      </c>
      <c r="L15" s="17"/>
    </row>
    <row r="16" spans="1:12">
      <c r="A16" s="13"/>
      <c r="B16" s="18" t="s">
        <v>180</v>
      </c>
      <c r="C16" s="15" t="s">
        <v>176</v>
      </c>
      <c r="D16" s="16"/>
      <c r="E16" s="16"/>
      <c r="F16" s="16"/>
      <c r="G16" s="16"/>
      <c r="H16" s="16"/>
      <c r="I16" s="16"/>
      <c r="J16" s="16"/>
      <c r="K16" s="16"/>
      <c r="L16" s="17"/>
    </row>
    <row r="17" spans="1:12" ht="27">
      <c r="A17" s="19" t="s">
        <v>94</v>
      </c>
      <c r="B17" s="20" t="s">
        <v>182</v>
      </c>
      <c r="C17" s="15" t="s">
        <v>176</v>
      </c>
      <c r="D17" s="16"/>
      <c r="E17" s="16"/>
      <c r="F17" s="16"/>
      <c r="G17" s="16"/>
      <c r="H17" s="16"/>
      <c r="I17" s="16"/>
      <c r="J17" s="16"/>
      <c r="K17" s="16">
        <f t="shared" ref="K17:K23" si="2">SUM(D17:J17)</f>
        <v>0</v>
      </c>
      <c r="L17" s="17"/>
    </row>
    <row r="18" spans="1:12">
      <c r="A18" s="19"/>
      <c r="B18" s="18" t="s">
        <v>183</v>
      </c>
      <c r="C18" s="15" t="s">
        <v>176</v>
      </c>
      <c r="D18" s="16"/>
      <c r="E18" s="16"/>
      <c r="F18" s="16"/>
      <c r="G18" s="16"/>
      <c r="H18" s="16"/>
      <c r="I18" s="16"/>
      <c r="J18" s="16"/>
      <c r="K18" s="16">
        <f t="shared" si="2"/>
        <v>0</v>
      </c>
      <c r="L18" s="17"/>
    </row>
    <row r="19" spans="1:12" ht="40.5">
      <c r="A19" s="19" t="s">
        <v>97</v>
      </c>
      <c r="B19" s="14" t="s">
        <v>184</v>
      </c>
      <c r="C19" s="21" t="s">
        <v>85</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185</v>
      </c>
      <c r="C20" s="15" t="s">
        <v>176</v>
      </c>
      <c r="D20" s="16"/>
      <c r="E20" s="16"/>
      <c r="F20" s="16"/>
      <c r="G20" s="16"/>
      <c r="H20" s="16"/>
      <c r="I20" s="16"/>
      <c r="J20" s="16"/>
      <c r="K20" s="16">
        <f t="shared" si="2"/>
        <v>0</v>
      </c>
      <c r="L20" s="17"/>
    </row>
    <row r="21" spans="1:12">
      <c r="A21" s="13"/>
      <c r="B21" s="18" t="s">
        <v>186</v>
      </c>
      <c r="C21" s="15" t="s">
        <v>176</v>
      </c>
      <c r="D21" s="16"/>
      <c r="E21" s="16"/>
      <c r="F21" s="16"/>
      <c r="G21" s="16"/>
      <c r="H21" s="16"/>
      <c r="I21" s="16"/>
      <c r="J21" s="16"/>
      <c r="K21" s="16">
        <f t="shared" si="2"/>
        <v>0</v>
      </c>
      <c r="L21" s="17"/>
    </row>
    <row r="22" spans="1:12">
      <c r="A22" s="13"/>
      <c r="B22" s="18" t="s">
        <v>187</v>
      </c>
      <c r="C22" s="15" t="s">
        <v>176</v>
      </c>
      <c r="D22" s="16"/>
      <c r="E22" s="16"/>
      <c r="F22" s="16"/>
      <c r="G22" s="16"/>
      <c r="H22" s="16"/>
      <c r="I22" s="16"/>
      <c r="J22" s="16"/>
      <c r="K22" s="16">
        <f t="shared" si="2"/>
        <v>0</v>
      </c>
      <c r="L22" s="17"/>
    </row>
    <row r="23" spans="1:12">
      <c r="A23" s="19"/>
      <c r="B23" s="18" t="s">
        <v>183</v>
      </c>
      <c r="C23" s="15" t="s">
        <v>176</v>
      </c>
      <c r="D23" s="16"/>
      <c r="E23" s="16"/>
      <c r="F23" s="16"/>
      <c r="G23" s="16"/>
      <c r="H23" s="16"/>
      <c r="I23" s="16"/>
      <c r="J23" s="16"/>
      <c r="K23" s="16">
        <f t="shared" si="2"/>
        <v>0</v>
      </c>
      <c r="L23" s="17"/>
    </row>
    <row r="24" spans="1:12">
      <c r="A24" s="60" t="s">
        <v>81</v>
      </c>
      <c r="B24" s="61" t="s">
        <v>188</v>
      </c>
      <c r="C24" s="62" t="s">
        <v>172</v>
      </c>
      <c r="D24" s="63"/>
      <c r="E24" s="63"/>
      <c r="F24" s="63"/>
      <c r="G24" s="63"/>
      <c r="H24" s="63"/>
      <c r="I24" s="63"/>
      <c r="J24" s="63"/>
      <c r="K24" s="64"/>
      <c r="L24" s="65"/>
    </row>
    <row r="25" spans="1:12" ht="40.5">
      <c r="A25" s="13" t="s">
        <v>83</v>
      </c>
      <c r="B25" s="14" t="s">
        <v>189</v>
      </c>
      <c r="C25" s="15" t="s">
        <v>160</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190</v>
      </c>
      <c r="C26" s="15" t="s">
        <v>160</v>
      </c>
      <c r="D26" s="16"/>
      <c r="E26" s="16"/>
      <c r="F26" s="16"/>
      <c r="G26" s="16"/>
      <c r="H26" s="16"/>
      <c r="I26" s="16"/>
      <c r="J26" s="16"/>
      <c r="K26" s="16">
        <f>SUM(D26:J26)</f>
        <v>0</v>
      </c>
      <c r="L26" s="17"/>
    </row>
    <row r="27" spans="1:12">
      <c r="A27" s="13"/>
      <c r="B27" s="18" t="s">
        <v>191</v>
      </c>
      <c r="C27" s="15" t="s">
        <v>160</v>
      </c>
      <c r="D27" s="16"/>
      <c r="E27" s="16"/>
      <c r="F27" s="16"/>
      <c r="G27" s="16"/>
      <c r="H27" s="16"/>
      <c r="I27" s="16"/>
      <c r="J27" s="16"/>
      <c r="K27" s="16">
        <f>SUM(D27:J27)</f>
        <v>0</v>
      </c>
      <c r="L27" s="17"/>
    </row>
    <row r="28" spans="1:12">
      <c r="A28" s="13"/>
      <c r="B28" s="18" t="s">
        <v>192</v>
      </c>
      <c r="C28" s="15" t="s">
        <v>160</v>
      </c>
      <c r="D28" s="16"/>
      <c r="E28" s="16"/>
      <c r="F28" s="16"/>
      <c r="G28" s="16"/>
      <c r="H28" s="16"/>
      <c r="I28" s="16"/>
      <c r="J28" s="16"/>
      <c r="K28" s="16">
        <f>SUM(D28:J28)</f>
        <v>0</v>
      </c>
      <c r="L28" s="17"/>
    </row>
    <row r="29" spans="1:12">
      <c r="A29" s="13"/>
      <c r="B29" s="18" t="s">
        <v>193</v>
      </c>
      <c r="C29" s="15" t="s">
        <v>160</v>
      </c>
      <c r="D29" s="16"/>
      <c r="E29" s="16"/>
      <c r="F29" s="16"/>
      <c r="G29" s="16"/>
      <c r="H29" s="16"/>
      <c r="I29" s="16"/>
      <c r="J29" s="16"/>
      <c r="K29" s="16"/>
      <c r="L29" s="17"/>
    </row>
    <row r="30" spans="1:12">
      <c r="A30" s="13"/>
      <c r="B30" s="18" t="s">
        <v>194</v>
      </c>
      <c r="C30" s="15" t="s">
        <v>160</v>
      </c>
      <c r="D30" s="16"/>
      <c r="E30" s="16"/>
      <c r="F30" s="16"/>
      <c r="G30" s="16"/>
      <c r="H30" s="16"/>
      <c r="I30" s="16"/>
      <c r="J30" s="16"/>
      <c r="K30" s="16"/>
      <c r="L30" s="17"/>
    </row>
    <row r="31" spans="1:12" ht="27">
      <c r="A31" s="19" t="s">
        <v>92</v>
      </c>
      <c r="B31" s="14" t="s">
        <v>164</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190</v>
      </c>
      <c r="C32" s="15" t="s">
        <v>160</v>
      </c>
      <c r="D32" s="16"/>
      <c r="E32" s="16"/>
      <c r="F32" s="16"/>
      <c r="G32" s="16"/>
      <c r="H32" s="16"/>
      <c r="I32" s="16"/>
      <c r="J32" s="16"/>
      <c r="K32" s="16">
        <f>SUM(D32:J32)</f>
        <v>0</v>
      </c>
      <c r="L32" s="17"/>
    </row>
    <row r="33" spans="1:12">
      <c r="A33" s="13"/>
      <c r="B33" s="18" t="s">
        <v>191</v>
      </c>
      <c r="C33" s="15" t="s">
        <v>160</v>
      </c>
      <c r="D33" s="16"/>
      <c r="E33" s="16"/>
      <c r="F33" s="16"/>
      <c r="G33" s="16"/>
      <c r="H33" s="16"/>
      <c r="I33" s="16"/>
      <c r="J33" s="16"/>
      <c r="K33" s="16">
        <f>SUM(D33:J33)</f>
        <v>0</v>
      </c>
      <c r="L33" s="17"/>
    </row>
    <row r="34" spans="1:12">
      <c r="A34" s="13"/>
      <c r="B34" s="18" t="s">
        <v>192</v>
      </c>
      <c r="C34" s="15" t="s">
        <v>160</v>
      </c>
      <c r="D34" s="16"/>
      <c r="E34" s="16"/>
      <c r="F34" s="16"/>
      <c r="G34" s="16"/>
      <c r="H34" s="16"/>
      <c r="I34" s="16"/>
      <c r="J34" s="16"/>
      <c r="K34" s="16">
        <f>SUM(D34:J34)</f>
        <v>0</v>
      </c>
      <c r="L34" s="17"/>
    </row>
    <row r="35" spans="1:12">
      <c r="A35" s="13"/>
      <c r="B35" s="18" t="s">
        <v>193</v>
      </c>
      <c r="C35" s="15" t="s">
        <v>160</v>
      </c>
      <c r="D35" s="16"/>
      <c r="E35" s="16"/>
      <c r="F35" s="16"/>
      <c r="G35" s="16"/>
      <c r="H35" s="16"/>
      <c r="I35" s="16"/>
      <c r="J35" s="16"/>
      <c r="K35" s="16"/>
      <c r="L35" s="17"/>
    </row>
    <row r="36" spans="1:12">
      <c r="A36" s="13"/>
      <c r="B36" s="18" t="s">
        <v>194</v>
      </c>
      <c r="C36" s="15" t="s">
        <v>160</v>
      </c>
      <c r="D36" s="16"/>
      <c r="E36" s="16"/>
      <c r="F36" s="16"/>
      <c r="G36" s="16"/>
      <c r="H36" s="16"/>
      <c r="I36" s="16"/>
      <c r="J36" s="16"/>
      <c r="K36" s="16"/>
      <c r="L36" s="17"/>
    </row>
    <row r="37" spans="1:12" ht="27">
      <c r="A37" s="19" t="s">
        <v>94</v>
      </c>
      <c r="B37" s="20" t="s">
        <v>174</v>
      </c>
      <c r="C37" s="15" t="s">
        <v>85</v>
      </c>
      <c r="D37" s="16"/>
      <c r="E37" s="16"/>
      <c r="F37" s="16"/>
      <c r="G37" s="16"/>
      <c r="H37" s="16"/>
      <c r="I37" s="16"/>
      <c r="J37" s="16"/>
      <c r="K37" s="16">
        <f t="shared" ref="K37:K42" si="5">SUM(D37:J37)</f>
        <v>0</v>
      </c>
      <c r="L37" s="17"/>
    </row>
    <row r="38" spans="1:12">
      <c r="A38" s="19"/>
      <c r="B38" s="18" t="s">
        <v>195</v>
      </c>
      <c r="C38" s="15"/>
      <c r="D38" s="16"/>
      <c r="E38" s="16"/>
      <c r="F38" s="16"/>
      <c r="G38" s="16"/>
      <c r="H38" s="16"/>
      <c r="I38" s="16"/>
      <c r="J38" s="16"/>
      <c r="K38" s="16">
        <f t="shared" si="5"/>
        <v>0</v>
      </c>
      <c r="L38" s="17"/>
    </row>
    <row r="39" spans="1:12" ht="40.5">
      <c r="A39" s="19" t="s">
        <v>97</v>
      </c>
      <c r="B39" s="14" t="s">
        <v>196</v>
      </c>
      <c r="C39" s="21" t="s">
        <v>85</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197</v>
      </c>
      <c r="C40" s="15" t="s">
        <v>160</v>
      </c>
      <c r="D40" s="16"/>
      <c r="E40" s="16"/>
      <c r="F40" s="16"/>
      <c r="G40" s="16"/>
      <c r="H40" s="16"/>
      <c r="I40" s="16"/>
      <c r="J40" s="16"/>
      <c r="K40" s="16">
        <f t="shared" si="5"/>
        <v>0</v>
      </c>
      <c r="L40" s="17"/>
    </row>
    <row r="41" spans="1:12">
      <c r="A41" s="13"/>
      <c r="B41" s="18" t="s">
        <v>198</v>
      </c>
      <c r="C41" s="15" t="s">
        <v>160</v>
      </c>
      <c r="D41" s="16"/>
      <c r="E41" s="16"/>
      <c r="F41" s="16"/>
      <c r="G41" s="16"/>
      <c r="H41" s="16"/>
      <c r="I41" s="16"/>
      <c r="J41" s="16"/>
      <c r="K41" s="16">
        <f t="shared" si="5"/>
        <v>0</v>
      </c>
      <c r="L41" s="17"/>
    </row>
    <row r="42" spans="1:12">
      <c r="A42" s="13"/>
      <c r="B42" s="18" t="s">
        <v>199</v>
      </c>
      <c r="C42" s="15" t="s">
        <v>160</v>
      </c>
      <c r="D42" s="16"/>
      <c r="E42" s="16"/>
      <c r="F42" s="16"/>
      <c r="G42" s="16"/>
      <c r="H42" s="16"/>
      <c r="I42" s="16"/>
      <c r="J42" s="16"/>
      <c r="K42" s="16">
        <f t="shared" si="5"/>
        <v>0</v>
      </c>
      <c r="L42" s="17"/>
    </row>
    <row r="43" spans="1:12">
      <c r="A43" s="13"/>
      <c r="B43" s="18" t="s">
        <v>200</v>
      </c>
      <c r="C43" s="15" t="s">
        <v>160</v>
      </c>
      <c r="D43" s="16"/>
      <c r="E43" s="16"/>
      <c r="F43" s="16"/>
      <c r="G43" s="16"/>
      <c r="H43" s="16"/>
      <c r="I43" s="16"/>
      <c r="J43" s="16"/>
      <c r="K43" s="16"/>
      <c r="L43" s="17"/>
    </row>
    <row r="44" spans="1:12">
      <c r="A44" s="13"/>
      <c r="B44" s="18" t="s">
        <v>195</v>
      </c>
      <c r="C44" s="15" t="s">
        <v>160</v>
      </c>
      <c r="D44" s="16"/>
      <c r="E44" s="16"/>
      <c r="F44" s="16"/>
      <c r="G44" s="16"/>
      <c r="H44" s="16"/>
      <c r="I44" s="16"/>
      <c r="J44" s="16"/>
      <c r="K44" s="16"/>
      <c r="L44" s="17"/>
    </row>
    <row r="45" spans="1:12">
      <c r="A45" s="60" t="s">
        <v>113</v>
      </c>
      <c r="B45" s="61" t="s">
        <v>201</v>
      </c>
      <c r="C45" s="62" t="s">
        <v>172</v>
      </c>
      <c r="D45" s="63"/>
      <c r="E45" s="63"/>
      <c r="F45" s="63"/>
      <c r="G45" s="63"/>
      <c r="H45" s="63"/>
      <c r="I45" s="63"/>
      <c r="J45" s="63"/>
      <c r="K45" s="64"/>
      <c r="L45" s="65"/>
    </row>
    <row r="46" spans="1:12" ht="40.5">
      <c r="A46" s="13" t="s">
        <v>83</v>
      </c>
      <c r="B46" s="14" t="s">
        <v>189</v>
      </c>
      <c r="C46" s="15" t="s">
        <v>160</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202</v>
      </c>
      <c r="C47" s="15" t="s">
        <v>160</v>
      </c>
      <c r="D47" s="16"/>
      <c r="E47" s="16"/>
      <c r="F47" s="16"/>
      <c r="G47" s="16"/>
      <c r="H47" s="16"/>
      <c r="I47" s="16"/>
      <c r="J47" s="16"/>
      <c r="K47" s="16">
        <f>SUM(D47:J47)</f>
        <v>0</v>
      </c>
      <c r="L47" s="17"/>
    </row>
    <row r="48" spans="1:12">
      <c r="A48" s="13"/>
      <c r="B48" s="18" t="s">
        <v>203</v>
      </c>
      <c r="C48" s="15" t="s">
        <v>160</v>
      </c>
      <c r="D48" s="16"/>
      <c r="E48" s="16"/>
      <c r="F48" s="16"/>
      <c r="G48" s="16"/>
      <c r="H48" s="16"/>
      <c r="I48" s="16"/>
      <c r="J48" s="16"/>
      <c r="K48" s="16">
        <f>SUM(D48:J48)</f>
        <v>0</v>
      </c>
      <c r="L48" s="17"/>
    </row>
    <row r="49" spans="1:12">
      <c r="A49" s="13"/>
      <c r="B49" s="18" t="s">
        <v>204</v>
      </c>
      <c r="C49" s="15" t="s">
        <v>160</v>
      </c>
      <c r="D49" s="16"/>
      <c r="E49" s="16"/>
      <c r="F49" s="16"/>
      <c r="G49" s="16"/>
      <c r="H49" s="16"/>
      <c r="I49" s="16"/>
      <c r="J49" s="16"/>
      <c r="K49" s="16"/>
      <c r="L49" s="17"/>
    </row>
    <row r="50" spans="1:12">
      <c r="A50" s="13"/>
      <c r="B50" s="18" t="s">
        <v>205</v>
      </c>
      <c r="C50" s="15" t="s">
        <v>160</v>
      </c>
      <c r="D50" s="16"/>
      <c r="E50" s="16"/>
      <c r="F50" s="16"/>
      <c r="G50" s="16"/>
      <c r="H50" s="16"/>
      <c r="I50" s="16"/>
      <c r="J50" s="16"/>
      <c r="K50" s="16"/>
      <c r="L50" s="17"/>
    </row>
    <row r="51" spans="1:12" ht="27">
      <c r="A51" s="19" t="s">
        <v>92</v>
      </c>
      <c r="B51" s="14" t="s">
        <v>164</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202</v>
      </c>
      <c r="C52" s="15" t="s">
        <v>160</v>
      </c>
      <c r="D52" s="16"/>
      <c r="E52" s="16"/>
      <c r="F52" s="16"/>
      <c r="G52" s="16"/>
      <c r="H52" s="16"/>
      <c r="I52" s="16"/>
      <c r="J52" s="16"/>
      <c r="K52" s="16">
        <f>SUM(D52:J52)</f>
        <v>0</v>
      </c>
      <c r="L52" s="17"/>
    </row>
    <row r="53" spans="1:12">
      <c r="A53" s="13"/>
      <c r="B53" s="18" t="s">
        <v>203</v>
      </c>
      <c r="C53" s="15" t="s">
        <v>160</v>
      </c>
      <c r="D53" s="16"/>
      <c r="E53" s="16"/>
      <c r="F53" s="16"/>
      <c r="G53" s="16"/>
      <c r="H53" s="16"/>
      <c r="I53" s="16"/>
      <c r="J53" s="16"/>
      <c r="K53" s="16">
        <f>SUM(D53:J53)</f>
        <v>0</v>
      </c>
      <c r="L53" s="17"/>
    </row>
    <row r="54" spans="1:12">
      <c r="A54" s="13"/>
      <c r="B54" s="18" t="s">
        <v>204</v>
      </c>
      <c r="C54" s="15" t="s">
        <v>160</v>
      </c>
      <c r="D54" s="16"/>
      <c r="E54" s="16"/>
      <c r="F54" s="16"/>
      <c r="G54" s="16"/>
      <c r="H54" s="16"/>
      <c r="I54" s="16"/>
      <c r="J54" s="16"/>
      <c r="K54" s="16"/>
      <c r="L54" s="17"/>
    </row>
    <row r="55" spans="1:12">
      <c r="A55" s="13"/>
      <c r="B55" s="18" t="s">
        <v>205</v>
      </c>
      <c r="C55" s="15" t="s">
        <v>160</v>
      </c>
      <c r="D55" s="16"/>
      <c r="E55" s="16"/>
      <c r="F55" s="16"/>
      <c r="G55" s="16"/>
      <c r="H55" s="16"/>
      <c r="I55" s="16"/>
      <c r="J55" s="16"/>
      <c r="K55" s="16"/>
      <c r="L55" s="17"/>
    </row>
    <row r="56" spans="1:12" ht="27">
      <c r="A56" s="19" t="s">
        <v>94</v>
      </c>
      <c r="B56" s="20" t="s">
        <v>174</v>
      </c>
      <c r="C56" s="15" t="s">
        <v>85</v>
      </c>
      <c r="D56" s="16"/>
      <c r="E56" s="16"/>
      <c r="F56" s="16"/>
      <c r="G56" s="16"/>
      <c r="H56" s="16"/>
      <c r="I56" s="16"/>
      <c r="J56" s="16"/>
      <c r="K56" s="16">
        <f>SUM(D56:J56)</f>
        <v>0</v>
      </c>
      <c r="L56" s="17"/>
    </row>
    <row r="57" spans="1:12">
      <c r="A57" s="19"/>
      <c r="B57" s="18" t="s">
        <v>206</v>
      </c>
      <c r="C57" s="15"/>
      <c r="D57" s="16"/>
      <c r="E57" s="16"/>
      <c r="F57" s="16"/>
      <c r="G57" s="16"/>
      <c r="H57" s="16"/>
      <c r="I57" s="16"/>
      <c r="J57" s="16"/>
      <c r="K57" s="16">
        <f>SUM(D57:J57)</f>
        <v>0</v>
      </c>
      <c r="L57" s="17"/>
    </row>
    <row r="58" spans="1:12" ht="40.5">
      <c r="A58" s="19" t="s">
        <v>97</v>
      </c>
      <c r="B58" s="14" t="s">
        <v>196</v>
      </c>
      <c r="C58" s="21" t="s">
        <v>85</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207</v>
      </c>
      <c r="C59" s="15" t="s">
        <v>160</v>
      </c>
      <c r="D59" s="16"/>
      <c r="E59" s="16"/>
      <c r="F59" s="16"/>
      <c r="G59" s="16"/>
      <c r="H59" s="16"/>
      <c r="I59" s="16"/>
      <c r="J59" s="16"/>
      <c r="K59" s="16">
        <f>SUM(D59:J59)</f>
        <v>0</v>
      </c>
      <c r="L59" s="17"/>
    </row>
    <row r="60" spans="1:12">
      <c r="A60" s="13"/>
      <c r="B60" s="18" t="s">
        <v>208</v>
      </c>
      <c r="C60" s="15" t="s">
        <v>160</v>
      </c>
      <c r="D60" s="16"/>
      <c r="E60" s="16"/>
      <c r="F60" s="16"/>
      <c r="G60" s="16"/>
      <c r="H60" s="16"/>
      <c r="I60" s="16"/>
      <c r="J60" s="16"/>
      <c r="K60" s="16">
        <f>SUM(D60:J60)</f>
        <v>0</v>
      </c>
      <c r="L60" s="17"/>
    </row>
    <row r="61" spans="1:12">
      <c r="A61" s="13"/>
      <c r="B61" s="18" t="s">
        <v>209</v>
      </c>
      <c r="C61" s="15" t="s">
        <v>160</v>
      </c>
      <c r="D61" s="16"/>
      <c r="E61" s="16"/>
      <c r="F61" s="16"/>
      <c r="G61" s="16"/>
      <c r="H61" s="16"/>
      <c r="I61" s="16"/>
      <c r="J61" s="16"/>
      <c r="K61" s="16"/>
      <c r="L61" s="17"/>
    </row>
    <row r="62" spans="1:12" ht="15" thickBot="1">
      <c r="A62" s="462"/>
      <c r="B62" s="463" t="s">
        <v>206</v>
      </c>
      <c r="C62" s="464" t="s">
        <v>160</v>
      </c>
      <c r="D62" s="465"/>
      <c r="E62" s="465"/>
      <c r="F62" s="465"/>
      <c r="G62" s="465"/>
      <c r="H62" s="465"/>
      <c r="I62" s="465"/>
      <c r="J62" s="465"/>
      <c r="K62" s="465">
        <f>SUM(D62:J62)</f>
        <v>0</v>
      </c>
      <c r="L62" s="466"/>
    </row>
    <row r="63" spans="1:12" ht="15" thickTop="1">
      <c r="A63" s="29"/>
      <c r="B63" s="1"/>
      <c r="C63" s="1"/>
      <c r="D63" s="1"/>
      <c r="E63" s="1"/>
      <c r="F63" s="1"/>
      <c r="G63" s="1"/>
      <c r="H63" s="1"/>
      <c r="I63" s="1"/>
      <c r="J63" s="730"/>
      <c r="K63" s="730"/>
      <c r="L63" s="730"/>
    </row>
    <row r="64" spans="1:12">
      <c r="A64" s="30"/>
      <c r="B64" s="31"/>
      <c r="C64" s="32"/>
      <c r="D64" s="32"/>
      <c r="E64" s="32"/>
      <c r="F64" s="32"/>
      <c r="G64" s="32"/>
      <c r="H64" s="32"/>
      <c r="I64" s="32"/>
      <c r="J64" s="729" t="s">
        <v>127</v>
      </c>
      <c r="K64" s="729"/>
      <c r="L64" s="729"/>
    </row>
    <row r="65" spans="1:12" ht="15.5">
      <c r="A65" s="722"/>
      <c r="B65" s="723"/>
      <c r="C65" s="723"/>
      <c r="D65" s="33"/>
      <c r="E65" s="33"/>
      <c r="F65" s="33"/>
      <c r="G65" s="33"/>
      <c r="H65" s="33"/>
      <c r="I65" s="33"/>
      <c r="J65" s="716" t="s">
        <v>128</v>
      </c>
      <c r="K65" s="716"/>
      <c r="L65" s="716"/>
    </row>
    <row r="66" spans="1:12">
      <c r="A66" s="46"/>
      <c r="B66" s="46"/>
      <c r="C66" s="46"/>
      <c r="D66" s="46"/>
      <c r="E66" s="46"/>
      <c r="F66" s="46"/>
      <c r="G66" s="46"/>
      <c r="H66" s="46"/>
      <c r="I66" s="46"/>
      <c r="J66" s="46"/>
      <c r="K66" s="46"/>
      <c r="L66" s="46"/>
    </row>
    <row r="67" spans="1:12" ht="19">
      <c r="A67" s="58" t="s">
        <v>153</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activeCell="A4" sqref="A4"/>
      <selection pane="topRight" activeCell="C4" sqref="C4"/>
      <selection pane="bottomLeft" activeCell="A10" sqref="A10"/>
      <selection pane="bottomRight" activeCell="B56" sqref="B56"/>
    </sheetView>
  </sheetViews>
  <sheetFormatPr defaultColWidth="9" defaultRowHeight="14.5"/>
  <cols>
    <col min="1" max="1" width="4.81640625" style="90" customWidth="1"/>
    <col min="2" max="2" width="39.453125" style="90" customWidth="1"/>
    <col min="3" max="3" width="4.81640625" style="90" hidden="1" customWidth="1"/>
    <col min="4" max="4" width="6.1796875" style="75" customWidth="1"/>
    <col min="5" max="5" width="13.81640625" style="75" customWidth="1"/>
    <col min="6" max="6" width="11.54296875" style="75" customWidth="1"/>
    <col min="7" max="7" width="8.7265625" style="551" customWidth="1"/>
    <col min="8" max="8" width="9.453125" style="75" customWidth="1"/>
    <col min="9" max="9" width="15.1796875" style="75" customWidth="1"/>
    <col min="10" max="10" width="12.81640625" style="75" customWidth="1"/>
    <col min="11" max="11" width="13.7265625" style="75" customWidth="1"/>
    <col min="12" max="12" width="8.453125" style="75" customWidth="1"/>
    <col min="13" max="13" width="6.81640625" style="75" customWidth="1"/>
    <col min="14" max="14" width="9.1796875" style="75" customWidth="1"/>
    <col min="15" max="16" width="9.453125" style="75" customWidth="1"/>
    <col min="17" max="17" width="7.81640625" style="75" customWidth="1"/>
    <col min="18" max="18" width="8.54296875" style="75" customWidth="1"/>
    <col min="19" max="19" width="11.1796875" style="74" customWidth="1"/>
    <col min="20" max="16384" width="9" style="74"/>
  </cols>
  <sheetData>
    <row r="1" spans="1:24" ht="15">
      <c r="A1" s="732" t="s">
        <v>733</v>
      </c>
      <c r="B1" s="732"/>
      <c r="C1" s="732"/>
      <c r="D1" s="732"/>
      <c r="E1" s="392"/>
      <c r="F1" s="392"/>
      <c r="G1" s="392"/>
      <c r="H1" s="392"/>
      <c r="I1" s="392"/>
      <c r="J1" s="98"/>
      <c r="K1" s="716"/>
      <c r="L1" s="716"/>
      <c r="M1" s="716"/>
      <c r="N1" s="716"/>
      <c r="O1" s="716"/>
      <c r="P1" s="716"/>
      <c r="Q1" s="93"/>
      <c r="R1" s="93"/>
      <c r="S1" s="94" t="s">
        <v>210</v>
      </c>
      <c r="T1" s="114"/>
      <c r="U1" s="117"/>
      <c r="V1" s="117"/>
      <c r="W1" s="117"/>
      <c r="X1" s="117"/>
    </row>
    <row r="2" spans="1:24">
      <c r="A2" s="716" t="s">
        <v>211</v>
      </c>
      <c r="B2" s="716"/>
      <c r="C2" s="716"/>
      <c r="D2" s="716"/>
      <c r="E2" s="468"/>
      <c r="F2" s="468"/>
      <c r="G2" s="468"/>
      <c r="H2" s="468"/>
      <c r="I2" s="468"/>
      <c r="J2" s="98"/>
      <c r="K2" s="716"/>
      <c r="L2" s="716"/>
      <c r="M2" s="716"/>
      <c r="N2" s="716"/>
      <c r="O2" s="716"/>
      <c r="P2" s="716"/>
      <c r="Q2" s="93"/>
      <c r="R2" s="93"/>
      <c r="S2" s="93"/>
      <c r="T2" s="114"/>
      <c r="U2" s="117"/>
      <c r="V2" s="117"/>
      <c r="W2" s="117"/>
      <c r="X2" s="117"/>
    </row>
    <row r="3" spans="1:24" ht="15">
      <c r="A3" s="733" t="s">
        <v>212</v>
      </c>
      <c r="B3" s="733"/>
      <c r="C3" s="733"/>
      <c r="D3" s="733"/>
      <c r="E3" s="733"/>
      <c r="F3" s="733"/>
      <c r="G3" s="733"/>
      <c r="H3" s="733"/>
      <c r="I3" s="733"/>
      <c r="J3" s="733"/>
      <c r="K3" s="733"/>
      <c r="L3" s="733"/>
      <c r="M3" s="733"/>
      <c r="N3" s="733"/>
      <c r="O3" s="733"/>
      <c r="P3" s="733"/>
      <c r="Q3" s="733"/>
      <c r="R3" s="733"/>
      <c r="S3" s="733"/>
      <c r="T3" s="114"/>
      <c r="U3" s="117"/>
      <c r="V3" s="117"/>
      <c r="W3" s="117"/>
      <c r="X3" s="117"/>
    </row>
    <row r="4" spans="1:24" ht="15.5">
      <c r="A4" s="734" t="s">
        <v>213</v>
      </c>
      <c r="B4" s="734"/>
      <c r="C4" s="734"/>
      <c r="D4" s="734"/>
      <c r="E4" s="734"/>
      <c r="F4" s="734"/>
      <c r="G4" s="734"/>
      <c r="H4" s="734"/>
      <c r="I4" s="734"/>
      <c r="J4" s="734"/>
      <c r="K4" s="734"/>
      <c r="L4" s="734"/>
      <c r="M4" s="734"/>
      <c r="N4" s="734"/>
      <c r="O4" s="734"/>
      <c r="P4" s="734"/>
      <c r="Q4" s="734"/>
      <c r="R4" s="734"/>
      <c r="S4" s="734"/>
      <c r="T4" s="114"/>
      <c r="U4" s="117"/>
      <c r="V4" s="117"/>
      <c r="W4" s="117"/>
      <c r="X4" s="117"/>
    </row>
    <row r="5" spans="1:24" ht="15.5">
      <c r="A5" s="731" t="s">
        <v>214</v>
      </c>
      <c r="B5" s="731"/>
      <c r="C5" s="731"/>
      <c r="D5" s="731"/>
      <c r="E5" s="731"/>
      <c r="F5" s="731"/>
      <c r="G5" s="731"/>
      <c r="H5" s="731"/>
      <c r="I5" s="731"/>
      <c r="J5" s="731"/>
      <c r="K5" s="731"/>
      <c r="L5" s="731"/>
      <c r="M5" s="731"/>
      <c r="N5" s="731"/>
      <c r="O5" s="731"/>
      <c r="P5" s="731"/>
      <c r="Q5" s="731"/>
      <c r="R5" s="731"/>
      <c r="S5" s="731"/>
      <c r="T5" s="114"/>
      <c r="U5" s="117"/>
      <c r="V5" s="117"/>
      <c r="W5" s="117"/>
      <c r="X5" s="117"/>
    </row>
    <row r="6" spans="1:24" ht="26">
      <c r="A6" s="546"/>
      <c r="B6" s="496"/>
      <c r="C6" s="496"/>
      <c r="D6" s="496"/>
      <c r="E6" s="496"/>
      <c r="F6" s="496"/>
      <c r="G6" s="546"/>
      <c r="H6" s="496"/>
      <c r="I6" s="496"/>
      <c r="J6" s="496"/>
      <c r="K6" s="496"/>
      <c r="L6" s="496"/>
      <c r="M6" s="496"/>
      <c r="N6" s="496"/>
      <c r="O6" s="496"/>
      <c r="P6" s="496" t="s">
        <v>215</v>
      </c>
      <c r="Q6" s="496"/>
      <c r="R6" s="496"/>
      <c r="S6" s="546"/>
      <c r="T6" s="114"/>
      <c r="U6" s="117"/>
      <c r="V6" s="117"/>
      <c r="W6" s="117"/>
      <c r="X6" s="117"/>
    </row>
    <row r="7" spans="1:24" s="113" customFormat="1" ht="44.25" customHeight="1">
      <c r="A7" s="735" t="s">
        <v>68</v>
      </c>
      <c r="B7" s="735" t="s">
        <v>216</v>
      </c>
      <c r="C7" s="736" t="s">
        <v>862</v>
      </c>
      <c r="D7" s="735" t="s">
        <v>217</v>
      </c>
      <c r="E7" s="735" t="s">
        <v>218</v>
      </c>
      <c r="F7" s="735" t="s">
        <v>219</v>
      </c>
      <c r="G7" s="735" t="s">
        <v>220</v>
      </c>
      <c r="H7" s="735" t="s">
        <v>221</v>
      </c>
      <c r="I7" s="742" t="s">
        <v>222</v>
      </c>
      <c r="J7" s="735" t="s">
        <v>223</v>
      </c>
      <c r="K7" s="735" t="s">
        <v>224</v>
      </c>
      <c r="L7" s="735"/>
      <c r="M7" s="735"/>
      <c r="N7" s="735" t="s">
        <v>225</v>
      </c>
      <c r="O7" s="735" t="s">
        <v>226</v>
      </c>
      <c r="P7" s="735" t="s">
        <v>227</v>
      </c>
      <c r="Q7" s="735" t="s">
        <v>228</v>
      </c>
      <c r="R7" s="735" t="s">
        <v>229</v>
      </c>
      <c r="S7" s="735" t="s">
        <v>7</v>
      </c>
      <c r="T7" s="114"/>
      <c r="U7" s="117"/>
      <c r="V7" s="117"/>
      <c r="W7" s="117"/>
      <c r="X7" s="117"/>
    </row>
    <row r="8" spans="1:24" s="113" customFormat="1" ht="45.75" customHeight="1">
      <c r="A8" s="735"/>
      <c r="B8" s="735"/>
      <c r="C8" s="737"/>
      <c r="D8" s="735"/>
      <c r="E8" s="735"/>
      <c r="F8" s="735"/>
      <c r="G8" s="735"/>
      <c r="H8" s="735"/>
      <c r="I8" s="742"/>
      <c r="J8" s="735"/>
      <c r="K8" s="560" t="s">
        <v>230</v>
      </c>
      <c r="L8" s="560" t="s">
        <v>231</v>
      </c>
      <c r="M8" s="560" t="s">
        <v>232</v>
      </c>
      <c r="N8" s="735"/>
      <c r="O8" s="735"/>
      <c r="P8" s="735"/>
      <c r="Q8" s="735"/>
      <c r="R8" s="735"/>
      <c r="S8" s="735"/>
      <c r="T8" s="114"/>
      <c r="U8" s="117"/>
      <c r="V8" s="117"/>
      <c r="W8" s="117"/>
      <c r="X8" s="117"/>
    </row>
    <row r="9" spans="1:24" s="554" customFormat="1" ht="13">
      <c r="A9" s="79" t="s">
        <v>233</v>
      </c>
      <c r="B9" s="79" t="s">
        <v>234</v>
      </c>
      <c r="C9" s="79"/>
      <c r="D9" s="79" t="s">
        <v>235</v>
      </c>
      <c r="E9" s="80" t="s">
        <v>236</v>
      </c>
      <c r="F9" s="80" t="s">
        <v>237</v>
      </c>
      <c r="G9" s="80" t="s">
        <v>238</v>
      </c>
      <c r="H9" s="80" t="s">
        <v>239</v>
      </c>
      <c r="I9" s="80" t="s">
        <v>747</v>
      </c>
      <c r="J9" s="137" t="s">
        <v>240</v>
      </c>
      <c r="K9" s="80" t="s">
        <v>241</v>
      </c>
      <c r="L9" s="80" t="s">
        <v>242</v>
      </c>
      <c r="M9" s="80" t="s">
        <v>243</v>
      </c>
      <c r="N9" s="80" t="s">
        <v>244</v>
      </c>
      <c r="O9" s="80" t="s">
        <v>245</v>
      </c>
      <c r="P9" s="80" t="s">
        <v>246</v>
      </c>
      <c r="Q9" s="80" t="s">
        <v>247</v>
      </c>
      <c r="R9" s="80" t="s">
        <v>248</v>
      </c>
      <c r="S9" s="80" t="s">
        <v>249</v>
      </c>
      <c r="T9" s="552"/>
      <c r="U9" s="553"/>
      <c r="V9" s="553"/>
      <c r="W9" s="553"/>
      <c r="X9" s="553"/>
    </row>
    <row r="10" spans="1:24" s="113" customFormat="1" ht="13">
      <c r="A10" s="561" t="s">
        <v>79</v>
      </c>
      <c r="B10" s="562" t="s">
        <v>749</v>
      </c>
      <c r="C10" s="562"/>
      <c r="D10" s="563"/>
      <c r="E10" s="563"/>
      <c r="F10" s="563"/>
      <c r="G10" s="561"/>
      <c r="H10" s="563"/>
      <c r="I10" s="563"/>
      <c r="J10" s="563"/>
      <c r="K10" s="563"/>
      <c r="L10" s="563"/>
      <c r="M10" s="563"/>
      <c r="N10" s="563"/>
      <c r="O10" s="563"/>
      <c r="P10" s="563"/>
      <c r="Q10" s="563"/>
      <c r="R10" s="563"/>
      <c r="S10" s="563"/>
      <c r="T10" s="114"/>
      <c r="U10" s="117"/>
      <c r="V10" s="117"/>
      <c r="W10" s="117"/>
      <c r="X10" s="117"/>
    </row>
    <row r="11" spans="1:24" s="113" customFormat="1" ht="26">
      <c r="A11" s="564" t="s">
        <v>81</v>
      </c>
      <c r="B11" s="565" t="s">
        <v>250</v>
      </c>
      <c r="C11" s="565"/>
      <c r="D11" s="565"/>
      <c r="E11" s="565"/>
      <c r="F11" s="565"/>
      <c r="G11" s="564"/>
      <c r="H11" s="565"/>
      <c r="I11" s="565"/>
      <c r="J11" s="565"/>
      <c r="K11" s="565"/>
      <c r="L11" s="565"/>
      <c r="M11" s="565"/>
      <c r="N11" s="565"/>
      <c r="O11" s="565"/>
      <c r="P11" s="565"/>
      <c r="Q11" s="565"/>
      <c r="R11" s="565"/>
      <c r="S11" s="565"/>
      <c r="T11" s="114"/>
      <c r="U11" s="117"/>
      <c r="V11" s="117"/>
      <c r="W11" s="117"/>
      <c r="X11" s="117"/>
    </row>
    <row r="12" spans="1:24" s="113" customFormat="1" ht="13">
      <c r="A12" s="566">
        <v>1</v>
      </c>
      <c r="B12" s="567" t="s">
        <v>251</v>
      </c>
      <c r="C12" s="567"/>
      <c r="D12" s="567"/>
      <c r="E12" s="567"/>
      <c r="F12" s="567"/>
      <c r="G12" s="566"/>
      <c r="H12" s="567"/>
      <c r="I12" s="567"/>
      <c r="J12" s="567"/>
      <c r="K12" s="567"/>
      <c r="L12" s="567"/>
      <c r="M12" s="567"/>
      <c r="N12" s="567"/>
      <c r="O12" s="567"/>
      <c r="P12" s="567"/>
      <c r="Q12" s="567"/>
      <c r="R12" s="567"/>
      <c r="S12" s="567"/>
      <c r="T12" s="114"/>
      <c r="U12" s="117"/>
      <c r="V12" s="117"/>
      <c r="W12" s="117"/>
      <c r="X12" s="117"/>
    </row>
    <row r="13" spans="1:24" s="107" customFormat="1" ht="13">
      <c r="A13" s="586" t="s">
        <v>252</v>
      </c>
      <c r="B13" s="587" t="s">
        <v>253</v>
      </c>
      <c r="C13" s="587"/>
      <c r="D13" s="635">
        <f>SUM(D14:D45)</f>
        <v>106</v>
      </c>
      <c r="E13" s="633"/>
      <c r="F13" s="635">
        <f>SUM(F14:F45)</f>
        <v>133.79666666666674</v>
      </c>
      <c r="G13" s="633"/>
      <c r="H13" s="635">
        <f>SUM(H14:H45)</f>
        <v>12441</v>
      </c>
      <c r="I13" s="635">
        <f>SUM(I14:I45)</f>
        <v>38988.6</v>
      </c>
      <c r="J13" s="635">
        <f>SUM(J14:J45)</f>
        <v>9055.9980000000014</v>
      </c>
      <c r="K13" s="586"/>
      <c r="L13" s="586"/>
      <c r="M13" s="586"/>
      <c r="N13" s="586"/>
      <c r="O13" s="586"/>
      <c r="P13" s="586"/>
      <c r="Q13" s="586"/>
      <c r="R13" s="586"/>
      <c r="S13" s="589"/>
      <c r="T13" s="494"/>
      <c r="U13" s="495"/>
      <c r="V13" s="495"/>
      <c r="W13" s="495"/>
      <c r="X13" s="495"/>
    </row>
    <row r="14" spans="1:24" s="107" customFormat="1">
      <c r="A14" s="570" t="s">
        <v>254</v>
      </c>
      <c r="B14" s="578" t="s">
        <v>913</v>
      </c>
      <c r="C14" s="579">
        <v>1</v>
      </c>
      <c r="D14" s="579">
        <v>2</v>
      </c>
      <c r="E14" s="254">
        <v>1</v>
      </c>
      <c r="F14" s="573">
        <f>H14/75</f>
        <v>5.333333333333333</v>
      </c>
      <c r="G14" s="254">
        <v>1.3</v>
      </c>
      <c r="H14" s="677">
        <f>'Bieu 1a DH Chinh quy'!$D$21</f>
        <v>400</v>
      </c>
      <c r="I14" s="254">
        <f>D14*E14*H14</f>
        <v>800</v>
      </c>
      <c r="J14" s="634">
        <f>D14*F14*G14*16.5</f>
        <v>228.8</v>
      </c>
      <c r="K14" s="405"/>
      <c r="L14" s="405"/>
      <c r="M14" s="405"/>
      <c r="N14" s="405"/>
      <c r="O14" s="405"/>
      <c r="P14" s="405"/>
      <c r="Q14" s="405"/>
      <c r="R14" s="405"/>
      <c r="S14" s="569"/>
      <c r="T14" s="494"/>
      <c r="U14" s="495"/>
      <c r="V14" s="495"/>
      <c r="W14" s="495"/>
      <c r="X14" s="495"/>
    </row>
    <row r="15" spans="1:24" s="107" customFormat="1">
      <c r="A15" s="570" t="s">
        <v>256</v>
      </c>
      <c r="B15" s="578" t="s">
        <v>912</v>
      </c>
      <c r="C15" s="579">
        <v>1</v>
      </c>
      <c r="D15" s="579">
        <v>4</v>
      </c>
      <c r="E15" s="254">
        <v>1</v>
      </c>
      <c r="F15" s="573">
        <f>H15/75</f>
        <v>5.333333333333333</v>
      </c>
      <c r="G15" s="254">
        <v>1.3</v>
      </c>
      <c r="H15" s="677">
        <f>'Bieu 1a DH Chinh quy'!$D$21</f>
        <v>400</v>
      </c>
      <c r="I15" s="254">
        <f t="shared" ref="I15:I37" si="0">D15*E15*H15</f>
        <v>1600</v>
      </c>
      <c r="J15" s="634">
        <f t="shared" ref="J15:J37" si="1">D15*F15*G15*16.5</f>
        <v>457.6</v>
      </c>
      <c r="K15" s="405"/>
      <c r="L15" s="405"/>
      <c r="M15" s="405"/>
      <c r="N15" s="405"/>
      <c r="O15" s="405"/>
      <c r="P15" s="405"/>
      <c r="Q15" s="405"/>
      <c r="R15" s="405"/>
      <c r="S15" s="569"/>
      <c r="T15" s="494"/>
      <c r="U15" s="495"/>
      <c r="V15" s="495"/>
      <c r="W15" s="495"/>
      <c r="X15" s="495"/>
    </row>
    <row r="16" spans="1:24" s="107" customFormat="1">
      <c r="A16" s="570" t="s">
        <v>257</v>
      </c>
      <c r="B16" s="578" t="s">
        <v>911</v>
      </c>
      <c r="C16" s="579"/>
      <c r="D16" s="579">
        <v>3</v>
      </c>
      <c r="E16" s="254">
        <v>1</v>
      </c>
      <c r="F16" s="573">
        <f>'Bieu 1a DH Chinh quy'!$D$28/'Bieu 2a DH va tren DH'!H16</f>
        <v>1</v>
      </c>
      <c r="G16" s="254">
        <v>1.3</v>
      </c>
      <c r="H16" s="254">
        <v>400</v>
      </c>
      <c r="I16" s="254">
        <f t="shared" si="0"/>
        <v>1200</v>
      </c>
      <c r="J16" s="634">
        <f t="shared" si="1"/>
        <v>64.350000000000009</v>
      </c>
      <c r="K16" s="405"/>
      <c r="L16" s="405"/>
      <c r="M16" s="405"/>
      <c r="N16" s="405"/>
      <c r="O16" s="405"/>
      <c r="P16" s="405"/>
      <c r="Q16" s="405"/>
      <c r="R16" s="405"/>
      <c r="S16" s="569"/>
      <c r="T16" s="494"/>
      <c r="U16" s="495"/>
      <c r="V16" s="495"/>
      <c r="W16" s="495"/>
      <c r="X16" s="495"/>
    </row>
    <row r="17" spans="1:24" s="107" customFormat="1">
      <c r="A17" s="570" t="s">
        <v>258</v>
      </c>
      <c r="B17" s="578" t="s">
        <v>840</v>
      </c>
      <c r="C17" s="579">
        <v>2</v>
      </c>
      <c r="D17" s="579">
        <v>3</v>
      </c>
      <c r="E17" s="254">
        <v>1</v>
      </c>
      <c r="F17" s="573">
        <f>H17/75</f>
        <v>8.32</v>
      </c>
      <c r="G17" s="254">
        <v>1.3</v>
      </c>
      <c r="H17" s="677">
        <f>'Bieu 1a DH Chinh quy'!$D$13</f>
        <v>624</v>
      </c>
      <c r="I17" s="254">
        <f t="shared" si="0"/>
        <v>1872</v>
      </c>
      <c r="J17" s="634">
        <f t="shared" si="1"/>
        <v>535.39200000000005</v>
      </c>
      <c r="K17" s="405"/>
      <c r="L17" s="405"/>
      <c r="M17" s="405"/>
      <c r="N17" s="405"/>
      <c r="O17" s="405"/>
      <c r="P17" s="405"/>
      <c r="Q17" s="405"/>
      <c r="R17" s="405"/>
      <c r="S17" s="569"/>
      <c r="T17" s="494"/>
      <c r="U17" s="495"/>
      <c r="V17" s="495"/>
      <c r="W17" s="495"/>
      <c r="X17" s="495"/>
    </row>
    <row r="18" spans="1:24" s="107" customFormat="1">
      <c r="A18" s="570" t="s">
        <v>259</v>
      </c>
      <c r="B18" s="578" t="s">
        <v>815</v>
      </c>
      <c r="C18" s="579">
        <v>3</v>
      </c>
      <c r="D18" s="579">
        <v>3</v>
      </c>
      <c r="E18" s="254">
        <v>1</v>
      </c>
      <c r="F18" s="573">
        <f t="shared" ref="F18:F23" si="2">H18/75</f>
        <v>8.32</v>
      </c>
      <c r="G18" s="254">
        <v>1.3</v>
      </c>
      <c r="H18" s="677">
        <f>'Bieu 1a DH Chinh quy'!$D$13</f>
        <v>624</v>
      </c>
      <c r="I18" s="254">
        <f t="shared" si="0"/>
        <v>1872</v>
      </c>
      <c r="J18" s="634">
        <f t="shared" si="1"/>
        <v>535.39200000000005</v>
      </c>
      <c r="K18" s="254"/>
      <c r="L18" s="254"/>
      <c r="M18" s="254"/>
      <c r="N18" s="254"/>
      <c r="O18" s="254"/>
      <c r="P18" s="254"/>
      <c r="Q18" s="254"/>
      <c r="R18" s="254"/>
      <c r="S18" s="545"/>
      <c r="T18" s="494"/>
      <c r="U18" s="495"/>
      <c r="V18" s="495"/>
      <c r="W18" s="495"/>
      <c r="X18" s="495"/>
    </row>
    <row r="19" spans="1:24" s="107" customFormat="1">
      <c r="A19" s="570" t="s">
        <v>260</v>
      </c>
      <c r="B19" s="578" t="s">
        <v>910</v>
      </c>
      <c r="C19" s="579">
        <v>3</v>
      </c>
      <c r="D19" s="579">
        <v>3</v>
      </c>
      <c r="E19" s="254">
        <v>1</v>
      </c>
      <c r="F19" s="573">
        <f t="shared" si="2"/>
        <v>8.32</v>
      </c>
      <c r="G19" s="254">
        <v>1.3</v>
      </c>
      <c r="H19" s="677">
        <f>'Bieu 1a DH Chinh quy'!$D$13</f>
        <v>624</v>
      </c>
      <c r="I19" s="254">
        <f t="shared" si="0"/>
        <v>1872</v>
      </c>
      <c r="J19" s="634">
        <f t="shared" si="1"/>
        <v>535.39200000000005</v>
      </c>
      <c r="K19" s="254"/>
      <c r="L19" s="254"/>
      <c r="M19" s="254"/>
      <c r="N19" s="254"/>
      <c r="O19" s="254"/>
      <c r="P19" s="254"/>
      <c r="Q19" s="254"/>
      <c r="R19" s="254"/>
      <c r="S19" s="545"/>
      <c r="T19" s="494"/>
      <c r="U19" s="495"/>
      <c r="V19" s="495"/>
      <c r="W19" s="495"/>
      <c r="X19" s="495"/>
    </row>
    <row r="20" spans="1:24" s="107" customFormat="1">
      <c r="A20" s="570" t="s">
        <v>789</v>
      </c>
      <c r="B20" s="578" t="s">
        <v>841</v>
      </c>
      <c r="C20" s="579">
        <v>3</v>
      </c>
      <c r="D20" s="579">
        <v>2</v>
      </c>
      <c r="E20" s="254">
        <v>1</v>
      </c>
      <c r="F20" s="573">
        <f>H20/75/3</f>
        <v>2.7733333333333334</v>
      </c>
      <c r="G20" s="254">
        <v>1.3</v>
      </c>
      <c r="H20" s="677">
        <f>'Bieu 1a DH Chinh quy'!$D$13</f>
        <v>624</v>
      </c>
      <c r="I20" s="254">
        <f t="shared" si="0"/>
        <v>1248</v>
      </c>
      <c r="J20" s="634">
        <f t="shared" si="1"/>
        <v>118.97600000000001</v>
      </c>
      <c r="K20" s="254"/>
      <c r="L20" s="254"/>
      <c r="M20" s="254"/>
      <c r="N20" s="254"/>
      <c r="O20" s="254"/>
      <c r="P20" s="254"/>
      <c r="Q20" s="254"/>
      <c r="R20" s="254"/>
      <c r="S20" s="545"/>
      <c r="T20" s="494"/>
      <c r="U20" s="495"/>
      <c r="V20" s="495"/>
      <c r="W20" s="495"/>
      <c r="X20" s="495"/>
    </row>
    <row r="21" spans="1:24" s="107" customFormat="1">
      <c r="A21" s="570" t="s">
        <v>790</v>
      </c>
      <c r="B21" s="578" t="s">
        <v>842</v>
      </c>
      <c r="C21" s="579">
        <v>3</v>
      </c>
      <c r="D21" s="579">
        <v>2</v>
      </c>
      <c r="E21" s="254">
        <v>1</v>
      </c>
      <c r="F21" s="573">
        <f t="shared" ref="F21:F22" si="3">H21/75/3</f>
        <v>2.7733333333333334</v>
      </c>
      <c r="G21" s="254">
        <v>1.3</v>
      </c>
      <c r="H21" s="677">
        <f>'Bieu 1a DH Chinh quy'!$D$13</f>
        <v>624</v>
      </c>
      <c r="I21" s="254">
        <f t="shared" si="0"/>
        <v>1248</v>
      </c>
      <c r="J21" s="634">
        <f t="shared" si="1"/>
        <v>118.97600000000001</v>
      </c>
      <c r="K21" s="254"/>
      <c r="L21" s="254"/>
      <c r="M21" s="254"/>
      <c r="N21" s="254"/>
      <c r="O21" s="254"/>
      <c r="P21" s="254"/>
      <c r="Q21" s="254"/>
      <c r="R21" s="254"/>
      <c r="S21" s="545"/>
      <c r="T21" s="494"/>
      <c r="U21" s="495"/>
      <c r="V21" s="495"/>
      <c r="W21" s="495"/>
      <c r="X21" s="495"/>
    </row>
    <row r="22" spans="1:24" s="107" customFormat="1">
      <c r="A22" s="570" t="s">
        <v>791</v>
      </c>
      <c r="B22" s="578" t="s">
        <v>843</v>
      </c>
      <c r="C22" s="579">
        <v>3</v>
      </c>
      <c r="D22" s="579">
        <v>2</v>
      </c>
      <c r="E22" s="254">
        <v>1</v>
      </c>
      <c r="F22" s="573">
        <f t="shared" si="3"/>
        <v>2.7733333333333334</v>
      </c>
      <c r="G22" s="254">
        <v>1.3</v>
      </c>
      <c r="H22" s="677">
        <f>'Bieu 1a DH Chinh quy'!$D$13</f>
        <v>624</v>
      </c>
      <c r="I22" s="254">
        <f t="shared" si="0"/>
        <v>1248</v>
      </c>
      <c r="J22" s="634">
        <f t="shared" si="1"/>
        <v>118.97600000000001</v>
      </c>
      <c r="K22" s="254"/>
      <c r="L22" s="254"/>
      <c r="M22" s="254"/>
      <c r="N22" s="254"/>
      <c r="O22" s="254"/>
      <c r="P22" s="254"/>
      <c r="Q22" s="254"/>
      <c r="R22" s="254"/>
      <c r="S22" s="545"/>
      <c r="T22" s="494"/>
      <c r="U22" s="495"/>
      <c r="V22" s="495"/>
      <c r="W22" s="495"/>
      <c r="X22" s="495"/>
    </row>
    <row r="23" spans="1:24" s="107" customFormat="1">
      <c r="A23" s="570" t="s">
        <v>792</v>
      </c>
      <c r="B23" s="578" t="s">
        <v>817</v>
      </c>
      <c r="C23" s="579">
        <v>3</v>
      </c>
      <c r="D23" s="579">
        <v>3</v>
      </c>
      <c r="E23" s="254">
        <v>1</v>
      </c>
      <c r="F23" s="573">
        <f t="shared" si="2"/>
        <v>8.32</v>
      </c>
      <c r="G23" s="254">
        <v>1.3</v>
      </c>
      <c r="H23" s="677">
        <f>'Bieu 1a DH Chinh quy'!$D$13</f>
        <v>624</v>
      </c>
      <c r="I23" s="254">
        <f t="shared" si="0"/>
        <v>1872</v>
      </c>
      <c r="J23" s="634">
        <f t="shared" si="1"/>
        <v>535.39200000000005</v>
      </c>
      <c r="K23" s="254"/>
      <c r="L23" s="254"/>
      <c r="M23" s="254"/>
      <c r="N23" s="254"/>
      <c r="O23" s="254"/>
      <c r="P23" s="254"/>
      <c r="Q23" s="254"/>
      <c r="R23" s="254"/>
      <c r="S23" s="545"/>
      <c r="T23" s="494"/>
      <c r="U23" s="495"/>
      <c r="V23" s="495"/>
      <c r="W23" s="495"/>
      <c r="X23" s="495"/>
    </row>
    <row r="24" spans="1:24" s="107" customFormat="1">
      <c r="A24" s="570" t="s">
        <v>793</v>
      </c>
      <c r="B24" s="578" t="s">
        <v>818</v>
      </c>
      <c r="C24" s="579">
        <v>4</v>
      </c>
      <c r="D24" s="579">
        <v>4</v>
      </c>
      <c r="E24" s="254">
        <v>1</v>
      </c>
      <c r="F24" s="573">
        <f t="shared" ref="F24:F31" si="4">H24/75</f>
        <v>5.84</v>
      </c>
      <c r="G24" s="254">
        <v>1.3</v>
      </c>
      <c r="H24" s="677">
        <f>'Bieu 1a DH Chinh quy'!$D$12</f>
        <v>438</v>
      </c>
      <c r="I24" s="254">
        <f t="shared" si="0"/>
        <v>1752</v>
      </c>
      <c r="J24" s="634">
        <f t="shared" si="1"/>
        <v>501.072</v>
      </c>
      <c r="K24" s="254"/>
      <c r="L24" s="254"/>
      <c r="M24" s="254"/>
      <c r="N24" s="254"/>
      <c r="O24" s="254"/>
      <c r="P24" s="254"/>
      <c r="Q24" s="254"/>
      <c r="R24" s="254"/>
      <c r="S24" s="545"/>
      <c r="T24" s="494"/>
      <c r="U24" s="495"/>
      <c r="V24" s="495"/>
      <c r="W24" s="495"/>
      <c r="X24" s="495"/>
    </row>
    <row r="25" spans="1:24" s="107" customFormat="1">
      <c r="A25" s="570" t="s">
        <v>794</v>
      </c>
      <c r="B25" s="578" t="s">
        <v>844</v>
      </c>
      <c r="C25" s="579">
        <v>4</v>
      </c>
      <c r="D25" s="579">
        <v>3</v>
      </c>
      <c r="E25" s="254">
        <v>1</v>
      </c>
      <c r="F25" s="573">
        <f t="shared" si="4"/>
        <v>5.84</v>
      </c>
      <c r="G25" s="254">
        <v>1.3</v>
      </c>
      <c r="H25" s="677">
        <f>'Bieu 1a DH Chinh quy'!$D$12</f>
        <v>438</v>
      </c>
      <c r="I25" s="254">
        <f t="shared" si="0"/>
        <v>1314</v>
      </c>
      <c r="J25" s="634">
        <f t="shared" si="1"/>
        <v>375.80399999999997</v>
      </c>
      <c r="K25" s="254"/>
      <c r="L25" s="254"/>
      <c r="M25" s="254"/>
      <c r="N25" s="254"/>
      <c r="O25" s="254"/>
      <c r="P25" s="254"/>
      <c r="Q25" s="254"/>
      <c r="R25" s="254"/>
      <c r="S25" s="545"/>
      <c r="T25" s="494"/>
      <c r="U25" s="495"/>
      <c r="V25" s="495"/>
      <c r="W25" s="495"/>
      <c r="X25" s="495"/>
    </row>
    <row r="26" spans="1:24" s="107" customFormat="1">
      <c r="A26" s="570" t="s">
        <v>795</v>
      </c>
      <c r="B26" s="578" t="s">
        <v>845</v>
      </c>
      <c r="C26" s="579">
        <v>5</v>
      </c>
      <c r="D26" s="579">
        <v>2</v>
      </c>
      <c r="E26" s="254">
        <v>1</v>
      </c>
      <c r="F26" s="573">
        <f>H26/75/3</f>
        <v>1.9466666666666665</v>
      </c>
      <c r="G26" s="254">
        <v>1.3</v>
      </c>
      <c r="H26" s="677">
        <f>'Bieu 1a DH Chinh quy'!$D$12</f>
        <v>438</v>
      </c>
      <c r="I26" s="254">
        <f t="shared" si="0"/>
        <v>876</v>
      </c>
      <c r="J26" s="634">
        <f t="shared" si="1"/>
        <v>83.511999999999986</v>
      </c>
      <c r="K26" s="254"/>
      <c r="L26" s="254"/>
      <c r="M26" s="254"/>
      <c r="N26" s="254"/>
      <c r="O26" s="254"/>
      <c r="P26" s="254"/>
      <c r="Q26" s="254"/>
      <c r="R26" s="254"/>
      <c r="S26" s="545"/>
      <c r="T26" s="494"/>
      <c r="U26" s="495"/>
      <c r="V26" s="495"/>
      <c r="W26" s="495"/>
      <c r="X26" s="495"/>
    </row>
    <row r="27" spans="1:24" s="107" customFormat="1">
      <c r="A27" s="570" t="s">
        <v>796</v>
      </c>
      <c r="B27" s="578" t="s">
        <v>846</v>
      </c>
      <c r="C27" s="579">
        <v>5</v>
      </c>
      <c r="D27" s="579">
        <v>2</v>
      </c>
      <c r="E27" s="254">
        <v>1</v>
      </c>
      <c r="F27" s="573">
        <f>H27/75/3</f>
        <v>1.9466666666666665</v>
      </c>
      <c r="G27" s="254">
        <v>1.3</v>
      </c>
      <c r="H27" s="677">
        <f>'Bieu 1a DH Chinh quy'!$D$12</f>
        <v>438</v>
      </c>
      <c r="I27" s="254">
        <f t="shared" si="0"/>
        <v>876</v>
      </c>
      <c r="J27" s="634">
        <f t="shared" si="1"/>
        <v>83.511999999999986</v>
      </c>
      <c r="K27" s="254"/>
      <c r="L27" s="254"/>
      <c r="M27" s="254"/>
      <c r="N27" s="254"/>
      <c r="O27" s="254"/>
      <c r="P27" s="254"/>
      <c r="Q27" s="254"/>
      <c r="R27" s="254"/>
      <c r="S27" s="545"/>
      <c r="T27" s="494"/>
      <c r="U27" s="495"/>
      <c r="V27" s="495"/>
      <c r="W27" s="495"/>
      <c r="X27" s="495"/>
    </row>
    <row r="28" spans="1:24" s="107" customFormat="1">
      <c r="A28" s="570" t="s">
        <v>797</v>
      </c>
      <c r="B28" s="578" t="s">
        <v>813</v>
      </c>
      <c r="C28" s="579">
        <v>5</v>
      </c>
      <c r="D28" s="579">
        <v>3</v>
      </c>
      <c r="E28" s="254">
        <v>1</v>
      </c>
      <c r="F28" s="573">
        <f t="shared" si="4"/>
        <v>5.84</v>
      </c>
      <c r="G28" s="254">
        <v>1.3</v>
      </c>
      <c r="H28" s="677">
        <f>'Bieu 1a DH Chinh quy'!$D$12</f>
        <v>438</v>
      </c>
      <c r="I28" s="254">
        <f t="shared" si="0"/>
        <v>1314</v>
      </c>
      <c r="J28" s="634">
        <f t="shared" si="1"/>
        <v>375.80399999999997</v>
      </c>
      <c r="K28" s="254"/>
      <c r="L28" s="254"/>
      <c r="M28" s="254"/>
      <c r="N28" s="254"/>
      <c r="O28" s="254"/>
      <c r="P28" s="254"/>
      <c r="Q28" s="254"/>
      <c r="R28" s="254"/>
      <c r="S28" s="545"/>
      <c r="T28" s="494"/>
      <c r="U28" s="495"/>
      <c r="V28" s="495"/>
      <c r="W28" s="495"/>
      <c r="X28" s="495"/>
    </row>
    <row r="29" spans="1:24" s="107" customFormat="1">
      <c r="A29" s="570" t="s">
        <v>798</v>
      </c>
      <c r="B29" s="578" t="s">
        <v>847</v>
      </c>
      <c r="C29" s="579">
        <v>5</v>
      </c>
      <c r="D29" s="579">
        <v>2</v>
      </c>
      <c r="E29" s="254">
        <v>1</v>
      </c>
      <c r="F29" s="573">
        <f>H29/75/3</f>
        <v>1.9466666666666665</v>
      </c>
      <c r="G29" s="254">
        <v>1.3</v>
      </c>
      <c r="H29" s="677">
        <f>'Bieu 1a DH Chinh quy'!$D$12</f>
        <v>438</v>
      </c>
      <c r="I29" s="254">
        <f t="shared" si="0"/>
        <v>876</v>
      </c>
      <c r="J29" s="634">
        <f t="shared" si="1"/>
        <v>83.511999999999986</v>
      </c>
      <c r="K29" s="254"/>
      <c r="L29" s="254"/>
      <c r="M29" s="254"/>
      <c r="N29" s="254"/>
      <c r="O29" s="254"/>
      <c r="P29" s="254"/>
      <c r="Q29" s="254"/>
      <c r="R29" s="254"/>
      <c r="S29" s="545"/>
      <c r="T29" s="494"/>
      <c r="U29" s="495"/>
      <c r="V29" s="495"/>
      <c r="W29" s="495"/>
      <c r="X29" s="495"/>
    </row>
    <row r="30" spans="1:24" s="107" customFormat="1">
      <c r="A30" s="570" t="s">
        <v>799</v>
      </c>
      <c r="B30" s="578" t="s">
        <v>848</v>
      </c>
      <c r="C30" s="579">
        <v>5</v>
      </c>
      <c r="D30" s="579">
        <v>5</v>
      </c>
      <c r="E30" s="254">
        <v>1</v>
      </c>
      <c r="F30" s="573">
        <f t="shared" si="4"/>
        <v>5.84</v>
      </c>
      <c r="G30" s="254">
        <v>1.3</v>
      </c>
      <c r="H30" s="677">
        <f>'Bieu 1a DH Chinh quy'!$D$12</f>
        <v>438</v>
      </c>
      <c r="I30" s="254">
        <f t="shared" si="0"/>
        <v>2190</v>
      </c>
      <c r="J30" s="634">
        <f t="shared" si="1"/>
        <v>626.34</v>
      </c>
      <c r="K30" s="254"/>
      <c r="L30" s="254"/>
      <c r="M30" s="254"/>
      <c r="N30" s="254"/>
      <c r="O30" s="254"/>
      <c r="P30" s="254"/>
      <c r="Q30" s="254"/>
      <c r="R30" s="254"/>
      <c r="S30" s="545"/>
      <c r="T30" s="494"/>
      <c r="U30" s="495"/>
      <c r="V30" s="495"/>
      <c r="W30" s="495"/>
      <c r="X30" s="495"/>
    </row>
    <row r="31" spans="1:24" s="107" customFormat="1">
      <c r="A31" s="570" t="s">
        <v>800</v>
      </c>
      <c r="B31" s="578" t="s">
        <v>849</v>
      </c>
      <c r="C31" s="579">
        <v>5</v>
      </c>
      <c r="D31" s="579">
        <v>3</v>
      </c>
      <c r="E31" s="254">
        <v>1</v>
      </c>
      <c r="F31" s="573">
        <f t="shared" si="4"/>
        <v>5.84</v>
      </c>
      <c r="G31" s="254">
        <v>1.3</v>
      </c>
      <c r="H31" s="677">
        <f>'Bieu 1a DH Chinh quy'!$D$12</f>
        <v>438</v>
      </c>
      <c r="I31" s="254">
        <f t="shared" si="0"/>
        <v>1314</v>
      </c>
      <c r="J31" s="634">
        <f t="shared" si="1"/>
        <v>375.80399999999997</v>
      </c>
      <c r="K31" s="254"/>
      <c r="L31" s="254"/>
      <c r="M31" s="254"/>
      <c r="N31" s="254"/>
      <c r="O31" s="254"/>
      <c r="P31" s="254"/>
      <c r="Q31" s="254"/>
      <c r="R31" s="254"/>
      <c r="S31" s="545"/>
      <c r="T31" s="494"/>
      <c r="U31" s="495"/>
      <c r="V31" s="495"/>
      <c r="W31" s="495"/>
      <c r="X31" s="495"/>
    </row>
    <row r="32" spans="1:24" s="107" customFormat="1">
      <c r="A32" s="570" t="s">
        <v>801</v>
      </c>
      <c r="B32" s="578" t="s">
        <v>850</v>
      </c>
      <c r="C32" s="579">
        <v>6</v>
      </c>
      <c r="D32" s="579">
        <v>5</v>
      </c>
      <c r="E32" s="254">
        <v>1</v>
      </c>
      <c r="F32" s="573">
        <f>H32/75</f>
        <v>3.28</v>
      </c>
      <c r="G32" s="254">
        <v>1.3</v>
      </c>
      <c r="H32" s="677">
        <f>'Bieu 1a DH Chinh quy'!$D$11</f>
        <v>246</v>
      </c>
      <c r="I32" s="254">
        <f t="shared" si="0"/>
        <v>1230</v>
      </c>
      <c r="J32" s="634">
        <f t="shared" si="1"/>
        <v>351.78000000000003</v>
      </c>
      <c r="K32" s="254"/>
      <c r="L32" s="254"/>
      <c r="M32" s="254"/>
      <c r="N32" s="254"/>
      <c r="O32" s="254"/>
      <c r="P32" s="254"/>
      <c r="Q32" s="254"/>
      <c r="R32" s="254"/>
      <c r="S32" s="545"/>
      <c r="T32" s="494"/>
      <c r="U32" s="495"/>
      <c r="V32" s="495"/>
      <c r="W32" s="495"/>
      <c r="X32" s="495"/>
    </row>
    <row r="33" spans="1:24" s="107" customFormat="1">
      <c r="A33" s="570" t="s">
        <v>802</v>
      </c>
      <c r="B33" s="578" t="s">
        <v>851</v>
      </c>
      <c r="C33" s="579">
        <v>6</v>
      </c>
      <c r="D33" s="579">
        <v>5</v>
      </c>
      <c r="E33" s="254">
        <v>1</v>
      </c>
      <c r="F33" s="573">
        <f t="shared" ref="F33:F44" si="5">H33/75</f>
        <v>3.28</v>
      </c>
      <c r="G33" s="254">
        <v>1.3</v>
      </c>
      <c r="H33" s="677">
        <f>'Bieu 1a DH Chinh quy'!$D$11</f>
        <v>246</v>
      </c>
      <c r="I33" s="254">
        <f t="shared" si="0"/>
        <v>1230</v>
      </c>
      <c r="J33" s="634">
        <f t="shared" si="1"/>
        <v>351.78000000000003</v>
      </c>
      <c r="K33" s="254"/>
      <c r="L33" s="254"/>
      <c r="M33" s="254"/>
      <c r="N33" s="254"/>
      <c r="O33" s="254"/>
      <c r="P33" s="254"/>
      <c r="Q33" s="254"/>
      <c r="R33" s="254"/>
      <c r="S33" s="545"/>
      <c r="T33" s="494"/>
      <c r="U33" s="495"/>
      <c r="V33" s="495"/>
      <c r="W33" s="495"/>
      <c r="X33" s="495"/>
    </row>
    <row r="34" spans="1:24" s="107" customFormat="1">
      <c r="A34" s="570" t="s">
        <v>803</v>
      </c>
      <c r="B34" s="578" t="s">
        <v>852</v>
      </c>
      <c r="C34" s="579">
        <v>6</v>
      </c>
      <c r="D34" s="579">
        <v>5</v>
      </c>
      <c r="E34" s="254">
        <v>1</v>
      </c>
      <c r="F34" s="573">
        <f t="shared" si="5"/>
        <v>3.28</v>
      </c>
      <c r="G34" s="254">
        <v>1.3</v>
      </c>
      <c r="H34" s="677">
        <f>'Bieu 1a DH Chinh quy'!$D$11</f>
        <v>246</v>
      </c>
      <c r="I34" s="254">
        <f t="shared" si="0"/>
        <v>1230</v>
      </c>
      <c r="J34" s="634">
        <f t="shared" si="1"/>
        <v>351.78000000000003</v>
      </c>
      <c r="K34" s="254"/>
      <c r="L34" s="254"/>
      <c r="M34" s="254"/>
      <c r="N34" s="254"/>
      <c r="O34" s="254"/>
      <c r="P34" s="254"/>
      <c r="Q34" s="254"/>
      <c r="R34" s="254"/>
      <c r="S34" s="545"/>
      <c r="T34" s="494"/>
      <c r="U34" s="495"/>
      <c r="V34" s="495"/>
      <c r="W34" s="495"/>
      <c r="X34" s="495"/>
    </row>
    <row r="35" spans="1:24" s="107" customFormat="1">
      <c r="A35" s="570" t="s">
        <v>804</v>
      </c>
      <c r="B35" s="578" t="s">
        <v>814</v>
      </c>
      <c r="C35" s="579">
        <v>6</v>
      </c>
      <c r="D35" s="579">
        <v>2</v>
      </c>
      <c r="E35" s="254">
        <v>1.3</v>
      </c>
      <c r="F35" s="573">
        <f>H35/24</f>
        <v>10.25</v>
      </c>
      <c r="G35" s="254">
        <v>1</v>
      </c>
      <c r="H35" s="677">
        <f>'Bieu 1a DH Chinh quy'!$D$11</f>
        <v>246</v>
      </c>
      <c r="I35" s="254">
        <f t="shared" si="0"/>
        <v>639.6</v>
      </c>
      <c r="J35" s="634">
        <f>D35*F35*G35*15</f>
        <v>307.5</v>
      </c>
      <c r="K35" s="254"/>
      <c r="L35" s="254"/>
      <c r="M35" s="254"/>
      <c r="N35" s="254"/>
      <c r="O35" s="254"/>
      <c r="P35" s="254"/>
      <c r="Q35" s="254"/>
      <c r="R35" s="254"/>
      <c r="S35" s="545"/>
      <c r="T35" s="494"/>
      <c r="U35" s="495"/>
      <c r="V35" s="495"/>
      <c r="W35" s="495"/>
      <c r="X35" s="495"/>
    </row>
    <row r="36" spans="1:24" s="107" customFormat="1" ht="29">
      <c r="A36" s="570" t="s">
        <v>805</v>
      </c>
      <c r="B36" s="578" t="s">
        <v>853</v>
      </c>
      <c r="C36" s="579">
        <v>7</v>
      </c>
      <c r="D36" s="579">
        <v>4</v>
      </c>
      <c r="E36" s="254">
        <v>1</v>
      </c>
      <c r="F36" s="573">
        <f>H36/75/5</f>
        <v>0.65599999999999992</v>
      </c>
      <c r="G36" s="254">
        <v>1.3</v>
      </c>
      <c r="H36" s="677">
        <f>'Bieu 1a DH Chinh quy'!$D$11</f>
        <v>246</v>
      </c>
      <c r="I36" s="254">
        <f t="shared" si="0"/>
        <v>984</v>
      </c>
      <c r="J36" s="634">
        <f t="shared" si="1"/>
        <v>56.28479999999999</v>
      </c>
      <c r="K36" s="254"/>
      <c r="L36" s="254"/>
      <c r="M36" s="254"/>
      <c r="N36" s="254"/>
      <c r="O36" s="254"/>
      <c r="P36" s="254"/>
      <c r="Q36" s="254"/>
      <c r="R36" s="254"/>
      <c r="S36" s="545"/>
      <c r="T36" s="494"/>
      <c r="U36" s="495"/>
      <c r="V36" s="495"/>
      <c r="W36" s="495"/>
      <c r="X36" s="495"/>
    </row>
    <row r="37" spans="1:24" s="107" customFormat="1" ht="29">
      <c r="A37" s="570" t="s">
        <v>806</v>
      </c>
      <c r="B37" s="578" t="s">
        <v>854</v>
      </c>
      <c r="C37" s="579">
        <v>7</v>
      </c>
      <c r="D37" s="579">
        <v>4</v>
      </c>
      <c r="E37" s="254">
        <v>1</v>
      </c>
      <c r="F37" s="573">
        <f t="shared" ref="F37:F40" si="6">H37/75/5</f>
        <v>0.65599999999999992</v>
      </c>
      <c r="G37" s="254">
        <v>1.3</v>
      </c>
      <c r="H37" s="677">
        <f>'Bieu 1a DH Chinh quy'!$D$11</f>
        <v>246</v>
      </c>
      <c r="I37" s="254">
        <f t="shared" si="0"/>
        <v>984</v>
      </c>
      <c r="J37" s="634">
        <f t="shared" si="1"/>
        <v>56.28479999999999</v>
      </c>
      <c r="K37" s="254"/>
      <c r="L37" s="254"/>
      <c r="M37" s="254"/>
      <c r="N37" s="254"/>
      <c r="O37" s="254"/>
      <c r="P37" s="254"/>
      <c r="Q37" s="254"/>
      <c r="R37" s="254"/>
      <c r="S37" s="545"/>
      <c r="T37" s="494"/>
      <c r="U37" s="495"/>
      <c r="V37" s="495"/>
      <c r="W37" s="495"/>
      <c r="X37" s="495"/>
    </row>
    <row r="38" spans="1:24" s="107" customFormat="1" ht="29">
      <c r="A38" s="570" t="s">
        <v>807</v>
      </c>
      <c r="B38" s="578" t="s">
        <v>855</v>
      </c>
      <c r="C38" s="579">
        <v>7</v>
      </c>
      <c r="D38" s="579">
        <v>4</v>
      </c>
      <c r="E38" s="254">
        <v>1</v>
      </c>
      <c r="F38" s="573">
        <f t="shared" si="6"/>
        <v>0.65599999999999992</v>
      </c>
      <c r="G38" s="254">
        <v>1.3</v>
      </c>
      <c r="H38" s="677">
        <f>'Bieu 1a DH Chinh quy'!$D$11</f>
        <v>246</v>
      </c>
      <c r="I38" s="254">
        <f t="shared" ref="I38:I44" si="7">D38*E38*H38</f>
        <v>984</v>
      </c>
      <c r="J38" s="634">
        <f t="shared" ref="J38:J44" si="8">D38*F38*G38*16.5</f>
        <v>56.28479999999999</v>
      </c>
      <c r="K38" s="254"/>
      <c r="L38" s="254"/>
      <c r="M38" s="254"/>
      <c r="N38" s="254"/>
      <c r="O38" s="254"/>
      <c r="P38" s="254"/>
      <c r="Q38" s="254"/>
      <c r="R38" s="254"/>
      <c r="S38" s="545"/>
      <c r="T38" s="494"/>
      <c r="U38" s="495"/>
      <c r="V38" s="495"/>
      <c r="W38" s="495"/>
      <c r="X38" s="495"/>
    </row>
    <row r="39" spans="1:24" s="107" customFormat="1" ht="29">
      <c r="A39" s="570" t="s">
        <v>808</v>
      </c>
      <c r="B39" s="578" t="s">
        <v>856</v>
      </c>
      <c r="C39" s="579">
        <v>7</v>
      </c>
      <c r="D39" s="579">
        <v>4</v>
      </c>
      <c r="E39" s="254">
        <v>1</v>
      </c>
      <c r="F39" s="573">
        <f t="shared" si="6"/>
        <v>0.65599999999999992</v>
      </c>
      <c r="G39" s="254">
        <v>1.3</v>
      </c>
      <c r="H39" s="677">
        <f>'Bieu 1a DH Chinh quy'!$D$11</f>
        <v>246</v>
      </c>
      <c r="I39" s="254">
        <f t="shared" si="7"/>
        <v>984</v>
      </c>
      <c r="J39" s="634">
        <f t="shared" si="8"/>
        <v>56.28479999999999</v>
      </c>
      <c r="K39" s="254"/>
      <c r="L39" s="254"/>
      <c r="M39" s="254"/>
      <c r="N39" s="254"/>
      <c r="O39" s="254"/>
      <c r="P39" s="254"/>
      <c r="Q39" s="254"/>
      <c r="R39" s="254"/>
      <c r="S39" s="545"/>
      <c r="T39" s="494"/>
      <c r="U39" s="495"/>
      <c r="V39" s="495"/>
      <c r="W39" s="495"/>
      <c r="X39" s="495"/>
    </row>
    <row r="40" spans="1:24" s="107" customFormat="1">
      <c r="A40" s="570" t="s">
        <v>809</v>
      </c>
      <c r="B40" s="578" t="s">
        <v>857</v>
      </c>
      <c r="C40" s="579">
        <v>7</v>
      </c>
      <c r="D40" s="579">
        <v>4</v>
      </c>
      <c r="E40" s="254">
        <v>1</v>
      </c>
      <c r="F40" s="573">
        <f t="shared" si="6"/>
        <v>0.65599999999999992</v>
      </c>
      <c r="G40" s="254">
        <v>1.3</v>
      </c>
      <c r="H40" s="677">
        <f>'Bieu 1a DH Chinh quy'!$D$11</f>
        <v>246</v>
      </c>
      <c r="I40" s="254">
        <f t="shared" si="7"/>
        <v>984</v>
      </c>
      <c r="J40" s="634">
        <f t="shared" si="8"/>
        <v>56.28479999999999</v>
      </c>
      <c r="K40" s="254"/>
      <c r="L40" s="254"/>
      <c r="M40" s="254"/>
      <c r="N40" s="254"/>
      <c r="O40" s="254"/>
      <c r="P40" s="254"/>
      <c r="Q40" s="254"/>
      <c r="R40" s="254"/>
      <c r="S40" s="545"/>
      <c r="T40" s="494"/>
      <c r="U40" s="495"/>
      <c r="V40" s="495"/>
      <c r="W40" s="495"/>
      <c r="X40" s="495"/>
    </row>
    <row r="41" spans="1:24" s="107" customFormat="1">
      <c r="A41" s="570" t="s">
        <v>810</v>
      </c>
      <c r="B41" s="578" t="s">
        <v>858</v>
      </c>
      <c r="C41" s="579">
        <v>7</v>
      </c>
      <c r="D41" s="579">
        <v>3</v>
      </c>
      <c r="E41" s="254">
        <v>1</v>
      </c>
      <c r="F41" s="573">
        <f t="shared" si="5"/>
        <v>3.28</v>
      </c>
      <c r="G41" s="254">
        <v>1.3</v>
      </c>
      <c r="H41" s="677">
        <f>'Bieu 1a DH Chinh quy'!$D$11</f>
        <v>246</v>
      </c>
      <c r="I41" s="254">
        <f t="shared" si="7"/>
        <v>738</v>
      </c>
      <c r="J41" s="634">
        <f t="shared" si="8"/>
        <v>211.06799999999998</v>
      </c>
      <c r="K41" s="254"/>
      <c r="L41" s="254"/>
      <c r="M41" s="254"/>
      <c r="N41" s="254"/>
      <c r="O41" s="254"/>
      <c r="P41" s="254"/>
      <c r="Q41" s="254"/>
      <c r="R41" s="254"/>
      <c r="S41" s="545"/>
      <c r="T41" s="494"/>
      <c r="U41" s="495"/>
      <c r="V41" s="495"/>
      <c r="W41" s="495"/>
      <c r="X41" s="495"/>
    </row>
    <row r="42" spans="1:24" s="107" customFormat="1">
      <c r="A42" s="570" t="s">
        <v>811</v>
      </c>
      <c r="B42" s="578" t="s">
        <v>859</v>
      </c>
      <c r="C42" s="579">
        <v>7</v>
      </c>
      <c r="D42" s="579">
        <v>5</v>
      </c>
      <c r="E42" s="254">
        <v>1</v>
      </c>
      <c r="F42" s="573">
        <f t="shared" si="5"/>
        <v>3.28</v>
      </c>
      <c r="G42" s="254">
        <v>1.3</v>
      </c>
      <c r="H42" s="677">
        <f>'Bieu 1a DH Chinh quy'!$D$11</f>
        <v>246</v>
      </c>
      <c r="I42" s="254">
        <f t="shared" si="7"/>
        <v>1230</v>
      </c>
      <c r="J42" s="634">
        <f t="shared" si="8"/>
        <v>351.78000000000003</v>
      </c>
      <c r="K42" s="254"/>
      <c r="L42" s="254"/>
      <c r="M42" s="254"/>
      <c r="N42" s="254"/>
      <c r="O42" s="254"/>
      <c r="P42" s="254"/>
      <c r="Q42" s="254"/>
      <c r="R42" s="254"/>
      <c r="S42" s="545"/>
      <c r="T42" s="494"/>
      <c r="U42" s="495"/>
      <c r="V42" s="495"/>
      <c r="W42" s="495"/>
      <c r="X42" s="495"/>
    </row>
    <row r="43" spans="1:24" s="107" customFormat="1">
      <c r="A43" s="570" t="s">
        <v>812</v>
      </c>
      <c r="B43" s="578" t="s">
        <v>860</v>
      </c>
      <c r="C43" s="579">
        <v>7</v>
      </c>
      <c r="D43" s="579">
        <v>2</v>
      </c>
      <c r="E43" s="254">
        <v>1</v>
      </c>
      <c r="F43" s="573">
        <f t="shared" si="5"/>
        <v>3.28</v>
      </c>
      <c r="G43" s="254">
        <v>1.3</v>
      </c>
      <c r="H43" s="677">
        <f>'Bieu 1a DH Chinh quy'!$D$11</f>
        <v>246</v>
      </c>
      <c r="I43" s="254">
        <f t="shared" si="7"/>
        <v>492</v>
      </c>
      <c r="J43" s="634">
        <f t="shared" si="8"/>
        <v>140.71200000000002</v>
      </c>
      <c r="K43" s="254"/>
      <c r="L43" s="254"/>
      <c r="M43" s="254"/>
      <c r="N43" s="254"/>
      <c r="O43" s="254"/>
      <c r="P43" s="254"/>
      <c r="Q43" s="254"/>
      <c r="R43" s="254"/>
      <c r="S43" s="545"/>
      <c r="T43" s="494"/>
      <c r="U43" s="495"/>
      <c r="V43" s="495"/>
      <c r="W43" s="495"/>
      <c r="X43" s="495"/>
    </row>
    <row r="44" spans="1:24" s="107" customFormat="1">
      <c r="A44" s="570" t="s">
        <v>839</v>
      </c>
      <c r="B44" s="578" t="s">
        <v>861</v>
      </c>
      <c r="C44" s="579">
        <v>7</v>
      </c>
      <c r="D44" s="579">
        <v>3</v>
      </c>
      <c r="E44" s="254">
        <v>1</v>
      </c>
      <c r="F44" s="573">
        <f t="shared" si="5"/>
        <v>3.28</v>
      </c>
      <c r="G44" s="254">
        <v>1.3</v>
      </c>
      <c r="H44" s="677">
        <f>'Bieu 1a DH Chinh quy'!$D$11</f>
        <v>246</v>
      </c>
      <c r="I44" s="254">
        <f t="shared" si="7"/>
        <v>738</v>
      </c>
      <c r="J44" s="634">
        <f t="shared" si="8"/>
        <v>211.06799999999998</v>
      </c>
      <c r="K44" s="254"/>
      <c r="L44" s="254"/>
      <c r="M44" s="254"/>
      <c r="N44" s="254"/>
      <c r="O44" s="254"/>
      <c r="P44" s="254"/>
      <c r="Q44" s="254"/>
      <c r="R44" s="254"/>
      <c r="S44" s="545"/>
      <c r="T44" s="494"/>
      <c r="U44" s="495"/>
      <c r="V44" s="495"/>
      <c r="W44" s="495"/>
      <c r="X44" s="495"/>
    </row>
    <row r="45" spans="1:24" s="107" customFormat="1" ht="26">
      <c r="A45" s="592" t="s">
        <v>261</v>
      </c>
      <c r="B45" s="593" t="s">
        <v>262</v>
      </c>
      <c r="C45" s="593"/>
      <c r="D45" s="588">
        <f>SUM(D46:D50)</f>
        <v>5</v>
      </c>
      <c r="E45" s="588"/>
      <c r="F45" s="588">
        <f t="shared" ref="F45:J45" si="9">SUM(F46:F50)</f>
        <v>9</v>
      </c>
      <c r="G45" s="588"/>
      <c r="H45" s="588">
        <f t="shared" si="9"/>
        <v>171</v>
      </c>
      <c r="I45" s="588">
        <f t="shared" si="9"/>
        <v>1197</v>
      </c>
      <c r="J45" s="588">
        <f t="shared" si="9"/>
        <v>742.5</v>
      </c>
      <c r="K45" s="590"/>
      <c r="L45" s="590"/>
      <c r="M45" s="590"/>
      <c r="N45" s="590"/>
      <c r="O45" s="590"/>
      <c r="P45" s="590"/>
      <c r="Q45" s="590"/>
      <c r="R45" s="590"/>
      <c r="S45" s="591"/>
      <c r="T45" s="494"/>
      <c r="U45" s="495"/>
      <c r="V45" s="495"/>
      <c r="W45" s="495"/>
      <c r="X45" s="495"/>
    </row>
    <row r="46" spans="1:24" s="107" customFormat="1" ht="13">
      <c r="A46" s="573" t="s">
        <v>263</v>
      </c>
      <c r="B46" s="574" t="s">
        <v>264</v>
      </c>
      <c r="C46" s="574"/>
      <c r="D46" s="492"/>
      <c r="E46" s="492"/>
      <c r="F46" s="492"/>
      <c r="G46" s="254"/>
      <c r="H46" s="254"/>
      <c r="I46" s="254"/>
      <c r="J46" s="254"/>
      <c r="K46" s="254"/>
      <c r="L46" s="254"/>
      <c r="M46" s="254"/>
      <c r="N46" s="254"/>
      <c r="O46" s="254"/>
      <c r="P46" s="254"/>
      <c r="Q46" s="254"/>
      <c r="R46" s="254"/>
      <c r="S46" s="545"/>
      <c r="T46" s="494"/>
      <c r="U46" s="495"/>
      <c r="V46" s="495"/>
      <c r="W46" s="495"/>
      <c r="X46" s="495"/>
    </row>
    <row r="47" spans="1:24" s="107" customFormat="1" ht="13">
      <c r="A47" s="573" t="s">
        <v>265</v>
      </c>
      <c r="B47" s="574" t="s">
        <v>266</v>
      </c>
      <c r="C47" s="574"/>
      <c r="D47" s="492"/>
      <c r="E47" s="492"/>
      <c r="F47" s="492"/>
      <c r="G47" s="254"/>
      <c r="H47" s="254"/>
      <c r="I47" s="254"/>
      <c r="J47" s="254"/>
      <c r="K47" s="254"/>
      <c r="L47" s="254"/>
      <c r="M47" s="254"/>
      <c r="N47" s="254"/>
      <c r="O47" s="254"/>
      <c r="P47" s="254"/>
      <c r="Q47" s="254"/>
      <c r="R47" s="254"/>
      <c r="S47" s="545"/>
      <c r="T47" s="494"/>
      <c r="U47" s="495"/>
      <c r="V47" s="495"/>
      <c r="W47" s="495"/>
      <c r="X47" s="495"/>
    </row>
    <row r="48" spans="1:24" s="107" customFormat="1" ht="13">
      <c r="A48" s="573" t="s">
        <v>267</v>
      </c>
      <c r="B48" s="574" t="s">
        <v>268</v>
      </c>
      <c r="C48" s="574"/>
      <c r="D48" s="492"/>
      <c r="E48" s="492"/>
      <c r="F48" s="492"/>
      <c r="G48" s="254"/>
      <c r="H48" s="254"/>
      <c r="I48" s="254"/>
      <c r="J48" s="254"/>
      <c r="K48" s="254"/>
      <c r="L48" s="254"/>
      <c r="M48" s="254"/>
      <c r="N48" s="254"/>
      <c r="O48" s="254"/>
      <c r="P48" s="254"/>
      <c r="Q48" s="254"/>
      <c r="R48" s="254"/>
      <c r="S48" s="545"/>
      <c r="T48" s="494"/>
      <c r="U48" s="495"/>
      <c r="V48" s="495"/>
      <c r="W48" s="495"/>
      <c r="X48" s="495"/>
    </row>
    <row r="49" spans="1:24" s="107" customFormat="1" ht="13">
      <c r="A49" s="580" t="s">
        <v>269</v>
      </c>
      <c r="B49" s="581" t="s">
        <v>270</v>
      </c>
      <c r="C49" s="581"/>
      <c r="D49" s="582">
        <v>5</v>
      </c>
      <c r="E49" s="582">
        <v>1.4</v>
      </c>
      <c r="F49" s="582">
        <v>9</v>
      </c>
      <c r="G49" s="582">
        <v>1</v>
      </c>
      <c r="H49" s="582">
        <v>171</v>
      </c>
      <c r="I49" s="582">
        <f t="shared" ref="I49" si="10">D49*E49*H49</f>
        <v>1197</v>
      </c>
      <c r="J49" s="582">
        <f t="shared" ref="J49" si="11">D49*F49*G49*16.5</f>
        <v>742.5</v>
      </c>
      <c r="K49" s="582"/>
      <c r="L49" s="582"/>
      <c r="M49" s="582"/>
      <c r="N49" s="582"/>
      <c r="O49" s="582"/>
      <c r="P49" s="582"/>
      <c r="Q49" s="582"/>
      <c r="R49" s="582"/>
      <c r="S49" s="583"/>
      <c r="T49" s="494"/>
      <c r="U49" s="495"/>
      <c r="V49" s="495"/>
      <c r="W49" s="495"/>
      <c r="X49" s="495"/>
    </row>
    <row r="50" spans="1:24" s="107" customFormat="1" ht="13">
      <c r="A50" s="573" t="s">
        <v>271</v>
      </c>
      <c r="B50" s="574" t="s">
        <v>272</v>
      </c>
      <c r="C50" s="574"/>
      <c r="D50" s="492"/>
      <c r="E50" s="492"/>
      <c r="F50" s="492"/>
      <c r="G50" s="254"/>
      <c r="H50" s="492"/>
      <c r="I50" s="492"/>
      <c r="J50" s="492"/>
      <c r="K50" s="254"/>
      <c r="L50" s="254"/>
      <c r="M50" s="254"/>
      <c r="N50" s="254"/>
      <c r="O50" s="254"/>
      <c r="P50" s="254"/>
      <c r="Q50" s="254"/>
      <c r="R50" s="254"/>
      <c r="S50" s="545"/>
      <c r="T50" s="494"/>
      <c r="U50" s="495"/>
      <c r="V50" s="495"/>
      <c r="W50" s="495"/>
      <c r="X50" s="495"/>
    </row>
    <row r="51" spans="1:24" s="107" customFormat="1" ht="13">
      <c r="A51" s="566">
        <v>2</v>
      </c>
      <c r="B51" s="567" t="s">
        <v>273</v>
      </c>
      <c r="C51" s="567"/>
      <c r="D51" s="492"/>
      <c r="E51" s="492"/>
      <c r="F51" s="492"/>
      <c r="G51" s="254"/>
      <c r="H51" s="492"/>
      <c r="I51" s="492"/>
      <c r="J51" s="492"/>
      <c r="K51" s="254"/>
      <c r="L51" s="254"/>
      <c r="M51" s="254"/>
      <c r="N51" s="254"/>
      <c r="O51" s="254"/>
      <c r="P51" s="254"/>
      <c r="Q51" s="254"/>
      <c r="R51" s="254"/>
      <c r="S51" s="545"/>
      <c r="T51" s="494"/>
      <c r="U51" s="495"/>
      <c r="V51" s="495"/>
      <c r="W51" s="495"/>
      <c r="X51" s="495"/>
    </row>
    <row r="52" spans="1:24" s="107" customFormat="1" ht="13">
      <c r="A52" s="586" t="s">
        <v>252</v>
      </c>
      <c r="B52" s="587" t="s">
        <v>274</v>
      </c>
      <c r="C52" s="587"/>
      <c r="D52" s="588">
        <f>SUM(D53:D60)</f>
        <v>33</v>
      </c>
      <c r="E52" s="588"/>
      <c r="F52" s="588">
        <f>SUM(F53:F60)</f>
        <v>93</v>
      </c>
      <c r="G52" s="588"/>
      <c r="H52" s="588">
        <f>SUM(H53:H60)</f>
        <v>91</v>
      </c>
      <c r="I52" s="588">
        <f>SUM(I53:I60)</f>
        <v>825</v>
      </c>
      <c r="J52" s="588">
        <f>SUM(J53:J60)</f>
        <v>1748.7</v>
      </c>
      <c r="K52" s="590"/>
      <c r="L52" s="590"/>
      <c r="M52" s="590"/>
      <c r="N52" s="590"/>
      <c r="O52" s="590"/>
      <c r="P52" s="590"/>
      <c r="Q52" s="590"/>
      <c r="R52" s="590"/>
      <c r="S52" s="591"/>
      <c r="T52" s="494"/>
      <c r="U52" s="495"/>
      <c r="V52" s="495"/>
      <c r="W52" s="495"/>
      <c r="X52" s="495"/>
    </row>
    <row r="53" spans="1:24" s="107" customFormat="1" ht="13">
      <c r="A53" s="570" t="s">
        <v>254</v>
      </c>
      <c r="B53" s="557" t="s">
        <v>819</v>
      </c>
      <c r="C53" s="557"/>
      <c r="D53" s="254">
        <v>3</v>
      </c>
      <c r="E53" s="254">
        <v>1</v>
      </c>
      <c r="F53" s="254">
        <v>3</v>
      </c>
      <c r="G53" s="254">
        <f t="shared" ref="G53:G60" si="12">IF(H53&gt;70,"1.3",IF(H53&gt;120,"1.5",1))</f>
        <v>1</v>
      </c>
      <c r="H53" s="254">
        <v>15</v>
      </c>
      <c r="I53" s="254">
        <f t="shared" ref="I53:I57" si="13">D53*F53*H53</f>
        <v>135</v>
      </c>
      <c r="J53" s="493">
        <f t="shared" ref="J53:J57" si="14">D53*F53*16.5*0.7</f>
        <v>103.94999999999999</v>
      </c>
      <c r="K53" s="254"/>
      <c r="L53" s="254"/>
      <c r="M53" s="254"/>
      <c r="N53" s="254"/>
      <c r="O53" s="254"/>
      <c r="P53" s="254"/>
      <c r="Q53" s="254"/>
      <c r="R53" s="254"/>
      <c r="S53" s="545"/>
      <c r="T53" s="494"/>
      <c r="U53" s="495"/>
      <c r="V53" s="495"/>
      <c r="W53" s="495"/>
      <c r="X53" s="495"/>
    </row>
    <row r="54" spans="1:24" s="107" customFormat="1" ht="26">
      <c r="A54" s="570" t="s">
        <v>256</v>
      </c>
      <c r="B54" s="557" t="s">
        <v>820</v>
      </c>
      <c r="C54" s="557"/>
      <c r="D54" s="254">
        <v>3</v>
      </c>
      <c r="E54" s="254">
        <v>1</v>
      </c>
      <c r="F54" s="254">
        <v>3</v>
      </c>
      <c r="G54" s="254">
        <f t="shared" si="12"/>
        <v>1</v>
      </c>
      <c r="H54" s="254">
        <v>15</v>
      </c>
      <c r="I54" s="254">
        <f t="shared" si="13"/>
        <v>135</v>
      </c>
      <c r="J54" s="493">
        <f t="shared" si="14"/>
        <v>103.94999999999999</v>
      </c>
      <c r="K54" s="254"/>
      <c r="L54" s="254"/>
      <c r="M54" s="254"/>
      <c r="N54" s="254"/>
      <c r="O54" s="254"/>
      <c r="P54" s="254"/>
      <c r="Q54" s="254"/>
      <c r="R54" s="254"/>
      <c r="S54" s="545"/>
      <c r="T54" s="494"/>
      <c r="U54" s="495"/>
      <c r="V54" s="495"/>
      <c r="W54" s="495"/>
      <c r="X54" s="495"/>
    </row>
    <row r="55" spans="1:24" s="107" customFormat="1" ht="13">
      <c r="A55" s="570" t="s">
        <v>257</v>
      </c>
      <c r="B55" s="557" t="s">
        <v>821</v>
      </c>
      <c r="C55" s="557"/>
      <c r="D55" s="254">
        <v>3</v>
      </c>
      <c r="E55" s="254">
        <v>1</v>
      </c>
      <c r="F55" s="254">
        <v>3</v>
      </c>
      <c r="G55" s="254">
        <f t="shared" si="12"/>
        <v>1</v>
      </c>
      <c r="H55" s="254">
        <v>15</v>
      </c>
      <c r="I55" s="254">
        <f t="shared" si="13"/>
        <v>135</v>
      </c>
      <c r="J55" s="493">
        <f t="shared" si="14"/>
        <v>103.94999999999999</v>
      </c>
      <c r="K55" s="254"/>
      <c r="L55" s="254"/>
      <c r="M55" s="254"/>
      <c r="N55" s="254"/>
      <c r="O55" s="254"/>
      <c r="P55" s="254"/>
      <c r="Q55" s="254"/>
      <c r="R55" s="254"/>
      <c r="S55" s="545"/>
      <c r="T55" s="494"/>
      <c r="U55" s="495"/>
      <c r="V55" s="495"/>
      <c r="W55" s="495"/>
      <c r="X55" s="495"/>
    </row>
    <row r="56" spans="1:24" s="107" customFormat="1" ht="26">
      <c r="A56" s="570" t="s">
        <v>258</v>
      </c>
      <c r="B56" s="557" t="s">
        <v>926</v>
      </c>
      <c r="C56" s="557"/>
      <c r="D56" s="254">
        <v>3</v>
      </c>
      <c r="E56" s="254">
        <v>1</v>
      </c>
      <c r="F56" s="254">
        <v>3</v>
      </c>
      <c r="G56" s="254">
        <f t="shared" si="12"/>
        <v>1</v>
      </c>
      <c r="H56" s="254">
        <v>15</v>
      </c>
      <c r="I56" s="254">
        <f t="shared" si="13"/>
        <v>135</v>
      </c>
      <c r="J56" s="493">
        <f t="shared" si="14"/>
        <v>103.94999999999999</v>
      </c>
      <c r="K56" s="254"/>
      <c r="L56" s="254"/>
      <c r="M56" s="254"/>
      <c r="N56" s="254"/>
      <c r="O56" s="254"/>
      <c r="P56" s="254"/>
      <c r="Q56" s="254"/>
      <c r="R56" s="254"/>
      <c r="S56" s="545"/>
      <c r="T56" s="494"/>
      <c r="U56" s="495"/>
      <c r="V56" s="495"/>
      <c r="W56" s="495"/>
      <c r="X56" s="495"/>
    </row>
    <row r="57" spans="1:24" s="107" customFormat="1" ht="26">
      <c r="A57" s="570" t="s">
        <v>259</v>
      </c>
      <c r="B57" s="558" t="s">
        <v>822</v>
      </c>
      <c r="C57" s="558"/>
      <c r="D57" s="254">
        <v>3</v>
      </c>
      <c r="E57" s="254">
        <v>1</v>
      </c>
      <c r="F57" s="254">
        <v>3</v>
      </c>
      <c r="G57" s="254">
        <f t="shared" si="12"/>
        <v>1</v>
      </c>
      <c r="H57" s="254">
        <v>15</v>
      </c>
      <c r="I57" s="254">
        <f t="shared" si="13"/>
        <v>135</v>
      </c>
      <c r="J57" s="493">
        <f t="shared" si="14"/>
        <v>103.94999999999999</v>
      </c>
      <c r="K57" s="254"/>
      <c r="L57" s="254"/>
      <c r="M57" s="254"/>
      <c r="N57" s="254"/>
      <c r="O57" s="254"/>
      <c r="P57" s="254"/>
      <c r="Q57" s="254"/>
      <c r="R57" s="254"/>
      <c r="S57" s="545"/>
      <c r="T57" s="494"/>
      <c r="U57" s="495"/>
      <c r="V57" s="495"/>
      <c r="W57" s="495"/>
      <c r="X57" s="495"/>
    </row>
    <row r="58" spans="1:24" s="107" customFormat="1" ht="13">
      <c r="A58" s="570" t="s">
        <v>260</v>
      </c>
      <c r="B58" s="558" t="s">
        <v>860</v>
      </c>
      <c r="C58" s="558"/>
      <c r="D58" s="254">
        <v>3</v>
      </c>
      <c r="E58" s="254">
        <v>1</v>
      </c>
      <c r="F58" s="254">
        <v>3</v>
      </c>
      <c r="G58" s="254">
        <f t="shared" si="12"/>
        <v>1</v>
      </c>
      <c r="H58" s="254">
        <v>15</v>
      </c>
      <c r="I58" s="254">
        <f t="shared" ref="I58" si="15">D58*F58*H58</f>
        <v>135</v>
      </c>
      <c r="J58" s="493">
        <f t="shared" ref="J58" si="16">D58*F58*16.5*0.7</f>
        <v>103.94999999999999</v>
      </c>
      <c r="K58" s="254"/>
      <c r="L58" s="254"/>
      <c r="M58" s="254"/>
      <c r="N58" s="254"/>
      <c r="O58" s="254"/>
      <c r="P58" s="254"/>
      <c r="Q58" s="254"/>
      <c r="R58" s="254"/>
      <c r="S58" s="545"/>
      <c r="T58" s="494"/>
      <c r="U58" s="495"/>
      <c r="V58" s="495"/>
      <c r="W58" s="495"/>
      <c r="X58" s="495"/>
    </row>
    <row r="59" spans="1:24" s="107" customFormat="1" ht="13">
      <c r="A59" s="571" t="s">
        <v>261</v>
      </c>
      <c r="B59" s="572" t="s">
        <v>275</v>
      </c>
      <c r="C59" s="572"/>
      <c r="D59" s="545"/>
      <c r="E59" s="545"/>
      <c r="F59" s="545"/>
      <c r="G59" s="254"/>
      <c r="H59" s="545"/>
      <c r="I59" s="545"/>
      <c r="J59" s="254"/>
      <c r="K59" s="254"/>
      <c r="L59" s="254"/>
      <c r="M59" s="254"/>
      <c r="N59" s="254"/>
      <c r="O59" s="254"/>
      <c r="P59" s="254"/>
      <c r="Q59" s="254"/>
      <c r="R59" s="254"/>
      <c r="S59" s="545"/>
      <c r="T59" s="494"/>
      <c r="U59" s="495"/>
      <c r="V59" s="495"/>
      <c r="W59" s="495"/>
      <c r="X59" s="495"/>
    </row>
    <row r="60" spans="1:24" s="107" customFormat="1" ht="15.75" customHeight="1">
      <c r="A60" s="580"/>
      <c r="B60" s="559" t="s">
        <v>914</v>
      </c>
      <c r="C60" s="559"/>
      <c r="D60" s="582">
        <v>15</v>
      </c>
      <c r="E60" s="582">
        <v>1</v>
      </c>
      <c r="F60" s="582">
        <v>75</v>
      </c>
      <c r="G60" s="582">
        <f t="shared" si="12"/>
        <v>1</v>
      </c>
      <c r="H60" s="582">
        <v>1</v>
      </c>
      <c r="I60" s="582">
        <f>D60*E60*H60</f>
        <v>15</v>
      </c>
      <c r="J60" s="584">
        <f>D60*F60*G60</f>
        <v>1125</v>
      </c>
      <c r="K60" s="582"/>
      <c r="L60" s="582"/>
      <c r="M60" s="582"/>
      <c r="N60" s="582"/>
      <c r="O60" s="582"/>
      <c r="P60" s="582"/>
      <c r="Q60" s="582"/>
      <c r="R60" s="582"/>
      <c r="S60" s="585"/>
      <c r="T60" s="494"/>
      <c r="U60" s="495"/>
      <c r="V60" s="495"/>
      <c r="W60" s="495"/>
      <c r="X60" s="495"/>
    </row>
    <row r="61" spans="1:24" s="107" customFormat="1" ht="15.75" customHeight="1">
      <c r="A61" s="566">
        <v>3</v>
      </c>
      <c r="B61" s="567" t="s">
        <v>276</v>
      </c>
      <c r="C61" s="567"/>
      <c r="D61" s="545"/>
      <c r="E61" s="545"/>
      <c r="F61" s="545"/>
      <c r="G61" s="254"/>
      <c r="H61" s="545"/>
      <c r="I61" s="545"/>
      <c r="J61" s="254"/>
      <c r="K61" s="254"/>
      <c r="L61" s="254"/>
      <c r="M61" s="254"/>
      <c r="N61" s="254"/>
      <c r="O61" s="254"/>
      <c r="P61" s="254"/>
      <c r="Q61" s="254"/>
      <c r="R61" s="254"/>
      <c r="S61" s="257"/>
      <c r="T61" s="494"/>
      <c r="U61" s="495"/>
      <c r="V61" s="495"/>
      <c r="W61" s="495"/>
      <c r="X61" s="495"/>
    </row>
    <row r="62" spans="1:24" s="107" customFormat="1" ht="15.75" customHeight="1">
      <c r="A62" s="405" t="s">
        <v>252</v>
      </c>
      <c r="B62" s="568" t="s">
        <v>277</v>
      </c>
      <c r="C62" s="568"/>
      <c r="D62" s="545"/>
      <c r="E62" s="545"/>
      <c r="F62" s="545"/>
      <c r="G62" s="254"/>
      <c r="H62" s="545"/>
      <c r="I62" s="545"/>
      <c r="J62" s="254"/>
      <c r="K62" s="254"/>
      <c r="L62" s="254"/>
      <c r="M62" s="254"/>
      <c r="N62" s="254"/>
      <c r="O62" s="254"/>
      <c r="P62" s="254"/>
      <c r="Q62" s="254"/>
      <c r="R62" s="254"/>
      <c r="S62" s="257"/>
      <c r="T62" s="494"/>
      <c r="U62" s="495"/>
      <c r="V62" s="495"/>
      <c r="W62" s="495"/>
      <c r="X62" s="495"/>
    </row>
    <row r="63" spans="1:24" s="107" customFormat="1" ht="15.75" customHeight="1">
      <c r="A63" s="570" t="s">
        <v>254</v>
      </c>
      <c r="B63" s="255" t="s">
        <v>255</v>
      </c>
      <c r="C63" s="255"/>
      <c r="D63" s="545"/>
      <c r="E63" s="545"/>
      <c r="F63" s="545"/>
      <c r="G63" s="254"/>
      <c r="H63" s="545"/>
      <c r="I63" s="545"/>
      <c r="J63" s="254"/>
      <c r="K63" s="254"/>
      <c r="L63" s="254"/>
      <c r="M63" s="254"/>
      <c r="N63" s="254"/>
      <c r="O63" s="254"/>
      <c r="P63" s="254"/>
      <c r="Q63" s="254"/>
      <c r="R63" s="254"/>
      <c r="S63" s="257"/>
      <c r="T63" s="494"/>
      <c r="U63" s="495"/>
      <c r="V63" s="495"/>
      <c r="W63" s="495"/>
      <c r="X63" s="495"/>
    </row>
    <row r="64" spans="1:24" s="107" customFormat="1" ht="15.75" customHeight="1">
      <c r="A64" s="570" t="s">
        <v>256</v>
      </c>
      <c r="B64" s="255" t="s">
        <v>255</v>
      </c>
      <c r="C64" s="255"/>
      <c r="D64" s="545"/>
      <c r="E64" s="545"/>
      <c r="F64" s="545"/>
      <c r="G64" s="254"/>
      <c r="H64" s="545"/>
      <c r="I64" s="545"/>
      <c r="J64" s="254"/>
      <c r="K64" s="254"/>
      <c r="L64" s="254"/>
      <c r="M64" s="254"/>
      <c r="N64" s="254"/>
      <c r="O64" s="254"/>
      <c r="P64" s="254"/>
      <c r="Q64" s="254"/>
      <c r="R64" s="254"/>
      <c r="S64" s="257"/>
      <c r="T64" s="494"/>
      <c r="U64" s="495"/>
      <c r="V64" s="495"/>
      <c r="W64" s="495"/>
      <c r="X64" s="495"/>
    </row>
    <row r="65" spans="1:24" s="107" customFormat="1" ht="15.75" customHeight="1">
      <c r="A65" s="573"/>
      <c r="B65" s="255" t="s">
        <v>255</v>
      </c>
      <c r="C65" s="255"/>
      <c r="D65" s="545"/>
      <c r="E65" s="545"/>
      <c r="F65" s="545"/>
      <c r="G65" s="254"/>
      <c r="H65" s="545"/>
      <c r="I65" s="545"/>
      <c r="J65" s="254"/>
      <c r="K65" s="254"/>
      <c r="L65" s="254"/>
      <c r="M65" s="254"/>
      <c r="N65" s="254"/>
      <c r="O65" s="254"/>
      <c r="P65" s="254"/>
      <c r="Q65" s="254"/>
      <c r="R65" s="254"/>
      <c r="S65" s="257"/>
      <c r="T65" s="494"/>
      <c r="U65" s="495"/>
      <c r="V65" s="495"/>
      <c r="W65" s="495"/>
      <c r="X65" s="495"/>
    </row>
    <row r="66" spans="1:24" s="107" customFormat="1" ht="15.75" customHeight="1">
      <c r="A66" s="571" t="s">
        <v>261</v>
      </c>
      <c r="B66" s="572" t="s">
        <v>278</v>
      </c>
      <c r="C66" s="572"/>
      <c r="D66" s="545"/>
      <c r="E66" s="545"/>
      <c r="F66" s="545"/>
      <c r="G66" s="254"/>
      <c r="H66" s="545"/>
      <c r="I66" s="545"/>
      <c r="J66" s="254"/>
      <c r="K66" s="254"/>
      <c r="L66" s="254"/>
      <c r="M66" s="254"/>
      <c r="N66" s="254"/>
      <c r="O66" s="254"/>
      <c r="P66" s="254"/>
      <c r="Q66" s="254"/>
      <c r="R66" s="254"/>
      <c r="S66" s="257"/>
      <c r="T66" s="494"/>
      <c r="U66" s="495"/>
      <c r="V66" s="495"/>
      <c r="W66" s="495"/>
      <c r="X66" s="495"/>
    </row>
    <row r="67" spans="1:24" s="107" customFormat="1" ht="15.75" customHeight="1">
      <c r="A67" s="573"/>
      <c r="B67" s="574" t="s">
        <v>279</v>
      </c>
      <c r="C67" s="574"/>
      <c r="D67" s="545"/>
      <c r="E67" s="545"/>
      <c r="F67" s="545"/>
      <c r="G67" s="254"/>
      <c r="H67" s="545"/>
      <c r="I67" s="545"/>
      <c r="J67" s="254"/>
      <c r="K67" s="254"/>
      <c r="L67" s="254"/>
      <c r="M67" s="254"/>
      <c r="N67" s="254"/>
      <c r="O67" s="254"/>
      <c r="P67" s="254"/>
      <c r="Q67" s="254"/>
      <c r="R67" s="254"/>
      <c r="S67" s="257"/>
      <c r="T67" s="494"/>
      <c r="U67" s="495"/>
      <c r="V67" s="495"/>
      <c r="W67" s="495"/>
      <c r="X67" s="495"/>
    </row>
    <row r="68" spans="1:24" s="107" customFormat="1" ht="15.75" customHeight="1">
      <c r="A68" s="573"/>
      <c r="B68" s="574" t="s">
        <v>279</v>
      </c>
      <c r="C68" s="574"/>
      <c r="D68" s="545"/>
      <c r="E68" s="545"/>
      <c r="F68" s="545"/>
      <c r="G68" s="254"/>
      <c r="H68" s="545"/>
      <c r="I68" s="545"/>
      <c r="J68" s="254"/>
      <c r="K68" s="254"/>
      <c r="L68" s="254"/>
      <c r="M68" s="254"/>
      <c r="N68" s="254"/>
      <c r="O68" s="254"/>
      <c r="P68" s="254"/>
      <c r="Q68" s="254"/>
      <c r="R68" s="254"/>
      <c r="S68" s="257"/>
      <c r="T68" s="494"/>
      <c r="U68" s="495"/>
      <c r="V68" s="495"/>
      <c r="W68" s="495"/>
      <c r="X68" s="495"/>
    </row>
    <row r="69" spans="1:24" s="107" customFormat="1" ht="21.75" customHeight="1">
      <c r="A69" s="571" t="s">
        <v>280</v>
      </c>
      <c r="B69" s="572" t="s">
        <v>281</v>
      </c>
      <c r="C69" s="572"/>
      <c r="D69" s="545"/>
      <c r="E69" s="545"/>
      <c r="F69" s="545"/>
      <c r="G69" s="254"/>
      <c r="H69" s="545"/>
      <c r="I69" s="545"/>
      <c r="J69" s="254"/>
      <c r="K69" s="254"/>
      <c r="L69" s="254"/>
      <c r="M69" s="254"/>
      <c r="N69" s="254"/>
      <c r="O69" s="254"/>
      <c r="P69" s="254"/>
      <c r="Q69" s="254"/>
      <c r="R69" s="254"/>
      <c r="S69" s="257"/>
      <c r="T69" s="494"/>
      <c r="U69" s="495"/>
      <c r="V69" s="495"/>
      <c r="W69" s="495"/>
      <c r="X69" s="495"/>
    </row>
    <row r="70" spans="1:24" s="107" customFormat="1" ht="15.75" customHeight="1">
      <c r="A70" s="573"/>
      <c r="B70" s="574"/>
      <c r="C70" s="574"/>
      <c r="D70" s="545"/>
      <c r="E70" s="545"/>
      <c r="F70" s="545"/>
      <c r="G70" s="254"/>
      <c r="H70" s="545"/>
      <c r="I70" s="545"/>
      <c r="J70" s="254"/>
      <c r="K70" s="254"/>
      <c r="L70" s="254"/>
      <c r="M70" s="254"/>
      <c r="N70" s="254"/>
      <c r="O70" s="254"/>
      <c r="P70" s="254"/>
      <c r="Q70" s="254"/>
      <c r="R70" s="254"/>
      <c r="S70" s="257"/>
      <c r="T70" s="494"/>
      <c r="U70" s="495"/>
      <c r="V70" s="495"/>
      <c r="W70" s="495"/>
      <c r="X70" s="495"/>
    </row>
    <row r="71" spans="1:24" s="107" customFormat="1" ht="15.75" customHeight="1">
      <c r="A71" s="573"/>
      <c r="B71" s="574"/>
      <c r="C71" s="574"/>
      <c r="D71" s="545"/>
      <c r="E71" s="545"/>
      <c r="F71" s="545"/>
      <c r="G71" s="254"/>
      <c r="H71" s="545"/>
      <c r="I71" s="545"/>
      <c r="J71" s="254"/>
      <c r="K71" s="254"/>
      <c r="L71" s="254"/>
      <c r="M71" s="254"/>
      <c r="N71" s="254"/>
      <c r="O71" s="254"/>
      <c r="P71" s="254"/>
      <c r="Q71" s="254"/>
      <c r="R71" s="254"/>
      <c r="S71" s="257"/>
      <c r="T71" s="494"/>
      <c r="U71" s="495"/>
      <c r="V71" s="495"/>
      <c r="W71" s="495"/>
      <c r="X71" s="495"/>
    </row>
    <row r="72" spans="1:24" s="107" customFormat="1" ht="36" customHeight="1">
      <c r="A72" s="564" t="s">
        <v>104</v>
      </c>
      <c r="B72" s="565" t="s">
        <v>282</v>
      </c>
      <c r="C72" s="565"/>
      <c r="D72" s="575"/>
      <c r="E72" s="575"/>
      <c r="F72" s="575"/>
      <c r="G72" s="576"/>
      <c r="H72" s="575"/>
      <c r="I72" s="575"/>
      <c r="J72" s="576"/>
      <c r="K72" s="576"/>
      <c r="L72" s="576"/>
      <c r="M72" s="576"/>
      <c r="N72" s="576"/>
      <c r="O72" s="576"/>
      <c r="P72" s="576"/>
      <c r="Q72" s="576"/>
      <c r="R72" s="576"/>
      <c r="S72" s="577"/>
      <c r="T72" s="494"/>
      <c r="U72" s="495"/>
      <c r="V72" s="495"/>
      <c r="W72" s="495"/>
      <c r="X72" s="495"/>
    </row>
    <row r="73" spans="1:24" s="107" customFormat="1" ht="15.75" customHeight="1">
      <c r="A73" s="566">
        <v>1</v>
      </c>
      <c r="B73" s="568" t="s">
        <v>283</v>
      </c>
      <c r="C73" s="568"/>
      <c r="D73" s="255"/>
      <c r="E73" s="255"/>
      <c r="F73" s="255"/>
      <c r="G73" s="254"/>
      <c r="H73" s="255"/>
      <c r="I73" s="255"/>
      <c r="J73" s="254"/>
      <c r="K73" s="254"/>
      <c r="L73" s="254"/>
      <c r="M73" s="254"/>
      <c r="N73" s="254"/>
      <c r="O73" s="254"/>
      <c r="P73" s="254"/>
      <c r="Q73" s="254"/>
      <c r="R73" s="254"/>
      <c r="S73" s="257"/>
      <c r="T73" s="494"/>
      <c r="U73" s="495"/>
      <c r="V73" s="495"/>
      <c r="W73" s="495"/>
      <c r="X73" s="495"/>
    </row>
    <row r="74" spans="1:24" s="107" customFormat="1" ht="15.75" customHeight="1">
      <c r="A74" s="594" t="s">
        <v>252</v>
      </c>
      <c r="B74" s="587" t="s">
        <v>284</v>
      </c>
      <c r="C74" s="587"/>
      <c r="D74" s="588">
        <f>SUM(D75:D93)</f>
        <v>63</v>
      </c>
      <c r="E74" s="588"/>
      <c r="F74" s="588">
        <f t="shared" ref="F74:J74" si="17">SUM(F75:F93)</f>
        <v>128</v>
      </c>
      <c r="G74" s="588"/>
      <c r="H74" s="588">
        <f t="shared" si="17"/>
        <v>7740</v>
      </c>
      <c r="I74" s="588">
        <f t="shared" si="17"/>
        <v>25780</v>
      </c>
      <c r="J74" s="588">
        <f t="shared" si="17"/>
        <v>7029</v>
      </c>
      <c r="K74" s="588"/>
      <c r="L74" s="590"/>
      <c r="M74" s="590"/>
      <c r="N74" s="590"/>
      <c r="O74" s="590"/>
      <c r="P74" s="590"/>
      <c r="Q74" s="590"/>
      <c r="R74" s="590"/>
      <c r="S74" s="595"/>
      <c r="T74" s="494"/>
      <c r="U74" s="495"/>
      <c r="V74" s="495"/>
      <c r="W74" s="495"/>
      <c r="X74" s="495"/>
    </row>
    <row r="75" spans="1:24" s="107" customFormat="1" ht="15.75" customHeight="1">
      <c r="A75" s="573" t="s">
        <v>254</v>
      </c>
      <c r="B75" s="558" t="s">
        <v>816</v>
      </c>
      <c r="C75" s="558"/>
      <c r="D75" s="254">
        <v>3</v>
      </c>
      <c r="E75" s="254">
        <v>1</v>
      </c>
      <c r="F75" s="254">
        <v>8</v>
      </c>
      <c r="G75" s="254">
        <v>1</v>
      </c>
      <c r="H75" s="254">
        <v>500</v>
      </c>
      <c r="I75" s="254">
        <f>D75*E75*H75</f>
        <v>1500</v>
      </c>
      <c r="J75" s="493">
        <f>D75*F75*G75*16.5</f>
        <v>396</v>
      </c>
      <c r="K75" s="493"/>
      <c r="L75" s="254"/>
      <c r="M75" s="254"/>
      <c r="N75" s="254"/>
      <c r="O75" s="254"/>
      <c r="P75" s="254"/>
      <c r="Q75" s="254"/>
      <c r="R75" s="254"/>
      <c r="S75" s="257"/>
      <c r="T75" s="494"/>
      <c r="U75" s="495"/>
      <c r="V75" s="495"/>
      <c r="W75" s="495"/>
      <c r="X75" s="495"/>
    </row>
    <row r="76" spans="1:24" s="107" customFormat="1" ht="15.75" customHeight="1">
      <c r="A76" s="573" t="s">
        <v>256</v>
      </c>
      <c r="B76" s="558" t="s">
        <v>823</v>
      </c>
      <c r="C76" s="558"/>
      <c r="D76" s="254">
        <v>5</v>
      </c>
      <c r="E76" s="254">
        <v>1</v>
      </c>
      <c r="F76" s="254">
        <v>8</v>
      </c>
      <c r="G76" s="254">
        <v>1</v>
      </c>
      <c r="H76" s="254">
        <v>500</v>
      </c>
      <c r="I76" s="254">
        <f t="shared" ref="I76:I93" si="18">D76*E76*H76</f>
        <v>2500</v>
      </c>
      <c r="J76" s="493">
        <f t="shared" ref="J76:J93" si="19">D76*F76*G76*16.5</f>
        <v>660</v>
      </c>
      <c r="K76" s="493"/>
      <c r="L76" s="254"/>
      <c r="M76" s="254"/>
      <c r="N76" s="254"/>
      <c r="O76" s="254"/>
      <c r="P76" s="254"/>
      <c r="Q76" s="254"/>
      <c r="R76" s="254"/>
      <c r="S76" s="257"/>
      <c r="T76" s="494"/>
      <c r="U76" s="495"/>
      <c r="V76" s="495"/>
      <c r="W76" s="495"/>
      <c r="X76" s="495"/>
    </row>
    <row r="77" spans="1:24" s="107" customFormat="1" ht="15.75" customHeight="1">
      <c r="A77" s="573" t="s">
        <v>257</v>
      </c>
      <c r="B77" s="558" t="s">
        <v>824</v>
      </c>
      <c r="C77" s="558"/>
      <c r="D77" s="254">
        <v>3</v>
      </c>
      <c r="E77" s="254">
        <v>1</v>
      </c>
      <c r="F77" s="254">
        <v>8</v>
      </c>
      <c r="G77" s="254">
        <v>1</v>
      </c>
      <c r="H77" s="254">
        <v>500</v>
      </c>
      <c r="I77" s="254">
        <f t="shared" si="18"/>
        <v>1500</v>
      </c>
      <c r="J77" s="493">
        <f t="shared" si="19"/>
        <v>396</v>
      </c>
      <c r="K77" s="493"/>
      <c r="L77" s="254"/>
      <c r="M77" s="254"/>
      <c r="N77" s="254"/>
      <c r="O77" s="254"/>
      <c r="P77" s="254"/>
      <c r="Q77" s="254"/>
      <c r="R77" s="254"/>
      <c r="S77" s="257"/>
      <c r="T77" s="494"/>
      <c r="U77" s="495"/>
      <c r="V77" s="495"/>
      <c r="W77" s="495"/>
      <c r="X77" s="495"/>
    </row>
    <row r="78" spans="1:24" s="107" customFormat="1" ht="15.75" customHeight="1">
      <c r="A78" s="573" t="s">
        <v>258</v>
      </c>
      <c r="B78" s="558" t="s">
        <v>813</v>
      </c>
      <c r="C78" s="558"/>
      <c r="D78" s="254">
        <v>3</v>
      </c>
      <c r="E78" s="254">
        <v>1</v>
      </c>
      <c r="F78" s="254">
        <v>8</v>
      </c>
      <c r="G78" s="254">
        <v>1</v>
      </c>
      <c r="H78" s="254">
        <v>500</v>
      </c>
      <c r="I78" s="254">
        <f t="shared" si="18"/>
        <v>1500</v>
      </c>
      <c r="J78" s="493">
        <f t="shared" si="19"/>
        <v>396</v>
      </c>
      <c r="K78" s="493"/>
      <c r="L78" s="254"/>
      <c r="M78" s="254"/>
      <c r="N78" s="254"/>
      <c r="O78" s="254"/>
      <c r="P78" s="254"/>
      <c r="Q78" s="254"/>
      <c r="R78" s="254"/>
      <c r="S78" s="257"/>
      <c r="T78" s="494"/>
      <c r="U78" s="495"/>
      <c r="V78" s="495"/>
      <c r="W78" s="495"/>
      <c r="X78" s="495"/>
    </row>
    <row r="79" spans="1:24" s="107" customFormat="1" ht="15.75" customHeight="1">
      <c r="A79" s="573" t="s">
        <v>259</v>
      </c>
      <c r="B79" s="558" t="s">
        <v>825</v>
      </c>
      <c r="C79" s="558"/>
      <c r="D79" s="254">
        <v>2</v>
      </c>
      <c r="E79" s="254">
        <v>1</v>
      </c>
      <c r="F79" s="254">
        <v>8</v>
      </c>
      <c r="G79" s="254">
        <v>1</v>
      </c>
      <c r="H79" s="254">
        <v>500</v>
      </c>
      <c r="I79" s="254">
        <f t="shared" si="18"/>
        <v>1000</v>
      </c>
      <c r="J79" s="493">
        <f t="shared" si="19"/>
        <v>264</v>
      </c>
      <c r="K79" s="493"/>
      <c r="L79" s="254"/>
      <c r="M79" s="254"/>
      <c r="N79" s="254"/>
      <c r="O79" s="254"/>
      <c r="P79" s="254"/>
      <c r="Q79" s="254"/>
      <c r="R79" s="254"/>
      <c r="S79" s="257"/>
      <c r="T79" s="494"/>
      <c r="U79" s="495"/>
      <c r="V79" s="495"/>
      <c r="W79" s="495"/>
      <c r="X79" s="495"/>
    </row>
    <row r="80" spans="1:24" s="107" customFormat="1" ht="15.75" customHeight="1">
      <c r="A80" s="573" t="s">
        <v>260</v>
      </c>
      <c r="B80" s="558" t="s">
        <v>826</v>
      </c>
      <c r="C80" s="558"/>
      <c r="D80" s="254">
        <v>3</v>
      </c>
      <c r="E80" s="254">
        <v>1</v>
      </c>
      <c r="F80" s="254">
        <v>8</v>
      </c>
      <c r="G80" s="254">
        <v>1</v>
      </c>
      <c r="H80" s="254">
        <v>500</v>
      </c>
      <c r="I80" s="254">
        <f t="shared" si="18"/>
        <v>1500</v>
      </c>
      <c r="J80" s="493">
        <f t="shared" si="19"/>
        <v>396</v>
      </c>
      <c r="K80" s="493"/>
      <c r="L80" s="254"/>
      <c r="M80" s="254"/>
      <c r="N80" s="254"/>
      <c r="O80" s="254"/>
      <c r="P80" s="254"/>
      <c r="Q80" s="254"/>
      <c r="R80" s="254"/>
      <c r="S80" s="257"/>
      <c r="T80" s="494"/>
      <c r="U80" s="495"/>
      <c r="V80" s="495"/>
      <c r="W80" s="495"/>
      <c r="X80" s="495"/>
    </row>
    <row r="81" spans="1:24" s="107" customFormat="1" ht="15.75" customHeight="1">
      <c r="A81" s="573" t="s">
        <v>789</v>
      </c>
      <c r="B81" s="558" t="s">
        <v>827</v>
      </c>
      <c r="C81" s="558"/>
      <c r="D81" s="254">
        <v>2</v>
      </c>
      <c r="E81" s="254">
        <v>1</v>
      </c>
      <c r="F81" s="254">
        <v>8</v>
      </c>
      <c r="G81" s="254">
        <v>1</v>
      </c>
      <c r="H81" s="254">
        <v>500</v>
      </c>
      <c r="I81" s="254">
        <f t="shared" si="18"/>
        <v>1000</v>
      </c>
      <c r="J81" s="493">
        <f t="shared" si="19"/>
        <v>264</v>
      </c>
      <c r="K81" s="493"/>
      <c r="L81" s="254"/>
      <c r="M81" s="254"/>
      <c r="N81" s="254"/>
      <c r="O81" s="254"/>
      <c r="P81" s="254"/>
      <c r="Q81" s="254"/>
      <c r="R81" s="254"/>
      <c r="S81" s="257"/>
      <c r="T81" s="494"/>
      <c r="U81" s="495"/>
      <c r="V81" s="495"/>
      <c r="W81" s="495"/>
      <c r="X81" s="495"/>
    </row>
    <row r="82" spans="1:24" s="107" customFormat="1" ht="15.75" customHeight="1">
      <c r="A82" s="573" t="s">
        <v>790</v>
      </c>
      <c r="B82" s="557" t="s">
        <v>828</v>
      </c>
      <c r="C82" s="557"/>
      <c r="D82" s="254">
        <v>3</v>
      </c>
      <c r="E82" s="254">
        <v>1</v>
      </c>
      <c r="F82" s="254">
        <v>8</v>
      </c>
      <c r="G82" s="254">
        <v>1</v>
      </c>
      <c r="H82" s="254">
        <v>500</v>
      </c>
      <c r="I82" s="254">
        <f t="shared" si="18"/>
        <v>1500</v>
      </c>
      <c r="J82" s="493">
        <f t="shared" si="19"/>
        <v>396</v>
      </c>
      <c r="K82" s="493"/>
      <c r="L82" s="254"/>
      <c r="M82" s="254"/>
      <c r="N82" s="254"/>
      <c r="O82" s="254"/>
      <c r="P82" s="254"/>
      <c r="Q82" s="254"/>
      <c r="R82" s="254"/>
      <c r="S82" s="257"/>
      <c r="T82" s="494"/>
      <c r="U82" s="495"/>
      <c r="V82" s="495"/>
      <c r="W82" s="495"/>
      <c r="X82" s="495"/>
    </row>
    <row r="83" spans="1:24" s="107" customFormat="1" ht="15.75" customHeight="1">
      <c r="A83" s="573" t="s">
        <v>791</v>
      </c>
      <c r="B83" s="557" t="s">
        <v>829</v>
      </c>
      <c r="C83" s="557"/>
      <c r="D83" s="254">
        <v>5</v>
      </c>
      <c r="E83" s="254">
        <v>1</v>
      </c>
      <c r="F83" s="254">
        <v>8</v>
      </c>
      <c r="G83" s="254">
        <v>1</v>
      </c>
      <c r="H83" s="254">
        <v>500</v>
      </c>
      <c r="I83" s="254">
        <f t="shared" si="18"/>
        <v>2500</v>
      </c>
      <c r="J83" s="493">
        <f t="shared" si="19"/>
        <v>660</v>
      </c>
      <c r="K83" s="493"/>
      <c r="L83" s="254"/>
      <c r="M83" s="254"/>
      <c r="N83" s="254"/>
      <c r="O83" s="254"/>
      <c r="P83" s="254"/>
      <c r="Q83" s="254"/>
      <c r="R83" s="254"/>
      <c r="S83" s="257"/>
      <c r="T83" s="494"/>
      <c r="U83" s="495"/>
      <c r="V83" s="495"/>
      <c r="W83" s="495"/>
      <c r="X83" s="495"/>
    </row>
    <row r="84" spans="1:24" s="107" customFormat="1" ht="15.75" customHeight="1">
      <c r="A84" s="573" t="s">
        <v>792</v>
      </c>
      <c r="B84" s="557" t="s">
        <v>830</v>
      </c>
      <c r="C84" s="557"/>
      <c r="D84" s="254">
        <v>2</v>
      </c>
      <c r="E84" s="254">
        <v>1</v>
      </c>
      <c r="F84" s="254">
        <v>8</v>
      </c>
      <c r="G84" s="254">
        <v>1</v>
      </c>
      <c r="H84" s="254">
        <v>500</v>
      </c>
      <c r="I84" s="254">
        <f t="shared" si="18"/>
        <v>1000</v>
      </c>
      <c r="J84" s="493">
        <f t="shared" si="19"/>
        <v>264</v>
      </c>
      <c r="K84" s="493"/>
      <c r="L84" s="254"/>
      <c r="M84" s="254"/>
      <c r="N84" s="254"/>
      <c r="O84" s="254"/>
      <c r="P84" s="254"/>
      <c r="Q84" s="254"/>
      <c r="R84" s="254"/>
      <c r="S84" s="257"/>
      <c r="T84" s="494"/>
      <c r="U84" s="495"/>
      <c r="V84" s="495"/>
      <c r="W84" s="495"/>
      <c r="X84" s="495"/>
    </row>
    <row r="85" spans="1:24" s="107" customFormat="1" ht="15.75" customHeight="1">
      <c r="A85" s="573" t="s">
        <v>793</v>
      </c>
      <c r="B85" s="558" t="s">
        <v>831</v>
      </c>
      <c r="C85" s="558"/>
      <c r="D85" s="254">
        <v>3</v>
      </c>
      <c r="E85" s="254">
        <v>1</v>
      </c>
      <c r="F85" s="254">
        <v>8</v>
      </c>
      <c r="G85" s="254">
        <v>1</v>
      </c>
      <c r="H85" s="254">
        <v>500</v>
      </c>
      <c r="I85" s="254">
        <f t="shared" si="18"/>
        <v>1500</v>
      </c>
      <c r="J85" s="493">
        <f t="shared" si="19"/>
        <v>396</v>
      </c>
      <c r="K85" s="493"/>
      <c r="L85" s="254"/>
      <c r="M85" s="254"/>
      <c r="N85" s="254"/>
      <c r="O85" s="254"/>
      <c r="P85" s="254"/>
      <c r="Q85" s="254"/>
      <c r="R85" s="254"/>
      <c r="S85" s="257"/>
      <c r="T85" s="494"/>
      <c r="U85" s="495"/>
      <c r="V85" s="495"/>
      <c r="W85" s="495"/>
      <c r="X85" s="495"/>
    </row>
    <row r="86" spans="1:24" s="107" customFormat="1" ht="15.75" customHeight="1">
      <c r="A86" s="573" t="s">
        <v>794</v>
      </c>
      <c r="B86" s="557" t="s">
        <v>832</v>
      </c>
      <c r="C86" s="557"/>
      <c r="D86" s="254">
        <v>3</v>
      </c>
      <c r="E86" s="254">
        <v>1</v>
      </c>
      <c r="F86" s="254">
        <v>8</v>
      </c>
      <c r="G86" s="254">
        <v>1</v>
      </c>
      <c r="H86" s="254">
        <v>500</v>
      </c>
      <c r="I86" s="254">
        <f t="shared" si="18"/>
        <v>1500</v>
      </c>
      <c r="J86" s="493">
        <f t="shared" si="19"/>
        <v>396</v>
      </c>
      <c r="K86" s="493"/>
      <c r="L86" s="254"/>
      <c r="M86" s="254"/>
      <c r="N86" s="254"/>
      <c r="O86" s="254"/>
      <c r="P86" s="254"/>
      <c r="Q86" s="254"/>
      <c r="R86" s="254"/>
      <c r="S86" s="257"/>
      <c r="T86" s="494"/>
      <c r="U86" s="495"/>
      <c r="V86" s="495"/>
      <c r="W86" s="495"/>
      <c r="X86" s="495"/>
    </row>
    <row r="87" spans="1:24" s="107" customFormat="1" ht="15.75" customHeight="1">
      <c r="A87" s="573" t="s">
        <v>795</v>
      </c>
      <c r="B87" s="557" t="s">
        <v>818</v>
      </c>
      <c r="C87" s="557"/>
      <c r="D87" s="254">
        <v>5</v>
      </c>
      <c r="E87" s="254">
        <v>1</v>
      </c>
      <c r="F87" s="254">
        <v>8</v>
      </c>
      <c r="G87" s="254">
        <v>1</v>
      </c>
      <c r="H87" s="254">
        <v>500</v>
      </c>
      <c r="I87" s="254">
        <f t="shared" si="18"/>
        <v>2500</v>
      </c>
      <c r="J87" s="493">
        <f t="shared" si="19"/>
        <v>660</v>
      </c>
      <c r="K87" s="493"/>
      <c r="L87" s="254"/>
      <c r="M87" s="254"/>
      <c r="N87" s="254"/>
      <c r="O87" s="254"/>
      <c r="P87" s="254"/>
      <c r="Q87" s="254"/>
      <c r="R87" s="254"/>
      <c r="S87" s="257"/>
      <c r="T87" s="494"/>
      <c r="U87" s="495"/>
      <c r="V87" s="495"/>
      <c r="W87" s="495"/>
      <c r="X87" s="495"/>
    </row>
    <row r="88" spans="1:24" s="107" customFormat="1" ht="15.75" customHeight="1">
      <c r="A88" s="573" t="s">
        <v>796</v>
      </c>
      <c r="B88" s="557" t="s">
        <v>833</v>
      </c>
      <c r="C88" s="557"/>
      <c r="D88" s="254">
        <v>5</v>
      </c>
      <c r="E88" s="254">
        <v>1</v>
      </c>
      <c r="F88" s="254">
        <v>8</v>
      </c>
      <c r="G88" s="254">
        <v>1</v>
      </c>
      <c r="H88" s="254">
        <v>500</v>
      </c>
      <c r="I88" s="254">
        <f t="shared" si="18"/>
        <v>2500</v>
      </c>
      <c r="J88" s="493">
        <f t="shared" si="19"/>
        <v>660</v>
      </c>
      <c r="K88" s="493"/>
      <c r="L88" s="254"/>
      <c r="M88" s="254"/>
      <c r="N88" s="254"/>
      <c r="O88" s="254"/>
      <c r="P88" s="254"/>
      <c r="Q88" s="254"/>
      <c r="R88" s="254"/>
      <c r="S88" s="257"/>
      <c r="T88" s="494"/>
      <c r="U88" s="495"/>
      <c r="V88" s="495"/>
      <c r="W88" s="495"/>
      <c r="X88" s="495"/>
    </row>
    <row r="89" spans="1:24" s="107" customFormat="1" ht="15.75" customHeight="1">
      <c r="A89" s="573" t="s">
        <v>797</v>
      </c>
      <c r="B89" s="557" t="s">
        <v>834</v>
      </c>
      <c r="C89" s="557"/>
      <c r="D89" s="254">
        <v>3</v>
      </c>
      <c r="E89" s="254">
        <v>1</v>
      </c>
      <c r="F89" s="254">
        <v>8</v>
      </c>
      <c r="G89" s="254">
        <v>1</v>
      </c>
      <c r="H89" s="254">
        <v>500</v>
      </c>
      <c r="I89" s="254">
        <f t="shared" si="18"/>
        <v>1500</v>
      </c>
      <c r="J89" s="493">
        <f t="shared" si="19"/>
        <v>396</v>
      </c>
      <c r="K89" s="493"/>
      <c r="L89" s="254"/>
      <c r="M89" s="254"/>
      <c r="N89" s="254"/>
      <c r="O89" s="254"/>
      <c r="P89" s="254"/>
      <c r="Q89" s="254"/>
      <c r="R89" s="254"/>
      <c r="S89" s="257"/>
      <c r="T89" s="494"/>
      <c r="U89" s="495"/>
      <c r="V89" s="495"/>
      <c r="W89" s="495"/>
      <c r="X89" s="495"/>
    </row>
    <row r="90" spans="1:24" s="107" customFormat="1" ht="15.75" customHeight="1">
      <c r="A90" s="573" t="s">
        <v>798</v>
      </c>
      <c r="B90" s="557" t="s">
        <v>835</v>
      </c>
      <c r="C90" s="557"/>
      <c r="D90" s="254">
        <v>3</v>
      </c>
      <c r="E90" s="254">
        <v>1</v>
      </c>
      <c r="F90" s="254">
        <v>2</v>
      </c>
      <c r="G90" s="254">
        <f t="shared" ref="G90:G93" si="20">IF(H90&gt;70,"1.3",IF(H90&gt;120,"1.5",1))</f>
        <v>1</v>
      </c>
      <c r="H90" s="254">
        <v>60</v>
      </c>
      <c r="I90" s="254">
        <f t="shared" si="18"/>
        <v>180</v>
      </c>
      <c r="J90" s="493">
        <f t="shared" si="19"/>
        <v>99</v>
      </c>
      <c r="K90" s="493"/>
      <c r="L90" s="254"/>
      <c r="M90" s="254"/>
      <c r="N90" s="254"/>
      <c r="O90" s="254"/>
      <c r="P90" s="254"/>
      <c r="Q90" s="254"/>
      <c r="R90" s="254"/>
      <c r="S90" s="257"/>
      <c r="T90" s="494"/>
      <c r="U90" s="495"/>
      <c r="V90" s="495"/>
      <c r="W90" s="495"/>
      <c r="X90" s="495"/>
    </row>
    <row r="91" spans="1:24" s="107" customFormat="1" ht="15.75" customHeight="1">
      <c r="A91" s="573" t="s">
        <v>799</v>
      </c>
      <c r="B91" s="557" t="s">
        <v>836</v>
      </c>
      <c r="C91" s="557"/>
      <c r="D91" s="254">
        <v>3</v>
      </c>
      <c r="E91" s="254">
        <v>1</v>
      </c>
      <c r="F91" s="254">
        <v>2</v>
      </c>
      <c r="G91" s="254">
        <f t="shared" si="20"/>
        <v>1</v>
      </c>
      <c r="H91" s="254">
        <v>60</v>
      </c>
      <c r="I91" s="254">
        <f t="shared" si="18"/>
        <v>180</v>
      </c>
      <c r="J91" s="493">
        <f t="shared" si="19"/>
        <v>99</v>
      </c>
      <c r="K91" s="493"/>
      <c r="L91" s="254"/>
      <c r="M91" s="254"/>
      <c r="N91" s="254"/>
      <c r="O91" s="254"/>
      <c r="P91" s="254"/>
      <c r="Q91" s="254"/>
      <c r="R91" s="254"/>
      <c r="S91" s="257"/>
      <c r="T91" s="494"/>
      <c r="U91" s="495"/>
      <c r="V91" s="495"/>
      <c r="W91" s="495"/>
      <c r="X91" s="495"/>
    </row>
    <row r="92" spans="1:24" s="107" customFormat="1" ht="15.75" customHeight="1">
      <c r="A92" s="573" t="s">
        <v>800</v>
      </c>
      <c r="B92" s="557" t="s">
        <v>837</v>
      </c>
      <c r="C92" s="557"/>
      <c r="D92" s="254">
        <v>5</v>
      </c>
      <c r="E92" s="254">
        <v>1</v>
      </c>
      <c r="F92" s="254">
        <v>2</v>
      </c>
      <c r="G92" s="254">
        <f t="shared" si="20"/>
        <v>1</v>
      </c>
      <c r="H92" s="254">
        <v>60</v>
      </c>
      <c r="I92" s="254">
        <f t="shared" si="18"/>
        <v>300</v>
      </c>
      <c r="J92" s="493">
        <f t="shared" si="19"/>
        <v>165</v>
      </c>
      <c r="K92" s="493"/>
      <c r="L92" s="254"/>
      <c r="M92" s="254"/>
      <c r="N92" s="254"/>
      <c r="O92" s="254"/>
      <c r="P92" s="254"/>
      <c r="Q92" s="254"/>
      <c r="R92" s="254"/>
      <c r="S92" s="257"/>
      <c r="T92" s="494"/>
      <c r="U92" s="495"/>
      <c r="V92" s="495"/>
      <c r="W92" s="495"/>
      <c r="X92" s="495"/>
    </row>
    <row r="93" spans="1:24" s="107" customFormat="1" ht="15.75" customHeight="1">
      <c r="A93" s="573" t="s">
        <v>801</v>
      </c>
      <c r="B93" s="557" t="s">
        <v>838</v>
      </c>
      <c r="C93" s="557"/>
      <c r="D93" s="254">
        <v>2</v>
      </c>
      <c r="E93" s="254">
        <v>1</v>
      </c>
      <c r="F93" s="254">
        <v>2</v>
      </c>
      <c r="G93" s="254">
        <f t="shared" si="20"/>
        <v>1</v>
      </c>
      <c r="H93" s="254">
        <v>60</v>
      </c>
      <c r="I93" s="254">
        <f t="shared" si="18"/>
        <v>120</v>
      </c>
      <c r="J93" s="493">
        <f t="shared" si="19"/>
        <v>66</v>
      </c>
      <c r="K93" s="493"/>
      <c r="L93" s="254"/>
      <c r="M93" s="254"/>
      <c r="N93" s="254"/>
      <c r="O93" s="254"/>
      <c r="P93" s="254"/>
      <c r="Q93" s="254"/>
      <c r="R93" s="254"/>
      <c r="S93" s="257"/>
      <c r="T93" s="494"/>
      <c r="U93" s="495"/>
      <c r="V93" s="495"/>
      <c r="W93" s="495"/>
      <c r="X93" s="495"/>
    </row>
    <row r="94" spans="1:24" s="107" customFormat="1" ht="15.75" customHeight="1">
      <c r="A94" s="571" t="s">
        <v>261</v>
      </c>
      <c r="B94" s="572" t="s">
        <v>285</v>
      </c>
      <c r="C94" s="572"/>
      <c r="D94" s="255"/>
      <c r="E94" s="255"/>
      <c r="F94" s="255"/>
      <c r="G94" s="254"/>
      <c r="H94" s="255"/>
      <c r="I94" s="255"/>
      <c r="J94" s="254"/>
      <c r="K94" s="254"/>
      <c r="L94" s="254"/>
      <c r="M94" s="254"/>
      <c r="N94" s="254"/>
      <c r="O94" s="254"/>
      <c r="P94" s="254"/>
      <c r="Q94" s="254"/>
      <c r="R94" s="254"/>
      <c r="S94" s="257"/>
      <c r="T94" s="494"/>
      <c r="U94" s="495"/>
      <c r="V94" s="495"/>
      <c r="W94" s="495"/>
      <c r="X94" s="495"/>
    </row>
    <row r="95" spans="1:24" s="107" customFormat="1" ht="15.75" customHeight="1">
      <c r="A95" s="573" t="s">
        <v>263</v>
      </c>
      <c r="B95" s="574"/>
      <c r="C95" s="574"/>
      <c r="D95" s="568"/>
      <c r="E95" s="568"/>
      <c r="F95" s="568"/>
      <c r="G95" s="405"/>
      <c r="H95" s="568"/>
      <c r="I95" s="568"/>
      <c r="J95" s="254"/>
      <c r="K95" s="254"/>
      <c r="L95" s="254"/>
      <c r="M95" s="254"/>
      <c r="N95" s="254"/>
      <c r="O95" s="254"/>
      <c r="P95" s="254"/>
      <c r="Q95" s="254"/>
      <c r="R95" s="254"/>
      <c r="S95" s="257"/>
      <c r="T95" s="494"/>
      <c r="U95" s="495"/>
      <c r="V95" s="495"/>
      <c r="W95" s="495"/>
      <c r="X95" s="495"/>
    </row>
    <row r="96" spans="1:24" s="107" customFormat="1" ht="15.75" customHeight="1">
      <c r="A96" s="573" t="s">
        <v>265</v>
      </c>
      <c r="B96" s="574"/>
      <c r="C96" s="574"/>
      <c r="D96" s="255"/>
      <c r="E96" s="255"/>
      <c r="F96" s="255"/>
      <c r="G96" s="254"/>
      <c r="H96" s="255"/>
      <c r="I96" s="255"/>
      <c r="J96" s="254"/>
      <c r="K96" s="254"/>
      <c r="L96" s="254"/>
      <c r="M96" s="254"/>
      <c r="N96" s="254"/>
      <c r="O96" s="254"/>
      <c r="P96" s="254"/>
      <c r="Q96" s="254"/>
      <c r="R96" s="254"/>
      <c r="S96" s="257"/>
      <c r="T96" s="494"/>
      <c r="U96" s="495"/>
      <c r="V96" s="495"/>
      <c r="W96" s="495"/>
      <c r="X96" s="495"/>
    </row>
    <row r="97" spans="1:24" s="107" customFormat="1" ht="15.75" customHeight="1">
      <c r="A97" s="573"/>
      <c r="B97" s="574"/>
      <c r="C97" s="574"/>
      <c r="D97" s="492"/>
      <c r="E97" s="492"/>
      <c r="F97" s="492"/>
      <c r="G97" s="254"/>
      <c r="H97" s="492"/>
      <c r="I97" s="492"/>
      <c r="J97" s="254"/>
      <c r="K97" s="254"/>
      <c r="L97" s="254"/>
      <c r="M97" s="254"/>
      <c r="N97" s="254"/>
      <c r="O97" s="254"/>
      <c r="P97" s="254"/>
      <c r="Q97" s="254"/>
      <c r="R97" s="254"/>
      <c r="S97" s="257"/>
      <c r="T97" s="494"/>
      <c r="U97" s="495"/>
      <c r="V97" s="495"/>
      <c r="W97" s="495"/>
      <c r="X97" s="495"/>
    </row>
    <row r="98" spans="1:24" s="107" customFormat="1" ht="15.75" customHeight="1">
      <c r="A98" s="566">
        <v>2</v>
      </c>
      <c r="B98" s="567" t="s">
        <v>286</v>
      </c>
      <c r="C98" s="567"/>
      <c r="D98" s="492"/>
      <c r="E98" s="492"/>
      <c r="F98" s="492"/>
      <c r="G98" s="254"/>
      <c r="H98" s="492"/>
      <c r="I98" s="492"/>
      <c r="J98" s="254"/>
      <c r="K98" s="254"/>
      <c r="L98" s="254"/>
      <c r="M98" s="254"/>
      <c r="N98" s="254"/>
      <c r="O98" s="254"/>
      <c r="P98" s="254"/>
      <c r="Q98" s="254"/>
      <c r="R98" s="254"/>
      <c r="S98" s="257"/>
      <c r="T98" s="494"/>
      <c r="U98" s="495"/>
      <c r="V98" s="495"/>
      <c r="W98" s="495"/>
      <c r="X98" s="495"/>
    </row>
    <row r="99" spans="1:24" s="107" customFormat="1" ht="15.75" customHeight="1">
      <c r="A99" s="566" t="s">
        <v>252</v>
      </c>
      <c r="B99" s="568" t="s">
        <v>287</v>
      </c>
      <c r="C99" s="568"/>
      <c r="D99" s="492"/>
      <c r="E99" s="492"/>
      <c r="F99" s="492"/>
      <c r="G99" s="254"/>
      <c r="H99" s="492"/>
      <c r="I99" s="492"/>
      <c r="J99" s="254"/>
      <c r="K99" s="254"/>
      <c r="L99" s="254"/>
      <c r="M99" s="254"/>
      <c r="N99" s="254"/>
      <c r="O99" s="254"/>
      <c r="P99" s="254"/>
      <c r="Q99" s="254"/>
      <c r="R99" s="254"/>
      <c r="S99" s="257"/>
      <c r="T99" s="494"/>
      <c r="U99" s="495"/>
      <c r="V99" s="495"/>
      <c r="W99" s="495"/>
      <c r="X99" s="495"/>
    </row>
    <row r="100" spans="1:24" s="107" customFormat="1" ht="15.75" customHeight="1">
      <c r="A100" s="573" t="s">
        <v>254</v>
      </c>
      <c r="B100" s="255" t="s">
        <v>255</v>
      </c>
      <c r="C100" s="255"/>
      <c r="D100" s="492"/>
      <c r="E100" s="492"/>
      <c r="F100" s="492"/>
      <c r="G100" s="254"/>
      <c r="H100" s="492"/>
      <c r="I100" s="492"/>
      <c r="J100" s="254"/>
      <c r="K100" s="254"/>
      <c r="L100" s="254"/>
      <c r="M100" s="254"/>
      <c r="N100" s="254"/>
      <c r="O100" s="254"/>
      <c r="P100" s="254"/>
      <c r="Q100" s="254"/>
      <c r="R100" s="254"/>
      <c r="S100" s="257"/>
      <c r="T100" s="494"/>
      <c r="U100" s="495"/>
      <c r="V100" s="495"/>
      <c r="W100" s="495"/>
      <c r="X100" s="495"/>
    </row>
    <row r="101" spans="1:24" s="107" customFormat="1" ht="15.75" customHeight="1">
      <c r="A101" s="573" t="s">
        <v>256</v>
      </c>
      <c r="B101" s="255" t="s">
        <v>255</v>
      </c>
      <c r="C101" s="255"/>
      <c r="D101" s="492"/>
      <c r="E101" s="492"/>
      <c r="F101" s="492"/>
      <c r="G101" s="254"/>
      <c r="H101" s="492"/>
      <c r="I101" s="492"/>
      <c r="J101" s="254"/>
      <c r="K101" s="254"/>
      <c r="L101" s="254"/>
      <c r="M101" s="254"/>
      <c r="N101" s="254"/>
      <c r="O101" s="254"/>
      <c r="P101" s="254"/>
      <c r="Q101" s="254"/>
      <c r="R101" s="254"/>
      <c r="S101" s="257"/>
      <c r="T101" s="494"/>
      <c r="U101" s="495"/>
      <c r="V101" s="495"/>
      <c r="W101" s="495"/>
      <c r="X101" s="495"/>
    </row>
    <row r="102" spans="1:24" s="107" customFormat="1" ht="15.75" customHeight="1">
      <c r="A102" s="573" t="s">
        <v>257</v>
      </c>
      <c r="B102" s="255" t="s">
        <v>255</v>
      </c>
      <c r="C102" s="255"/>
      <c r="D102" s="492"/>
      <c r="E102" s="492"/>
      <c r="F102" s="492"/>
      <c r="G102" s="254"/>
      <c r="H102" s="492"/>
      <c r="I102" s="492"/>
      <c r="J102" s="254"/>
      <c r="K102" s="254"/>
      <c r="L102" s="254"/>
      <c r="M102" s="254"/>
      <c r="N102" s="254"/>
      <c r="O102" s="254"/>
      <c r="P102" s="254"/>
      <c r="Q102" s="254"/>
      <c r="R102" s="254"/>
      <c r="S102" s="257"/>
      <c r="T102" s="494"/>
      <c r="U102" s="495"/>
      <c r="V102" s="495"/>
      <c r="W102" s="495"/>
      <c r="X102" s="495"/>
    </row>
    <row r="103" spans="1:24" s="107" customFormat="1" ht="15.75" customHeight="1">
      <c r="A103" s="573" t="s">
        <v>258</v>
      </c>
      <c r="B103" s="255" t="s">
        <v>255</v>
      </c>
      <c r="C103" s="255"/>
      <c r="D103" s="492"/>
      <c r="E103" s="492"/>
      <c r="F103" s="492"/>
      <c r="G103" s="254"/>
      <c r="H103" s="492"/>
      <c r="I103" s="492"/>
      <c r="J103" s="254"/>
      <c r="K103" s="254"/>
      <c r="L103" s="254"/>
      <c r="M103" s="254"/>
      <c r="N103" s="254"/>
      <c r="O103" s="254"/>
      <c r="P103" s="254"/>
      <c r="Q103" s="254"/>
      <c r="R103" s="254"/>
      <c r="S103" s="257"/>
      <c r="T103" s="494"/>
      <c r="U103" s="495"/>
      <c r="V103" s="495"/>
      <c r="W103" s="495"/>
      <c r="X103" s="495"/>
    </row>
    <row r="104" spans="1:24" s="107" customFormat="1" ht="15.75" customHeight="1">
      <c r="A104" s="573" t="s">
        <v>259</v>
      </c>
      <c r="B104" s="255" t="s">
        <v>255</v>
      </c>
      <c r="C104" s="255"/>
      <c r="D104" s="492"/>
      <c r="E104" s="492"/>
      <c r="F104" s="492"/>
      <c r="G104" s="254"/>
      <c r="H104" s="492"/>
      <c r="I104" s="492"/>
      <c r="J104" s="254"/>
      <c r="K104" s="254"/>
      <c r="L104" s="254"/>
      <c r="M104" s="254"/>
      <c r="N104" s="254"/>
      <c r="O104" s="254"/>
      <c r="P104" s="254"/>
      <c r="Q104" s="254"/>
      <c r="R104" s="254"/>
      <c r="S104" s="257"/>
      <c r="T104" s="494"/>
      <c r="U104" s="495"/>
      <c r="V104" s="495"/>
      <c r="W104" s="495"/>
      <c r="X104" s="495"/>
    </row>
    <row r="105" spans="1:24" s="107" customFormat="1" ht="15.75" customHeight="1">
      <c r="A105" s="571" t="s">
        <v>261</v>
      </c>
      <c r="B105" s="574"/>
      <c r="C105" s="574"/>
      <c r="D105" s="492"/>
      <c r="E105" s="492"/>
      <c r="F105" s="492"/>
      <c r="G105" s="254"/>
      <c r="H105" s="492"/>
      <c r="I105" s="492"/>
      <c r="J105" s="254"/>
      <c r="K105" s="254"/>
      <c r="L105" s="254"/>
      <c r="M105" s="254"/>
      <c r="N105" s="254"/>
      <c r="O105" s="254"/>
      <c r="P105" s="254"/>
      <c r="Q105" s="254"/>
      <c r="R105" s="254"/>
      <c r="S105" s="257"/>
      <c r="T105" s="494"/>
      <c r="U105" s="495"/>
      <c r="V105" s="495"/>
      <c r="W105" s="495"/>
      <c r="X105" s="495"/>
    </row>
    <row r="106" spans="1:24" s="107" customFormat="1" ht="15.75" customHeight="1">
      <c r="A106" s="566" t="s">
        <v>288</v>
      </c>
      <c r="B106" s="563" t="s">
        <v>289</v>
      </c>
      <c r="C106" s="563"/>
      <c r="D106" s="492"/>
      <c r="E106" s="492"/>
      <c r="F106" s="492"/>
      <c r="G106" s="254"/>
      <c r="H106" s="492"/>
      <c r="I106" s="492"/>
      <c r="J106" s="254"/>
      <c r="K106" s="254"/>
      <c r="L106" s="254"/>
      <c r="M106" s="254"/>
      <c r="N106" s="254"/>
      <c r="O106" s="254"/>
      <c r="P106" s="254"/>
      <c r="Q106" s="254"/>
      <c r="R106" s="254"/>
      <c r="S106" s="257"/>
      <c r="T106" s="494"/>
      <c r="U106" s="495"/>
      <c r="V106" s="495"/>
      <c r="W106" s="495"/>
      <c r="X106" s="495"/>
    </row>
    <row r="107" spans="1:24" s="107" customFormat="1" ht="15.75" customHeight="1">
      <c r="A107" s="566"/>
      <c r="B107" s="567"/>
      <c r="C107" s="567"/>
      <c r="D107" s="492"/>
      <c r="E107" s="492"/>
      <c r="F107" s="492"/>
      <c r="G107" s="254"/>
      <c r="H107" s="492"/>
      <c r="I107" s="492"/>
      <c r="J107" s="254"/>
      <c r="K107" s="254"/>
      <c r="L107" s="254"/>
      <c r="M107" s="254"/>
      <c r="N107" s="254"/>
      <c r="O107" s="254"/>
      <c r="P107" s="254"/>
      <c r="Q107" s="254"/>
      <c r="R107" s="254"/>
      <c r="S107" s="257"/>
      <c r="T107" s="494"/>
      <c r="U107" s="495"/>
      <c r="V107" s="495"/>
      <c r="W107" s="495"/>
      <c r="X107" s="495"/>
    </row>
    <row r="108" spans="1:24" s="107" customFormat="1" ht="15.75" customHeight="1">
      <c r="A108" s="566"/>
      <c r="B108" s="567"/>
      <c r="C108" s="567"/>
      <c r="D108" s="492"/>
      <c r="E108" s="492"/>
      <c r="F108" s="492"/>
      <c r="G108" s="254"/>
      <c r="H108" s="492"/>
      <c r="I108" s="492"/>
      <c r="J108" s="254"/>
      <c r="K108" s="254"/>
      <c r="L108" s="254"/>
      <c r="M108" s="254"/>
      <c r="N108" s="254"/>
      <c r="O108" s="254"/>
      <c r="P108" s="254"/>
      <c r="Q108" s="254"/>
      <c r="R108" s="254"/>
      <c r="S108" s="257"/>
      <c r="T108" s="494"/>
      <c r="U108" s="495"/>
      <c r="V108" s="495"/>
      <c r="W108" s="495"/>
      <c r="X108" s="495"/>
    </row>
    <row r="109" spans="1:24" s="113" customFormat="1" ht="20.25" customHeight="1">
      <c r="A109" s="571" t="s">
        <v>290</v>
      </c>
      <c r="B109" s="568" t="s">
        <v>734</v>
      </c>
      <c r="C109" s="568"/>
      <c r="D109" s="492"/>
      <c r="E109" s="492"/>
      <c r="F109" s="492"/>
      <c r="G109" s="596">
        <f>G106+G10</f>
        <v>0</v>
      </c>
      <c r="H109" s="597"/>
      <c r="I109" s="492"/>
      <c r="J109" s="597">
        <f t="shared" ref="J109:R109" si="21">J106+J10</f>
        <v>0</v>
      </c>
      <c r="K109" s="597">
        <f t="shared" si="21"/>
        <v>0</v>
      </c>
      <c r="L109" s="597">
        <f t="shared" si="21"/>
        <v>0</v>
      </c>
      <c r="M109" s="597">
        <f t="shared" si="21"/>
        <v>0</v>
      </c>
      <c r="N109" s="597">
        <f t="shared" si="21"/>
        <v>0</v>
      </c>
      <c r="O109" s="597">
        <f t="shared" si="21"/>
        <v>0</v>
      </c>
      <c r="P109" s="597">
        <f t="shared" si="21"/>
        <v>0</v>
      </c>
      <c r="Q109" s="597">
        <f t="shared" si="21"/>
        <v>0</v>
      </c>
      <c r="R109" s="597">
        <f t="shared" si="21"/>
        <v>0</v>
      </c>
      <c r="S109" s="257"/>
      <c r="T109" s="114"/>
      <c r="U109" s="117"/>
      <c r="V109" s="117"/>
      <c r="W109" s="117"/>
      <c r="X109" s="117"/>
    </row>
    <row r="110" spans="1:24" s="113" customFormat="1" ht="20.25" customHeight="1">
      <c r="A110" s="566" t="s">
        <v>81</v>
      </c>
      <c r="B110" s="567" t="s">
        <v>291</v>
      </c>
      <c r="C110" s="567"/>
      <c r="D110" s="405" t="s">
        <v>292</v>
      </c>
      <c r="E110" s="571"/>
      <c r="F110" s="678">
        <f>F13</f>
        <v>133.79666666666674</v>
      </c>
      <c r="G110" s="678"/>
      <c r="H110" s="678">
        <f>H13</f>
        <v>12441</v>
      </c>
      <c r="I110" s="678">
        <f>I13</f>
        <v>38988.6</v>
      </c>
      <c r="J110" s="678">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1" t="s">
        <v>104</v>
      </c>
      <c r="B111" s="567" t="s">
        <v>293</v>
      </c>
      <c r="C111" s="567"/>
      <c r="D111" s="254" t="s">
        <v>292</v>
      </c>
      <c r="E111" s="492"/>
      <c r="F111" s="678">
        <f>F52</f>
        <v>93</v>
      </c>
      <c r="G111" s="678"/>
      <c r="H111" s="678">
        <f t="shared" ref="H111:J111" si="22">H52</f>
        <v>91</v>
      </c>
      <c r="I111" s="678">
        <f t="shared" si="22"/>
        <v>825</v>
      </c>
      <c r="J111" s="678">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1" t="s">
        <v>113</v>
      </c>
      <c r="B112" s="568" t="s">
        <v>276</v>
      </c>
      <c r="C112" s="568"/>
      <c r="D112" s="254" t="s">
        <v>292</v>
      </c>
      <c r="E112" s="492"/>
      <c r="F112" s="678"/>
      <c r="G112" s="678"/>
      <c r="H112" s="678"/>
      <c r="I112" s="678"/>
      <c r="J112" s="678"/>
      <c r="K112" s="254"/>
      <c r="L112" s="254"/>
      <c r="M112" s="254"/>
      <c r="N112" s="254"/>
      <c r="O112" s="254"/>
      <c r="P112" s="254"/>
      <c r="Q112" s="254"/>
      <c r="R112" s="254"/>
      <c r="S112" s="257"/>
      <c r="T112" s="114"/>
      <c r="U112" s="117"/>
      <c r="V112" s="117"/>
      <c r="W112" s="117"/>
      <c r="X112" s="117"/>
    </row>
    <row r="113" spans="1:24" s="113" customFormat="1" ht="20.25" customHeight="1">
      <c r="A113" s="573"/>
      <c r="B113" s="255"/>
      <c r="C113" s="255"/>
      <c r="D113" s="254"/>
      <c r="E113" s="492"/>
      <c r="F113" s="678"/>
      <c r="G113" s="678"/>
      <c r="H113" s="678"/>
      <c r="I113" s="678"/>
      <c r="J113" s="678"/>
      <c r="K113" s="254"/>
      <c r="L113" s="254"/>
      <c r="M113" s="254"/>
      <c r="N113" s="254"/>
      <c r="O113" s="254"/>
      <c r="P113" s="254"/>
      <c r="Q113" s="254"/>
      <c r="R113" s="254"/>
      <c r="S113" s="257"/>
      <c r="T113" s="114"/>
      <c r="U113" s="117"/>
      <c r="V113" s="117"/>
      <c r="W113" s="117"/>
      <c r="X113" s="117"/>
    </row>
    <row r="114" spans="1:24" s="113" customFormat="1" ht="20.25" customHeight="1">
      <c r="A114" s="566"/>
      <c r="B114" s="567" t="s">
        <v>294</v>
      </c>
      <c r="C114" s="567"/>
      <c r="D114" s="254" t="s">
        <v>292</v>
      </c>
      <c r="E114" s="492"/>
      <c r="F114" s="678">
        <f>F74</f>
        <v>128</v>
      </c>
      <c r="G114" s="678"/>
      <c r="H114" s="678">
        <f t="shared" ref="H114:J114" si="23">H74</f>
        <v>7740</v>
      </c>
      <c r="I114" s="678">
        <f t="shared" si="23"/>
        <v>25780</v>
      </c>
      <c r="J114" s="678">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6"/>
      <c r="B115" s="567" t="s">
        <v>295</v>
      </c>
      <c r="C115" s="567"/>
      <c r="D115" s="254" t="s">
        <v>292</v>
      </c>
      <c r="E115" s="492"/>
      <c r="F115" s="679"/>
      <c r="G115" s="677"/>
      <c r="H115" s="679"/>
      <c r="I115" s="679"/>
      <c r="J115" s="677"/>
      <c r="K115" s="254"/>
      <c r="L115" s="254"/>
      <c r="M115" s="254"/>
      <c r="N115" s="254"/>
      <c r="O115" s="254"/>
      <c r="P115" s="254"/>
      <c r="Q115" s="254"/>
      <c r="R115" s="254"/>
      <c r="S115" s="257"/>
      <c r="T115" s="114"/>
      <c r="U115" s="117"/>
      <c r="V115" s="117"/>
      <c r="W115" s="117"/>
      <c r="X115" s="117"/>
    </row>
    <row r="116" spans="1:24" s="113" customFormat="1" ht="20.25" customHeight="1">
      <c r="A116" s="573"/>
      <c r="B116" s="567" t="s">
        <v>296</v>
      </c>
      <c r="C116" s="567"/>
      <c r="D116" s="254"/>
      <c r="E116" s="492"/>
      <c r="F116" s="679"/>
      <c r="G116" s="677"/>
      <c r="H116" s="679"/>
      <c r="I116" s="679"/>
      <c r="J116" s="677"/>
      <c r="K116" s="254"/>
      <c r="L116" s="254"/>
      <c r="M116" s="254"/>
      <c r="N116" s="254"/>
      <c r="O116" s="254"/>
      <c r="P116" s="254"/>
      <c r="Q116" s="254"/>
      <c r="R116" s="254"/>
      <c r="S116" s="257"/>
      <c r="T116" s="114"/>
      <c r="U116" s="117"/>
      <c r="V116" s="117"/>
      <c r="W116" s="117"/>
      <c r="X116" s="117"/>
    </row>
    <row r="117" spans="1:24" s="113" customFormat="1" ht="20.25" customHeight="1">
      <c r="A117" s="573"/>
      <c r="B117" s="567" t="s">
        <v>297</v>
      </c>
      <c r="C117" s="567"/>
      <c r="D117" s="254"/>
      <c r="E117" s="492"/>
      <c r="F117" s="679"/>
      <c r="G117" s="677"/>
      <c r="H117" s="679"/>
      <c r="I117" s="679"/>
      <c r="J117" s="677"/>
      <c r="K117" s="254"/>
      <c r="L117" s="254"/>
      <c r="M117" s="254"/>
      <c r="N117" s="254"/>
      <c r="O117" s="254"/>
      <c r="P117" s="254"/>
      <c r="Q117" s="254"/>
      <c r="R117" s="254"/>
      <c r="S117" s="257"/>
      <c r="T117" s="114"/>
      <c r="U117" s="117"/>
      <c r="V117" s="117"/>
      <c r="W117" s="117"/>
      <c r="X117" s="117"/>
    </row>
    <row r="118" spans="1:24" s="113" customFormat="1" ht="20.25" customHeight="1">
      <c r="A118" s="573"/>
      <c r="B118" s="255"/>
      <c r="C118" s="255"/>
      <c r="D118" s="492"/>
      <c r="E118" s="492"/>
      <c r="F118" s="679"/>
      <c r="G118" s="677"/>
      <c r="H118" s="679"/>
      <c r="I118" s="679"/>
      <c r="J118" s="677"/>
      <c r="K118" s="254"/>
      <c r="L118" s="254"/>
      <c r="M118" s="254"/>
      <c r="N118" s="254"/>
      <c r="O118" s="254"/>
      <c r="P118" s="254"/>
      <c r="Q118" s="254"/>
      <c r="R118" s="254"/>
      <c r="S118" s="257"/>
      <c r="T118" s="114"/>
      <c r="U118" s="117"/>
      <c r="V118" s="117"/>
      <c r="W118" s="117"/>
      <c r="X118" s="117"/>
    </row>
    <row r="119" spans="1:24" s="113" customFormat="1" ht="20.25" customHeight="1">
      <c r="A119" s="580"/>
      <c r="B119" s="638" t="s">
        <v>544</v>
      </c>
      <c r="C119" s="639"/>
      <c r="D119" s="503"/>
      <c r="E119" s="503"/>
      <c r="F119" s="640">
        <f>SUM(F110:F118)</f>
        <v>354.79666666666674</v>
      </c>
      <c r="G119" s="640"/>
      <c r="H119" s="640">
        <f>SUM(H110:H118)</f>
        <v>20272</v>
      </c>
      <c r="I119" s="640">
        <f>SUM(I110:I118)</f>
        <v>65593.600000000006</v>
      </c>
      <c r="J119" s="640">
        <f>SUM(J110:J118)</f>
        <v>17833.698000000004</v>
      </c>
      <c r="K119" s="641"/>
      <c r="L119" s="641"/>
      <c r="M119" s="641"/>
      <c r="N119" s="641">
        <f>'Bieu 3a-Tong gio chuan chi tiet'!E14</f>
        <v>2902</v>
      </c>
      <c r="O119" s="641">
        <f>'Bieu 3a-Tong gio chuan chi tiet'!M14</f>
        <v>2591.5</v>
      </c>
      <c r="P119" s="640">
        <f>J119-O119</f>
        <v>15242.198000000004</v>
      </c>
      <c r="Q119" s="641">
        <f>'Bieu 3a-Tong gio chuan chi tiet'!N14</f>
        <v>2472.75</v>
      </c>
      <c r="R119" s="641">
        <f>'Bieu 3a-Tong gio chuan chi tiet'!O14</f>
        <v>1080</v>
      </c>
      <c r="S119" s="642"/>
      <c r="T119" s="114"/>
      <c r="U119" s="117"/>
      <c r="V119" s="117"/>
      <c r="W119" s="117"/>
      <c r="X119" s="117"/>
    </row>
    <row r="120" spans="1:24" s="113" customFormat="1" ht="21" customHeight="1">
      <c r="A120" s="97"/>
      <c r="B120" s="97"/>
      <c r="C120" s="97"/>
      <c r="D120" s="98"/>
      <c r="E120" s="98"/>
      <c r="F120" s="98"/>
      <c r="G120" s="547"/>
      <c r="H120" s="98"/>
      <c r="I120" s="98"/>
      <c r="J120" s="98"/>
      <c r="K120" s="98"/>
      <c r="L120" s="98"/>
      <c r="M120" s="98"/>
      <c r="N120" s="98"/>
      <c r="O120" s="98"/>
      <c r="P120" s="739" t="s">
        <v>127</v>
      </c>
      <c r="Q120" s="739"/>
      <c r="R120" s="739"/>
      <c r="S120" s="739"/>
      <c r="T120" s="114"/>
      <c r="U120" s="117"/>
      <c r="V120" s="117"/>
      <c r="W120" s="117"/>
      <c r="X120" s="117"/>
    </row>
    <row r="121" spans="1:24" s="113" customFormat="1" ht="21" customHeight="1">
      <c r="A121" s="97"/>
      <c r="B121" s="97"/>
      <c r="C121" s="97"/>
      <c r="D121" s="98"/>
      <c r="E121" s="98"/>
      <c r="F121" s="98"/>
      <c r="G121" s="547"/>
      <c r="H121" s="98"/>
      <c r="I121" s="98"/>
      <c r="J121" s="98"/>
      <c r="K121" s="98"/>
      <c r="L121" s="98"/>
      <c r="M121" s="98"/>
      <c r="N121" s="98"/>
      <c r="O121" s="98"/>
      <c r="P121" s="716" t="s">
        <v>128</v>
      </c>
      <c r="Q121" s="716"/>
      <c r="R121" s="716"/>
      <c r="S121" s="716"/>
      <c r="T121" s="114"/>
      <c r="U121" s="117"/>
      <c r="V121" s="117"/>
      <c r="W121" s="117"/>
      <c r="X121" s="117"/>
    </row>
    <row r="122" spans="1:24" ht="21" customHeight="1">
      <c r="A122" s="97"/>
      <c r="B122" s="740"/>
      <c r="C122" s="740"/>
      <c r="D122" s="740"/>
      <c r="E122" s="740"/>
      <c r="F122" s="740"/>
      <c r="G122" s="740"/>
      <c r="H122" s="740"/>
      <c r="I122" s="740"/>
      <c r="J122" s="740"/>
      <c r="K122" s="740"/>
      <c r="L122" s="740"/>
      <c r="M122" s="740"/>
      <c r="N122" s="98"/>
      <c r="O122" s="98"/>
      <c r="P122" s="98"/>
      <c r="Q122" s="98"/>
      <c r="R122" s="98"/>
      <c r="S122" s="214"/>
      <c r="T122" s="114"/>
      <c r="U122" s="117"/>
      <c r="V122" s="117"/>
      <c r="W122" s="117"/>
      <c r="X122" s="117"/>
    </row>
    <row r="123" spans="1:24" ht="39.75" customHeight="1">
      <c r="A123" s="97"/>
      <c r="B123" s="741" t="s">
        <v>298</v>
      </c>
      <c r="C123" s="741"/>
      <c r="D123" s="741"/>
      <c r="E123" s="741"/>
      <c r="F123" s="741"/>
      <c r="G123" s="741"/>
      <c r="H123" s="741"/>
      <c r="I123" s="741"/>
      <c r="J123" s="741"/>
      <c r="K123" s="741"/>
      <c r="L123" s="741"/>
      <c r="M123" s="741"/>
      <c r="N123" s="98"/>
      <c r="O123" s="98"/>
      <c r="P123" s="98"/>
      <c r="Q123" s="98"/>
      <c r="R123" s="98"/>
      <c r="S123" s="214"/>
      <c r="T123" s="114"/>
      <c r="U123" s="117"/>
      <c r="V123" s="117"/>
      <c r="W123" s="117"/>
      <c r="X123" s="117"/>
    </row>
    <row r="124" spans="1:24" ht="20.25" customHeight="1">
      <c r="A124" s="97"/>
      <c r="B124" s="738" t="s">
        <v>299</v>
      </c>
      <c r="C124" s="738"/>
      <c r="D124" s="738"/>
      <c r="E124" s="738"/>
      <c r="F124" s="738"/>
      <c r="G124" s="738"/>
      <c r="H124" s="738"/>
      <c r="I124" s="738"/>
      <c r="J124" s="738"/>
      <c r="K124" s="738"/>
      <c r="L124" s="738"/>
      <c r="M124" s="738"/>
      <c r="N124" s="98"/>
      <c r="O124" s="98"/>
      <c r="P124" s="98"/>
      <c r="Q124" s="98"/>
      <c r="R124" s="98"/>
      <c r="S124" s="214"/>
      <c r="T124" s="114"/>
      <c r="U124" s="117"/>
      <c r="V124" s="117"/>
      <c r="W124" s="117"/>
      <c r="X124" s="117"/>
    </row>
    <row r="125" spans="1:24" ht="15" customHeight="1">
      <c r="A125" s="97"/>
      <c r="B125" s="555" t="s">
        <v>300</v>
      </c>
      <c r="C125" s="555"/>
      <c r="D125" s="251"/>
      <c r="E125" s="251"/>
      <c r="F125" s="251"/>
      <c r="G125" s="548"/>
      <c r="H125" s="251"/>
      <c r="I125" s="251"/>
      <c r="J125" s="251"/>
      <c r="K125" s="251"/>
      <c r="L125" s="251"/>
      <c r="M125" s="251"/>
      <c r="N125" s="98"/>
      <c r="O125" s="98"/>
      <c r="P125" s="98"/>
      <c r="Q125" s="98"/>
      <c r="R125" s="98"/>
      <c r="S125" s="97"/>
      <c r="T125" s="114"/>
      <c r="U125" s="117"/>
      <c r="V125" s="117"/>
      <c r="W125" s="117"/>
      <c r="X125" s="117"/>
    </row>
    <row r="126" spans="1:24">
      <c r="A126" s="97"/>
      <c r="B126" s="555" t="s">
        <v>301</v>
      </c>
      <c r="C126" s="555"/>
      <c r="D126" s="98"/>
      <c r="E126" s="98"/>
      <c r="F126" s="98"/>
      <c r="G126" s="547"/>
      <c r="H126" s="98"/>
      <c r="I126" s="98"/>
      <c r="J126" s="98"/>
      <c r="K126" s="98"/>
      <c r="L126" s="98"/>
      <c r="M126" s="98"/>
      <c r="N126" s="98"/>
      <c r="O126" s="98"/>
      <c r="P126" s="98"/>
      <c r="Q126" s="98"/>
      <c r="R126" s="98"/>
      <c r="S126" s="114"/>
      <c r="T126" s="114"/>
      <c r="U126" s="117"/>
      <c r="V126" s="117"/>
      <c r="W126" s="117"/>
      <c r="X126" s="117"/>
    </row>
    <row r="127" spans="1:24">
      <c r="A127" s="97"/>
      <c r="B127" s="555" t="s">
        <v>302</v>
      </c>
      <c r="C127" s="555"/>
      <c r="D127" s="98"/>
      <c r="E127" s="98"/>
      <c r="F127" s="98"/>
      <c r="G127" s="547"/>
      <c r="H127" s="98"/>
      <c r="I127" s="98"/>
      <c r="J127" s="98"/>
      <c r="K127" s="98"/>
      <c r="L127" s="98"/>
      <c r="M127" s="98"/>
      <c r="N127" s="98"/>
      <c r="O127" s="98"/>
      <c r="P127" s="98"/>
      <c r="Q127" s="98"/>
      <c r="R127" s="98"/>
      <c r="S127" s="114"/>
      <c r="T127" s="114"/>
      <c r="U127" s="117"/>
      <c r="V127" s="117"/>
      <c r="W127" s="117"/>
      <c r="X127" s="117"/>
    </row>
    <row r="128" spans="1:24">
      <c r="A128" s="97"/>
      <c r="B128" s="555" t="s">
        <v>303</v>
      </c>
      <c r="C128" s="555"/>
      <c r="D128" s="98"/>
      <c r="E128" s="98"/>
      <c r="F128" s="98"/>
      <c r="G128" s="547"/>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6"/>
      <c r="E129" s="556"/>
      <c r="F129" s="556"/>
      <c r="G129" s="549"/>
      <c r="H129" s="556"/>
      <c r="I129" s="556"/>
      <c r="J129" s="98"/>
      <c r="K129" s="98"/>
      <c r="L129" s="98"/>
      <c r="M129" s="98"/>
      <c r="N129" s="98"/>
      <c r="O129" s="98"/>
      <c r="P129" s="98"/>
      <c r="Q129" s="98"/>
      <c r="R129" s="98"/>
      <c r="S129" s="114"/>
      <c r="T129" s="114"/>
      <c r="U129" s="117"/>
      <c r="V129" s="117"/>
      <c r="W129" s="117"/>
      <c r="X129" s="117"/>
    </row>
    <row r="130" spans="1:24">
      <c r="A130" s="97"/>
      <c r="B130" s="97"/>
      <c r="C130" s="97"/>
      <c r="D130" s="556"/>
      <c r="E130" s="556"/>
      <c r="F130" s="556"/>
      <c r="G130" s="549"/>
      <c r="H130" s="556"/>
      <c r="I130" s="556"/>
      <c r="J130" s="98"/>
      <c r="K130" s="98"/>
      <c r="L130" s="98"/>
      <c r="M130" s="98"/>
      <c r="N130" s="98"/>
      <c r="O130" s="98"/>
      <c r="P130" s="98"/>
      <c r="Q130" s="98"/>
      <c r="R130" s="98"/>
      <c r="S130" s="114"/>
      <c r="T130" s="114"/>
      <c r="U130" s="117"/>
      <c r="V130" s="117"/>
      <c r="W130" s="117"/>
      <c r="X130" s="117"/>
    </row>
    <row r="131" spans="1:24" ht="13.5" customHeight="1">
      <c r="A131" s="97"/>
      <c r="B131" s="97"/>
      <c r="C131" s="97"/>
      <c r="D131" s="555"/>
      <c r="E131" s="555"/>
      <c r="F131" s="555"/>
      <c r="G131" s="549"/>
      <c r="H131" s="555"/>
      <c r="I131" s="555"/>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7"/>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7"/>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7"/>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7"/>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7"/>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7"/>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7"/>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7"/>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7"/>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7"/>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7"/>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7"/>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7"/>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7"/>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7"/>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7"/>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7"/>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7"/>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7"/>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7"/>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7"/>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0"/>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cols>
    <col min="1" max="1" width="4.54296875" style="320" customWidth="1"/>
    <col min="2" max="2" width="24.54296875" style="320" customWidth="1"/>
    <col min="3" max="3" width="12" style="320" customWidth="1"/>
    <col min="4" max="4" width="15.81640625" style="320" customWidth="1"/>
    <col min="5" max="5" width="26.54296875" style="320" customWidth="1"/>
    <col min="6" max="6" width="8.453125" style="396" customWidth="1"/>
    <col min="7" max="7" width="8.7265625" style="397" customWidth="1"/>
    <col min="8" max="8" width="6.453125" style="397" customWidth="1"/>
    <col min="9" max="9" width="18" style="397" customWidth="1"/>
    <col min="10" max="10" width="18.26953125" style="397" customWidth="1"/>
    <col min="11" max="11" width="8.54296875" style="247" customWidth="1"/>
    <col min="12" max="12" width="9.453125" style="247" customWidth="1"/>
    <col min="13" max="13" width="17.453125" style="332" customWidth="1"/>
    <col min="14" max="16384" width="9" style="332"/>
  </cols>
  <sheetData>
    <row r="1" spans="1:13" ht="14.25" customHeight="1">
      <c r="A1" s="743" t="s">
        <v>64</v>
      </c>
      <c r="B1" s="743"/>
      <c r="C1" s="743"/>
      <c r="D1" s="743"/>
      <c r="E1" s="743"/>
      <c r="F1" s="319"/>
      <c r="G1" s="330"/>
      <c r="H1" s="330"/>
      <c r="I1" s="330"/>
      <c r="J1" s="330"/>
      <c r="K1" s="92"/>
      <c r="L1" s="92"/>
      <c r="M1" s="331" t="s">
        <v>304</v>
      </c>
    </row>
    <row r="2" spans="1:13">
      <c r="A2" s="743" t="s">
        <v>305</v>
      </c>
      <c r="B2" s="743"/>
      <c r="C2" s="743"/>
      <c r="D2" s="743"/>
      <c r="E2" s="743"/>
      <c r="F2" s="319"/>
      <c r="G2" s="330"/>
      <c r="H2" s="330"/>
      <c r="I2" s="330"/>
      <c r="J2" s="330"/>
      <c r="K2" s="92"/>
      <c r="L2" s="92"/>
      <c r="M2" s="330"/>
    </row>
    <row r="3" spans="1:13" ht="57.75" customHeight="1">
      <c r="A3" s="744" t="s">
        <v>306</v>
      </c>
      <c r="B3" s="744"/>
      <c r="C3" s="744"/>
      <c r="D3" s="744"/>
      <c r="E3" s="744"/>
      <c r="F3" s="744"/>
      <c r="G3" s="744"/>
      <c r="H3" s="744"/>
      <c r="I3" s="744"/>
      <c r="J3" s="744"/>
      <c r="K3" s="744"/>
      <c r="L3" s="744"/>
      <c r="M3" s="744"/>
    </row>
    <row r="4" spans="1:13" ht="45" customHeight="1">
      <c r="A4" s="754" t="s">
        <v>307</v>
      </c>
      <c r="B4" s="754"/>
      <c r="C4" s="754"/>
      <c r="D4" s="754"/>
      <c r="E4" s="754"/>
      <c r="F4" s="754"/>
      <c r="G4" s="754"/>
      <c r="H4" s="754"/>
      <c r="I4" s="754"/>
      <c r="J4" s="754"/>
      <c r="K4" s="754"/>
      <c r="L4" s="754"/>
      <c r="M4" s="754"/>
    </row>
    <row r="5" spans="1:13" ht="19.5" customHeight="1">
      <c r="A5" s="745"/>
      <c r="B5" s="745"/>
      <c r="C5" s="745"/>
      <c r="D5" s="745"/>
      <c r="E5" s="745"/>
      <c r="F5" s="745"/>
      <c r="G5" s="745"/>
      <c r="H5" s="745"/>
      <c r="I5" s="745"/>
      <c r="J5" s="745"/>
      <c r="K5" s="745"/>
      <c r="L5" s="745"/>
      <c r="M5" s="745"/>
    </row>
    <row r="6" spans="1:13" ht="14.5" thickBot="1">
      <c r="A6" s="333"/>
      <c r="B6" s="333"/>
      <c r="C6" s="333"/>
      <c r="D6" s="333"/>
      <c r="E6" s="333"/>
      <c r="F6" s="334"/>
      <c r="G6" s="333"/>
      <c r="H6" s="333"/>
      <c r="I6" s="333"/>
      <c r="J6" s="333"/>
      <c r="K6" s="335"/>
      <c r="L6" s="335"/>
      <c r="M6" s="336"/>
    </row>
    <row r="7" spans="1:13" ht="51.75" customHeight="1" thickTop="1">
      <c r="A7" s="746" t="s">
        <v>68</v>
      </c>
      <c r="B7" s="748" t="s">
        <v>308</v>
      </c>
      <c r="C7" s="750" t="s">
        <v>309</v>
      </c>
      <c r="D7" s="750" t="s">
        <v>310</v>
      </c>
      <c r="E7" s="750" t="s">
        <v>311</v>
      </c>
      <c r="F7" s="748" t="s">
        <v>223</v>
      </c>
      <c r="G7" s="757" t="s">
        <v>225</v>
      </c>
      <c r="H7" s="748" t="s">
        <v>312</v>
      </c>
      <c r="I7" s="748" t="s">
        <v>226</v>
      </c>
      <c r="J7" s="748" t="s">
        <v>227</v>
      </c>
      <c r="K7" s="748" t="s">
        <v>228</v>
      </c>
      <c r="L7" s="748" t="s">
        <v>229</v>
      </c>
      <c r="M7" s="752" t="s">
        <v>7</v>
      </c>
    </row>
    <row r="8" spans="1:13" ht="75.75" customHeight="1">
      <c r="A8" s="747"/>
      <c r="B8" s="749"/>
      <c r="C8" s="751"/>
      <c r="D8" s="751"/>
      <c r="E8" s="751"/>
      <c r="F8" s="749"/>
      <c r="G8" s="737"/>
      <c r="H8" s="749"/>
      <c r="I8" s="749"/>
      <c r="J8" s="749"/>
      <c r="K8" s="749"/>
      <c r="L8" s="749"/>
      <c r="M8" s="753"/>
    </row>
    <row r="9" spans="1:13" s="341" customFormat="1" ht="30" customHeight="1">
      <c r="A9" s="337" t="s">
        <v>233</v>
      </c>
      <c r="B9" s="338" t="s">
        <v>234</v>
      </c>
      <c r="C9" s="338" t="s">
        <v>235</v>
      </c>
      <c r="D9" s="338" t="s">
        <v>236</v>
      </c>
      <c r="E9" s="338" t="s">
        <v>237</v>
      </c>
      <c r="F9" s="339" t="s">
        <v>238</v>
      </c>
      <c r="G9" s="339" t="s">
        <v>239</v>
      </c>
      <c r="H9" s="339" t="s">
        <v>313</v>
      </c>
      <c r="I9" s="339" t="s">
        <v>314</v>
      </c>
      <c r="J9" s="339" t="s">
        <v>315</v>
      </c>
      <c r="K9" s="339" t="s">
        <v>242</v>
      </c>
      <c r="L9" s="339" t="s">
        <v>243</v>
      </c>
      <c r="M9" s="340" t="s">
        <v>244</v>
      </c>
    </row>
    <row r="10" spans="1:13" s="348" customFormat="1" ht="24" customHeight="1">
      <c r="A10" s="342" t="s">
        <v>81</v>
      </c>
      <c r="B10" s="343" t="s">
        <v>316</v>
      </c>
      <c r="C10" s="344" t="s">
        <v>317</v>
      </c>
      <c r="D10" s="345"/>
      <c r="E10" s="343"/>
      <c r="F10" s="346">
        <f>+F11+F15</f>
        <v>0</v>
      </c>
      <c r="G10" s="346">
        <f t="shared" ref="G10:L10" si="0">+G11+G15</f>
        <v>0</v>
      </c>
      <c r="H10" s="346">
        <f t="shared" si="0"/>
        <v>0</v>
      </c>
      <c r="I10" s="346">
        <f t="shared" si="0"/>
        <v>0</v>
      </c>
      <c r="J10" s="346">
        <f t="shared" si="0"/>
        <v>0</v>
      </c>
      <c r="K10" s="346">
        <f t="shared" si="0"/>
        <v>0</v>
      </c>
      <c r="L10" s="346">
        <f t="shared" si="0"/>
        <v>0</v>
      </c>
      <c r="M10" s="347"/>
    </row>
    <row r="11" spans="1:13" s="348" customFormat="1" ht="19.5" customHeight="1">
      <c r="A11" s="349" t="s">
        <v>79</v>
      </c>
      <c r="B11" s="350" t="s">
        <v>318</v>
      </c>
      <c r="C11" s="350"/>
      <c r="D11" s="351"/>
      <c r="E11" s="350"/>
      <c r="F11" s="352">
        <f>SUM(F12:F14)</f>
        <v>0</v>
      </c>
      <c r="G11" s="352">
        <f t="shared" ref="G11:L11" si="1">SUM(G12:G14)</f>
        <v>0</v>
      </c>
      <c r="H11" s="352">
        <f t="shared" si="1"/>
        <v>0</v>
      </c>
      <c r="I11" s="352">
        <f t="shared" si="1"/>
        <v>0</v>
      </c>
      <c r="J11" s="352">
        <f t="shared" si="1"/>
        <v>0</v>
      </c>
      <c r="K11" s="352">
        <f t="shared" si="1"/>
        <v>0</v>
      </c>
      <c r="L11" s="352">
        <f t="shared" si="1"/>
        <v>0</v>
      </c>
      <c r="M11" s="353"/>
    </row>
    <row r="12" spans="1:13" s="348" customFormat="1">
      <c r="A12" s="354">
        <v>1</v>
      </c>
      <c r="B12" s="355" t="s">
        <v>319</v>
      </c>
      <c r="C12" s="355"/>
      <c r="D12" s="356"/>
      <c r="E12" s="355"/>
      <c r="F12" s="357">
        <v>0</v>
      </c>
      <c r="G12" s="357">
        <v>0</v>
      </c>
      <c r="H12" s="357">
        <v>0</v>
      </c>
      <c r="I12" s="357">
        <f>G12-H12</f>
        <v>0</v>
      </c>
      <c r="J12" s="357">
        <f>F12-I12</f>
        <v>0</v>
      </c>
      <c r="K12" s="357">
        <v>0</v>
      </c>
      <c r="L12" s="357">
        <v>0</v>
      </c>
      <c r="M12" s="358"/>
    </row>
    <row r="13" spans="1:13" s="348" customFormat="1">
      <c r="A13" s="354">
        <v>2</v>
      </c>
      <c r="B13" s="355" t="s">
        <v>320</v>
      </c>
      <c r="C13" s="355"/>
      <c r="D13" s="356"/>
      <c r="E13" s="359"/>
      <c r="F13" s="357"/>
      <c r="G13" s="357"/>
      <c r="H13" s="357"/>
      <c r="I13" s="357"/>
      <c r="J13" s="357"/>
      <c r="K13" s="357"/>
      <c r="L13" s="357"/>
      <c r="M13" s="358"/>
    </row>
    <row r="14" spans="1:13" s="348" customFormat="1">
      <c r="A14" s="354">
        <v>3</v>
      </c>
      <c r="B14" s="355" t="s">
        <v>320</v>
      </c>
      <c r="C14" s="355"/>
      <c r="D14" s="356"/>
      <c r="E14" s="359"/>
      <c r="F14" s="357"/>
      <c r="G14" s="357"/>
      <c r="H14" s="357"/>
      <c r="I14" s="357"/>
      <c r="J14" s="357"/>
      <c r="K14" s="357"/>
      <c r="L14" s="357"/>
      <c r="M14" s="358"/>
    </row>
    <row r="15" spans="1:13" s="348" customFormat="1">
      <c r="A15" s="360" t="s">
        <v>288</v>
      </c>
      <c r="B15" s="361" t="s">
        <v>321</v>
      </c>
      <c r="C15" s="362"/>
      <c r="D15" s="362"/>
      <c r="E15" s="363"/>
      <c r="F15" s="364">
        <f>SUM(F16:F18)</f>
        <v>0</v>
      </c>
      <c r="G15" s="364">
        <f t="shared" ref="G15:L15" si="2">SUM(G16:G18)</f>
        <v>0</v>
      </c>
      <c r="H15" s="364">
        <f t="shared" si="2"/>
        <v>0</v>
      </c>
      <c r="I15" s="364">
        <f t="shared" si="2"/>
        <v>0</v>
      </c>
      <c r="J15" s="364">
        <f t="shared" si="2"/>
        <v>0</v>
      </c>
      <c r="K15" s="364">
        <f t="shared" si="2"/>
        <v>0</v>
      </c>
      <c r="L15" s="364">
        <f t="shared" si="2"/>
        <v>0</v>
      </c>
      <c r="M15" s="365"/>
    </row>
    <row r="16" spans="1:13" s="348" customFormat="1">
      <c r="A16" s="354">
        <v>1</v>
      </c>
      <c r="B16" s="355" t="s">
        <v>319</v>
      </c>
      <c r="C16" s="362"/>
      <c r="D16" s="366"/>
      <c r="E16" s="367"/>
      <c r="F16" s="357">
        <v>0</v>
      </c>
      <c r="G16" s="357">
        <v>0</v>
      </c>
      <c r="H16" s="357">
        <v>0</v>
      </c>
      <c r="I16" s="357">
        <f>G16-H16</f>
        <v>0</v>
      </c>
      <c r="J16" s="357">
        <f>F16-I16</f>
        <v>0</v>
      </c>
      <c r="K16" s="357">
        <v>0</v>
      </c>
      <c r="L16" s="357">
        <v>0</v>
      </c>
      <c r="M16" s="365"/>
    </row>
    <row r="17" spans="1:13" s="348" customFormat="1">
      <c r="A17" s="354">
        <v>2</v>
      </c>
      <c r="B17" s="355" t="s">
        <v>320</v>
      </c>
      <c r="C17" s="355"/>
      <c r="D17" s="356"/>
      <c r="E17" s="359"/>
      <c r="F17" s="357"/>
      <c r="G17" s="357"/>
      <c r="H17" s="357"/>
      <c r="I17" s="357"/>
      <c r="J17" s="357"/>
      <c r="K17" s="357"/>
      <c r="L17" s="357"/>
      <c r="M17" s="358"/>
    </row>
    <row r="18" spans="1:13" s="348" customFormat="1">
      <c r="A18" s="354">
        <v>3</v>
      </c>
      <c r="B18" s="355" t="s">
        <v>320</v>
      </c>
      <c r="C18" s="355"/>
      <c r="D18" s="356"/>
      <c r="E18" s="359"/>
      <c r="F18" s="357"/>
      <c r="G18" s="357"/>
      <c r="H18" s="357"/>
      <c r="I18" s="357"/>
      <c r="J18" s="357"/>
      <c r="K18" s="357"/>
      <c r="L18" s="357"/>
      <c r="M18" s="358"/>
    </row>
    <row r="19" spans="1:13" s="348" customFormat="1" ht="22.5" customHeight="1">
      <c r="A19" s="354"/>
      <c r="B19" s="368" t="s">
        <v>322</v>
      </c>
      <c r="C19" s="362"/>
      <c r="D19" s="362"/>
      <c r="E19" s="363"/>
      <c r="F19" s="364"/>
      <c r="G19" s="357"/>
      <c r="H19" s="357"/>
      <c r="I19" s="357"/>
      <c r="J19" s="357"/>
      <c r="K19" s="357"/>
      <c r="L19" s="357"/>
      <c r="M19" s="365"/>
    </row>
    <row r="20" spans="1:13" s="348" customFormat="1" ht="20.25" customHeight="1">
      <c r="A20" s="354"/>
      <c r="B20" s="369" t="s">
        <v>323</v>
      </c>
      <c r="C20" s="362"/>
      <c r="D20" s="362"/>
      <c r="E20" s="363"/>
      <c r="F20" s="357"/>
      <c r="G20" s="357"/>
      <c r="H20" s="357"/>
      <c r="I20" s="357"/>
      <c r="J20" s="357"/>
      <c r="K20" s="357"/>
      <c r="L20" s="357"/>
      <c r="M20" s="365"/>
    </row>
    <row r="21" spans="1:13" s="348" customFormat="1" ht="28">
      <c r="A21" s="354"/>
      <c r="B21" s="369" t="s">
        <v>324</v>
      </c>
      <c r="C21" s="362"/>
      <c r="D21" s="362"/>
      <c r="E21" s="363"/>
      <c r="F21" s="357"/>
      <c r="G21" s="357"/>
      <c r="H21" s="357"/>
      <c r="I21" s="357"/>
      <c r="J21" s="357"/>
      <c r="K21" s="357"/>
      <c r="L21" s="357"/>
      <c r="M21" s="365"/>
    </row>
    <row r="22" spans="1:13" s="348" customFormat="1">
      <c r="A22" s="354"/>
      <c r="B22" s="369" t="s">
        <v>325</v>
      </c>
      <c r="C22" s="362"/>
      <c r="D22" s="362"/>
      <c r="E22" s="363"/>
      <c r="F22" s="357"/>
      <c r="G22" s="357"/>
      <c r="H22" s="357"/>
      <c r="I22" s="357"/>
      <c r="J22" s="357"/>
      <c r="K22" s="357"/>
      <c r="L22" s="357"/>
      <c r="M22" s="365"/>
    </row>
    <row r="23" spans="1:13" s="348" customFormat="1">
      <c r="A23" s="354"/>
      <c r="B23" s="369" t="s">
        <v>326</v>
      </c>
      <c r="C23" s="362"/>
      <c r="D23" s="362"/>
      <c r="E23" s="363"/>
      <c r="F23" s="364"/>
      <c r="G23" s="364"/>
      <c r="H23" s="364"/>
      <c r="I23" s="364"/>
      <c r="J23" s="364"/>
      <c r="K23" s="364"/>
      <c r="L23" s="364"/>
      <c r="M23" s="365"/>
    </row>
    <row r="24" spans="1:13" s="348" customFormat="1">
      <c r="A24" s="354"/>
      <c r="B24" s="369" t="s">
        <v>327</v>
      </c>
      <c r="C24" s="362"/>
      <c r="D24" s="362"/>
      <c r="E24" s="363"/>
      <c r="F24" s="364"/>
      <c r="G24" s="364"/>
      <c r="H24" s="364"/>
      <c r="I24" s="364"/>
      <c r="J24" s="364"/>
      <c r="K24" s="364"/>
      <c r="L24" s="364"/>
      <c r="M24" s="365"/>
    </row>
    <row r="25" spans="1:13" s="348" customFormat="1">
      <c r="A25" s="354"/>
      <c r="B25" s="369" t="s">
        <v>328</v>
      </c>
      <c r="C25" s="362"/>
      <c r="D25" s="362"/>
      <c r="E25" s="363"/>
      <c r="F25" s="357"/>
      <c r="G25" s="357"/>
      <c r="H25" s="357"/>
      <c r="I25" s="357"/>
      <c r="J25" s="357"/>
      <c r="K25" s="357"/>
      <c r="L25" s="357"/>
      <c r="M25" s="365"/>
    </row>
    <row r="26" spans="1:13" s="348" customFormat="1">
      <c r="A26" s="354"/>
      <c r="B26" s="370" t="s">
        <v>329</v>
      </c>
      <c r="C26" s="362"/>
      <c r="D26" s="362"/>
      <c r="E26" s="363"/>
      <c r="F26" s="364"/>
      <c r="G26" s="357"/>
      <c r="H26" s="357"/>
      <c r="I26" s="357"/>
      <c r="J26" s="357"/>
      <c r="K26" s="357"/>
      <c r="L26" s="357"/>
      <c r="M26" s="365"/>
    </row>
    <row r="27" spans="1:13" s="348" customFormat="1">
      <c r="A27" s="354"/>
      <c r="B27" s="370" t="s">
        <v>330</v>
      </c>
      <c r="C27" s="362"/>
      <c r="D27" s="362"/>
      <c r="E27" s="363"/>
      <c r="F27" s="364"/>
      <c r="G27" s="357"/>
      <c r="H27" s="357"/>
      <c r="I27" s="357"/>
      <c r="J27" s="357"/>
      <c r="K27" s="357"/>
      <c r="L27" s="357"/>
      <c r="M27" s="371"/>
    </row>
    <row r="28" spans="1:13" s="348" customFormat="1" ht="24" customHeight="1">
      <c r="A28" s="342" t="s">
        <v>104</v>
      </c>
      <c r="B28" s="343" t="s">
        <v>331</v>
      </c>
      <c r="C28" s="344" t="s">
        <v>332</v>
      </c>
      <c r="D28" s="345"/>
      <c r="E28" s="343"/>
      <c r="F28" s="346">
        <f>+F29+F33</f>
        <v>0</v>
      </c>
      <c r="G28" s="346">
        <f t="shared" ref="G28:L28" si="3">+G29+G33</f>
        <v>0</v>
      </c>
      <c r="H28" s="346">
        <f t="shared" si="3"/>
        <v>0</v>
      </c>
      <c r="I28" s="346">
        <f t="shared" si="3"/>
        <v>0</v>
      </c>
      <c r="J28" s="346">
        <f t="shared" si="3"/>
        <v>0</v>
      </c>
      <c r="K28" s="346">
        <f t="shared" si="3"/>
        <v>0</v>
      </c>
      <c r="L28" s="346">
        <f t="shared" si="3"/>
        <v>0</v>
      </c>
      <c r="M28" s="347"/>
    </row>
    <row r="29" spans="1:13" s="348" customFormat="1" ht="19.5" customHeight="1">
      <c r="A29" s="349" t="s">
        <v>79</v>
      </c>
      <c r="B29" s="350" t="s">
        <v>318</v>
      </c>
      <c r="C29" s="350"/>
      <c r="D29" s="351"/>
      <c r="E29" s="350"/>
      <c r="F29" s="352">
        <f>SUM(F30:F32)</f>
        <v>0</v>
      </c>
      <c r="G29" s="352">
        <f t="shared" ref="G29:L29" si="4">SUM(G30:G32)</f>
        <v>0</v>
      </c>
      <c r="H29" s="352">
        <f t="shared" si="4"/>
        <v>0</v>
      </c>
      <c r="I29" s="352">
        <f t="shared" si="4"/>
        <v>0</v>
      </c>
      <c r="J29" s="352">
        <f t="shared" si="4"/>
        <v>0</v>
      </c>
      <c r="K29" s="352">
        <f t="shared" si="4"/>
        <v>0</v>
      </c>
      <c r="L29" s="352">
        <f t="shared" si="4"/>
        <v>0</v>
      </c>
      <c r="M29" s="353"/>
    </row>
    <row r="30" spans="1:13" s="348" customFormat="1">
      <c r="A30" s="354">
        <v>1</v>
      </c>
      <c r="B30" s="355" t="s">
        <v>319</v>
      </c>
      <c r="C30" s="355"/>
      <c r="D30" s="356"/>
      <c r="E30" s="355"/>
      <c r="F30" s="357">
        <v>0</v>
      </c>
      <c r="G30" s="357">
        <v>0</v>
      </c>
      <c r="H30" s="357">
        <v>0</v>
      </c>
      <c r="I30" s="357">
        <f>G30-H30</f>
        <v>0</v>
      </c>
      <c r="J30" s="357">
        <f>F30-I30</f>
        <v>0</v>
      </c>
      <c r="K30" s="357">
        <v>0</v>
      </c>
      <c r="L30" s="357">
        <v>0</v>
      </c>
      <c r="M30" s="358"/>
    </row>
    <row r="31" spans="1:13" s="348" customFormat="1">
      <c r="A31" s="354">
        <v>2</v>
      </c>
      <c r="B31" s="355" t="s">
        <v>320</v>
      </c>
      <c r="C31" s="355"/>
      <c r="D31" s="356"/>
      <c r="E31" s="359"/>
      <c r="F31" s="357"/>
      <c r="G31" s="357"/>
      <c r="H31" s="357"/>
      <c r="I31" s="357"/>
      <c r="J31" s="357"/>
      <c r="K31" s="357"/>
      <c r="L31" s="357"/>
      <c r="M31" s="358"/>
    </row>
    <row r="32" spans="1:13" s="348" customFormat="1">
      <c r="A32" s="354">
        <v>3</v>
      </c>
      <c r="B32" s="355" t="s">
        <v>320</v>
      </c>
      <c r="C32" s="355"/>
      <c r="D32" s="356"/>
      <c r="E32" s="359"/>
      <c r="F32" s="357"/>
      <c r="G32" s="357"/>
      <c r="H32" s="357"/>
      <c r="I32" s="357"/>
      <c r="J32" s="357"/>
      <c r="K32" s="357"/>
      <c r="L32" s="357"/>
      <c r="M32" s="358"/>
    </row>
    <row r="33" spans="1:13" s="348" customFormat="1">
      <c r="A33" s="360" t="s">
        <v>288</v>
      </c>
      <c r="B33" s="361" t="s">
        <v>321</v>
      </c>
      <c r="C33" s="362"/>
      <c r="D33" s="362"/>
      <c r="E33" s="363"/>
      <c r="F33" s="364">
        <f>SUM(F34:F36)</f>
        <v>0</v>
      </c>
      <c r="G33" s="364">
        <f t="shared" ref="G33:L33" si="5">SUM(G34:G36)</f>
        <v>0</v>
      </c>
      <c r="H33" s="364">
        <f t="shared" si="5"/>
        <v>0</v>
      </c>
      <c r="I33" s="364">
        <f t="shared" si="5"/>
        <v>0</v>
      </c>
      <c r="J33" s="364">
        <f t="shared" si="5"/>
        <v>0</v>
      </c>
      <c r="K33" s="364">
        <f t="shared" si="5"/>
        <v>0</v>
      </c>
      <c r="L33" s="364">
        <f t="shared" si="5"/>
        <v>0</v>
      </c>
      <c r="M33" s="365"/>
    </row>
    <row r="34" spans="1:13" s="348" customFormat="1">
      <c r="A34" s="354">
        <v>1</v>
      </c>
      <c r="B34" s="355" t="s">
        <v>319</v>
      </c>
      <c r="C34" s="362"/>
      <c r="D34" s="366"/>
      <c r="E34" s="367"/>
      <c r="F34" s="357">
        <v>0</v>
      </c>
      <c r="G34" s="357">
        <v>0</v>
      </c>
      <c r="H34" s="357">
        <v>0</v>
      </c>
      <c r="I34" s="357">
        <f>G34-H34</f>
        <v>0</v>
      </c>
      <c r="J34" s="357">
        <f>F34-I34</f>
        <v>0</v>
      </c>
      <c r="K34" s="357">
        <v>0</v>
      </c>
      <c r="L34" s="357">
        <v>0</v>
      </c>
      <c r="M34" s="365"/>
    </row>
    <row r="35" spans="1:13" s="348" customFormat="1">
      <c r="A35" s="354">
        <v>2</v>
      </c>
      <c r="B35" s="355" t="s">
        <v>320</v>
      </c>
      <c r="C35" s="355"/>
      <c r="D35" s="356"/>
      <c r="E35" s="359"/>
      <c r="F35" s="357"/>
      <c r="G35" s="357"/>
      <c r="H35" s="357"/>
      <c r="I35" s="357"/>
      <c r="J35" s="357"/>
      <c r="K35" s="357"/>
      <c r="L35" s="357"/>
      <c r="M35" s="358"/>
    </row>
    <row r="36" spans="1:13" s="348" customFormat="1">
      <c r="A36" s="354">
        <v>3</v>
      </c>
      <c r="B36" s="355" t="s">
        <v>320</v>
      </c>
      <c r="C36" s="355"/>
      <c r="D36" s="356"/>
      <c r="E36" s="359"/>
      <c r="F36" s="357"/>
      <c r="G36" s="357"/>
      <c r="H36" s="357"/>
      <c r="I36" s="357"/>
      <c r="J36" s="357"/>
      <c r="K36" s="357"/>
      <c r="L36" s="357"/>
      <c r="M36" s="358"/>
    </row>
    <row r="37" spans="1:13" s="348" customFormat="1" ht="22.5" customHeight="1">
      <c r="A37" s="354"/>
      <c r="B37" s="368" t="s">
        <v>333</v>
      </c>
      <c r="C37" s="362"/>
      <c r="D37" s="362"/>
      <c r="E37" s="363"/>
      <c r="F37" s="364"/>
      <c r="G37" s="357"/>
      <c r="H37" s="357"/>
      <c r="I37" s="357"/>
      <c r="J37" s="357"/>
      <c r="K37" s="357"/>
      <c r="L37" s="357"/>
      <c r="M37" s="365"/>
    </row>
    <row r="38" spans="1:13" s="348" customFormat="1" ht="20.25" customHeight="1">
      <c r="A38" s="354"/>
      <c r="B38" s="369" t="s">
        <v>323</v>
      </c>
      <c r="C38" s="362"/>
      <c r="D38" s="362"/>
      <c r="E38" s="363"/>
      <c r="F38" s="357"/>
      <c r="G38" s="357"/>
      <c r="H38" s="357"/>
      <c r="I38" s="357"/>
      <c r="J38" s="357"/>
      <c r="K38" s="357"/>
      <c r="L38" s="357"/>
      <c r="M38" s="365"/>
    </row>
    <row r="39" spans="1:13" s="348" customFormat="1" ht="28">
      <c r="A39" s="354"/>
      <c r="B39" s="369" t="s">
        <v>324</v>
      </c>
      <c r="C39" s="362"/>
      <c r="D39" s="362"/>
      <c r="E39" s="363"/>
      <c r="F39" s="357"/>
      <c r="G39" s="357"/>
      <c r="H39" s="357"/>
      <c r="I39" s="357"/>
      <c r="J39" s="357"/>
      <c r="K39" s="357"/>
      <c r="L39" s="357"/>
      <c r="M39" s="365"/>
    </row>
    <row r="40" spans="1:13" s="348" customFormat="1">
      <c r="A40" s="354"/>
      <c r="B40" s="369" t="s">
        <v>325</v>
      </c>
      <c r="C40" s="362"/>
      <c r="D40" s="362"/>
      <c r="E40" s="363"/>
      <c r="F40" s="357"/>
      <c r="G40" s="357"/>
      <c r="H40" s="357"/>
      <c r="I40" s="357"/>
      <c r="J40" s="357"/>
      <c r="K40" s="357"/>
      <c r="L40" s="357"/>
      <c r="M40" s="365"/>
    </row>
    <row r="41" spans="1:13" s="348" customFormat="1">
      <c r="A41" s="354"/>
      <c r="B41" s="369" t="s">
        <v>326</v>
      </c>
      <c r="C41" s="362"/>
      <c r="D41" s="362"/>
      <c r="E41" s="363"/>
      <c r="F41" s="364"/>
      <c r="G41" s="364"/>
      <c r="H41" s="364"/>
      <c r="I41" s="364"/>
      <c r="J41" s="364"/>
      <c r="K41" s="364"/>
      <c r="L41" s="364"/>
      <c r="M41" s="365"/>
    </row>
    <row r="42" spans="1:13" s="348" customFormat="1">
      <c r="A42" s="354"/>
      <c r="B42" s="369" t="s">
        <v>327</v>
      </c>
      <c r="C42" s="362"/>
      <c r="D42" s="362"/>
      <c r="E42" s="363"/>
      <c r="F42" s="364"/>
      <c r="G42" s="364"/>
      <c r="H42" s="364"/>
      <c r="I42" s="364"/>
      <c r="J42" s="364"/>
      <c r="K42" s="364"/>
      <c r="L42" s="364"/>
      <c r="M42" s="365"/>
    </row>
    <row r="43" spans="1:13" s="348" customFormat="1">
      <c r="A43" s="354"/>
      <c r="B43" s="369" t="s">
        <v>328</v>
      </c>
      <c r="C43" s="362"/>
      <c r="D43" s="362"/>
      <c r="E43" s="363"/>
      <c r="F43" s="357"/>
      <c r="G43" s="357"/>
      <c r="H43" s="357"/>
      <c r="I43" s="357"/>
      <c r="J43" s="357"/>
      <c r="K43" s="357"/>
      <c r="L43" s="357"/>
      <c r="M43" s="365"/>
    </row>
    <row r="44" spans="1:13" s="348" customFormat="1">
      <c r="A44" s="354"/>
      <c r="B44" s="370" t="s">
        <v>329</v>
      </c>
      <c r="C44" s="362"/>
      <c r="D44" s="362"/>
      <c r="E44" s="363"/>
      <c r="F44" s="364"/>
      <c r="G44" s="357"/>
      <c r="H44" s="357"/>
      <c r="I44" s="357"/>
      <c r="J44" s="357"/>
      <c r="K44" s="357"/>
      <c r="L44" s="357"/>
      <c r="M44" s="365"/>
    </row>
    <row r="45" spans="1:13" s="348" customFormat="1">
      <c r="A45" s="354"/>
      <c r="B45" s="370" t="s">
        <v>330</v>
      </c>
      <c r="C45" s="362"/>
      <c r="D45" s="362"/>
      <c r="E45" s="363"/>
      <c r="F45" s="364"/>
      <c r="G45" s="357"/>
      <c r="H45" s="357"/>
      <c r="I45" s="357"/>
      <c r="J45" s="357"/>
      <c r="K45" s="357"/>
      <c r="L45" s="357"/>
      <c r="M45" s="371"/>
    </row>
    <row r="46" spans="1:13" s="348" customFormat="1">
      <c r="A46" s="372"/>
      <c r="B46" s="373"/>
      <c r="C46" s="373"/>
      <c r="D46" s="374"/>
      <c r="E46" s="373"/>
      <c r="F46" s="375"/>
      <c r="G46" s="375"/>
      <c r="H46" s="375"/>
      <c r="I46" s="375"/>
      <c r="J46" s="375"/>
      <c r="K46" s="375"/>
      <c r="L46" s="375"/>
      <c r="M46" s="376"/>
    </row>
    <row r="47" spans="1:13" s="348" customFormat="1" ht="25.5" customHeight="1">
      <c r="A47" s="342"/>
      <c r="B47" s="343" t="s">
        <v>334</v>
      </c>
      <c r="C47" s="344"/>
      <c r="D47" s="345"/>
      <c r="E47" s="343"/>
      <c r="F47" s="346"/>
      <c r="G47" s="346"/>
      <c r="H47" s="346"/>
      <c r="I47" s="346"/>
      <c r="J47" s="346"/>
      <c r="K47" s="346"/>
      <c r="L47" s="346"/>
      <c r="M47" s="347"/>
    </row>
    <row r="48" spans="1:13" s="348" customFormat="1" ht="28.5" customHeight="1">
      <c r="A48" s="377"/>
      <c r="B48" s="378" t="s">
        <v>335</v>
      </c>
      <c r="C48" s="378"/>
      <c r="D48" s="379"/>
      <c r="E48" s="378"/>
      <c r="F48" s="352"/>
      <c r="G48" s="352"/>
      <c r="H48" s="352"/>
      <c r="I48" s="352"/>
      <c r="J48" s="352"/>
      <c r="K48" s="352"/>
      <c r="L48" s="352"/>
      <c r="M48" s="380"/>
    </row>
    <row r="49" spans="1:13" s="348" customFormat="1" ht="28">
      <c r="A49" s="377"/>
      <c r="B49" s="381" t="s">
        <v>336</v>
      </c>
      <c r="C49" s="381"/>
      <c r="D49" s="382"/>
      <c r="E49" s="381"/>
      <c r="F49" s="352"/>
      <c r="G49" s="352"/>
      <c r="H49" s="352"/>
      <c r="I49" s="352"/>
      <c r="J49" s="352"/>
      <c r="K49" s="352"/>
      <c r="L49" s="352"/>
      <c r="M49" s="383"/>
    </row>
    <row r="50" spans="1:13" s="348" customFormat="1">
      <c r="A50" s="377"/>
      <c r="B50" s="381" t="s">
        <v>337</v>
      </c>
      <c r="C50" s="381"/>
      <c r="D50" s="382"/>
      <c r="E50" s="381"/>
      <c r="F50" s="352"/>
      <c r="G50" s="352"/>
      <c r="H50" s="352"/>
      <c r="I50" s="352"/>
      <c r="J50" s="352"/>
      <c r="K50" s="352"/>
      <c r="L50" s="352"/>
      <c r="M50" s="383"/>
    </row>
    <row r="51" spans="1:13" s="348" customFormat="1">
      <c r="A51" s="377"/>
      <c r="B51" s="381" t="s">
        <v>327</v>
      </c>
      <c r="C51" s="381"/>
      <c r="D51" s="382"/>
      <c r="E51" s="381"/>
      <c r="F51" s="384"/>
      <c r="G51" s="384"/>
      <c r="H51" s="384"/>
      <c r="I51" s="384"/>
      <c r="J51" s="384"/>
      <c r="K51" s="384"/>
      <c r="L51" s="384"/>
      <c r="M51" s="383"/>
    </row>
    <row r="52" spans="1:13" s="348" customFormat="1">
      <c r="A52" s="377"/>
      <c r="B52" s="381" t="s">
        <v>338</v>
      </c>
      <c r="C52" s="381"/>
      <c r="D52" s="382"/>
      <c r="E52" s="381"/>
      <c r="F52" s="384"/>
      <c r="G52" s="384"/>
      <c r="H52" s="384"/>
      <c r="I52" s="384"/>
      <c r="J52" s="384"/>
      <c r="K52" s="384"/>
      <c r="L52" s="384"/>
      <c r="M52" s="383"/>
    </row>
    <row r="53" spans="1:13" s="391" customFormat="1" ht="14.5" thickBot="1">
      <c r="A53" s="385"/>
      <c r="B53" s="386" t="s">
        <v>339</v>
      </c>
      <c r="C53" s="386"/>
      <c r="D53" s="387"/>
      <c r="E53" s="386"/>
      <c r="F53" s="388"/>
      <c r="G53" s="389"/>
      <c r="H53" s="389"/>
      <c r="I53" s="389"/>
      <c r="J53" s="389"/>
      <c r="K53" s="388"/>
      <c r="L53" s="388"/>
      <c r="M53" s="390"/>
    </row>
    <row r="54" spans="1:13" ht="21" customHeight="1" thickTop="1">
      <c r="A54" s="66"/>
      <c r="B54" s="66"/>
      <c r="C54" s="66"/>
      <c r="D54" s="66"/>
      <c r="E54" s="66"/>
      <c r="F54" s="392"/>
      <c r="G54" s="329"/>
      <c r="H54" s="329"/>
      <c r="I54" s="329"/>
      <c r="J54" s="755" t="s">
        <v>127</v>
      </c>
      <c r="K54" s="755"/>
      <c r="L54" s="755"/>
      <c r="M54" s="755"/>
    </row>
    <row r="55" spans="1:13" ht="21" customHeight="1">
      <c r="A55" s="66"/>
      <c r="B55" s="66"/>
      <c r="C55" s="66"/>
      <c r="D55" s="66"/>
      <c r="E55" s="66"/>
      <c r="F55" s="392"/>
      <c r="G55" s="329"/>
      <c r="H55" s="329"/>
      <c r="I55" s="329"/>
      <c r="J55" s="756" t="s">
        <v>128</v>
      </c>
      <c r="K55" s="756"/>
      <c r="L55" s="756"/>
      <c r="M55" s="756"/>
    </row>
    <row r="56" spans="1:13">
      <c r="A56" s="66"/>
      <c r="B56" s="393" t="s">
        <v>340</v>
      </c>
      <c r="C56" s="66"/>
      <c r="D56" s="66"/>
      <c r="E56" s="66"/>
      <c r="F56" s="392"/>
      <c r="G56" s="329"/>
      <c r="H56" s="329"/>
      <c r="I56" s="329"/>
      <c r="J56" s="329"/>
      <c r="K56" s="92"/>
      <c r="L56" s="92"/>
      <c r="M56" s="322"/>
    </row>
    <row r="57" spans="1:13">
      <c r="A57" s="66"/>
      <c r="B57" s="394" t="s">
        <v>341</v>
      </c>
      <c r="C57" s="66"/>
      <c r="D57" s="66"/>
      <c r="E57" s="66"/>
      <c r="F57" s="392"/>
      <c r="G57" s="329"/>
      <c r="H57" s="329"/>
      <c r="I57" s="329"/>
      <c r="J57" s="329"/>
      <c r="K57" s="92"/>
      <c r="L57" s="92"/>
      <c r="M57" s="322"/>
    </row>
    <row r="58" spans="1:13">
      <c r="A58" s="66"/>
      <c r="B58" s="394" t="s">
        <v>342</v>
      </c>
      <c r="C58" s="66"/>
      <c r="D58" s="66"/>
      <c r="E58" s="66"/>
      <c r="F58" s="395"/>
      <c r="G58" s="329"/>
      <c r="H58" s="329"/>
      <c r="I58" s="329"/>
      <c r="J58" s="329"/>
      <c r="K58" s="92"/>
      <c r="L58" s="92"/>
      <c r="M58" s="322"/>
    </row>
    <row r="59" spans="1:13">
      <c r="A59" s="66"/>
      <c r="B59" s="66"/>
      <c r="C59" s="66"/>
      <c r="D59" s="66"/>
      <c r="E59" s="66"/>
      <c r="F59" s="395"/>
      <c r="G59" s="329"/>
      <c r="H59" s="329"/>
      <c r="I59" s="329"/>
      <c r="J59" s="329"/>
      <c r="K59" s="92"/>
      <c r="L59" s="92"/>
      <c r="M59" s="322"/>
    </row>
    <row r="60" spans="1:13" ht="13.5" customHeight="1">
      <c r="A60" s="66"/>
      <c r="B60" s="66"/>
      <c r="C60" s="66"/>
      <c r="D60" s="66"/>
      <c r="E60" s="66"/>
      <c r="F60" s="395"/>
      <c r="G60" s="329"/>
      <c r="H60" s="329"/>
      <c r="I60" s="329"/>
      <c r="J60" s="329"/>
      <c r="K60" s="92"/>
      <c r="L60" s="92"/>
      <c r="M60" s="322"/>
    </row>
    <row r="61" spans="1:13">
      <c r="A61" s="66"/>
      <c r="B61" s="66"/>
      <c r="C61" s="66"/>
      <c r="D61" s="66"/>
      <c r="E61" s="66"/>
      <c r="F61" s="392"/>
      <c r="G61" s="329"/>
      <c r="H61" s="329"/>
      <c r="I61" s="329"/>
      <c r="J61" s="329"/>
      <c r="K61" s="92"/>
      <c r="L61" s="92"/>
      <c r="M61" s="322"/>
    </row>
    <row r="62" spans="1:13">
      <c r="A62" s="66"/>
      <c r="B62" s="66"/>
      <c r="C62" s="66"/>
      <c r="D62" s="66"/>
      <c r="E62" s="66"/>
      <c r="F62" s="392"/>
      <c r="G62" s="329"/>
      <c r="H62" s="329"/>
      <c r="I62" s="329"/>
      <c r="J62" s="329"/>
      <c r="K62" s="92"/>
      <c r="L62" s="92"/>
      <c r="M62" s="322"/>
    </row>
    <row r="63" spans="1:13">
      <c r="A63" s="66"/>
      <c r="B63" s="66"/>
      <c r="C63" s="66"/>
      <c r="D63" s="66"/>
      <c r="E63" s="66"/>
      <c r="F63" s="392"/>
      <c r="G63" s="329"/>
      <c r="H63" s="329"/>
      <c r="I63" s="329"/>
      <c r="J63" s="329"/>
      <c r="K63" s="92"/>
      <c r="L63" s="92"/>
      <c r="M63" s="322"/>
    </row>
    <row r="64" spans="1:13">
      <c r="A64" s="66"/>
      <c r="B64" s="66"/>
      <c r="C64" s="66"/>
      <c r="D64" s="66"/>
      <c r="E64" s="66"/>
      <c r="F64" s="392"/>
      <c r="G64" s="329"/>
      <c r="H64" s="329"/>
      <c r="I64" s="329"/>
      <c r="J64" s="329"/>
      <c r="K64" s="92"/>
      <c r="L64" s="92"/>
      <c r="M64" s="322"/>
    </row>
    <row r="65" spans="1:13">
      <c r="A65" s="66"/>
      <c r="B65" s="66"/>
      <c r="C65" s="66"/>
      <c r="D65" s="66"/>
      <c r="E65" s="66"/>
      <c r="F65" s="392"/>
      <c r="G65" s="329"/>
      <c r="H65" s="329"/>
      <c r="I65" s="329"/>
      <c r="J65" s="329"/>
      <c r="K65" s="92"/>
      <c r="L65" s="92"/>
      <c r="M65" s="322"/>
    </row>
    <row r="66" spans="1:13">
      <c r="A66" s="66"/>
      <c r="B66" s="66"/>
      <c r="C66" s="66"/>
      <c r="D66" s="66"/>
      <c r="E66" s="66"/>
      <c r="F66" s="392"/>
      <c r="G66" s="329"/>
      <c r="H66" s="329"/>
      <c r="I66" s="329"/>
      <c r="J66" s="329"/>
      <c r="K66" s="92"/>
      <c r="L66" s="92"/>
      <c r="M66" s="322"/>
    </row>
    <row r="67" spans="1:13">
      <c r="A67" s="66"/>
      <c r="B67" s="66"/>
      <c r="C67" s="66"/>
      <c r="D67" s="66"/>
      <c r="E67" s="66"/>
      <c r="F67" s="392"/>
      <c r="G67" s="329"/>
      <c r="H67" s="329"/>
      <c r="I67" s="329"/>
      <c r="J67" s="329"/>
      <c r="K67" s="92"/>
      <c r="L67" s="92"/>
      <c r="M67" s="322"/>
    </row>
    <row r="68" spans="1:13">
      <c r="A68" s="66"/>
      <c r="B68" s="66"/>
      <c r="C68" s="66"/>
      <c r="D68" s="66"/>
      <c r="E68" s="66"/>
      <c r="F68" s="392"/>
      <c r="G68" s="329"/>
      <c r="H68" s="329"/>
      <c r="I68" s="329"/>
      <c r="J68" s="329"/>
      <c r="K68" s="92"/>
      <c r="L68" s="92"/>
      <c r="M68" s="322"/>
    </row>
    <row r="69" spans="1:13">
      <c r="A69" s="66"/>
      <c r="B69" s="66"/>
      <c r="C69" s="66"/>
      <c r="D69" s="66"/>
      <c r="E69" s="66"/>
      <c r="F69" s="392"/>
      <c r="G69" s="329"/>
      <c r="H69" s="329"/>
      <c r="I69" s="329"/>
      <c r="J69" s="329"/>
      <c r="K69" s="92"/>
      <c r="L69" s="92"/>
      <c r="M69" s="322"/>
    </row>
    <row r="70" spans="1:13">
      <c r="A70" s="66"/>
      <c r="B70" s="66"/>
      <c r="C70" s="66"/>
      <c r="D70" s="66"/>
      <c r="E70" s="66"/>
      <c r="F70" s="392"/>
      <c r="G70" s="329"/>
      <c r="H70" s="329"/>
      <c r="I70" s="329"/>
      <c r="J70" s="329"/>
      <c r="K70" s="92"/>
      <c r="L70" s="92"/>
      <c r="M70" s="322"/>
    </row>
    <row r="71" spans="1:13">
      <c r="A71" s="66"/>
      <c r="B71" s="66"/>
      <c r="C71" s="66"/>
      <c r="D71" s="66"/>
      <c r="E71" s="66"/>
      <c r="F71" s="392"/>
      <c r="G71" s="329"/>
      <c r="H71" s="329"/>
      <c r="I71" s="329"/>
      <c r="J71" s="329"/>
      <c r="K71" s="92"/>
      <c r="L71" s="92"/>
      <c r="M71" s="322"/>
    </row>
    <row r="72" spans="1:13">
      <c r="A72" s="66"/>
      <c r="B72" s="66"/>
      <c r="C72" s="66"/>
      <c r="D72" s="66"/>
      <c r="E72" s="66"/>
      <c r="F72" s="392"/>
      <c r="G72" s="329"/>
      <c r="H72" s="329"/>
      <c r="I72" s="329"/>
      <c r="J72" s="329"/>
      <c r="K72" s="92"/>
      <c r="L72" s="92"/>
      <c r="M72" s="322"/>
    </row>
    <row r="73" spans="1:13">
      <c r="A73" s="66"/>
      <c r="B73" s="66"/>
      <c r="C73" s="66"/>
      <c r="D73" s="66"/>
      <c r="E73" s="66"/>
      <c r="F73" s="392"/>
      <c r="G73" s="329"/>
      <c r="H73" s="329"/>
      <c r="I73" s="329"/>
      <c r="J73" s="329"/>
      <c r="K73" s="92"/>
      <c r="L73" s="92"/>
      <c r="M73" s="322"/>
    </row>
    <row r="74" spans="1:13">
      <c r="A74" s="66"/>
      <c r="B74" s="66"/>
      <c r="C74" s="66"/>
      <c r="D74" s="66"/>
      <c r="E74" s="66"/>
      <c r="F74" s="392"/>
      <c r="G74" s="329"/>
      <c r="H74" s="329"/>
      <c r="I74" s="329"/>
      <c r="J74" s="329"/>
      <c r="K74" s="92"/>
      <c r="L74" s="92"/>
      <c r="M74" s="322"/>
    </row>
    <row r="75" spans="1:13">
      <c r="A75" s="66"/>
      <c r="B75" s="66"/>
      <c r="C75" s="66"/>
      <c r="D75" s="66"/>
      <c r="E75" s="66"/>
      <c r="F75" s="392"/>
      <c r="G75" s="329"/>
      <c r="H75" s="329"/>
      <c r="I75" s="329"/>
      <c r="J75" s="329"/>
      <c r="K75" s="92"/>
      <c r="L75" s="92"/>
      <c r="M75" s="322"/>
    </row>
    <row r="76" spans="1:13">
      <c r="A76" s="66"/>
      <c r="B76" s="66"/>
      <c r="C76" s="66"/>
      <c r="D76" s="66"/>
      <c r="E76" s="66"/>
      <c r="F76" s="392"/>
      <c r="G76" s="329"/>
      <c r="H76" s="329"/>
      <c r="I76" s="329"/>
      <c r="J76" s="329"/>
      <c r="K76" s="92"/>
      <c r="L76" s="92"/>
      <c r="M76" s="322"/>
    </row>
    <row r="77" spans="1:13">
      <c r="A77" s="66"/>
      <c r="B77" s="66"/>
      <c r="C77" s="66"/>
      <c r="D77" s="66"/>
      <c r="E77" s="66"/>
      <c r="F77" s="392"/>
      <c r="G77" s="329"/>
      <c r="H77" s="329"/>
      <c r="I77" s="329"/>
      <c r="J77" s="329"/>
      <c r="K77" s="92"/>
      <c r="L77" s="92"/>
      <c r="M77" s="322"/>
    </row>
    <row r="78" spans="1:13">
      <c r="A78" s="66"/>
      <c r="B78" s="66"/>
      <c r="C78" s="66"/>
      <c r="D78" s="66"/>
      <c r="E78" s="66"/>
      <c r="F78" s="392"/>
      <c r="G78" s="329"/>
      <c r="H78" s="329"/>
      <c r="I78" s="329"/>
      <c r="J78" s="329"/>
      <c r="K78" s="92"/>
      <c r="L78" s="92"/>
      <c r="M78" s="322"/>
    </row>
    <row r="79" spans="1:13">
      <c r="A79" s="66"/>
      <c r="B79" s="66"/>
      <c r="C79" s="66"/>
      <c r="D79" s="66"/>
      <c r="E79" s="66"/>
      <c r="F79" s="392"/>
      <c r="G79" s="329"/>
      <c r="H79" s="329"/>
      <c r="I79" s="329"/>
      <c r="J79" s="329"/>
      <c r="K79" s="92"/>
      <c r="L79" s="92"/>
      <c r="M79" s="322"/>
    </row>
    <row r="80" spans="1:13">
      <c r="A80" s="66"/>
      <c r="B80" s="66"/>
      <c r="C80" s="66"/>
      <c r="D80" s="66"/>
      <c r="E80" s="66"/>
      <c r="F80" s="392"/>
      <c r="G80" s="329"/>
      <c r="H80" s="329"/>
      <c r="I80" s="329"/>
      <c r="J80" s="329"/>
      <c r="K80" s="92"/>
      <c r="L80" s="92"/>
      <c r="M80" s="322"/>
    </row>
    <row r="81" spans="1:13">
      <c r="A81" s="66"/>
      <c r="B81" s="66"/>
      <c r="C81" s="66"/>
      <c r="D81" s="66"/>
      <c r="E81" s="66"/>
      <c r="F81" s="392"/>
      <c r="G81" s="329"/>
      <c r="H81" s="329"/>
      <c r="I81" s="329"/>
      <c r="J81" s="329"/>
      <c r="K81" s="92"/>
      <c r="L81" s="92"/>
      <c r="M81" s="32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5"/>
  <cols>
    <col min="1" max="1" width="4.81640625" style="55" customWidth="1"/>
    <col min="2" max="2" width="35.453125" style="56" customWidth="1"/>
    <col min="3" max="3" width="14.45312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c r="A1" s="758" t="s">
        <v>733</v>
      </c>
      <c r="B1" s="758"/>
      <c r="C1" s="1"/>
      <c r="D1" s="759"/>
      <c r="E1" s="759"/>
      <c r="F1" s="759"/>
      <c r="G1" s="759"/>
      <c r="H1" s="759"/>
      <c r="I1" s="759"/>
      <c r="J1" s="759"/>
      <c r="K1" s="759"/>
      <c r="L1" s="759"/>
      <c r="M1" s="759"/>
      <c r="N1" s="759"/>
      <c r="O1" s="759"/>
      <c r="P1" s="76" t="s">
        <v>343</v>
      </c>
    </row>
    <row r="2" spans="1:16" ht="15.5">
      <c r="A2" s="727" t="s">
        <v>927</v>
      </c>
      <c r="B2" s="727"/>
      <c r="C2" s="1"/>
      <c r="D2" s="760"/>
      <c r="E2" s="760"/>
      <c r="F2" s="760"/>
      <c r="G2" s="760"/>
      <c r="H2" s="760"/>
      <c r="I2" s="760"/>
      <c r="J2" s="760"/>
      <c r="K2" s="760"/>
      <c r="L2" s="760"/>
      <c r="M2" s="760"/>
      <c r="N2" s="760"/>
      <c r="O2" s="760"/>
      <c r="P2" s="2"/>
    </row>
    <row r="3" spans="1:16">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15"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c r="A8" s="402"/>
      <c r="B8" s="403" t="s">
        <v>770</v>
      </c>
      <c r="C8" s="402"/>
      <c r="D8" s="402"/>
      <c r="E8" s="402"/>
      <c r="F8" s="402"/>
      <c r="G8" s="402"/>
      <c r="H8" s="402"/>
      <c r="I8" s="402"/>
      <c r="J8" s="402"/>
      <c r="K8" s="402"/>
      <c r="L8" s="402"/>
      <c r="M8" s="402"/>
      <c r="N8" s="402"/>
      <c r="O8" s="402"/>
      <c r="P8" s="402"/>
    </row>
    <row r="9" spans="1:16">
      <c r="A9" s="402"/>
      <c r="B9" s="403" t="s">
        <v>771</v>
      </c>
      <c r="C9" s="402"/>
      <c r="D9" s="402"/>
      <c r="E9" s="402"/>
      <c r="F9" s="402"/>
      <c r="G9" s="402"/>
      <c r="H9" s="402"/>
      <c r="I9" s="402"/>
      <c r="J9" s="402"/>
      <c r="K9" s="402"/>
      <c r="L9" s="402"/>
      <c r="M9" s="402"/>
      <c r="N9" s="402"/>
      <c r="O9" s="402"/>
      <c r="P9" s="402"/>
    </row>
    <row r="10" spans="1:16">
      <c r="A10" s="402"/>
      <c r="B10" s="403" t="s">
        <v>769</v>
      </c>
      <c r="C10" s="402"/>
      <c r="D10" s="402"/>
      <c r="E10" s="402"/>
      <c r="F10" s="402"/>
      <c r="G10" s="402"/>
      <c r="H10" s="402"/>
      <c r="I10" s="402"/>
      <c r="J10" s="402"/>
      <c r="K10" s="402"/>
      <c r="L10" s="402"/>
      <c r="M10" s="402"/>
      <c r="N10" s="402"/>
      <c r="O10" s="402"/>
      <c r="P10" s="402"/>
    </row>
    <row r="11" spans="1:16">
      <c r="A11" s="402"/>
      <c r="B11" s="403" t="s">
        <v>768</v>
      </c>
      <c r="C11" s="402"/>
      <c r="D11" s="402"/>
      <c r="E11" s="402"/>
      <c r="F11" s="402"/>
      <c r="G11" s="402"/>
      <c r="H11" s="402"/>
      <c r="I11" s="402"/>
      <c r="J11" s="402"/>
      <c r="K11" s="402"/>
      <c r="L11" s="402"/>
      <c r="M11" s="402"/>
      <c r="N11" s="402"/>
      <c r="O11" s="402"/>
      <c r="P11" s="402"/>
    </row>
    <row r="12" spans="1:16" ht="26">
      <c r="A12" s="402"/>
      <c r="B12" s="403" t="s">
        <v>767</v>
      </c>
      <c r="C12" s="402"/>
      <c r="D12" s="402"/>
      <c r="E12" s="402"/>
      <c r="F12" s="402"/>
      <c r="G12" s="402"/>
      <c r="H12" s="402"/>
      <c r="I12" s="402"/>
      <c r="J12" s="402"/>
      <c r="K12" s="402"/>
      <c r="L12" s="402"/>
      <c r="M12" s="402"/>
      <c r="N12" s="402"/>
      <c r="O12" s="402"/>
      <c r="P12" s="402"/>
    </row>
    <row r="13" spans="1:16">
      <c r="A13" s="402"/>
      <c r="B13" s="403" t="s">
        <v>766</v>
      </c>
      <c r="C13" s="402"/>
      <c r="D13" s="402"/>
      <c r="E13" s="402"/>
      <c r="F13" s="402"/>
      <c r="G13" s="402"/>
      <c r="H13" s="402"/>
      <c r="I13" s="402"/>
      <c r="J13" s="402"/>
      <c r="K13" s="402"/>
      <c r="L13" s="402"/>
      <c r="M13" s="402"/>
      <c r="N13" s="402"/>
      <c r="O13" s="402"/>
      <c r="P13" s="402"/>
    </row>
    <row r="14" spans="1:16" s="68" customFormat="1" ht="13">
      <c r="A14" s="405" t="s">
        <v>81</v>
      </c>
      <c r="B14" s="490" t="s">
        <v>749</v>
      </c>
      <c r="C14" s="405"/>
      <c r="D14" s="491">
        <f>SUM(D15:D24)</f>
        <v>6817</v>
      </c>
      <c r="E14" s="491">
        <f t="shared" ref="E14:O14" si="0">SUM(E15:E24)</f>
        <v>2902</v>
      </c>
      <c r="F14" s="491">
        <f t="shared" si="0"/>
        <v>2835</v>
      </c>
      <c r="G14" s="491">
        <f t="shared" si="0"/>
        <v>1080</v>
      </c>
      <c r="H14" s="491">
        <f t="shared" si="0"/>
        <v>672.75</v>
      </c>
      <c r="I14" s="491">
        <f t="shared" si="0"/>
        <v>310.5</v>
      </c>
      <c r="J14" s="491">
        <f t="shared" si="0"/>
        <v>362.25</v>
      </c>
      <c r="K14" s="491">
        <f t="shared" si="0"/>
        <v>0</v>
      </c>
      <c r="L14" s="491">
        <f t="shared" si="0"/>
        <v>6144.25</v>
      </c>
      <c r="M14" s="491">
        <f t="shared" si="0"/>
        <v>2591.5</v>
      </c>
      <c r="N14" s="491">
        <f t="shared" si="0"/>
        <v>2472.75</v>
      </c>
      <c r="O14" s="491">
        <f t="shared" si="0"/>
        <v>1080</v>
      </c>
      <c r="P14" s="491"/>
    </row>
    <row r="15" spans="1:16" s="68" customFormat="1" ht="13">
      <c r="A15" s="405"/>
      <c r="B15" s="492" t="s">
        <v>750</v>
      </c>
      <c r="C15" s="254" t="s">
        <v>772</v>
      </c>
      <c r="D15" s="491">
        <f>SUM(E15:G15)</f>
        <v>705</v>
      </c>
      <c r="E15" s="488">
        <v>270</v>
      </c>
      <c r="F15" s="488">
        <f>IF(B15&lt;3.33,165,IF(B15&lt;4.32,175,IF(B15&lt;4.4,200,IF(B15&lt;5.76,220,IF(B15&lt;6.2,260,315)))))</f>
        <v>315</v>
      </c>
      <c r="G15" s="488">
        <f>IF(B15&lt;3.33,70,IF(B15&lt;4.32,90,IF(B15&lt;4.4,100,120)))</f>
        <v>120</v>
      </c>
      <c r="H15" s="488">
        <f>I15+J15+K15</f>
        <v>175.5</v>
      </c>
      <c r="I15" s="488">
        <f>IF(C15="CTHSVT",E15*0.6,IF(C15="TK",E15*0.3,IF(C15="PK",E15*0.25,IF(OR(C15="TBM",C15="BTLCD"),E15*0.2,IF(OR(C15="PCTCD",C15="CTCD"),E15*0.1,IF(OR(C15="TLĐT",C15="CVHT"),E15*0.15,IF(C15="NCS",E15*0.7,0)))))))</f>
        <v>81</v>
      </c>
      <c r="J15" s="488">
        <f>IF(C15="CTHSVT",F15*0.6,IF(C15="TK",F15*0.3,IF(C15="PK",F15*0.25,IF(OR(C15="TBM",C15="BTLCD"),F15*0.2,IF(OR(C15="PCTCD",C15="CTCD"),E15*0.1,IF(OR(C15="TLĐT",C15="NCS,TLĐT",C15="NCS,CVHT",C15="CVHT"),F15*0.15,0))))))</f>
        <v>94.5</v>
      </c>
      <c r="K15" s="488">
        <v>0</v>
      </c>
      <c r="L15" s="488">
        <f>M15+N15+O15</f>
        <v>529.5</v>
      </c>
      <c r="M15" s="488">
        <f>E15-I15</f>
        <v>189</v>
      </c>
      <c r="N15" s="488">
        <f>F15-J15</f>
        <v>220.5</v>
      </c>
      <c r="O15" s="488">
        <f>G15-K15</f>
        <v>120</v>
      </c>
      <c r="P15" s="491"/>
    </row>
    <row r="16" spans="1:16" s="68" customFormat="1" ht="13">
      <c r="A16" s="405"/>
      <c r="B16" s="492" t="s">
        <v>751</v>
      </c>
      <c r="C16" s="254" t="s">
        <v>773</v>
      </c>
      <c r="D16" s="491">
        <f t="shared" ref="D16:D24" si="1">SUM(E16:G16)</f>
        <v>705</v>
      </c>
      <c r="E16" s="488">
        <v>270</v>
      </c>
      <c r="F16" s="488">
        <f t="shared" ref="F16:F18" si="2">IF(B16&lt;3.33,165,IF(B16&lt;4.32,175,IF(B16&lt;4.4,200,IF(B16&lt;5.76,220,IF(B16&lt;6.2,260,315)))))</f>
        <v>315</v>
      </c>
      <c r="G16" s="488">
        <f t="shared" ref="G16:G18" si="3">IF(B16&lt;3.33,70,IF(B16&lt;4.32,90,IF(B16&lt;4.4,100,120)))</f>
        <v>120</v>
      </c>
      <c r="H16" s="488">
        <f t="shared" ref="H16:H18" si="4">I16+J16+K16</f>
        <v>146.25</v>
      </c>
      <c r="I16" s="488">
        <f t="shared" ref="I16:I18" si="5">IF(C16="CTHSVT",E16*0.6,IF(C16="TK",E16*0.3,IF(C16="PK",E16*0.25,IF(OR(C16="TBM",C16="BTLCD"),E16*0.2,IF(OR(C16="PCTCD",C16="CTCD"),E16*0.1,IF(OR(C16="TLĐT",C16="CVHT"),E16*0.15,IF(C16="NCS",E16*0.7,0)))))))</f>
        <v>67.5</v>
      </c>
      <c r="J16" s="488">
        <f t="shared" ref="J16:J18" si="6">IF(C16="CTHSVT",F16*0.6,IF(C16="TK",F16*0.3,IF(C16="PK",F16*0.25,IF(OR(C16="TBM",C16="BTLCD"),F16*0.2,IF(OR(C16="PCTCD",C16="CTCD"),E16*0.1,IF(OR(C16="TLĐT",C16="NCS,TLĐT",C16="NCS,CVHT",C16="CVHT"),F16*0.15,0))))))</f>
        <v>78.75</v>
      </c>
      <c r="K16" s="488">
        <v>0</v>
      </c>
      <c r="L16" s="488">
        <f t="shared" ref="L16:L23" si="7">M16+N16+O16</f>
        <v>558.75</v>
      </c>
      <c r="M16" s="488">
        <f t="shared" ref="M16:O18" si="8">E16-I16</f>
        <v>202.5</v>
      </c>
      <c r="N16" s="488">
        <f t="shared" si="8"/>
        <v>236.25</v>
      </c>
      <c r="O16" s="488">
        <f t="shared" si="8"/>
        <v>120</v>
      </c>
      <c r="P16" s="488" t="s">
        <v>761</v>
      </c>
    </row>
    <row r="17" spans="1:17" s="68" customFormat="1" ht="13">
      <c r="A17" s="254"/>
      <c r="B17" s="492" t="s">
        <v>752</v>
      </c>
      <c r="C17" s="254"/>
      <c r="D17" s="491">
        <f t="shared" si="1"/>
        <v>705</v>
      </c>
      <c r="E17" s="488">
        <v>270</v>
      </c>
      <c r="F17" s="488">
        <f t="shared" si="2"/>
        <v>315</v>
      </c>
      <c r="G17" s="488">
        <f t="shared" si="3"/>
        <v>120</v>
      </c>
      <c r="H17" s="488">
        <f t="shared" si="4"/>
        <v>0</v>
      </c>
      <c r="I17" s="488">
        <f t="shared" si="5"/>
        <v>0</v>
      </c>
      <c r="J17" s="488">
        <f t="shared" si="6"/>
        <v>0</v>
      </c>
      <c r="K17" s="488">
        <v>0</v>
      </c>
      <c r="L17" s="488">
        <f t="shared" si="7"/>
        <v>705</v>
      </c>
      <c r="M17" s="488">
        <f t="shared" si="8"/>
        <v>270</v>
      </c>
      <c r="N17" s="488">
        <f t="shared" si="8"/>
        <v>315</v>
      </c>
      <c r="O17" s="488">
        <f t="shared" si="8"/>
        <v>120</v>
      </c>
      <c r="P17" s="489"/>
    </row>
    <row r="18" spans="1:17" s="68" customFormat="1" ht="26">
      <c r="A18" s="254"/>
      <c r="B18" s="492" t="s">
        <v>755</v>
      </c>
      <c r="C18" s="254" t="s">
        <v>863</v>
      </c>
      <c r="D18" s="491">
        <f t="shared" si="1"/>
        <v>705</v>
      </c>
      <c r="E18" s="488">
        <v>270</v>
      </c>
      <c r="F18" s="488">
        <f t="shared" si="2"/>
        <v>315</v>
      </c>
      <c r="G18" s="488">
        <f t="shared" si="3"/>
        <v>120</v>
      </c>
      <c r="H18" s="488">
        <f t="shared" si="4"/>
        <v>0</v>
      </c>
      <c r="I18" s="488">
        <f t="shared" si="5"/>
        <v>0</v>
      </c>
      <c r="J18" s="488">
        <f t="shared" si="6"/>
        <v>0</v>
      </c>
      <c r="K18" s="488">
        <v>0</v>
      </c>
      <c r="L18" s="488">
        <f t="shared" si="7"/>
        <v>705</v>
      </c>
      <c r="M18" s="488">
        <f t="shared" si="8"/>
        <v>270</v>
      </c>
      <c r="N18" s="488">
        <f t="shared" si="8"/>
        <v>315</v>
      </c>
      <c r="O18" s="488">
        <f t="shared" si="8"/>
        <v>120</v>
      </c>
      <c r="P18" s="489" t="s">
        <v>762</v>
      </c>
    </row>
    <row r="19" spans="1:17" s="68" customFormat="1" ht="13">
      <c r="A19" s="254"/>
      <c r="B19" s="492" t="s">
        <v>753</v>
      </c>
      <c r="C19" s="254" t="s">
        <v>760</v>
      </c>
      <c r="D19" s="491">
        <f t="shared" si="1"/>
        <v>705</v>
      </c>
      <c r="E19" s="488">
        <v>270</v>
      </c>
      <c r="F19" s="488">
        <f t="shared" ref="F19" si="9">IF(B19&lt;3.33,165,IF(B19&lt;4.32,175,IF(B19&lt;4.4,200,IF(B19&lt;5.76,220,IF(B19&lt;6.2,260,315)))))</f>
        <v>315</v>
      </c>
      <c r="G19" s="488">
        <f t="shared" ref="G19" si="10">IF(B19&lt;3.33,70,IF(B19&lt;4.32,90,IF(B19&lt;4.4,100,120)))</f>
        <v>120</v>
      </c>
      <c r="H19" s="488">
        <f t="shared" ref="H19" si="11">I19+J19+K19</f>
        <v>87.75</v>
      </c>
      <c r="I19" s="488">
        <f t="shared" ref="I19" si="12">IF(C19="CTHSVT",E19*0.6,IF(C19="TK",E19*0.3,IF(C19="PK",E19*0.25,IF(OR(C19="TBM",C19="BTLCD"),E19*0.2,IF(OR(C19="PCTCD",C19="CTCD"),E19*0.1,IF(OR(C19="TLĐT",C19="CVHT"),E19*0.15,IF(C19="NCS",E19*0.7,0)))))))</f>
        <v>40.5</v>
      </c>
      <c r="J19" s="488">
        <f t="shared" ref="J19" si="13">IF(C19="CTHSVT",F19*0.6,IF(C19="TK",F19*0.3,IF(C19="PK",F19*0.25,IF(OR(C19="TBM",C19="BTLCD"),F19*0.2,IF(OR(C19="PCTCD",C19="CTCD"),E19*0.1,IF(OR(C19="TLĐT",C19="NCS,TLĐT",C19="NCS,CVHT",C19="CVHT"),F19*0.15,0))))))</f>
        <v>47.25</v>
      </c>
      <c r="K19" s="488">
        <v>0</v>
      </c>
      <c r="L19" s="488">
        <f t="shared" ref="L19" si="14">M19+N19+O19</f>
        <v>617.25</v>
      </c>
      <c r="M19" s="488">
        <f t="shared" ref="M19" si="15">E19-I19</f>
        <v>229.5</v>
      </c>
      <c r="N19" s="488">
        <f t="shared" ref="N19" si="16">F19-J19</f>
        <v>267.75</v>
      </c>
      <c r="O19" s="488">
        <f t="shared" ref="O19" si="17">G19-K19</f>
        <v>120</v>
      </c>
      <c r="P19" s="489" t="s">
        <v>762</v>
      </c>
    </row>
    <row r="20" spans="1:17" s="68" customFormat="1" ht="13">
      <c r="A20" s="254"/>
      <c r="B20" s="492" t="s">
        <v>754</v>
      </c>
      <c r="C20" s="254" t="s">
        <v>763</v>
      </c>
      <c r="D20" s="491">
        <f t="shared" si="1"/>
        <v>705</v>
      </c>
      <c r="E20" s="488">
        <v>270</v>
      </c>
      <c r="F20" s="488">
        <f t="shared" ref="F20" si="18">IF(B20&lt;3.33,165,IF(B20&lt;4.32,175,IF(B20&lt;4.4,200,IF(B20&lt;5.76,220,IF(B20&lt;6.2,260,315)))))</f>
        <v>315</v>
      </c>
      <c r="G20" s="488">
        <f t="shared" ref="G20" si="19">IF(B20&lt;3.33,70,IF(B20&lt;4.32,90,IF(B20&lt;4.4,100,120)))</f>
        <v>120</v>
      </c>
      <c r="H20" s="488">
        <f t="shared" ref="H20:H21" si="20">I20+J20+K20</f>
        <v>87.75</v>
      </c>
      <c r="I20" s="488">
        <f t="shared" ref="I20:I21" si="21">IF(C20="CTHSVT",E20*0.6,IF(C20="TK",E20*0.3,IF(C20="PK",E20*0.25,IF(OR(C20="TBM",C20="BTLCD"),E20*0.2,IF(OR(C20="PCTCD",C20="CTCD"),E20*0.1,IF(OR(C20="TLĐT",C20="CVHT"),E20*0.15,IF(C20="NCS",E20*0.7,0)))))))</f>
        <v>40.5</v>
      </c>
      <c r="J20" s="488">
        <f t="shared" ref="J20:J21" si="22">IF(C20="CTHSVT",F20*0.6,IF(C20="TK",F20*0.3,IF(C20="PK",F20*0.25,IF(OR(C20="TBM",C20="BTLCD"),F20*0.2,IF(OR(C20="PCTCD",C20="CTCD"),E20*0.1,IF(OR(C20="TLĐT",C20="NCS,TLĐT",C20="NCS,CVHT",C20="CVHT"),F20*0.15,0))))))</f>
        <v>47.25</v>
      </c>
      <c r="K20" s="488">
        <v>0</v>
      </c>
      <c r="L20" s="488">
        <f t="shared" ref="L20:L21" si="23">M20+N20+O20</f>
        <v>617.25</v>
      </c>
      <c r="M20" s="488">
        <f t="shared" ref="M20:M21" si="24">E20-I20</f>
        <v>229.5</v>
      </c>
      <c r="N20" s="488">
        <f t="shared" ref="N20:N21" si="25">F20-J20</f>
        <v>267.75</v>
      </c>
      <c r="O20" s="488">
        <f t="shared" ref="O20:O21" si="26">G20-K20</f>
        <v>120</v>
      </c>
      <c r="P20" s="489" t="s">
        <v>764</v>
      </c>
    </row>
    <row r="21" spans="1:17" s="68" customFormat="1" ht="13">
      <c r="A21" s="254"/>
      <c r="B21" s="492" t="s">
        <v>756</v>
      </c>
      <c r="C21" s="254" t="s">
        <v>765</v>
      </c>
      <c r="D21" s="491">
        <f t="shared" si="1"/>
        <v>472</v>
      </c>
      <c r="E21" s="488">
        <v>472</v>
      </c>
      <c r="F21" s="488">
        <v>0</v>
      </c>
      <c r="G21" s="488">
        <v>0</v>
      </c>
      <c r="H21" s="488">
        <f t="shared" si="20"/>
        <v>0</v>
      </c>
      <c r="I21" s="488">
        <f t="shared" si="21"/>
        <v>0</v>
      </c>
      <c r="J21" s="488">
        <f t="shared" si="22"/>
        <v>0</v>
      </c>
      <c r="K21" s="488">
        <v>0</v>
      </c>
      <c r="L21" s="488">
        <f t="shared" si="23"/>
        <v>472</v>
      </c>
      <c r="M21" s="488">
        <f t="shared" si="24"/>
        <v>472</v>
      </c>
      <c r="N21" s="488">
        <f t="shared" si="25"/>
        <v>0</v>
      </c>
      <c r="O21" s="488">
        <f t="shared" si="26"/>
        <v>0</v>
      </c>
      <c r="P21" s="489" t="s">
        <v>765</v>
      </c>
    </row>
    <row r="22" spans="1:17" s="68" customFormat="1" ht="13">
      <c r="A22" s="254"/>
      <c r="B22" s="492" t="s">
        <v>757</v>
      </c>
      <c r="C22" s="254"/>
      <c r="D22" s="491">
        <f t="shared" si="1"/>
        <v>705</v>
      </c>
      <c r="E22" s="488">
        <v>270</v>
      </c>
      <c r="F22" s="488">
        <f t="shared" ref="F22:F23" si="27">IF(B22&lt;3.33,165,IF(B22&lt;4.32,175,IF(B22&lt;4.4,200,IF(B22&lt;5.76,220,IF(B22&lt;6.2,260,315)))))</f>
        <v>315</v>
      </c>
      <c r="G22" s="488">
        <f t="shared" ref="G22:G23" si="28">IF(B22&lt;3.33,70,IF(B22&lt;4.32,90,IF(B22&lt;4.4,100,120)))</f>
        <v>120</v>
      </c>
      <c r="H22" s="488">
        <f t="shared" ref="H22:H23" si="29">I22+J22+K22</f>
        <v>0</v>
      </c>
      <c r="I22" s="488">
        <f t="shared" ref="I22:I23" si="30">IF(C22="CTHSVT",E22*0.6,IF(C22="TK",E22*0.3,IF(C22="PK",E22*0.25,IF(OR(C22="TBM",C22="BTLCD"),E22*0.2,IF(OR(C22="PCTCD",C22="CTCD"),E22*0.1,IF(OR(C22="TLĐT",C22="CVHT"),E22*0.15,IF(C22="NCS",E22*0.7,0)))))))</f>
        <v>0</v>
      </c>
      <c r="J22" s="488">
        <f t="shared" ref="J22:J23" si="31">IF(C22="CTHSVT",F22*0.6,IF(C22="TK",F22*0.3,IF(C22="PK",F22*0.25,IF(OR(C22="TBM",C22="BTLCD"),F22*0.2,IF(OR(C22="PCTCD",C22="CTCD"),E22*0.1,IF(OR(C22="TLĐT",C22="NCS,TLĐT",C22="NCS,CVHT",C22="CVHT"),F22*0.15,0))))))</f>
        <v>0</v>
      </c>
      <c r="K22" s="488">
        <v>0</v>
      </c>
      <c r="L22" s="488">
        <f t="shared" si="7"/>
        <v>705</v>
      </c>
      <c r="M22" s="488">
        <f t="shared" ref="M22:O23" si="32">E22-I22</f>
        <v>270</v>
      </c>
      <c r="N22" s="488">
        <f t="shared" si="32"/>
        <v>315</v>
      </c>
      <c r="O22" s="488">
        <f t="shared" si="32"/>
        <v>120</v>
      </c>
      <c r="P22" s="493"/>
    </row>
    <row r="23" spans="1:17" s="68" customFormat="1" ht="13">
      <c r="A23" s="254"/>
      <c r="B23" s="492" t="s">
        <v>758</v>
      </c>
      <c r="C23" s="254" t="s">
        <v>763</v>
      </c>
      <c r="D23" s="491">
        <f t="shared" si="1"/>
        <v>705</v>
      </c>
      <c r="E23" s="488">
        <v>270</v>
      </c>
      <c r="F23" s="488">
        <f t="shared" si="27"/>
        <v>315</v>
      </c>
      <c r="G23" s="488">
        <f t="shared" si="28"/>
        <v>120</v>
      </c>
      <c r="H23" s="488">
        <f t="shared" si="29"/>
        <v>87.75</v>
      </c>
      <c r="I23" s="488">
        <f t="shared" si="30"/>
        <v>40.5</v>
      </c>
      <c r="J23" s="488">
        <f t="shared" si="31"/>
        <v>47.25</v>
      </c>
      <c r="K23" s="488">
        <v>0</v>
      </c>
      <c r="L23" s="488">
        <f t="shared" si="7"/>
        <v>617.25</v>
      </c>
      <c r="M23" s="488">
        <f t="shared" si="32"/>
        <v>229.5</v>
      </c>
      <c r="N23" s="488">
        <f t="shared" si="32"/>
        <v>267.75</v>
      </c>
      <c r="O23" s="488">
        <f t="shared" si="32"/>
        <v>120</v>
      </c>
      <c r="P23" s="489" t="s">
        <v>764</v>
      </c>
    </row>
    <row r="24" spans="1:17" s="68" customFormat="1" ht="13">
      <c r="A24" s="254"/>
      <c r="B24" s="492" t="s">
        <v>759</v>
      </c>
      <c r="C24" s="254" t="s">
        <v>760</v>
      </c>
      <c r="D24" s="491">
        <f t="shared" si="1"/>
        <v>705</v>
      </c>
      <c r="E24" s="488">
        <v>270</v>
      </c>
      <c r="F24" s="488">
        <f t="shared" ref="F24" si="33">IF(B24&lt;3.33,165,IF(B24&lt;4.32,175,IF(B24&lt;4.4,200,IF(B24&lt;5.76,220,IF(B24&lt;6.2,260,315)))))</f>
        <v>315</v>
      </c>
      <c r="G24" s="488">
        <f t="shared" ref="G24" si="34">IF(B24&lt;3.33,70,IF(B24&lt;4.32,90,IF(B24&lt;4.4,100,120)))</f>
        <v>120</v>
      </c>
      <c r="H24" s="488">
        <f t="shared" ref="H24" si="35">I24+J24+K24</f>
        <v>87.75</v>
      </c>
      <c r="I24" s="488">
        <f t="shared" ref="I24" si="36">IF(C24="CTHSVT",E24*0.6,IF(C24="TK",E24*0.3,IF(C24="PK",E24*0.25,IF(OR(C24="TBM",C24="BTLCD"),E24*0.2,IF(OR(C24="PCTCD",C24="CTCD"),E24*0.1,IF(OR(C24="TLĐT",C24="CVHT"),E24*0.15,IF(C24="NCS",E24*0.7,0)))))))</f>
        <v>40.5</v>
      </c>
      <c r="J24" s="488">
        <f t="shared" ref="J24" si="37">IF(C24="CTHSVT",F24*0.6,IF(C24="TK",F24*0.3,IF(C24="PK",F24*0.25,IF(OR(C24="TBM",C24="BTLCD"),F24*0.2,IF(OR(C24="PCTCD",C24="CTCD"),E24*0.1,IF(OR(C24="TLĐT",C24="NCS,TLĐT",C24="NCS,CVHT",C24="CVHT"),F24*0.15,0))))))</f>
        <v>47.25</v>
      </c>
      <c r="K24" s="488">
        <v>0</v>
      </c>
      <c r="L24" s="488">
        <f t="shared" ref="L24" si="38">M24+N24+O24</f>
        <v>617.25</v>
      </c>
      <c r="M24" s="488">
        <f t="shared" ref="M24" si="39">E24-I24</f>
        <v>229.5</v>
      </c>
      <c r="N24" s="488">
        <f t="shared" ref="N24" si="40">F24-J24</f>
        <v>267.75</v>
      </c>
      <c r="O24" s="488">
        <f t="shared" ref="O24" si="41">G24-K24</f>
        <v>120</v>
      </c>
      <c r="P24" s="489" t="s">
        <v>762</v>
      </c>
    </row>
    <row r="25" spans="1:17" s="68" customFormat="1" ht="13" hidden="1">
      <c r="A25" s="84" t="s">
        <v>104</v>
      </c>
      <c r="B25" s="85" t="s">
        <v>362</v>
      </c>
      <c r="C25" s="88"/>
      <c r="D25" s="485">
        <f>SUM(E25:G25)</f>
        <v>0</v>
      </c>
      <c r="E25" s="486"/>
      <c r="F25" s="486"/>
      <c r="G25" s="486"/>
      <c r="H25" s="485">
        <f>SUM(I25:K25)</f>
        <v>0</v>
      </c>
      <c r="I25" s="486"/>
      <c r="J25" s="486"/>
      <c r="K25" s="486"/>
      <c r="L25" s="485">
        <f>SUM(M25:O25)</f>
        <v>0</v>
      </c>
      <c r="M25" s="486"/>
      <c r="N25" s="486"/>
      <c r="O25" s="486"/>
      <c r="P25" s="487"/>
    </row>
    <row r="26" spans="1:17" s="68" customFormat="1" ht="13" hidden="1">
      <c r="A26" s="86"/>
      <c r="B26" s="87" t="s">
        <v>363</v>
      </c>
      <c r="C26" s="88"/>
      <c r="D26" s="486"/>
      <c r="E26" s="486"/>
      <c r="F26" s="486"/>
      <c r="G26" s="486"/>
      <c r="H26" s="486"/>
      <c r="I26" s="486"/>
      <c r="J26" s="486"/>
      <c r="K26" s="486"/>
      <c r="L26" s="486"/>
      <c r="M26" s="486"/>
      <c r="N26" s="486"/>
      <c r="O26" s="486"/>
      <c r="P26" s="487"/>
    </row>
    <row r="27" spans="1:17" s="68" customFormat="1" ht="13" hidden="1">
      <c r="A27" s="86"/>
      <c r="B27" s="87" t="s">
        <v>363</v>
      </c>
      <c r="C27" s="88"/>
      <c r="D27" s="486"/>
      <c r="E27" s="486"/>
      <c r="F27" s="486"/>
      <c r="G27" s="486"/>
      <c r="H27" s="486"/>
      <c r="I27" s="486"/>
      <c r="J27" s="486"/>
      <c r="K27" s="486"/>
      <c r="L27" s="486"/>
      <c r="M27" s="486"/>
      <c r="N27" s="486"/>
      <c r="O27" s="486"/>
      <c r="P27" s="487"/>
    </row>
    <row r="28" spans="1:17" s="68" customFormat="1" ht="13" hidden="1">
      <c r="A28" s="86"/>
      <c r="B28" s="87" t="s">
        <v>363</v>
      </c>
      <c r="C28" s="88"/>
      <c r="D28" s="486"/>
      <c r="E28" s="486"/>
      <c r="F28" s="486"/>
      <c r="G28" s="486"/>
      <c r="H28" s="486"/>
      <c r="I28" s="486"/>
      <c r="J28" s="486"/>
      <c r="K28" s="486"/>
      <c r="L28" s="486"/>
      <c r="M28" s="486"/>
      <c r="N28" s="486"/>
      <c r="O28" s="486"/>
      <c r="P28" s="487"/>
    </row>
    <row r="29" spans="1:17" s="68" customFormat="1" ht="14" thickBot="1">
      <c r="A29" s="764" t="s">
        <v>364</v>
      </c>
      <c r="B29" s="765"/>
      <c r="C29" s="598"/>
      <c r="D29" s="599">
        <f>D14</f>
        <v>6817</v>
      </c>
      <c r="E29" s="599">
        <f t="shared" ref="E29:O29" si="42">E14</f>
        <v>2902</v>
      </c>
      <c r="F29" s="599">
        <f t="shared" si="42"/>
        <v>2835</v>
      </c>
      <c r="G29" s="599">
        <f t="shared" si="42"/>
        <v>1080</v>
      </c>
      <c r="H29" s="599">
        <f t="shared" si="42"/>
        <v>672.75</v>
      </c>
      <c r="I29" s="599">
        <f t="shared" si="42"/>
        <v>310.5</v>
      </c>
      <c r="J29" s="599">
        <f t="shared" si="42"/>
        <v>362.25</v>
      </c>
      <c r="K29" s="599">
        <f t="shared" si="42"/>
        <v>0</v>
      </c>
      <c r="L29" s="599">
        <f t="shared" si="42"/>
        <v>6144.25</v>
      </c>
      <c r="M29" s="599">
        <f t="shared" si="42"/>
        <v>2591.5</v>
      </c>
      <c r="N29" s="599">
        <f t="shared" si="42"/>
        <v>2472.75</v>
      </c>
      <c r="O29" s="599">
        <f t="shared" si="42"/>
        <v>1080</v>
      </c>
      <c r="P29" s="600"/>
      <c r="Q29" s="398" t="s">
        <v>365</v>
      </c>
    </row>
    <row r="30" spans="1:17" ht="15" thickTop="1">
      <c r="A30" s="29"/>
      <c r="B30" s="1"/>
      <c r="C30" s="1"/>
      <c r="D30" s="728" t="s">
        <v>366</v>
      </c>
      <c r="E30" s="728"/>
      <c r="F30" s="728"/>
      <c r="G30" s="728"/>
      <c r="H30" s="728"/>
      <c r="I30" s="728"/>
      <c r="J30" s="728"/>
      <c r="K30" s="728"/>
      <c r="L30" s="728"/>
      <c r="M30" s="728"/>
      <c r="N30" s="728"/>
      <c r="O30" s="728"/>
      <c r="P30" s="728"/>
    </row>
    <row r="31" spans="1:17">
      <c r="A31" s="29"/>
      <c r="B31" s="67"/>
      <c r="C31" s="1"/>
      <c r="E31" s="89"/>
      <c r="F31" s="89"/>
      <c r="G31" s="89"/>
      <c r="H31" s="89"/>
      <c r="I31" s="89"/>
      <c r="J31" s="89"/>
      <c r="K31" s="89"/>
      <c r="L31" s="89"/>
      <c r="M31" s="727" t="s">
        <v>367</v>
      </c>
      <c r="N31" s="727"/>
      <c r="O31" s="727"/>
      <c r="P31" s="727"/>
    </row>
    <row r="32" spans="1:17" ht="19">
      <c r="A32" s="766" t="s">
        <v>368</v>
      </c>
      <c r="B32" s="766"/>
      <c r="C32" s="766"/>
      <c r="D32" s="766"/>
      <c r="E32" s="766"/>
      <c r="F32" s="766"/>
      <c r="G32" s="766"/>
      <c r="H32" s="766"/>
      <c r="I32" s="766"/>
      <c r="J32" s="766"/>
      <c r="K32" s="766"/>
      <c r="L32" s="766"/>
      <c r="M32" s="2"/>
      <c r="N32" s="2"/>
      <c r="O32" s="2"/>
      <c r="P32" s="2"/>
    </row>
    <row r="33" spans="1:16">
      <c r="A33" s="29"/>
      <c r="B33" s="72"/>
      <c r="C33" s="1"/>
      <c r="D33" s="727"/>
      <c r="E33" s="727"/>
      <c r="F33" s="727"/>
      <c r="G33" s="727"/>
      <c r="H33" s="727"/>
      <c r="I33" s="727"/>
      <c r="J33" s="727"/>
      <c r="K33" s="727"/>
      <c r="L33" s="727"/>
      <c r="M33" s="727"/>
      <c r="N33" s="727"/>
      <c r="O33" s="727"/>
      <c r="P33" s="727"/>
    </row>
    <row r="34" spans="1:16">
      <c r="A34" s="29"/>
      <c r="B34" s="1"/>
      <c r="C34" s="1"/>
      <c r="D34" s="761"/>
      <c r="E34" s="761"/>
      <c r="F34" s="761"/>
      <c r="G34" s="761"/>
      <c r="H34" s="761"/>
      <c r="I34" s="761"/>
      <c r="J34" s="761"/>
      <c r="K34" s="761"/>
      <c r="L34" s="761"/>
      <c r="M34" s="761"/>
      <c r="N34" s="761"/>
      <c r="O34" s="761"/>
      <c r="P34" s="761"/>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072767-6AE7-4F0F-B74E-3A4DE6BAC24F}"/>
</file>

<file path=customXml/itemProps2.xml><?xml version="1.0" encoding="utf-8"?>
<ds:datastoreItem xmlns:ds="http://schemas.openxmlformats.org/officeDocument/2006/customXml" ds:itemID="{441DAC07-3F9A-4081-8D8A-7BC6D7D951B0}"/>
</file>

<file path=customXml/itemProps3.xml><?xml version="1.0" encoding="utf-8"?>
<ds:datastoreItem xmlns:ds="http://schemas.openxmlformats.org/officeDocument/2006/customXml" ds:itemID="{0C979023-A1C3-4976-BCE2-5D2DC1797F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Bieu 2b DT THPT THSP</vt:lpstr>
      <vt:lpstr>Bieu 3a-Tong gio chuan chi tiet</vt:lpstr>
      <vt:lpstr>Sheet1</vt:lpstr>
      <vt:lpstr>Bieu 3b tong hop Truong</vt:lpstr>
      <vt:lpstr>Bieu 4-KP thuc hanh thi nghiem</vt:lpstr>
      <vt:lpstr>Bieu5-Nhu cau mua sam sua chua</vt:lpstr>
      <vt:lpstr>Bieu 6 P.TCCB update new</vt:lpstr>
      <vt:lpstr>Bieu7-ke hoach NCKH</vt:lpstr>
      <vt:lpstr>Bieu 7b-xuat ban</vt:lpstr>
      <vt:lpstr>Bieu8-Dao tao ngan han</vt:lpstr>
      <vt:lpstr>9a Tong thu DH va SDH</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7b-xuat ban'!Print_Area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2025-08-02T01:35:02Z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